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hidePivotFieldList="1" checkCompatibility="1"/>
  <mc:AlternateContent xmlns:mc="http://schemas.openxmlformats.org/markup-compatibility/2006">
    <mc:Choice Requires="x15">
      <x15ac:absPath xmlns:x15ac="http://schemas.microsoft.com/office/spreadsheetml/2010/11/ac" url="/Users/lorenzadelrio/Library/CloudStorage/Box-Box/01 Compartidas GL/Compartida CPG/CL122 Josue Holdings/CL122-2022/E390 Ezequiel Investments LP/01 Cálculo Extranjero/"/>
    </mc:Choice>
  </mc:AlternateContent>
  <xr:revisionPtr revIDLastSave="0" documentId="13_ncr:1_{8A51AF84-B329-7E4C-B86B-8D870CCAD3EB}" xr6:coauthVersionLast="47" xr6:coauthVersionMax="47" xr10:uidLastSave="{00000000-0000-0000-0000-000000000000}"/>
  <bookViews>
    <workbookView xWindow="0" yWindow="500" windowWidth="28800" windowHeight="15900" tabRatio="500" firstSheet="10" activeTab="29" xr2:uid="{00000000-000D-0000-FFFF-FFFF00000000}"/>
  </bookViews>
  <sheets>
    <sheet name="Cuentas" sheetId="2" r:id="rId1"/>
    <sheet name="Transferencia" sheetId="51" state="hidden" r:id="rId2"/>
    <sheet name="Sumaria Ingresos" sheetId="1" r:id="rId3"/>
    <sheet name="1 Ingresos Acum &amp; No Acum" sheetId="3" r:id="rId4"/>
    <sheet name="2 Ingresos BMV &amp; SIC" sheetId="30" r:id="rId5"/>
    <sheet name="3 Ingresos 10% Ad - Dividendos" sheetId="33" r:id="rId6"/>
    <sheet name="Cap Gain Summary S-I" sheetId="21" state="hidden" r:id="rId7"/>
    <sheet name="Cap Gain Summary S-II" sheetId="41" r:id="rId8"/>
    <sheet name="OFD Summary" sheetId="36" r:id="rId9"/>
    <sheet name="CGDet Cap IV SI &amp; SII - NO OFD " sheetId="22" r:id="rId10"/>
    <sheet name="CG OFD Cap IV SII &amp; Cap IX" sheetId="50" r:id="rId11"/>
    <sheet name="Intereses percibidos" sheetId="5" r:id="rId12"/>
    <sheet name="Intereses en Compra Venta Bonos" sheetId="6" state="hidden" r:id="rId13"/>
    <sheet name="Ganancias Cambiarias - Contrato" sheetId="7" state="hidden" r:id="rId14"/>
    <sheet name="AAI" sheetId="49" r:id="rId15"/>
    <sheet name="Saldos Cash" sheetId="8" r:id="rId16"/>
    <sheet name="Inventario de bonos" sheetId="43" state="hidden" r:id="rId17"/>
    <sheet name="239" sheetId="9" state="hidden" r:id="rId18"/>
    <sheet name="Otros Ingresos" sheetId="14" state="hidden" r:id="rId19"/>
    <sheet name="Dividendos Nacionales" sheetId="10" state="hidden" r:id="rId20"/>
    <sheet name="Reducciones de Capital" sheetId="47" state="hidden" r:id="rId21"/>
    <sheet name="Dividendos Extranjero" sheetId="11" r:id="rId22"/>
    <sheet name="Dividendos Extranjeros - Ret" sheetId="39" r:id="rId23"/>
    <sheet name="PE - Real Gain Loss" sheetId="13" state="hidden" r:id="rId24"/>
    <sheet name="PE - Retenciones" sheetId="40" state="hidden" r:id="rId25"/>
    <sheet name="PE - Inventario" sheetId="48" state="hidden" r:id="rId26"/>
    <sheet name="Otras Retenciones" sheetId="15" state="hidden" r:id="rId27"/>
    <sheet name="Swap" sheetId="44" state="hidden" r:id="rId28"/>
    <sheet name="FWD" sheetId="45" state="hidden" r:id="rId29"/>
    <sheet name="Ventas Acciones &amp; Bonos" sheetId="16" r:id="rId30"/>
    <sheet name="Inventario" sheetId="52" r:id="rId31"/>
    <sheet name="Ventas OFD" sheetId="35" r:id="rId32"/>
    <sheet name="Equivalencia" sheetId="18" r:id="rId33"/>
    <sheet name="TC" sheetId="19" r:id="rId34"/>
    <sheet name="INPC" sheetId="20" r:id="rId35"/>
    <sheet name="Rev JR" sheetId="27" state="hidden" r:id="rId36"/>
  </sheets>
  <externalReferences>
    <externalReference r:id="rId37"/>
  </externalReferences>
  <definedNames>
    <definedName name="_xlnm._FilterDatabase" localSheetId="21" hidden="1">'Dividendos Extranjero'!$B$6:$K$28</definedName>
    <definedName name="_xlnm._FilterDatabase" localSheetId="22" hidden="1">'Dividendos Extranjeros - Ret'!$B$6:$K$17</definedName>
    <definedName name="_xlnm._FilterDatabase" localSheetId="19" hidden="1">'Dividendos Nacionales'!$B$6:$Q$28</definedName>
    <definedName name="_xlnm._FilterDatabase" localSheetId="28" hidden="1">FWD!$B$6:$J$16</definedName>
    <definedName name="_xlnm._FilterDatabase" localSheetId="13" hidden="1">'Ganancias Cambiarias - Contrato'!$B$7:$K$14</definedName>
    <definedName name="_xlnm._FilterDatabase" localSheetId="12" hidden="1">'Intereses en Compra Venta Bonos'!$B$6:$K$14</definedName>
    <definedName name="_xlnm._FilterDatabase" localSheetId="11" hidden="1">'Intereses percibidos'!$B$6:$K$57</definedName>
    <definedName name="_xlnm._FilterDatabase" localSheetId="30" hidden="1">Inventario!$A$1:$P$387</definedName>
    <definedName name="_xlnm._FilterDatabase" localSheetId="26" hidden="1">'Otras Retenciones'!$B$6:$K$16</definedName>
    <definedName name="_xlnm._FilterDatabase" localSheetId="18" hidden="1">'Otros Ingresos'!$B$6:$K$13</definedName>
    <definedName name="_xlnm._FilterDatabase" localSheetId="23" hidden="1">'PE - Real Gain Loss'!$B$6:$K$13</definedName>
    <definedName name="_xlnm._FilterDatabase" localSheetId="24" hidden="1">'PE - Retenciones'!$B$6:$K$13</definedName>
    <definedName name="_xlnm._FilterDatabase" localSheetId="20" hidden="1">'Reducciones de Capital'!$B$6:$J$28</definedName>
    <definedName name="_xlnm._FilterDatabase" localSheetId="35" hidden="1">'Rev JR'!$A$2:$O$155</definedName>
    <definedName name="_xlnm._FilterDatabase" localSheetId="27" hidden="1">Swap!$B$6:$J$16</definedName>
    <definedName name="_xlnm._FilterDatabase" localSheetId="29" hidden="1">'Ventas Acciones &amp; Bonos'!$B$1:$AW$500</definedName>
    <definedName name="_xlnm._FilterDatabase" localSheetId="31" hidden="1">'Ventas OFD'!$B$1:$AT$500</definedName>
    <definedName name="Accrued_Interest_Paid">'Intereses en Compra Venta Bonos'!$O$2:$O$4</definedName>
    <definedName name="Instrumentos" localSheetId="31">'Ventas OFD'!$AQ$3:$AQ$15</definedName>
    <definedName name="Instrumentos">'Ventas Acciones &amp; Bonos'!$AT$3:$AT$14</definedName>
    <definedName name="Intereses" localSheetId="30">'[1]Intereses percibidos'!$P$2:$P$45</definedName>
    <definedName name="Intereses">'Intereses percibidos'!$P$2:$P$56</definedName>
    <definedName name="Monedas">Equivalencia!$A$4:$A$20</definedName>
    <definedName name="Monedas_Dividendos" localSheetId="30">'[1]Dividendos Nacionales'!$V$7:$V$8</definedName>
    <definedName name="Monedas_Dividendos" localSheetId="20">'Reducciones de Capital'!$O$7:$O$8</definedName>
    <definedName name="Monedas_Dividendos">'Dividendos Nacionales'!$V$7:$V$8</definedName>
    <definedName name="Monedas_Ventas">Equivalencia!$A$4:$A$20</definedName>
    <definedName name="Operaciones" localSheetId="30">'[1]Ventas Acciones &amp; Bonos'!$AU$3:$AU$14</definedName>
    <definedName name="Operaciones" localSheetId="31">'Ventas OFD'!$AR$3:$AR$14</definedName>
    <definedName name="Operaciones">'Ventas Acciones &amp; Bonos'!$AU$3:$AU$14</definedName>
    <definedName name="Otros_Ingresos" localSheetId="30">'[1]Otros Ingresos'!$P$3:$P$11</definedName>
    <definedName name="Otros_Ingresos">'Otros Ingresos'!$P$3:$P$11</definedName>
    <definedName name="Pérdida_Cambiaria" localSheetId="28">'Ganancias Cambiarias - Contrato'!#REF!</definedName>
    <definedName name="Pérdida_Cambiaria" localSheetId="30">'[1]Ganancias Cambiarias - Contrato'!#REF!</definedName>
    <definedName name="Pérdida_Cambiaria" localSheetId="20">'Ganancias Cambiarias - Contrato'!#REF!</definedName>
    <definedName name="Pérdida_Cambiaria">'Ganancias Cambiarias - Contrato'!#REF!</definedName>
    <definedName name="_xlnm.Print_Area" localSheetId="3">'1 Ingresos Acum &amp; No Acum'!$B$2:$K$49,'1 Ingresos Acum &amp; No Acum'!$B$52:$K$84</definedName>
    <definedName name="_xlnm.Print_Area" localSheetId="4">'2 Ingresos BMV &amp; SIC'!$B$2:$J$14</definedName>
    <definedName name="_xlnm.Print_Area" localSheetId="17">'239'!$C$2:$D$10</definedName>
    <definedName name="_xlnm.Print_Area" localSheetId="5">'3 Ingresos 10% Ad - Dividendos'!$B$3:$J$22</definedName>
    <definedName name="_xlnm.Print_Area" localSheetId="14">AAI!$C$4:$J$27</definedName>
    <definedName name="_xlnm.Print_Area" localSheetId="6">'Cap Gain Summary S-I'!$B$1:$I$79</definedName>
    <definedName name="_xlnm.Print_Area" localSheetId="7">'Cap Gain Summary S-II'!$B$2:$I$53</definedName>
    <definedName name="_xlnm.Print_Area" localSheetId="10">'CG OFD Cap IV SII &amp; Cap IX'!$B$2:$Y$679</definedName>
    <definedName name="_xlnm.Print_Area" localSheetId="9">'CGDet Cap IV SI &amp; SII - NO OFD '!$B$2:$W$623</definedName>
    <definedName name="_xlnm.Print_Area" localSheetId="0">Cuentas!$B$1:$D$27</definedName>
    <definedName name="_xlnm.Print_Area" localSheetId="21">'Dividendos Extranjero'!$B$1:$K$58</definedName>
    <definedName name="_xlnm.Print_Area" localSheetId="22">'Dividendos Extranjeros - Ret'!$B$1:$K$47</definedName>
    <definedName name="_xlnm.Print_Area" localSheetId="19">'Dividendos Nacionales'!$B$1:$R$58</definedName>
    <definedName name="_xlnm.Print_Area" localSheetId="28">FWD!$B$1:$J$40</definedName>
    <definedName name="_xlnm.Print_Area" localSheetId="13">'Ganancias Cambiarias - Contrato'!$B$2:$K$44</definedName>
    <definedName name="_xlnm.Print_Area" localSheetId="12">'Intereses en Compra Venta Bonos'!$B$1:$K$42</definedName>
    <definedName name="_xlnm.Print_Area" localSheetId="11">'Intereses percibidos'!$B$1:$K$85</definedName>
    <definedName name="_xlnm.Print_Area" localSheetId="16">'Inventario de bonos'!$B$2:$N$74</definedName>
    <definedName name="_xlnm.Print_Area" localSheetId="8">'OFD Summary'!$B$2:$N$65</definedName>
    <definedName name="_xlnm.Print_Area" localSheetId="26">'Otras Retenciones'!$B$2:$K$45</definedName>
    <definedName name="_xlnm.Print_Area" localSheetId="18">'Otros Ingresos'!$B$1:$K$42</definedName>
    <definedName name="_xlnm.Print_Area" localSheetId="25">'PE - Inventario'!$B$2:$T$169</definedName>
    <definedName name="_xlnm.Print_Area" localSheetId="23">'PE - Real Gain Loss'!$B$2:$K$43</definedName>
    <definedName name="_xlnm.Print_Area" localSheetId="24">'PE - Retenciones'!$B$2:$K$42</definedName>
    <definedName name="_xlnm.Print_Area" localSheetId="20">'Reducciones de Capital'!$B$2:$K$58</definedName>
    <definedName name="_xlnm.Print_Area" localSheetId="15">'Saldos Cash'!$A$10:$M$105,'Saldos Cash'!$A$108:$N$143</definedName>
    <definedName name="_xlnm.Print_Area" localSheetId="2">'Sumaria Ingresos'!$B$3:$G$17</definedName>
    <definedName name="_xlnm.Print_Area" localSheetId="27">Swap!$B$2:$J$40</definedName>
    <definedName name="_xlnm.Print_Titles" localSheetId="6">'Cap Gain Summary S-I'!$2:$5</definedName>
    <definedName name="_xlnm.Print_Titles" localSheetId="7">'Cap Gain Summary S-II'!$2:$5</definedName>
    <definedName name="_xlnm.Print_Titles" localSheetId="10">'CG OFD Cap IV SII &amp; Cap IX'!$2:$5</definedName>
    <definedName name="_xlnm.Print_Titles" localSheetId="9">'CGDet Cap IV SI &amp; SII - NO OFD '!$1:$5</definedName>
    <definedName name="_xlnm.Print_Titles" localSheetId="21">'Dividendos Extranjero'!$1:$6</definedName>
    <definedName name="_xlnm.Print_Titles" localSheetId="22">'Dividendos Extranjeros - Ret'!$1:$6</definedName>
    <definedName name="_xlnm.Print_Titles" localSheetId="19">'Dividendos Nacionales'!$2:$5</definedName>
    <definedName name="_xlnm.Print_Titles" localSheetId="28">FWD!$1:$6</definedName>
    <definedName name="_xlnm.Print_Titles" localSheetId="13">'Ganancias Cambiarias - Contrato'!$1:$7</definedName>
    <definedName name="_xlnm.Print_Titles" localSheetId="12">'Intereses en Compra Venta Bonos'!$2:$6</definedName>
    <definedName name="_xlnm.Print_Titles" localSheetId="11">'Intereses percibidos'!$2:$6</definedName>
    <definedName name="_xlnm.Print_Titles" localSheetId="16">'Inventario de bonos'!$2:$4</definedName>
    <definedName name="_xlnm.Print_Titles" localSheetId="8">'OFD Summary'!$2:$5</definedName>
    <definedName name="_xlnm.Print_Titles" localSheetId="26">'Otras Retenciones'!$2:$6</definedName>
    <definedName name="_xlnm.Print_Titles" localSheetId="18">'Otros Ingresos'!$2:$5</definedName>
    <definedName name="_xlnm.Print_Titles" localSheetId="25">'PE - Inventario'!$2:$4</definedName>
    <definedName name="_xlnm.Print_Titles" localSheetId="23">'PE - Real Gain Loss'!$2:$5</definedName>
    <definedName name="_xlnm.Print_Titles" localSheetId="24">'PE - Retenciones'!$2:$7</definedName>
    <definedName name="_xlnm.Print_Titles" localSheetId="20">'Reducciones de Capital'!$2:$5</definedName>
    <definedName name="_xlnm.Print_Titles" localSheetId="15">'Saldos Cash'!$10:$12</definedName>
    <definedName name="_xlnm.Print_Titles" localSheetId="27">Swap!$1:$6</definedName>
    <definedName name="Private_Equity" localSheetId="30">'[1]PE - Real Gain Loss'!$O$3:$O$10</definedName>
    <definedName name="Private_Equity" localSheetId="24">'PE - Retenciones'!$O$4:$O$11</definedName>
    <definedName name="Private_Equity">'PE - Real Gain Loss'!$O$3:$O$10</definedName>
    <definedName name="Retenciones" localSheetId="30">'[1]Otras Retenciones'!$P$3:$P$9</definedName>
    <definedName name="Retenciones">'Otras Retenciones'!$P$3:$P$9</definedName>
    <definedName name="Write_Option" localSheetId="28">#REF!</definedName>
    <definedName name="Write_Option" localSheetId="30">#REF!</definedName>
    <definedName name="Write_Option" localSheetId="20">#REF!</definedName>
    <definedName name="Write_Option" localSheetId="27">#REF!</definedName>
    <definedName name="Write_Option">#REF!</definedName>
  </definedNames>
  <calcPr calcId="191029"/>
  <pivotCaches>
    <pivotCache cacheId="116" r:id="rId38"/>
    <pivotCache cacheId="117" r:id="rId39"/>
    <pivotCache cacheId="118" r:id="rId40"/>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K89" i="52" l="1"/>
  <c r="M89" i="52"/>
  <c r="O89" i="52"/>
  <c r="N89" i="52"/>
  <c r="K236" i="52"/>
  <c r="M236" i="52"/>
  <c r="O236" i="52"/>
  <c r="N236" i="52"/>
  <c r="K235" i="52"/>
  <c r="M235" i="52"/>
  <c r="O235" i="52"/>
  <c r="N235" i="52"/>
  <c r="H241" i="52"/>
  <c r="N22" i="18"/>
  <c r="N20" i="18"/>
  <c r="P235" i="52" l="1"/>
  <c r="I86" i="52"/>
  <c r="I232" i="52"/>
  <c r="J38" i="5" l="1"/>
  <c r="H38" i="5"/>
  <c r="I38" i="5" s="1"/>
  <c r="J37" i="5"/>
  <c r="H37" i="5"/>
  <c r="I37" i="5" s="1"/>
  <c r="K37" i="5" s="1"/>
  <c r="B14" i="11"/>
  <c r="B13" i="11"/>
  <c r="B12" i="11"/>
  <c r="H387" i="52"/>
  <c r="H176" i="52"/>
  <c r="N153" i="52"/>
  <c r="K153" i="52"/>
  <c r="K152" i="52"/>
  <c r="O152" i="52"/>
  <c r="O153" i="52" s="1"/>
  <c r="N152" i="52"/>
  <c r="H160" i="52"/>
  <c r="P152" i="52" s="1"/>
  <c r="I240" i="52"/>
  <c r="I239" i="52"/>
  <c r="I238" i="52"/>
  <c r="H242" i="52"/>
  <c r="P236" i="52" s="1"/>
  <c r="I56" i="52"/>
  <c r="K59" i="52"/>
  <c r="K58" i="52"/>
  <c r="K57" i="52"/>
  <c r="O57" i="52"/>
  <c r="O58" i="52" s="1"/>
  <c r="O59" i="52" s="1"/>
  <c r="N59" i="52"/>
  <c r="N58" i="52"/>
  <c r="N57" i="52"/>
  <c r="M59" i="52"/>
  <c r="I57" i="52" s="1"/>
  <c r="H61" i="52"/>
  <c r="P57" i="52" s="1"/>
  <c r="H381" i="52"/>
  <c r="K350" i="52"/>
  <c r="M350" i="52"/>
  <c r="O350" i="52"/>
  <c r="N350" i="52"/>
  <c r="H351" i="52"/>
  <c r="H363" i="52"/>
  <c r="H97" i="52"/>
  <c r="P89" i="52" s="1"/>
  <c r="K256" i="52"/>
  <c r="K255" i="52"/>
  <c r="K254" i="52"/>
  <c r="K253" i="52"/>
  <c r="K252" i="52"/>
  <c r="N256" i="52"/>
  <c r="N255" i="52"/>
  <c r="N254" i="52"/>
  <c r="N253" i="52"/>
  <c r="M256" i="52"/>
  <c r="O252" i="52"/>
  <c r="O253" i="52" s="1"/>
  <c r="O254" i="52" s="1"/>
  <c r="O255" i="52" s="1"/>
  <c r="O256" i="52" s="1"/>
  <c r="N252" i="52"/>
  <c r="H260" i="52"/>
  <c r="P255" i="52" s="1"/>
  <c r="H385" i="52"/>
  <c r="I375" i="52"/>
  <c r="K374" i="52"/>
  <c r="M374" i="52"/>
  <c r="O374" i="52"/>
  <c r="N374" i="52"/>
  <c r="H376" i="52"/>
  <c r="H49" i="52"/>
  <c r="K137" i="52"/>
  <c r="M137" i="52"/>
  <c r="O137" i="52"/>
  <c r="N137" i="52"/>
  <c r="H143" i="52"/>
  <c r="H357" i="52"/>
  <c r="K203" i="52"/>
  <c r="K202" i="52"/>
  <c r="O202" i="52"/>
  <c r="O203" i="52" s="1"/>
  <c r="N203" i="52"/>
  <c r="N202" i="52"/>
  <c r="M203" i="52"/>
  <c r="H209" i="52"/>
  <c r="P202" i="52" s="1"/>
  <c r="H383" i="52"/>
  <c r="H368" i="52"/>
  <c r="I208" i="52"/>
  <c r="I85" i="52"/>
  <c r="I84" i="52"/>
  <c r="I83" i="52"/>
  <c r="I96" i="52"/>
  <c r="H96" i="52"/>
  <c r="H36" i="52"/>
  <c r="I258" i="52"/>
  <c r="I250" i="52"/>
  <c r="K251" i="52"/>
  <c r="K250" i="52"/>
  <c r="K249" i="52"/>
  <c r="N251" i="52"/>
  <c r="N250" i="52"/>
  <c r="M251" i="52"/>
  <c r="I251" i="52" s="1"/>
  <c r="O249" i="52"/>
  <c r="O250" i="52" s="1"/>
  <c r="O251" i="52" s="1"/>
  <c r="N249" i="52"/>
  <c r="H259" i="52"/>
  <c r="P249" i="52" s="1"/>
  <c r="H380" i="52"/>
  <c r="H175" i="52"/>
  <c r="H159" i="52"/>
  <c r="K349" i="52"/>
  <c r="M349" i="52"/>
  <c r="O349" i="52"/>
  <c r="N349" i="52"/>
  <c r="H350" i="52"/>
  <c r="K360" i="52"/>
  <c r="M360" i="52"/>
  <c r="O360" i="52"/>
  <c r="N360" i="52"/>
  <c r="H362" i="52"/>
  <c r="H375" i="52"/>
  <c r="H113" i="52"/>
  <c r="K44" i="52"/>
  <c r="M44" i="52"/>
  <c r="O44" i="52"/>
  <c r="N44" i="52"/>
  <c r="H48" i="52"/>
  <c r="I47" i="52"/>
  <c r="I59" i="52"/>
  <c r="K56" i="52"/>
  <c r="M56" i="52"/>
  <c r="O56" i="52"/>
  <c r="N56" i="52"/>
  <c r="N63" i="52"/>
  <c r="H60" i="52"/>
  <c r="P56" i="52" s="1"/>
  <c r="I142" i="52"/>
  <c r="H142" i="52"/>
  <c r="K187" i="52"/>
  <c r="M187" i="52"/>
  <c r="O187" i="52"/>
  <c r="N187" i="52"/>
  <c r="H190" i="52"/>
  <c r="I130" i="52"/>
  <c r="H130" i="52"/>
  <c r="K355" i="52"/>
  <c r="I353" i="52"/>
  <c r="M355" i="52"/>
  <c r="O355" i="52"/>
  <c r="N355" i="52"/>
  <c r="H356" i="52"/>
  <c r="H208" i="52"/>
  <c r="K370" i="52"/>
  <c r="M370" i="52"/>
  <c r="O370" i="52"/>
  <c r="N370" i="52"/>
  <c r="H371" i="52"/>
  <c r="J36" i="5"/>
  <c r="H36" i="5"/>
  <c r="I36" i="5" s="1"/>
  <c r="J35" i="5"/>
  <c r="H35" i="5"/>
  <c r="I35" i="5" s="1"/>
  <c r="I27" i="8"/>
  <c r="H26" i="8"/>
  <c r="H25" i="8"/>
  <c r="I26" i="8"/>
  <c r="I25" i="8"/>
  <c r="M22" i="18"/>
  <c r="M20" i="18"/>
  <c r="J31" i="5"/>
  <c r="H31" i="5"/>
  <c r="I31" i="5" s="1"/>
  <c r="J30" i="5"/>
  <c r="H30" i="5"/>
  <c r="I30" i="5" s="1"/>
  <c r="J29" i="5"/>
  <c r="H29" i="5"/>
  <c r="I29" i="5" s="1"/>
  <c r="K29" i="5" s="1"/>
  <c r="J49" i="5"/>
  <c r="H49" i="5"/>
  <c r="I49" i="5" s="1"/>
  <c r="K49" i="5" s="1"/>
  <c r="L22" i="18"/>
  <c r="L20" i="18"/>
  <c r="P153" i="52" l="1"/>
  <c r="K35" i="5"/>
  <c r="K38" i="5"/>
  <c r="K30" i="5"/>
  <c r="K36" i="5"/>
  <c r="P350" i="52"/>
  <c r="P58" i="52"/>
  <c r="P59" i="52"/>
  <c r="P374" i="52"/>
  <c r="P137" i="52"/>
  <c r="P256" i="52"/>
  <c r="P253" i="52"/>
  <c r="P252" i="52"/>
  <c r="P254" i="52"/>
  <c r="P203" i="52"/>
  <c r="I374" i="52"/>
  <c r="P250" i="52"/>
  <c r="P251" i="52"/>
  <c r="P349" i="52"/>
  <c r="P360" i="52"/>
  <c r="P44" i="52"/>
  <c r="P187" i="52"/>
  <c r="P355" i="52"/>
  <c r="P370" i="52"/>
  <c r="K31" i="5"/>
  <c r="H34" i="5"/>
  <c r="I34" i="5" s="1"/>
  <c r="H33" i="5"/>
  <c r="I33" i="5" s="1"/>
  <c r="H32" i="5"/>
  <c r="I32" i="5" s="1"/>
  <c r="J34" i="5"/>
  <c r="J33" i="5"/>
  <c r="J32" i="5"/>
  <c r="K34" i="5" l="1"/>
  <c r="K32" i="5"/>
  <c r="K33" i="5"/>
  <c r="I23" i="35"/>
  <c r="I22" i="35"/>
  <c r="I21" i="35"/>
  <c r="I56" i="35"/>
  <c r="I55" i="35"/>
  <c r="I54" i="35"/>
  <c r="I53" i="35"/>
  <c r="I52" i="35"/>
  <c r="K22" i="18" l="1"/>
  <c r="J22" i="18"/>
  <c r="K20" i="18"/>
  <c r="J20" i="18"/>
  <c r="J28" i="5"/>
  <c r="H28" i="5"/>
  <c r="I28" i="5" s="1"/>
  <c r="J27" i="5"/>
  <c r="H27" i="5"/>
  <c r="I27" i="5" s="1"/>
  <c r="O84" i="52"/>
  <c r="O85" i="52" s="1"/>
  <c r="O86" i="52" s="1"/>
  <c r="O87" i="52" s="1"/>
  <c r="O88" i="52" s="1"/>
  <c r="K88" i="52"/>
  <c r="K87" i="52"/>
  <c r="K86" i="52"/>
  <c r="K85" i="52"/>
  <c r="K84" i="52"/>
  <c r="N88" i="52"/>
  <c r="N87" i="52"/>
  <c r="N86" i="52"/>
  <c r="N85" i="52"/>
  <c r="N84" i="52"/>
  <c r="N99" i="52"/>
  <c r="H95" i="52"/>
  <c r="P88" i="52" s="1"/>
  <c r="O28" i="52"/>
  <c r="O29" i="52" s="1"/>
  <c r="K29" i="52"/>
  <c r="K28" i="52"/>
  <c r="N29" i="52"/>
  <c r="N28" i="52"/>
  <c r="M29" i="52"/>
  <c r="I29" i="52" s="1"/>
  <c r="H35" i="52"/>
  <c r="P28" i="52" s="1"/>
  <c r="H258" i="52"/>
  <c r="H262" i="52"/>
  <c r="H379" i="52"/>
  <c r="H174" i="52"/>
  <c r="K151" i="52"/>
  <c r="O151" i="52"/>
  <c r="M151" i="52"/>
  <c r="N151" i="52"/>
  <c r="H158" i="52"/>
  <c r="K348" i="52"/>
  <c r="M348" i="52"/>
  <c r="O348" i="52"/>
  <c r="N348" i="52"/>
  <c r="H349" i="52"/>
  <c r="I360" i="52"/>
  <c r="K359" i="52"/>
  <c r="M359" i="52"/>
  <c r="I359" i="52" s="1"/>
  <c r="O359" i="52"/>
  <c r="N359" i="52"/>
  <c r="H361" i="52"/>
  <c r="H374" i="52"/>
  <c r="L374" i="52" s="1"/>
  <c r="H112" i="52"/>
  <c r="H111" i="52"/>
  <c r="H240" i="52"/>
  <c r="H47" i="52"/>
  <c r="H59" i="52"/>
  <c r="I140" i="52"/>
  <c r="I139" i="52"/>
  <c r="I133" i="52"/>
  <c r="K136" i="52"/>
  <c r="K135" i="52"/>
  <c r="O135" i="52"/>
  <c r="O136" i="52" s="1"/>
  <c r="N136" i="52"/>
  <c r="N135" i="52"/>
  <c r="M136" i="52"/>
  <c r="I134" i="52" s="1"/>
  <c r="H141" i="52"/>
  <c r="P135" i="52" s="1"/>
  <c r="I173" i="52"/>
  <c r="H173" i="52"/>
  <c r="I172" i="52"/>
  <c r="H172" i="52"/>
  <c r="H189" i="52"/>
  <c r="K121" i="52"/>
  <c r="O121" i="52"/>
  <c r="N121" i="52"/>
  <c r="M121" i="52"/>
  <c r="I128" i="52"/>
  <c r="H129" i="52"/>
  <c r="K354" i="52"/>
  <c r="K353" i="52"/>
  <c r="O353" i="52"/>
  <c r="O354" i="52" s="1"/>
  <c r="N354" i="52"/>
  <c r="N353" i="52"/>
  <c r="M354" i="52"/>
  <c r="I354" i="52" s="1"/>
  <c r="H355" i="52"/>
  <c r="P353" i="52" s="1"/>
  <c r="K201" i="52"/>
  <c r="M201" i="52"/>
  <c r="O201" i="52"/>
  <c r="N201" i="52"/>
  <c r="H207" i="52"/>
  <c r="H370" i="52"/>
  <c r="L370" i="52" s="1"/>
  <c r="I309" i="52"/>
  <c r="I308" i="52"/>
  <c r="O308" i="52"/>
  <c r="O309" i="52" s="1"/>
  <c r="O310" i="52" s="1"/>
  <c r="K310" i="52"/>
  <c r="K309" i="52"/>
  <c r="K308" i="52"/>
  <c r="N310" i="52"/>
  <c r="N309" i="52"/>
  <c r="N308" i="52"/>
  <c r="H312" i="52"/>
  <c r="P308" i="52" s="1"/>
  <c r="K366" i="52"/>
  <c r="O366" i="52"/>
  <c r="N366" i="52"/>
  <c r="M366" i="52"/>
  <c r="H367" i="52"/>
  <c r="J26" i="5"/>
  <c r="H26" i="5"/>
  <c r="I26" i="5" s="1"/>
  <c r="J25" i="5"/>
  <c r="H25" i="5"/>
  <c r="I25" i="5" s="1"/>
  <c r="J24" i="5"/>
  <c r="H24" i="5"/>
  <c r="I24" i="5" s="1"/>
  <c r="I22" i="18"/>
  <c r="I20" i="18"/>
  <c r="K27" i="5" l="1"/>
  <c r="K28" i="5"/>
  <c r="K25" i="5"/>
  <c r="K24" i="5"/>
  <c r="K26" i="5"/>
  <c r="P85" i="52"/>
  <c r="P86" i="52"/>
  <c r="P87" i="52"/>
  <c r="P84" i="52"/>
  <c r="P29" i="52"/>
  <c r="P348" i="52"/>
  <c r="P151" i="52"/>
  <c r="P359" i="52"/>
  <c r="P136" i="52"/>
  <c r="P366" i="52"/>
  <c r="P121" i="52"/>
  <c r="P354" i="52"/>
  <c r="P309" i="52"/>
  <c r="P310" i="52"/>
  <c r="P201" i="52"/>
  <c r="J56" i="5"/>
  <c r="H56" i="5"/>
  <c r="I56" i="5" s="1"/>
  <c r="J55" i="5"/>
  <c r="H55" i="5"/>
  <c r="I55" i="5" s="1"/>
  <c r="J54" i="5"/>
  <c r="H54" i="5"/>
  <c r="I54" i="5" s="1"/>
  <c r="J53" i="5"/>
  <c r="H53" i="5"/>
  <c r="I53" i="5" s="1"/>
  <c r="J52" i="5"/>
  <c r="H52" i="5"/>
  <c r="I52" i="5" s="1"/>
  <c r="J51" i="5"/>
  <c r="H51" i="5"/>
  <c r="I51" i="5" s="1"/>
  <c r="J50" i="5"/>
  <c r="H50" i="5"/>
  <c r="I50" i="5" s="1"/>
  <c r="J48" i="5"/>
  <c r="H48" i="5"/>
  <c r="I48" i="5" s="1"/>
  <c r="J47" i="5"/>
  <c r="H47" i="5"/>
  <c r="I47" i="5" s="1"/>
  <c r="J46" i="5"/>
  <c r="H46" i="5"/>
  <c r="I46" i="5" s="1"/>
  <c r="J45" i="5"/>
  <c r="H45" i="5"/>
  <c r="I45" i="5" s="1"/>
  <c r="J44" i="5"/>
  <c r="H44" i="5"/>
  <c r="I44" i="5" s="1"/>
  <c r="J43" i="5"/>
  <c r="H43" i="5"/>
  <c r="I43" i="5" s="1"/>
  <c r="J42" i="5"/>
  <c r="H42" i="5"/>
  <c r="I42" i="5" s="1"/>
  <c r="J41" i="5"/>
  <c r="H41" i="5"/>
  <c r="I41" i="5" s="1"/>
  <c r="J40" i="5"/>
  <c r="H40" i="5"/>
  <c r="I40" i="5" s="1"/>
  <c r="J39" i="5"/>
  <c r="H39" i="5"/>
  <c r="I39" i="5" s="1"/>
  <c r="J23" i="5"/>
  <c r="H23" i="5"/>
  <c r="I23" i="5" s="1"/>
  <c r="J22" i="5"/>
  <c r="H22" i="5"/>
  <c r="I22" i="5" s="1"/>
  <c r="J21" i="5"/>
  <c r="H21" i="5"/>
  <c r="I21" i="5" s="1"/>
  <c r="J20" i="5"/>
  <c r="H20" i="5"/>
  <c r="I20" i="5" s="1"/>
  <c r="J19" i="5"/>
  <c r="H19" i="5"/>
  <c r="I19" i="5" s="1"/>
  <c r="J18" i="5"/>
  <c r="H18" i="5"/>
  <c r="I18" i="5" s="1"/>
  <c r="J17" i="5"/>
  <c r="H17" i="5"/>
  <c r="I17" i="5" s="1"/>
  <c r="J16" i="5"/>
  <c r="H16" i="5"/>
  <c r="I16" i="5" s="1"/>
  <c r="J15" i="5"/>
  <c r="H15" i="5"/>
  <c r="I15" i="5" s="1"/>
  <c r="J14" i="5"/>
  <c r="H14" i="5"/>
  <c r="I14" i="5" s="1"/>
  <c r="J13" i="5"/>
  <c r="H13" i="5"/>
  <c r="I13" i="5" s="1"/>
  <c r="H360" i="52"/>
  <c r="H239" i="52"/>
  <c r="H140" i="52"/>
  <c r="H128" i="52"/>
  <c r="H354" i="52"/>
  <c r="H366" i="52"/>
  <c r="L366" i="52" s="1"/>
  <c r="H238" i="52"/>
  <c r="H359" i="52"/>
  <c r="H139" i="52"/>
  <c r="H353" i="52"/>
  <c r="L353" i="52" s="1"/>
  <c r="O83" i="52"/>
  <c r="K83" i="52"/>
  <c r="N83" i="52"/>
  <c r="M83" i="52"/>
  <c r="I82" i="52" s="1"/>
  <c r="H94" i="52"/>
  <c r="I93" i="52"/>
  <c r="H93" i="52"/>
  <c r="I26" i="52"/>
  <c r="O26" i="52"/>
  <c r="O27" i="52" s="1"/>
  <c r="K27" i="52"/>
  <c r="K26" i="52"/>
  <c r="N27" i="52"/>
  <c r="N26" i="52"/>
  <c r="M27" i="52"/>
  <c r="I28" i="52" s="1"/>
  <c r="I33" i="52"/>
  <c r="H34" i="52"/>
  <c r="P26" i="52" s="1"/>
  <c r="H33" i="52"/>
  <c r="I246" i="52"/>
  <c r="I245" i="52"/>
  <c r="O246" i="52"/>
  <c r="O247" i="52" s="1"/>
  <c r="O248" i="52" s="1"/>
  <c r="K248" i="52"/>
  <c r="K247" i="52"/>
  <c r="K246" i="52"/>
  <c r="N248" i="52"/>
  <c r="N247" i="52"/>
  <c r="N246" i="52"/>
  <c r="M248" i="52"/>
  <c r="I249" i="52" s="1"/>
  <c r="H257" i="52"/>
  <c r="P247" i="52" s="1"/>
  <c r="I256" i="52"/>
  <c r="H256" i="52"/>
  <c r="L256" i="52" s="1"/>
  <c r="O150" i="52"/>
  <c r="K150" i="52"/>
  <c r="N150" i="52"/>
  <c r="M150" i="52"/>
  <c r="H157" i="52"/>
  <c r="K347" i="52"/>
  <c r="M347" i="52"/>
  <c r="I347" i="52" s="1"/>
  <c r="O347" i="52"/>
  <c r="N347" i="52"/>
  <c r="H348" i="52"/>
  <c r="H347" i="52"/>
  <c r="L350" i="52" s="1"/>
  <c r="O343" i="52"/>
  <c r="K343" i="52"/>
  <c r="M343" i="52"/>
  <c r="N343" i="52"/>
  <c r="H344" i="52"/>
  <c r="H343" i="52"/>
  <c r="O43" i="52"/>
  <c r="K43" i="52"/>
  <c r="N43" i="52"/>
  <c r="M43" i="52"/>
  <c r="I39" i="52" s="1"/>
  <c r="I45" i="52"/>
  <c r="H46" i="52"/>
  <c r="H45" i="52"/>
  <c r="I53" i="52"/>
  <c r="O54" i="52"/>
  <c r="O55" i="52" s="1"/>
  <c r="K55" i="52"/>
  <c r="K54" i="52"/>
  <c r="N55" i="52"/>
  <c r="N54" i="52"/>
  <c r="M55" i="52"/>
  <c r="I54" i="52" s="1"/>
  <c r="H58" i="52"/>
  <c r="P54" i="52" s="1"/>
  <c r="H57" i="52"/>
  <c r="L59" i="52" s="1"/>
  <c r="O185" i="52"/>
  <c r="O186" i="52" s="1"/>
  <c r="K186" i="52"/>
  <c r="K185" i="52"/>
  <c r="M186" i="52"/>
  <c r="I182" i="52" s="1"/>
  <c r="N186" i="52"/>
  <c r="N185" i="52"/>
  <c r="H188" i="52"/>
  <c r="P185" i="52" s="1"/>
  <c r="O200" i="52"/>
  <c r="K200" i="52"/>
  <c r="N200" i="52"/>
  <c r="M200" i="52"/>
  <c r="I198" i="52" s="1"/>
  <c r="I205" i="52"/>
  <c r="H206" i="52"/>
  <c r="H205" i="52"/>
  <c r="M307" i="52"/>
  <c r="O307" i="52"/>
  <c r="K307" i="52"/>
  <c r="N307" i="52"/>
  <c r="H311" i="52"/>
  <c r="P307" i="52" s="1"/>
  <c r="I267" i="52"/>
  <c r="I266" i="52"/>
  <c r="I265" i="52"/>
  <c r="O265" i="52"/>
  <c r="O266" i="52" s="1"/>
  <c r="O267" i="52" s="1"/>
  <c r="O268" i="52" s="1"/>
  <c r="K268" i="52"/>
  <c r="K267" i="52"/>
  <c r="K266" i="52"/>
  <c r="K265" i="52"/>
  <c r="N268" i="52"/>
  <c r="N267" i="52"/>
  <c r="N266" i="52"/>
  <c r="N265" i="52"/>
  <c r="H269" i="52"/>
  <c r="P268" i="52" s="1"/>
  <c r="H22" i="18"/>
  <c r="G22" i="18"/>
  <c r="H20" i="18"/>
  <c r="G20" i="18"/>
  <c r="L348" i="52" l="1"/>
  <c r="L349" i="52"/>
  <c r="L359" i="52"/>
  <c r="L360" i="52"/>
  <c r="L354" i="52"/>
  <c r="L355" i="52"/>
  <c r="K14" i="5"/>
  <c r="K16" i="5"/>
  <c r="K18" i="5"/>
  <c r="K20" i="5"/>
  <c r="K22" i="5"/>
  <c r="K41" i="5"/>
  <c r="K43" i="5"/>
  <c r="K45" i="5"/>
  <c r="K52" i="5"/>
  <c r="K54" i="5"/>
  <c r="K50" i="5"/>
  <c r="K56" i="5"/>
  <c r="K13" i="5"/>
  <c r="K15" i="5"/>
  <c r="K17" i="5"/>
  <c r="K19" i="5"/>
  <c r="K21" i="5"/>
  <c r="K23" i="5"/>
  <c r="K40" i="5"/>
  <c r="K42" i="5"/>
  <c r="K44" i="5"/>
  <c r="K46" i="5"/>
  <c r="K48" i="5"/>
  <c r="K51" i="5"/>
  <c r="K53" i="5"/>
  <c r="K55" i="5"/>
  <c r="K47" i="5"/>
  <c r="K39" i="5"/>
  <c r="P83" i="52"/>
  <c r="P27" i="52"/>
  <c r="L343" i="52"/>
  <c r="P246" i="52"/>
  <c r="P248" i="52"/>
  <c r="P347" i="52"/>
  <c r="P343" i="52"/>
  <c r="P150" i="52"/>
  <c r="L347" i="52"/>
  <c r="P43" i="52"/>
  <c r="P186" i="52"/>
  <c r="P55" i="52"/>
  <c r="P200" i="52"/>
  <c r="P265" i="52"/>
  <c r="P266" i="52"/>
  <c r="P267" i="52"/>
  <c r="K220" i="52"/>
  <c r="K219" i="52"/>
  <c r="O219" i="52"/>
  <c r="O220" i="52" s="1"/>
  <c r="N220" i="52"/>
  <c r="N219" i="52"/>
  <c r="H222" i="52"/>
  <c r="P220" i="52" s="1"/>
  <c r="O149" i="52"/>
  <c r="N149" i="52"/>
  <c r="M149" i="52"/>
  <c r="I145" i="52" s="1"/>
  <c r="H156" i="52"/>
  <c r="I323" i="52"/>
  <c r="I322" i="52"/>
  <c r="I321" i="52"/>
  <c r="I319" i="52"/>
  <c r="I318" i="52"/>
  <c r="I317" i="52"/>
  <c r="O316" i="52"/>
  <c r="O317" i="52" s="1"/>
  <c r="O318" i="52" s="1"/>
  <c r="O319" i="52" s="1"/>
  <c r="O320" i="52" s="1"/>
  <c r="O321" i="52" s="1"/>
  <c r="K321" i="52"/>
  <c r="K320" i="52"/>
  <c r="K319" i="52"/>
  <c r="K318" i="52"/>
  <c r="K317" i="52"/>
  <c r="K316" i="52"/>
  <c r="N321" i="52"/>
  <c r="N320" i="52"/>
  <c r="N319" i="52"/>
  <c r="N318" i="52"/>
  <c r="N317" i="52"/>
  <c r="N316" i="52"/>
  <c r="H324" i="52"/>
  <c r="P319" i="52" s="1"/>
  <c r="O331" i="52"/>
  <c r="O332" i="52" s="1"/>
  <c r="O333" i="52" s="1"/>
  <c r="O334" i="52" s="1"/>
  <c r="O335" i="52" s="1"/>
  <c r="O336" i="52" s="1"/>
  <c r="O337" i="52" s="1"/>
  <c r="O338" i="52" s="1"/>
  <c r="O339" i="52" s="1"/>
  <c r="K339" i="52"/>
  <c r="K338" i="52"/>
  <c r="K337" i="52"/>
  <c r="K336" i="52"/>
  <c r="K335" i="52"/>
  <c r="K334" i="52"/>
  <c r="K333" i="52"/>
  <c r="K332" i="52"/>
  <c r="K331" i="52"/>
  <c r="N339" i="52"/>
  <c r="N338" i="52"/>
  <c r="N337" i="52"/>
  <c r="N336" i="52"/>
  <c r="N335" i="52"/>
  <c r="N334" i="52"/>
  <c r="N333" i="52"/>
  <c r="N332" i="52"/>
  <c r="N331" i="52"/>
  <c r="H341" i="52"/>
  <c r="P339" i="52" s="1"/>
  <c r="O105" i="52"/>
  <c r="O106" i="52" s="1"/>
  <c r="O107" i="52" s="1"/>
  <c r="O108" i="52" s="1"/>
  <c r="K108" i="52"/>
  <c r="K107" i="52"/>
  <c r="K106" i="52"/>
  <c r="K105" i="52"/>
  <c r="N108" i="52"/>
  <c r="N107" i="52"/>
  <c r="N106" i="52"/>
  <c r="N105" i="52"/>
  <c r="I103" i="52"/>
  <c r="H110" i="52"/>
  <c r="P108" i="52" s="1"/>
  <c r="I179" i="52"/>
  <c r="I178" i="52"/>
  <c r="O182" i="52"/>
  <c r="O183" i="52" s="1"/>
  <c r="O184" i="52" s="1"/>
  <c r="K184" i="52"/>
  <c r="K183" i="52"/>
  <c r="K182" i="52"/>
  <c r="N184" i="52"/>
  <c r="N183" i="52"/>
  <c r="N182" i="52"/>
  <c r="M184" i="52"/>
  <c r="I180" i="52" s="1"/>
  <c r="H187" i="52"/>
  <c r="P183" i="52" s="1"/>
  <c r="I121" i="52"/>
  <c r="I120" i="52"/>
  <c r="O118" i="52"/>
  <c r="O119" i="52" s="1"/>
  <c r="O120" i="52" s="1"/>
  <c r="K120" i="52"/>
  <c r="K119" i="52"/>
  <c r="K118" i="52"/>
  <c r="N120" i="52"/>
  <c r="N119" i="52"/>
  <c r="N118" i="52"/>
  <c r="M120" i="52"/>
  <c r="I122" i="52" s="1"/>
  <c r="H127" i="52"/>
  <c r="P119" i="52" s="1"/>
  <c r="I305" i="52"/>
  <c r="O305" i="52"/>
  <c r="O306" i="52" s="1"/>
  <c r="K306" i="52"/>
  <c r="K305" i="52"/>
  <c r="N306" i="52"/>
  <c r="N305" i="52"/>
  <c r="M306" i="52"/>
  <c r="I306" i="52" s="1"/>
  <c r="H310" i="52"/>
  <c r="P305" i="52" s="1"/>
  <c r="I263" i="52"/>
  <c r="I262" i="52"/>
  <c r="K264" i="52"/>
  <c r="K263" i="52"/>
  <c r="K262" i="52"/>
  <c r="N264" i="52"/>
  <c r="M264" i="52"/>
  <c r="I264" i="52" s="1"/>
  <c r="O262" i="52"/>
  <c r="O263" i="52" s="1"/>
  <c r="O264" i="52" s="1"/>
  <c r="N263" i="52"/>
  <c r="N262" i="52"/>
  <c r="H268" i="52"/>
  <c r="P263" i="52" s="1"/>
  <c r="O275" i="52"/>
  <c r="O276" i="52" s="1"/>
  <c r="O277" i="52" s="1"/>
  <c r="O278" i="52" s="1"/>
  <c r="N278" i="52"/>
  <c r="N277" i="52"/>
  <c r="N276" i="52"/>
  <c r="N275" i="52"/>
  <c r="K278" i="52"/>
  <c r="K277" i="52"/>
  <c r="K276" i="52"/>
  <c r="K275" i="52"/>
  <c r="H282" i="52"/>
  <c r="P278" i="52" s="1"/>
  <c r="I295" i="52"/>
  <c r="I294" i="52"/>
  <c r="I293" i="52"/>
  <c r="I291" i="52"/>
  <c r="I289" i="52"/>
  <c r="O289" i="52"/>
  <c r="O290" i="52" s="1"/>
  <c r="O291" i="52" s="1"/>
  <c r="O292" i="52" s="1"/>
  <c r="O293" i="52" s="1"/>
  <c r="N293" i="52"/>
  <c r="N292" i="52"/>
  <c r="N291" i="52"/>
  <c r="N290" i="52"/>
  <c r="N289" i="52"/>
  <c r="K293" i="52"/>
  <c r="K292" i="52"/>
  <c r="K291" i="52"/>
  <c r="K290" i="52"/>
  <c r="K289" i="52"/>
  <c r="H296" i="52"/>
  <c r="P293" i="52" s="1"/>
  <c r="I340" i="52"/>
  <c r="H340" i="52"/>
  <c r="L339" i="52" s="1"/>
  <c r="I339" i="52"/>
  <c r="H339" i="52"/>
  <c r="L338" i="52" s="1"/>
  <c r="I338" i="52"/>
  <c r="H338" i="52"/>
  <c r="L337" i="52" s="1"/>
  <c r="I337" i="52"/>
  <c r="H337" i="52"/>
  <c r="L336" i="52" s="1"/>
  <c r="I336" i="52"/>
  <c r="H336" i="52"/>
  <c r="L335" i="52" s="1"/>
  <c r="H335" i="52"/>
  <c r="P330" i="52" s="1"/>
  <c r="I334" i="52"/>
  <c r="H334" i="52"/>
  <c r="L334" i="52" s="1"/>
  <c r="I333" i="52"/>
  <c r="H333" i="52"/>
  <c r="L333" i="52" s="1"/>
  <c r="I332" i="52"/>
  <c r="H332" i="52"/>
  <c r="L332" i="52" s="1"/>
  <c r="H331" i="52"/>
  <c r="O330" i="52"/>
  <c r="N330" i="52"/>
  <c r="K330" i="52"/>
  <c r="I330" i="52"/>
  <c r="H330" i="52"/>
  <c r="L330" i="52" s="1"/>
  <c r="H328" i="52"/>
  <c r="I327" i="52"/>
  <c r="H327" i="52"/>
  <c r="H323" i="52"/>
  <c r="L321" i="52" s="1"/>
  <c r="H322" i="52"/>
  <c r="L320" i="52" s="1"/>
  <c r="H321" i="52"/>
  <c r="L319" i="52" s="1"/>
  <c r="H320" i="52"/>
  <c r="P315" i="52" s="1"/>
  <c r="H319" i="52"/>
  <c r="L318" i="52" s="1"/>
  <c r="H318" i="52"/>
  <c r="L317" i="52" s="1"/>
  <c r="H317" i="52"/>
  <c r="L315" i="52" s="1"/>
  <c r="I316" i="52"/>
  <c r="H316" i="52"/>
  <c r="L314" i="52" s="1"/>
  <c r="O315" i="52"/>
  <c r="N315" i="52"/>
  <c r="K315" i="52"/>
  <c r="H315" i="52"/>
  <c r="O314" i="52"/>
  <c r="N314" i="52"/>
  <c r="K314" i="52"/>
  <c r="I314" i="52"/>
  <c r="H314" i="52"/>
  <c r="H309" i="52"/>
  <c r="L310" i="52" s="1"/>
  <c r="H308" i="52"/>
  <c r="L309" i="52" s="1"/>
  <c r="H307" i="52"/>
  <c r="P304" i="52" s="1"/>
  <c r="H306" i="52"/>
  <c r="H305" i="52"/>
  <c r="L304" i="52" s="1"/>
  <c r="O304" i="52"/>
  <c r="N304" i="52"/>
  <c r="K304" i="52"/>
  <c r="I304" i="52"/>
  <c r="H304" i="52"/>
  <c r="L303" i="52" s="1"/>
  <c r="O303" i="52"/>
  <c r="N303" i="52"/>
  <c r="K303" i="52"/>
  <c r="I303" i="52"/>
  <c r="H303" i="52"/>
  <c r="L302" i="52" s="1"/>
  <c r="O302" i="52"/>
  <c r="N302" i="52"/>
  <c r="K302" i="52"/>
  <c r="I302" i="52"/>
  <c r="H302" i="52"/>
  <c r="L301" i="52" s="1"/>
  <c r="O301" i="52"/>
  <c r="N301" i="52"/>
  <c r="K301" i="52"/>
  <c r="I301" i="52"/>
  <c r="H301" i="52"/>
  <c r="L300" i="52" s="1"/>
  <c r="O300" i="52"/>
  <c r="N300" i="52"/>
  <c r="K300" i="52"/>
  <c r="H300" i="52"/>
  <c r="O299" i="52"/>
  <c r="N299" i="52"/>
  <c r="K299" i="52"/>
  <c r="I299" i="52"/>
  <c r="H299" i="52"/>
  <c r="L299" i="52" s="1"/>
  <c r="H295" i="52"/>
  <c r="L293" i="52" s="1"/>
  <c r="H294" i="52"/>
  <c r="L292" i="52" s="1"/>
  <c r="H293" i="52"/>
  <c r="L291" i="52" s="1"/>
  <c r="H292" i="52"/>
  <c r="P288" i="52" s="1"/>
  <c r="H291" i="52"/>
  <c r="L290" i="52" s="1"/>
  <c r="H290" i="52"/>
  <c r="P285" i="52" s="1"/>
  <c r="H289" i="52"/>
  <c r="L288" i="52" s="1"/>
  <c r="O288" i="52"/>
  <c r="N288" i="52"/>
  <c r="K288" i="52"/>
  <c r="H288" i="52"/>
  <c r="O287" i="52"/>
  <c r="N287" i="52"/>
  <c r="K287" i="52"/>
  <c r="H287" i="52"/>
  <c r="O286" i="52"/>
  <c r="N286" i="52"/>
  <c r="K286" i="52"/>
  <c r="I286" i="52"/>
  <c r="H286" i="52"/>
  <c r="L286" i="52" s="1"/>
  <c r="O285" i="52"/>
  <c r="N285" i="52"/>
  <c r="K285" i="52"/>
  <c r="I285" i="52"/>
  <c r="H285" i="52"/>
  <c r="L285" i="52" s="1"/>
  <c r="I281" i="52"/>
  <c r="H281" i="52"/>
  <c r="L278" i="52" s="1"/>
  <c r="I280" i="52"/>
  <c r="H280" i="52"/>
  <c r="L277" i="52" s="1"/>
  <c r="I279" i="52"/>
  <c r="H279" i="52"/>
  <c r="L276" i="52" s="1"/>
  <c r="I278" i="52"/>
  <c r="H278" i="52"/>
  <c r="L275" i="52" s="1"/>
  <c r="H277" i="52"/>
  <c r="P272" i="52" s="1"/>
  <c r="I276" i="52"/>
  <c r="H276" i="52"/>
  <c r="L274" i="52" s="1"/>
  <c r="H275" i="52"/>
  <c r="O274" i="52"/>
  <c r="N274" i="52"/>
  <c r="K274" i="52"/>
  <c r="H274" i="52"/>
  <c r="O273" i="52"/>
  <c r="N273" i="52"/>
  <c r="K273" i="52"/>
  <c r="I273" i="52"/>
  <c r="H273" i="52"/>
  <c r="L273" i="52" s="1"/>
  <c r="O272" i="52"/>
  <c r="N272" i="52"/>
  <c r="K272" i="52"/>
  <c r="I272" i="52"/>
  <c r="H272" i="52"/>
  <c r="L272" i="52" s="1"/>
  <c r="H267" i="52"/>
  <c r="L268" i="52" s="1"/>
  <c r="H266" i="52"/>
  <c r="L267" i="52" s="1"/>
  <c r="H265" i="52"/>
  <c r="L266" i="52" s="1"/>
  <c r="H264" i="52"/>
  <c r="L265" i="52" s="1"/>
  <c r="H263" i="52"/>
  <c r="L263" i="52" s="1"/>
  <c r="L262" i="52"/>
  <c r="I255" i="52"/>
  <c r="H255" i="52"/>
  <c r="L255" i="52" s="1"/>
  <c r="I254" i="52"/>
  <c r="H254" i="52"/>
  <c r="L254" i="52" s="1"/>
  <c r="I253" i="52"/>
  <c r="H253" i="52"/>
  <c r="L253" i="52" s="1"/>
  <c r="H252" i="52"/>
  <c r="P245" i="52" s="1"/>
  <c r="H251" i="52"/>
  <c r="H250" i="52"/>
  <c r="L250" i="52" s="1"/>
  <c r="H249" i="52"/>
  <c r="H248" i="52"/>
  <c r="H247" i="52"/>
  <c r="H246" i="52"/>
  <c r="L247" i="52" s="1"/>
  <c r="O245" i="52"/>
  <c r="N245" i="52"/>
  <c r="K245" i="52"/>
  <c r="H245" i="52"/>
  <c r="H237" i="52"/>
  <c r="P234" i="52" s="1"/>
  <c r="H236" i="52"/>
  <c r="P233" i="52" s="1"/>
  <c r="H235" i="52"/>
  <c r="P232" i="52" s="1"/>
  <c r="O234" i="52"/>
  <c r="N234" i="52"/>
  <c r="K234" i="52"/>
  <c r="I234" i="52"/>
  <c r="H234" i="52"/>
  <c r="O233" i="52"/>
  <c r="N233" i="52"/>
  <c r="K233" i="52"/>
  <c r="I233" i="52"/>
  <c r="H233" i="52"/>
  <c r="O232" i="52"/>
  <c r="N232" i="52"/>
  <c r="K232" i="52"/>
  <c r="H232" i="52"/>
  <c r="H230" i="52"/>
  <c r="P227" i="52" s="1"/>
  <c r="I229" i="52"/>
  <c r="H229" i="52"/>
  <c r="L227" i="52" s="1"/>
  <c r="I228" i="52"/>
  <c r="H228" i="52"/>
  <c r="L226" i="52" s="1"/>
  <c r="O227" i="52"/>
  <c r="N227" i="52"/>
  <c r="K227" i="52"/>
  <c r="H227" i="52"/>
  <c r="O226" i="52"/>
  <c r="N226" i="52"/>
  <c r="K226" i="52"/>
  <c r="H226" i="52"/>
  <c r="O225" i="52"/>
  <c r="N225" i="52"/>
  <c r="K225" i="52"/>
  <c r="I225" i="52"/>
  <c r="H225" i="52"/>
  <c r="L225" i="52" s="1"/>
  <c r="H221" i="52"/>
  <c r="P218" i="52" s="1"/>
  <c r="I220" i="52"/>
  <c r="H220" i="52"/>
  <c r="L220" i="52" s="1"/>
  <c r="I219" i="52"/>
  <c r="H219" i="52"/>
  <c r="L219" i="52" s="1"/>
  <c r="O218" i="52"/>
  <c r="N218" i="52"/>
  <c r="K218" i="52"/>
  <c r="H218" i="52"/>
  <c r="L218" i="52" s="1"/>
  <c r="O217" i="52"/>
  <c r="N217" i="52"/>
  <c r="K217" i="52"/>
  <c r="I217" i="52"/>
  <c r="H217" i="52"/>
  <c r="L217" i="52" s="1"/>
  <c r="O216" i="52"/>
  <c r="N216" i="52"/>
  <c r="K216" i="52"/>
  <c r="I216" i="52"/>
  <c r="H216" i="52"/>
  <c r="L215" i="52" s="1"/>
  <c r="O215" i="52"/>
  <c r="N215" i="52"/>
  <c r="K215" i="52"/>
  <c r="I215" i="52"/>
  <c r="H215" i="52"/>
  <c r="L214" i="52" s="1"/>
  <c r="O214" i="52"/>
  <c r="N214" i="52"/>
  <c r="K214" i="52"/>
  <c r="I214" i="52"/>
  <c r="H214" i="52"/>
  <c r="L213" i="52" s="1"/>
  <c r="O213" i="52"/>
  <c r="N213" i="52"/>
  <c r="K213" i="52"/>
  <c r="I213" i="52"/>
  <c r="H213" i="52"/>
  <c r="L212" i="52" s="1"/>
  <c r="O212" i="52"/>
  <c r="N212" i="52"/>
  <c r="K212" i="52"/>
  <c r="H212" i="52"/>
  <c r="O211" i="52"/>
  <c r="N211" i="52"/>
  <c r="K211" i="52"/>
  <c r="I211" i="52"/>
  <c r="H211" i="52"/>
  <c r="L211" i="52" s="1"/>
  <c r="I204" i="52"/>
  <c r="H204" i="52"/>
  <c r="I203" i="52"/>
  <c r="H203" i="52"/>
  <c r="H202" i="52"/>
  <c r="P199" i="52" s="1"/>
  <c r="H201" i="52"/>
  <c r="P198" i="52" s="1"/>
  <c r="I200" i="52"/>
  <c r="H200" i="52"/>
  <c r="L203" i="52" s="1"/>
  <c r="O199" i="52"/>
  <c r="N199" i="52"/>
  <c r="K199" i="52"/>
  <c r="H199" i="52"/>
  <c r="P195" i="52" s="1"/>
  <c r="O198" i="52"/>
  <c r="N198" i="52"/>
  <c r="K198" i="52"/>
  <c r="H198" i="52"/>
  <c r="L202" i="52" s="1"/>
  <c r="O197" i="52"/>
  <c r="N197" i="52"/>
  <c r="K197" i="52"/>
  <c r="I197" i="52"/>
  <c r="H197" i="52"/>
  <c r="L196" i="52" s="1"/>
  <c r="O196" i="52"/>
  <c r="N196" i="52"/>
  <c r="K196" i="52"/>
  <c r="H196" i="52"/>
  <c r="O195" i="52"/>
  <c r="N195" i="52"/>
  <c r="K195" i="52"/>
  <c r="I195" i="52"/>
  <c r="H195" i="52"/>
  <c r="L195" i="52" s="1"/>
  <c r="O194" i="52"/>
  <c r="N194" i="52"/>
  <c r="K194" i="52"/>
  <c r="I194" i="52"/>
  <c r="H194" i="52"/>
  <c r="L194" i="52" s="1"/>
  <c r="I186" i="52"/>
  <c r="H186" i="52"/>
  <c r="H185" i="52"/>
  <c r="P181" i="52" s="1"/>
  <c r="H184" i="52"/>
  <c r="P180" i="52" s="1"/>
  <c r="H183" i="52"/>
  <c r="P179" i="52" s="1"/>
  <c r="H182" i="52"/>
  <c r="O181" i="52"/>
  <c r="N181" i="52"/>
  <c r="K181" i="52"/>
  <c r="H181" i="52"/>
  <c r="P178" i="52" s="1"/>
  <c r="O180" i="52"/>
  <c r="N180" i="52"/>
  <c r="K180" i="52"/>
  <c r="H180" i="52"/>
  <c r="L185" i="52" s="1"/>
  <c r="O179" i="52"/>
  <c r="N179" i="52"/>
  <c r="K179" i="52"/>
  <c r="H179" i="52"/>
  <c r="L183" i="52" s="1"/>
  <c r="O178" i="52"/>
  <c r="N178" i="52"/>
  <c r="K178" i="52"/>
  <c r="H178" i="52"/>
  <c r="L181" i="52" s="1"/>
  <c r="H171" i="52"/>
  <c r="P166" i="52" s="1"/>
  <c r="I170" i="52"/>
  <c r="H170" i="52"/>
  <c r="L166" i="52" s="1"/>
  <c r="H169" i="52"/>
  <c r="P165" i="52" s="1"/>
  <c r="I168" i="52"/>
  <c r="H168" i="52"/>
  <c r="L165" i="52" s="1"/>
  <c r="H167" i="52"/>
  <c r="P164" i="52" s="1"/>
  <c r="O166" i="52"/>
  <c r="N166" i="52"/>
  <c r="K166" i="52"/>
  <c r="I166" i="52"/>
  <c r="H166" i="52"/>
  <c r="L164" i="52" s="1"/>
  <c r="O165" i="52"/>
  <c r="N165" i="52"/>
  <c r="K165" i="52"/>
  <c r="H165" i="52"/>
  <c r="O164" i="52"/>
  <c r="N164" i="52"/>
  <c r="K164" i="52"/>
  <c r="H164" i="52"/>
  <c r="O163" i="52"/>
  <c r="N163" i="52"/>
  <c r="K163" i="52"/>
  <c r="I163" i="52"/>
  <c r="H163" i="52"/>
  <c r="L163" i="52" s="1"/>
  <c r="O162" i="52"/>
  <c r="N162" i="52"/>
  <c r="K162" i="52"/>
  <c r="I162" i="52"/>
  <c r="H162" i="52"/>
  <c r="L162" i="52" s="1"/>
  <c r="H155" i="52"/>
  <c r="P148" i="52" s="1"/>
  <c r="H154" i="52"/>
  <c r="P147" i="52" s="1"/>
  <c r="H153" i="52"/>
  <c r="P146" i="52" s="1"/>
  <c r="I152" i="52"/>
  <c r="H152" i="52"/>
  <c r="I151" i="52"/>
  <c r="H151" i="52"/>
  <c r="H150" i="52"/>
  <c r="P145" i="52" s="1"/>
  <c r="I149" i="52"/>
  <c r="H149" i="52"/>
  <c r="O148" i="52"/>
  <c r="N148" i="52"/>
  <c r="K148" i="52"/>
  <c r="K149" i="52" s="1"/>
  <c r="I148" i="52"/>
  <c r="H148" i="52"/>
  <c r="L153" i="52" s="1"/>
  <c r="O147" i="52"/>
  <c r="N147" i="52"/>
  <c r="K147" i="52"/>
  <c r="H147" i="52"/>
  <c r="O146" i="52"/>
  <c r="N146" i="52"/>
  <c r="K146" i="52"/>
  <c r="H146" i="52"/>
  <c r="O145" i="52"/>
  <c r="N145" i="52"/>
  <c r="K145" i="52"/>
  <c r="H145" i="52"/>
  <c r="H138" i="52"/>
  <c r="P134" i="52" s="1"/>
  <c r="I137" i="52"/>
  <c r="H137" i="52"/>
  <c r="I136" i="52"/>
  <c r="H136" i="52"/>
  <c r="H135" i="52"/>
  <c r="P133" i="52" s="1"/>
  <c r="O134" i="52"/>
  <c r="N134" i="52"/>
  <c r="K134" i="52"/>
  <c r="H134" i="52"/>
  <c r="O133" i="52"/>
  <c r="N133" i="52"/>
  <c r="K133" i="52"/>
  <c r="H133" i="52"/>
  <c r="I126" i="52"/>
  <c r="H126" i="52"/>
  <c r="I125" i="52"/>
  <c r="H125" i="52"/>
  <c r="H124" i="52"/>
  <c r="P116" i="52" s="1"/>
  <c r="I123" i="52"/>
  <c r="H123" i="52"/>
  <c r="H122" i="52"/>
  <c r="L121" i="52" s="1"/>
  <c r="H121" i="52"/>
  <c r="L119" i="52" s="1"/>
  <c r="H120" i="52"/>
  <c r="L117" i="52" s="1"/>
  <c r="H119" i="52"/>
  <c r="H118" i="52"/>
  <c r="O117" i="52"/>
  <c r="N117" i="52"/>
  <c r="K117" i="52"/>
  <c r="H117" i="52"/>
  <c r="O116" i="52"/>
  <c r="N116" i="52"/>
  <c r="K116" i="52"/>
  <c r="I116" i="52"/>
  <c r="H116" i="52"/>
  <c r="L116" i="52" s="1"/>
  <c r="I109" i="52"/>
  <c r="H109" i="52"/>
  <c r="L108" i="52" s="1"/>
  <c r="I108" i="52"/>
  <c r="H108" i="52"/>
  <c r="L107" i="52" s="1"/>
  <c r="H107" i="52"/>
  <c r="P104" i="52" s="1"/>
  <c r="H106" i="52"/>
  <c r="P103" i="52" s="1"/>
  <c r="I105" i="52"/>
  <c r="H105" i="52"/>
  <c r="L106" i="52" s="1"/>
  <c r="O104" i="52"/>
  <c r="N104" i="52"/>
  <c r="K104" i="52"/>
  <c r="H104" i="52"/>
  <c r="P101" i="52" s="1"/>
  <c r="O103" i="52"/>
  <c r="N103" i="52"/>
  <c r="K103" i="52"/>
  <c r="H103" i="52"/>
  <c r="L103" i="52" s="1"/>
  <c r="O102" i="52"/>
  <c r="N102" i="52"/>
  <c r="K102" i="52"/>
  <c r="H102" i="52"/>
  <c r="O101" i="52"/>
  <c r="N101" i="52"/>
  <c r="K101" i="52"/>
  <c r="I101" i="52"/>
  <c r="H101" i="52"/>
  <c r="L101" i="52" s="1"/>
  <c r="O100" i="52"/>
  <c r="N100" i="52"/>
  <c r="K100" i="52"/>
  <c r="I100" i="52"/>
  <c r="H100" i="52"/>
  <c r="L100" i="52" s="1"/>
  <c r="O99" i="52"/>
  <c r="K99" i="52"/>
  <c r="I99" i="52"/>
  <c r="H99" i="52"/>
  <c r="L99" i="52" s="1"/>
  <c r="I92" i="52"/>
  <c r="H92" i="52"/>
  <c r="I91" i="52"/>
  <c r="H91" i="52"/>
  <c r="H90" i="52"/>
  <c r="P82" i="52" s="1"/>
  <c r="I89" i="52"/>
  <c r="H89" i="52"/>
  <c r="I88" i="52"/>
  <c r="H88" i="52"/>
  <c r="I87" i="52"/>
  <c r="H87" i="52"/>
  <c r="H86" i="52"/>
  <c r="H85" i="52"/>
  <c r="L87" i="52" s="1"/>
  <c r="H84" i="52"/>
  <c r="L86" i="52" s="1"/>
  <c r="H83" i="52"/>
  <c r="L85" i="52" s="1"/>
  <c r="O82" i="52"/>
  <c r="N82" i="52"/>
  <c r="K82" i="52"/>
  <c r="L82" i="52"/>
  <c r="H82" i="52"/>
  <c r="H80" i="52"/>
  <c r="P79" i="52" s="1"/>
  <c r="O79" i="52"/>
  <c r="N79" i="52"/>
  <c r="K79" i="52"/>
  <c r="H79" i="52"/>
  <c r="L79" i="52" s="1"/>
  <c r="O78" i="52"/>
  <c r="N78" i="52"/>
  <c r="K78" i="52"/>
  <c r="H78" i="52"/>
  <c r="L78" i="52" s="1"/>
  <c r="H76" i="52"/>
  <c r="P72" i="52" s="1"/>
  <c r="I75" i="52"/>
  <c r="H75" i="52"/>
  <c r="L74" i="52" s="1"/>
  <c r="O74" i="52"/>
  <c r="N74" i="52"/>
  <c r="K74" i="52"/>
  <c r="I74" i="52"/>
  <c r="H74" i="52"/>
  <c r="L73" i="52" s="1"/>
  <c r="O73" i="52"/>
  <c r="N73" i="52"/>
  <c r="K73" i="52"/>
  <c r="I73" i="52"/>
  <c r="H73" i="52"/>
  <c r="L72" i="52" s="1"/>
  <c r="O72" i="52"/>
  <c r="N72" i="52"/>
  <c r="K72" i="52"/>
  <c r="H72" i="52"/>
  <c r="O71" i="52"/>
  <c r="N71" i="52"/>
  <c r="K71" i="52"/>
  <c r="I71" i="52"/>
  <c r="H71" i="52"/>
  <c r="L71" i="52" s="1"/>
  <c r="H68" i="52"/>
  <c r="P66" i="52" s="1"/>
  <c r="O67" i="52"/>
  <c r="N67" i="52"/>
  <c r="K67" i="52"/>
  <c r="H67" i="52"/>
  <c r="L67" i="52" s="1"/>
  <c r="O66" i="52"/>
  <c r="N66" i="52"/>
  <c r="K66" i="52"/>
  <c r="H66" i="52"/>
  <c r="L66" i="52" s="1"/>
  <c r="O65" i="52"/>
  <c r="N65" i="52"/>
  <c r="K65" i="52"/>
  <c r="H65" i="52"/>
  <c r="L65" i="52" s="1"/>
  <c r="O64" i="52"/>
  <c r="N64" i="52"/>
  <c r="K64" i="52"/>
  <c r="H64" i="52"/>
  <c r="L64" i="52" s="1"/>
  <c r="O63" i="52"/>
  <c r="K63" i="52"/>
  <c r="H63" i="52"/>
  <c r="L63" i="52" s="1"/>
  <c r="H56" i="52"/>
  <c r="L58" i="52" s="1"/>
  <c r="H55" i="52"/>
  <c r="P51" i="52" s="1"/>
  <c r="H54" i="52"/>
  <c r="L57" i="52" s="1"/>
  <c r="O53" i="52"/>
  <c r="N53" i="52"/>
  <c r="K53" i="52"/>
  <c r="H53" i="52"/>
  <c r="O52" i="52"/>
  <c r="N52" i="52"/>
  <c r="K52" i="52"/>
  <c r="I52" i="52"/>
  <c r="H52" i="52"/>
  <c r="L52" i="52" s="1"/>
  <c r="O51" i="52"/>
  <c r="N51" i="52"/>
  <c r="K51" i="52"/>
  <c r="I51" i="52"/>
  <c r="H51" i="52"/>
  <c r="L51" i="52" s="1"/>
  <c r="H44" i="52"/>
  <c r="P42" i="52" s="1"/>
  <c r="H43" i="52"/>
  <c r="P41" i="52" s="1"/>
  <c r="O42" i="52"/>
  <c r="N42" i="52"/>
  <c r="K42" i="52"/>
  <c r="H42" i="52"/>
  <c r="P40" i="52" s="1"/>
  <c r="O41" i="52"/>
  <c r="N41" i="52"/>
  <c r="K41" i="52"/>
  <c r="H41" i="52"/>
  <c r="P39" i="52" s="1"/>
  <c r="O40" i="52"/>
  <c r="N40" i="52"/>
  <c r="K40" i="52"/>
  <c r="I40" i="52"/>
  <c r="H40" i="52"/>
  <c r="O39" i="52"/>
  <c r="N39" i="52"/>
  <c r="K39" i="52"/>
  <c r="H39" i="52"/>
  <c r="I32" i="52"/>
  <c r="H32" i="52"/>
  <c r="H31" i="52"/>
  <c r="P25" i="52" s="1"/>
  <c r="I30" i="52"/>
  <c r="H30" i="52"/>
  <c r="H29" i="52"/>
  <c r="L29" i="52" s="1"/>
  <c r="H28" i="52"/>
  <c r="H27" i="52"/>
  <c r="P24" i="52" s="1"/>
  <c r="H26" i="52"/>
  <c r="O25" i="52"/>
  <c r="N25" i="52"/>
  <c r="K25" i="52"/>
  <c r="H25" i="52"/>
  <c r="O24" i="52"/>
  <c r="N24" i="52"/>
  <c r="K24" i="52"/>
  <c r="I24" i="52"/>
  <c r="H24" i="52"/>
  <c r="L23" i="52" s="1"/>
  <c r="O23" i="52"/>
  <c r="N23" i="52"/>
  <c r="K23" i="52"/>
  <c r="H23" i="52"/>
  <c r="O22" i="52"/>
  <c r="N22" i="52"/>
  <c r="K22" i="52"/>
  <c r="I22" i="52"/>
  <c r="H22" i="52"/>
  <c r="L22" i="52" s="1"/>
  <c r="H19" i="52"/>
  <c r="P16" i="52" s="1"/>
  <c r="H18" i="52"/>
  <c r="P15" i="52" s="1"/>
  <c r="H17" i="52"/>
  <c r="P14" i="52" s="1"/>
  <c r="O16" i="52"/>
  <c r="N16" i="52"/>
  <c r="K16" i="52"/>
  <c r="H16" i="52"/>
  <c r="P11" i="52" s="1"/>
  <c r="O15" i="52"/>
  <c r="N15" i="52"/>
  <c r="K15" i="52"/>
  <c r="I15" i="52"/>
  <c r="H15" i="52"/>
  <c r="O14" i="52"/>
  <c r="N14" i="52"/>
  <c r="K14" i="52"/>
  <c r="H14" i="52"/>
  <c r="P9" i="52" s="1"/>
  <c r="O13" i="52"/>
  <c r="N13" i="52"/>
  <c r="K13" i="52"/>
  <c r="I13" i="52"/>
  <c r="H13" i="52"/>
  <c r="L15" i="52" s="1"/>
  <c r="O12" i="52"/>
  <c r="N12" i="52"/>
  <c r="K12" i="52"/>
  <c r="I12" i="52"/>
  <c r="H12" i="52"/>
  <c r="L13" i="52" s="1"/>
  <c r="O11" i="52"/>
  <c r="N11" i="52"/>
  <c r="K11" i="52"/>
  <c r="I11" i="52"/>
  <c r="H11" i="52"/>
  <c r="L11" i="52" s="1"/>
  <c r="O10" i="52"/>
  <c r="N10" i="52"/>
  <c r="K10" i="52"/>
  <c r="H10" i="52"/>
  <c r="O9" i="52"/>
  <c r="N9" i="52"/>
  <c r="K9" i="52"/>
  <c r="I9" i="52"/>
  <c r="H9" i="52"/>
  <c r="L9" i="52" s="1"/>
  <c r="H7" i="52"/>
  <c r="P3" i="52" s="1"/>
  <c r="I6" i="52"/>
  <c r="H6" i="52"/>
  <c r="L5" i="52" s="1"/>
  <c r="O5" i="52"/>
  <c r="N5" i="52"/>
  <c r="K5" i="52"/>
  <c r="H5" i="52"/>
  <c r="O4" i="52"/>
  <c r="N4" i="52"/>
  <c r="K4" i="52"/>
  <c r="I4" i="52"/>
  <c r="H4" i="52"/>
  <c r="L4" i="52" s="1"/>
  <c r="O3" i="52"/>
  <c r="N3" i="52"/>
  <c r="K3" i="52"/>
  <c r="I3" i="52"/>
  <c r="H3" i="52"/>
  <c r="L3" i="52" s="1"/>
  <c r="O2" i="52"/>
  <c r="N2" i="52"/>
  <c r="K2" i="52"/>
  <c r="I2" i="52"/>
  <c r="H2" i="52"/>
  <c r="L2" i="52" s="1"/>
  <c r="L88" i="52" l="1"/>
  <c r="L89" i="52"/>
  <c r="L232" i="52"/>
  <c r="L236" i="52"/>
  <c r="L235" i="52"/>
  <c r="L151" i="52"/>
  <c r="L152" i="52"/>
  <c r="L251" i="52"/>
  <c r="L252" i="52"/>
  <c r="L136" i="52"/>
  <c r="L137" i="52"/>
  <c r="L248" i="52"/>
  <c r="L249" i="52"/>
  <c r="L42" i="52"/>
  <c r="L44" i="52"/>
  <c r="L55" i="52"/>
  <c r="L56" i="52"/>
  <c r="L186" i="52"/>
  <c r="L187" i="52"/>
  <c r="L83" i="52"/>
  <c r="L84" i="52"/>
  <c r="L27" i="52"/>
  <c r="L28" i="52"/>
  <c r="L133" i="52"/>
  <c r="L135" i="52"/>
  <c r="L198" i="52"/>
  <c r="L201" i="52"/>
  <c r="L307" i="52"/>
  <c r="L308" i="52"/>
  <c r="L24" i="52"/>
  <c r="L26" i="52"/>
  <c r="P22" i="52"/>
  <c r="L245" i="52"/>
  <c r="L246" i="52"/>
  <c r="L147" i="52"/>
  <c r="L150" i="52"/>
  <c r="L43" i="52"/>
  <c r="P274" i="52"/>
  <c r="L53" i="52"/>
  <c r="L54" i="52"/>
  <c r="L200" i="52"/>
  <c r="P219" i="52"/>
  <c r="P149" i="52"/>
  <c r="L149" i="52"/>
  <c r="P106" i="52"/>
  <c r="P316" i="52"/>
  <c r="P320" i="52"/>
  <c r="L316" i="52"/>
  <c r="P317" i="52"/>
  <c r="P321" i="52"/>
  <c r="P318" i="52"/>
  <c r="P105" i="52"/>
  <c r="P336" i="52"/>
  <c r="L105" i="52"/>
  <c r="P337" i="52"/>
  <c r="P107" i="52"/>
  <c r="L331" i="52"/>
  <c r="P334" i="52"/>
  <c r="P338" i="52"/>
  <c r="P332" i="52"/>
  <c r="P333" i="52"/>
  <c r="P331" i="52"/>
  <c r="P335" i="52"/>
  <c r="L118" i="52"/>
  <c r="L182" i="52"/>
  <c r="P184" i="52"/>
  <c r="P182" i="52"/>
  <c r="L184" i="52"/>
  <c r="P118" i="52"/>
  <c r="P120" i="52"/>
  <c r="L120" i="52"/>
  <c r="L306" i="52"/>
  <c r="P306" i="52"/>
  <c r="L305" i="52"/>
  <c r="P314" i="52"/>
  <c r="P262" i="52"/>
  <c r="L264" i="52"/>
  <c r="P264" i="52"/>
  <c r="P100" i="52"/>
  <c r="P13" i="52"/>
  <c r="P196" i="52"/>
  <c r="L216" i="52"/>
  <c r="P275" i="52"/>
  <c r="P163" i="52"/>
  <c r="P276" i="52"/>
  <c r="P277" i="52"/>
  <c r="L102" i="52"/>
  <c r="P290" i="52"/>
  <c r="P10" i="52"/>
  <c r="P213" i="52"/>
  <c r="P117" i="52"/>
  <c r="P194" i="52"/>
  <c r="P226" i="52"/>
  <c r="P292" i="52"/>
  <c r="L25" i="52"/>
  <c r="P291" i="52"/>
  <c r="P102" i="52"/>
  <c r="L180" i="52"/>
  <c r="P197" i="52"/>
  <c r="P273" i="52"/>
  <c r="L289" i="52"/>
  <c r="P289" i="52"/>
  <c r="P74" i="52"/>
  <c r="P4" i="52"/>
  <c r="P23" i="52"/>
  <c r="L39" i="52"/>
  <c r="P64" i="52"/>
  <c r="P73" i="52"/>
  <c r="P99" i="52"/>
  <c r="P216" i="52"/>
  <c r="P287" i="52"/>
  <c r="P2" i="52"/>
  <c r="P71" i="52"/>
  <c r="P225" i="52"/>
  <c r="P303" i="52"/>
  <c r="L14" i="52"/>
  <c r="P5" i="52"/>
  <c r="L10" i="52"/>
  <c r="P65" i="52"/>
  <c r="L104" i="52"/>
  <c r="P212" i="52"/>
  <c r="P299" i="52"/>
  <c r="P302" i="52"/>
  <c r="P63" i="52"/>
  <c r="L146" i="52"/>
  <c r="L287" i="52"/>
  <c r="P301" i="52"/>
  <c r="L16" i="52"/>
  <c r="L40" i="52"/>
  <c r="P67" i="52"/>
  <c r="P211" i="52"/>
  <c r="P214" i="52"/>
  <c r="P217" i="52"/>
  <c r="P300" i="52"/>
  <c r="P12" i="52"/>
  <c r="L41" i="52"/>
  <c r="P53" i="52"/>
  <c r="P78" i="52"/>
  <c r="L134" i="52"/>
  <c r="L148" i="52"/>
  <c r="P162" i="52"/>
  <c r="L179" i="52"/>
  <c r="L199" i="52"/>
  <c r="L234" i="52"/>
  <c r="P286" i="52"/>
  <c r="L12" i="52"/>
  <c r="P52" i="52"/>
  <c r="L145" i="52"/>
  <c r="L178" i="52"/>
  <c r="P215" i="52"/>
  <c r="L233" i="52"/>
  <c r="L197" i="52"/>
  <c r="F22" i="18" l="1"/>
  <c r="E22" i="18"/>
  <c r="D22" i="18"/>
  <c r="C22" i="18"/>
  <c r="F20" i="18"/>
  <c r="E20" i="18"/>
  <c r="D20" i="18"/>
  <c r="C20" i="18"/>
  <c r="A20" i="27"/>
  <c r="A39" i="27" s="1"/>
  <c r="A58" i="27" s="1"/>
  <c r="A77" i="27" s="1"/>
  <c r="A96" i="27" s="1"/>
  <c r="A115" i="27" s="1"/>
  <c r="A134" i="27" s="1"/>
  <c r="A153" i="27" s="1"/>
  <c r="A19" i="27"/>
  <c r="A38" i="27" s="1"/>
  <c r="A57" i="27" s="1"/>
  <c r="A76" i="27" s="1"/>
  <c r="A95" i="27" s="1"/>
  <c r="A114" i="27" s="1"/>
  <c r="A133" i="27" s="1"/>
  <c r="A152" i="27" s="1"/>
  <c r="A18" i="27"/>
  <c r="A37" i="27" s="1"/>
  <c r="A56" i="27" s="1"/>
  <c r="A75" i="27" s="1"/>
  <c r="A94" i="27" s="1"/>
  <c r="A113" i="27" s="1"/>
  <c r="A132" i="27" s="1"/>
  <c r="A151" i="27" s="1"/>
  <c r="A17" i="27"/>
  <c r="A36" i="27" s="1"/>
  <c r="A55" i="27" s="1"/>
  <c r="A74" i="27" s="1"/>
  <c r="A93" i="27" s="1"/>
  <c r="A112" i="27" s="1"/>
  <c r="A131" i="27" s="1"/>
  <c r="A150" i="27" s="1"/>
  <c r="A16" i="27"/>
  <c r="A35" i="27" s="1"/>
  <c r="A54" i="27" s="1"/>
  <c r="A73" i="27" s="1"/>
  <c r="A92" i="27" s="1"/>
  <c r="A111" i="27" s="1"/>
  <c r="A130" i="27" s="1"/>
  <c r="A149" i="27" s="1"/>
  <c r="A15" i="27"/>
  <c r="A34" i="27" s="1"/>
  <c r="A53" i="27" s="1"/>
  <c r="A72" i="27" s="1"/>
  <c r="A91" i="27" s="1"/>
  <c r="A110" i="27" s="1"/>
  <c r="A129" i="27" s="1"/>
  <c r="A148" i="27" s="1"/>
  <c r="A14" i="27"/>
  <c r="A33" i="27" s="1"/>
  <c r="A52" i="27" s="1"/>
  <c r="A71" i="27" s="1"/>
  <c r="A90" i="27" s="1"/>
  <c r="A109" i="27" s="1"/>
  <c r="A128" i="27" s="1"/>
  <c r="A147" i="27" s="1"/>
  <c r="A13" i="27"/>
  <c r="A32" i="27" s="1"/>
  <c r="A51" i="27" s="1"/>
  <c r="A70" i="27" s="1"/>
  <c r="A89" i="27" s="1"/>
  <c r="A108" i="27" s="1"/>
  <c r="A127" i="27" s="1"/>
  <c r="A146" i="27" s="1"/>
  <c r="A12" i="27"/>
  <c r="A31" i="27" s="1"/>
  <c r="A50" i="27" s="1"/>
  <c r="A69" i="27" s="1"/>
  <c r="A88" i="27" s="1"/>
  <c r="A107" i="27" s="1"/>
  <c r="A126" i="27" s="1"/>
  <c r="A145" i="27" s="1"/>
  <c r="A11" i="27"/>
  <c r="A30" i="27" s="1"/>
  <c r="A49" i="27" s="1"/>
  <c r="A68" i="27" s="1"/>
  <c r="A87" i="27" s="1"/>
  <c r="A106" i="27" s="1"/>
  <c r="A125" i="27" s="1"/>
  <c r="A144" i="27" s="1"/>
  <c r="A10" i="27"/>
  <c r="A29" i="27" s="1"/>
  <c r="A48" i="27" s="1"/>
  <c r="A67" i="27" s="1"/>
  <c r="A86" i="27" s="1"/>
  <c r="A105" i="27" s="1"/>
  <c r="A124" i="27" s="1"/>
  <c r="A143" i="27" s="1"/>
  <c r="A9" i="27"/>
  <c r="A28" i="27" s="1"/>
  <c r="A47" i="27" s="1"/>
  <c r="A66" i="27" s="1"/>
  <c r="A85" i="27" s="1"/>
  <c r="A104" i="27" s="1"/>
  <c r="A123" i="27" s="1"/>
  <c r="A142" i="27" s="1"/>
  <c r="A8" i="27"/>
  <c r="A27" i="27" s="1"/>
  <c r="A46" i="27" s="1"/>
  <c r="A65" i="27" s="1"/>
  <c r="A84" i="27" s="1"/>
  <c r="A103" i="27" s="1"/>
  <c r="A122" i="27" s="1"/>
  <c r="A141" i="27" s="1"/>
  <c r="A7" i="27"/>
  <c r="A26" i="27" s="1"/>
  <c r="A45" i="27" s="1"/>
  <c r="A64" i="27" s="1"/>
  <c r="A83" i="27" s="1"/>
  <c r="A102" i="27" s="1"/>
  <c r="A121" i="27" s="1"/>
  <c r="A140" i="27" s="1"/>
  <c r="A6" i="27"/>
  <c r="A25" i="27" s="1"/>
  <c r="A44" i="27" s="1"/>
  <c r="A63" i="27" s="1"/>
  <c r="A82" i="27" s="1"/>
  <c r="A101" i="27" s="1"/>
  <c r="A120" i="27" s="1"/>
  <c r="A139" i="27" s="1"/>
  <c r="A5" i="27"/>
  <c r="A24" i="27" s="1"/>
  <c r="A43" i="27" s="1"/>
  <c r="A62" i="27" s="1"/>
  <c r="A81" i="27" s="1"/>
  <c r="A100" i="27" s="1"/>
  <c r="A119" i="27" s="1"/>
  <c r="A138" i="27" s="1"/>
  <c r="D7" i="9"/>
  <c r="W51" i="49"/>
  <c r="V9" i="49"/>
  <c r="I13" i="49"/>
  <c r="I12" i="49"/>
  <c r="I11" i="49"/>
  <c r="I10" i="49"/>
  <c r="I9" i="49"/>
  <c r="I21" i="49"/>
  <c r="AB22" i="18"/>
  <c r="AA22" i="18"/>
  <c r="Z22" i="18"/>
  <c r="Y22" i="18"/>
  <c r="X22" i="18"/>
  <c r="W22" i="18"/>
  <c r="V22" i="18"/>
  <c r="U22" i="18"/>
  <c r="T22" i="18"/>
  <c r="S22" i="18"/>
  <c r="R22" i="18"/>
  <c r="Q22" i="18"/>
  <c r="AB20" i="18"/>
  <c r="AA20" i="18"/>
  <c r="Z20" i="18"/>
  <c r="Y20" i="18"/>
  <c r="X20" i="18"/>
  <c r="W20" i="18"/>
  <c r="V20" i="18"/>
  <c r="U20" i="18"/>
  <c r="T20" i="18"/>
  <c r="S20" i="18"/>
  <c r="R20" i="18"/>
  <c r="Q20" i="18"/>
  <c r="E10" i="49" l="1" a="1"/>
  <c r="E10" i="49" s="1"/>
  <c r="R10" i="49" s="1"/>
  <c r="V10" i="49" a="1"/>
  <c r="V10" i="49" s="1"/>
  <c r="I20" i="49"/>
  <c r="I19" i="49"/>
  <c r="I14" i="49"/>
  <c r="I15" i="49"/>
  <c r="I16" i="49"/>
  <c r="I17" i="49"/>
  <c r="I18" i="49"/>
  <c r="J51" i="49"/>
  <c r="H12" i="39"/>
  <c r="I12" i="39" s="1"/>
  <c r="J12" i="39"/>
  <c r="H16" i="11"/>
  <c r="I16" i="11" s="1"/>
  <c r="J16" i="11"/>
  <c r="AB12" i="35"/>
  <c r="AB11" i="35"/>
  <c r="AB10" i="35"/>
  <c r="AB9" i="35"/>
  <c r="AB8" i="35"/>
  <c r="AB7" i="35"/>
  <c r="AB6" i="35"/>
  <c r="AB5" i="35"/>
  <c r="AB4" i="35"/>
  <c r="AB3" i="35"/>
  <c r="AB2" i="35"/>
  <c r="Z13" i="35"/>
  <c r="Z12" i="35"/>
  <c r="Z11" i="35"/>
  <c r="Z10" i="35"/>
  <c r="Z9" i="35"/>
  <c r="AA9" i="35" s="1"/>
  <c r="Z8" i="35"/>
  <c r="AA8" i="35" s="1"/>
  <c r="Z7" i="35"/>
  <c r="AA7" i="35" s="1"/>
  <c r="Z6" i="35"/>
  <c r="AA6" i="35" s="1"/>
  <c r="Z5" i="35"/>
  <c r="AA5" i="35" s="1"/>
  <c r="Z4" i="35"/>
  <c r="AA4" i="35" s="1"/>
  <c r="Z3" i="35"/>
  <c r="AA3" i="35" s="1"/>
  <c r="R15" i="49" l="1"/>
  <c r="R14" i="49"/>
  <c r="R13" i="49"/>
  <c r="R17" i="49"/>
  <c r="R12" i="49"/>
  <c r="R18" i="49"/>
  <c r="R11" i="49"/>
  <c r="R16" i="49"/>
  <c r="K12" i="39"/>
  <c r="K16" i="11"/>
  <c r="T3" i="35"/>
  <c r="T4" i="35"/>
  <c r="T5" i="35"/>
  <c r="T6" i="35"/>
  <c r="T7" i="35"/>
  <c r="T8" i="35"/>
  <c r="T9" i="35"/>
  <c r="T10" i="35"/>
  <c r="T11" i="35"/>
  <c r="T12" i="35"/>
  <c r="T13" i="35"/>
  <c r="T14" i="35"/>
  <c r="T15" i="35"/>
  <c r="T16" i="35"/>
  <c r="T17" i="35"/>
  <c r="T18" i="35"/>
  <c r="T19" i="35"/>
  <c r="T20" i="35"/>
  <c r="T21" i="35"/>
  <c r="T22" i="35"/>
  <c r="T23" i="35"/>
  <c r="T24" i="35"/>
  <c r="T25" i="35"/>
  <c r="T26" i="35"/>
  <c r="T27" i="35"/>
  <c r="T28" i="35"/>
  <c r="T29" i="35"/>
  <c r="T30" i="35"/>
  <c r="T31" i="35"/>
  <c r="T32" i="35"/>
  <c r="T33" i="35"/>
  <c r="T34" i="35"/>
  <c r="T35" i="35"/>
  <c r="T36" i="35"/>
  <c r="T37" i="35"/>
  <c r="T38" i="35"/>
  <c r="T39" i="35"/>
  <c r="T40" i="35"/>
  <c r="T41" i="35"/>
  <c r="T42" i="35"/>
  <c r="T43" i="35"/>
  <c r="T44" i="35"/>
  <c r="T45" i="35"/>
  <c r="T46" i="35"/>
  <c r="T47" i="35"/>
  <c r="T48" i="35"/>
  <c r="T49" i="35"/>
  <c r="T50" i="35"/>
  <c r="T51" i="35"/>
  <c r="T52" i="35"/>
  <c r="T53" i="35"/>
  <c r="T54" i="35"/>
  <c r="T55" i="35"/>
  <c r="T56" i="35"/>
  <c r="T57" i="35"/>
  <c r="T58" i="35"/>
  <c r="T59" i="35"/>
  <c r="T60" i="35"/>
  <c r="T61" i="35"/>
  <c r="T62" i="35"/>
  <c r="T63" i="35"/>
  <c r="T64" i="35"/>
  <c r="T65" i="35"/>
  <c r="T66" i="35"/>
  <c r="T67" i="35"/>
  <c r="T68" i="35"/>
  <c r="T69" i="35"/>
  <c r="T70" i="35"/>
  <c r="T71" i="35"/>
  <c r="T72" i="35"/>
  <c r="T73" i="35"/>
  <c r="T74" i="35"/>
  <c r="T75" i="35"/>
  <c r="T76" i="35"/>
  <c r="T77" i="35"/>
  <c r="T78" i="35"/>
  <c r="T79" i="35"/>
  <c r="T80" i="35"/>
  <c r="T81" i="35"/>
  <c r="T82" i="35"/>
  <c r="T83" i="35"/>
  <c r="T84" i="35"/>
  <c r="T85" i="35"/>
  <c r="T86" i="35"/>
  <c r="T87" i="35"/>
  <c r="T88" i="35"/>
  <c r="T89" i="35"/>
  <c r="T90" i="35"/>
  <c r="T91" i="35"/>
  <c r="T92" i="35"/>
  <c r="T93" i="35"/>
  <c r="T94" i="35"/>
  <c r="T95" i="35"/>
  <c r="T96" i="35"/>
  <c r="T97" i="35"/>
  <c r="T98" i="35"/>
  <c r="T99" i="35"/>
  <c r="T100" i="35"/>
  <c r="T101" i="35"/>
  <c r="T102" i="35"/>
  <c r="T103" i="35"/>
  <c r="T104" i="35"/>
  <c r="T105" i="35"/>
  <c r="T106" i="35"/>
  <c r="T107" i="35"/>
  <c r="T108" i="35"/>
  <c r="T109" i="35"/>
  <c r="T110" i="35"/>
  <c r="T111" i="35"/>
  <c r="T112" i="35"/>
  <c r="T113" i="35"/>
  <c r="T114" i="35"/>
  <c r="T115" i="35"/>
  <c r="T116" i="35"/>
  <c r="T117" i="35"/>
  <c r="T118" i="35"/>
  <c r="T119" i="35"/>
  <c r="T120" i="35"/>
  <c r="T121" i="35"/>
  <c r="T122" i="35"/>
  <c r="T123" i="35"/>
  <c r="T124" i="35"/>
  <c r="T125" i="35"/>
  <c r="T126" i="35"/>
  <c r="T127" i="35"/>
  <c r="T128" i="35"/>
  <c r="T129" i="35"/>
  <c r="T130" i="35"/>
  <c r="T131" i="35"/>
  <c r="T132" i="35"/>
  <c r="T133" i="35"/>
  <c r="T134" i="35"/>
  <c r="T135" i="35"/>
  <c r="T136" i="35"/>
  <c r="T137" i="35"/>
  <c r="T138" i="35"/>
  <c r="T139" i="35"/>
  <c r="T140" i="35"/>
  <c r="T141" i="35"/>
  <c r="T142" i="35"/>
  <c r="T143" i="35"/>
  <c r="T144" i="35"/>
  <c r="T145" i="35"/>
  <c r="T146" i="35"/>
  <c r="T147" i="35"/>
  <c r="T148" i="35"/>
  <c r="T149" i="35"/>
  <c r="T150" i="35"/>
  <c r="T151" i="35"/>
  <c r="T152" i="35"/>
  <c r="T153" i="35"/>
  <c r="T154" i="35"/>
  <c r="T155" i="35"/>
  <c r="T156" i="35"/>
  <c r="T157" i="35"/>
  <c r="T158" i="35"/>
  <c r="T159" i="35"/>
  <c r="T160" i="35"/>
  <c r="T161" i="35"/>
  <c r="T162" i="35"/>
  <c r="T163" i="35"/>
  <c r="T164" i="35"/>
  <c r="T165" i="35"/>
  <c r="T166" i="35"/>
  <c r="T167" i="35"/>
  <c r="T168" i="35"/>
  <c r="T169" i="35"/>
  <c r="T170" i="35"/>
  <c r="T171" i="35"/>
  <c r="T172" i="35"/>
  <c r="T173" i="35"/>
  <c r="T174" i="35"/>
  <c r="T175" i="35"/>
  <c r="T176" i="35"/>
  <c r="T177" i="35"/>
  <c r="T178" i="35"/>
  <c r="T179" i="35"/>
  <c r="T180" i="35"/>
  <c r="T181" i="35"/>
  <c r="T182" i="35"/>
  <c r="T183" i="35"/>
  <c r="T184" i="35"/>
  <c r="T185" i="35"/>
  <c r="T186" i="35"/>
  <c r="T187" i="35"/>
  <c r="T188" i="35"/>
  <c r="T189" i="35"/>
  <c r="T190" i="35"/>
  <c r="T191" i="35"/>
  <c r="T192" i="35"/>
  <c r="T193" i="35"/>
  <c r="T194" i="35"/>
  <c r="T195" i="35"/>
  <c r="T196" i="35"/>
  <c r="T197" i="35"/>
  <c r="T198" i="35"/>
  <c r="T199" i="35"/>
  <c r="T200" i="35"/>
  <c r="T201" i="35"/>
  <c r="T202" i="35"/>
  <c r="T203" i="35"/>
  <c r="T204" i="35"/>
  <c r="T205" i="35"/>
  <c r="T206" i="35"/>
  <c r="T207" i="35"/>
  <c r="T208" i="35"/>
  <c r="T209" i="35"/>
  <c r="T210" i="35"/>
  <c r="T211" i="35"/>
  <c r="T212" i="35"/>
  <c r="T213" i="35"/>
  <c r="T214" i="35"/>
  <c r="T215" i="35"/>
  <c r="T216" i="35"/>
  <c r="T217" i="35"/>
  <c r="T218" i="35"/>
  <c r="T219" i="35"/>
  <c r="T220" i="35"/>
  <c r="T221" i="35"/>
  <c r="T222" i="35"/>
  <c r="T223" i="35"/>
  <c r="T224" i="35"/>
  <c r="T225" i="35"/>
  <c r="T226" i="35"/>
  <c r="T227" i="35"/>
  <c r="T228" i="35"/>
  <c r="T229" i="35"/>
  <c r="T230" i="35"/>
  <c r="T231" i="35"/>
  <c r="T232" i="35"/>
  <c r="T233" i="35"/>
  <c r="T234" i="35"/>
  <c r="T235" i="35"/>
  <c r="T236" i="35"/>
  <c r="T237" i="35"/>
  <c r="T238" i="35"/>
  <c r="T239" i="35"/>
  <c r="T240" i="35"/>
  <c r="T241" i="35"/>
  <c r="T242" i="35"/>
  <c r="T243" i="35"/>
  <c r="T244" i="35"/>
  <c r="T245" i="35"/>
  <c r="T246" i="35"/>
  <c r="T247" i="35"/>
  <c r="T248" i="35"/>
  <c r="T249" i="35"/>
  <c r="T250" i="35"/>
  <c r="T251" i="35"/>
  <c r="T252" i="35"/>
  <c r="T253" i="35"/>
  <c r="T254" i="35"/>
  <c r="T255" i="35"/>
  <c r="T256" i="35"/>
  <c r="T257" i="35"/>
  <c r="T258" i="35"/>
  <c r="T259" i="35"/>
  <c r="T260" i="35"/>
  <c r="T261" i="35"/>
  <c r="T262" i="35"/>
  <c r="T263" i="35"/>
  <c r="T264" i="35"/>
  <c r="T265" i="35"/>
  <c r="T266" i="35"/>
  <c r="T267" i="35"/>
  <c r="T268" i="35"/>
  <c r="T269" i="35"/>
  <c r="T270" i="35"/>
  <c r="T271" i="35"/>
  <c r="T272" i="35"/>
  <c r="T273" i="35"/>
  <c r="T274" i="35"/>
  <c r="T275" i="35"/>
  <c r="T276" i="35"/>
  <c r="T277" i="35"/>
  <c r="T278" i="35"/>
  <c r="T279" i="35"/>
  <c r="T280" i="35"/>
  <c r="T281" i="35"/>
  <c r="T282" i="35"/>
  <c r="T283" i="35"/>
  <c r="T284" i="35"/>
  <c r="T285" i="35"/>
  <c r="T286" i="35"/>
  <c r="T287" i="35"/>
  <c r="T288" i="35"/>
  <c r="T289" i="35"/>
  <c r="T290" i="35"/>
  <c r="T291" i="35"/>
  <c r="T292" i="35"/>
  <c r="T293" i="35"/>
  <c r="T294" i="35"/>
  <c r="T295" i="35"/>
  <c r="T296" i="35"/>
  <c r="T297" i="35"/>
  <c r="T298" i="35"/>
  <c r="T299" i="35"/>
  <c r="T300" i="35"/>
  <c r="T301" i="35"/>
  <c r="T302" i="35"/>
  <c r="T303" i="35"/>
  <c r="T304" i="35"/>
  <c r="T305" i="35"/>
  <c r="T306" i="35"/>
  <c r="T307" i="35"/>
  <c r="T308" i="35"/>
  <c r="T309" i="35"/>
  <c r="T310" i="35"/>
  <c r="T311" i="35"/>
  <c r="T312" i="35"/>
  <c r="T313" i="35"/>
  <c r="T314" i="35"/>
  <c r="T315" i="35"/>
  <c r="T316" i="35"/>
  <c r="T317" i="35"/>
  <c r="T318" i="35"/>
  <c r="T319" i="35"/>
  <c r="T320" i="35"/>
  <c r="T321" i="35"/>
  <c r="T322" i="35"/>
  <c r="T323" i="35"/>
  <c r="T324" i="35"/>
  <c r="T325" i="35"/>
  <c r="T326" i="35"/>
  <c r="T327" i="35"/>
  <c r="T328" i="35"/>
  <c r="T329" i="35"/>
  <c r="T330" i="35"/>
  <c r="T331" i="35"/>
  <c r="T332" i="35"/>
  <c r="T333" i="35"/>
  <c r="T334" i="35"/>
  <c r="T335" i="35"/>
  <c r="T336" i="35"/>
  <c r="T337" i="35"/>
  <c r="T338" i="35"/>
  <c r="T339" i="35"/>
  <c r="T340" i="35"/>
  <c r="T341" i="35"/>
  <c r="T342" i="35"/>
  <c r="T343" i="35"/>
  <c r="T344" i="35"/>
  <c r="T345" i="35"/>
  <c r="T346" i="35"/>
  <c r="T347" i="35"/>
  <c r="T348" i="35"/>
  <c r="T349" i="35"/>
  <c r="T350" i="35"/>
  <c r="T351" i="35"/>
  <c r="T352" i="35"/>
  <c r="T353" i="35"/>
  <c r="T354" i="35"/>
  <c r="T355" i="35"/>
  <c r="T356" i="35"/>
  <c r="T357" i="35"/>
  <c r="T358" i="35"/>
  <c r="T359" i="35"/>
  <c r="T360" i="35"/>
  <c r="T361" i="35"/>
  <c r="T362" i="35"/>
  <c r="T363" i="35"/>
  <c r="T364" i="35"/>
  <c r="T365" i="35"/>
  <c r="T366" i="35"/>
  <c r="T367" i="35"/>
  <c r="T368" i="35"/>
  <c r="T369" i="35"/>
  <c r="T370" i="35"/>
  <c r="T371" i="35"/>
  <c r="T372" i="35"/>
  <c r="T373" i="35"/>
  <c r="T374" i="35"/>
  <c r="T375" i="35"/>
  <c r="T376" i="35"/>
  <c r="T377" i="35"/>
  <c r="T378" i="35"/>
  <c r="T379" i="35"/>
  <c r="T380" i="35"/>
  <c r="T381" i="35"/>
  <c r="T382" i="35"/>
  <c r="T383" i="35"/>
  <c r="T384" i="35"/>
  <c r="T385" i="35"/>
  <c r="T386" i="35"/>
  <c r="T387" i="35"/>
  <c r="T388" i="35"/>
  <c r="T389" i="35"/>
  <c r="T390" i="35"/>
  <c r="T391" i="35"/>
  <c r="T392" i="35"/>
  <c r="T393" i="35"/>
  <c r="T394" i="35"/>
  <c r="T395" i="35"/>
  <c r="T396" i="35"/>
  <c r="T397" i="35"/>
  <c r="T398" i="35"/>
  <c r="T399" i="35"/>
  <c r="T400" i="35"/>
  <c r="T401" i="35"/>
  <c r="T402" i="35"/>
  <c r="T403" i="35"/>
  <c r="T404" i="35"/>
  <c r="T405" i="35"/>
  <c r="T406" i="35"/>
  <c r="T407" i="35"/>
  <c r="T408" i="35"/>
  <c r="T409" i="35"/>
  <c r="T410" i="35"/>
  <c r="T411" i="35"/>
  <c r="T412" i="35"/>
  <c r="T413" i="35"/>
  <c r="T414" i="35"/>
  <c r="T415" i="35"/>
  <c r="T416" i="35"/>
  <c r="T417" i="35"/>
  <c r="T418" i="35"/>
  <c r="T419" i="35"/>
  <c r="T420" i="35"/>
  <c r="T421" i="35"/>
  <c r="T422" i="35"/>
  <c r="T423" i="35"/>
  <c r="T424" i="35"/>
  <c r="T425" i="35"/>
  <c r="T426" i="35"/>
  <c r="T427" i="35"/>
  <c r="T428" i="35"/>
  <c r="T429" i="35"/>
  <c r="T430" i="35"/>
  <c r="T431" i="35"/>
  <c r="T432" i="35"/>
  <c r="T433" i="35"/>
  <c r="T434" i="35"/>
  <c r="T435" i="35"/>
  <c r="T436" i="35"/>
  <c r="T437" i="35"/>
  <c r="T438" i="35"/>
  <c r="T439" i="35"/>
  <c r="T440" i="35"/>
  <c r="T441" i="35"/>
  <c r="T442" i="35"/>
  <c r="T443" i="35"/>
  <c r="T444" i="35"/>
  <c r="T445" i="35"/>
  <c r="T446" i="35"/>
  <c r="T447" i="35"/>
  <c r="T448" i="35"/>
  <c r="T449" i="35"/>
  <c r="T450" i="35"/>
  <c r="T451" i="35"/>
  <c r="T452" i="35"/>
  <c r="T453" i="35"/>
  <c r="T454" i="35"/>
  <c r="T455" i="35"/>
  <c r="T456" i="35"/>
  <c r="T457" i="35"/>
  <c r="T458" i="35"/>
  <c r="T459" i="35"/>
  <c r="T460" i="35"/>
  <c r="T461" i="35"/>
  <c r="T462" i="35"/>
  <c r="T463" i="35"/>
  <c r="T464" i="35"/>
  <c r="T465" i="35"/>
  <c r="T466" i="35"/>
  <c r="T467" i="35"/>
  <c r="T468" i="35"/>
  <c r="T469" i="35"/>
  <c r="T470" i="35"/>
  <c r="T471" i="35"/>
  <c r="T472" i="35"/>
  <c r="T473" i="35"/>
  <c r="T474" i="35"/>
  <c r="T475" i="35"/>
  <c r="T476" i="35"/>
  <c r="T477" i="35"/>
  <c r="T478" i="35"/>
  <c r="T479" i="35"/>
  <c r="T480" i="35"/>
  <c r="T481" i="35"/>
  <c r="T482" i="35"/>
  <c r="T483" i="35"/>
  <c r="T484" i="35"/>
  <c r="T485" i="35"/>
  <c r="T486" i="35"/>
  <c r="T487" i="35"/>
  <c r="T488" i="35"/>
  <c r="T489" i="35"/>
  <c r="T490" i="35"/>
  <c r="T491" i="35"/>
  <c r="T492" i="35"/>
  <c r="T493" i="35"/>
  <c r="T494" i="35"/>
  <c r="T495" i="35"/>
  <c r="T496" i="35"/>
  <c r="T497" i="35"/>
  <c r="T498" i="35"/>
  <c r="T499" i="35"/>
  <c r="T500" i="35"/>
  <c r="T2" i="35"/>
  <c r="P3" i="35"/>
  <c r="P4" i="35"/>
  <c r="P5" i="35"/>
  <c r="P6" i="35"/>
  <c r="P7" i="35"/>
  <c r="P8" i="35"/>
  <c r="P9" i="35"/>
  <c r="P10" i="35"/>
  <c r="P11" i="35"/>
  <c r="P12" i="35"/>
  <c r="P13" i="35"/>
  <c r="P14" i="35"/>
  <c r="P15" i="35"/>
  <c r="P16" i="35"/>
  <c r="P17" i="35"/>
  <c r="P18" i="35"/>
  <c r="P19" i="35"/>
  <c r="P20" i="35"/>
  <c r="P21" i="35"/>
  <c r="P22" i="35"/>
  <c r="P23" i="35"/>
  <c r="P24" i="35"/>
  <c r="P25" i="35"/>
  <c r="P26" i="35"/>
  <c r="P27" i="35"/>
  <c r="P28" i="35"/>
  <c r="P29" i="35"/>
  <c r="P30" i="35"/>
  <c r="P31" i="35"/>
  <c r="P32" i="35"/>
  <c r="P33" i="35"/>
  <c r="P34" i="35"/>
  <c r="P35" i="35"/>
  <c r="P36" i="35"/>
  <c r="P37" i="35"/>
  <c r="P38" i="35"/>
  <c r="P39" i="35"/>
  <c r="P40" i="35"/>
  <c r="P41" i="35"/>
  <c r="P42" i="35"/>
  <c r="P43" i="35"/>
  <c r="P44" i="35"/>
  <c r="P45" i="35"/>
  <c r="P46" i="35"/>
  <c r="P47" i="35"/>
  <c r="P48" i="35"/>
  <c r="P49" i="35"/>
  <c r="P50" i="35"/>
  <c r="P51" i="35"/>
  <c r="P52" i="35"/>
  <c r="P53" i="35"/>
  <c r="P54" i="35"/>
  <c r="P55" i="35"/>
  <c r="P56" i="35"/>
  <c r="P57" i="35"/>
  <c r="P58" i="35"/>
  <c r="P59" i="35"/>
  <c r="P60" i="35"/>
  <c r="P61" i="35"/>
  <c r="P62" i="35"/>
  <c r="P63" i="35"/>
  <c r="P64" i="35"/>
  <c r="P65" i="35"/>
  <c r="P66" i="35"/>
  <c r="P67" i="35"/>
  <c r="P68" i="35"/>
  <c r="P69" i="35"/>
  <c r="P70" i="35"/>
  <c r="P71" i="35"/>
  <c r="P72" i="35"/>
  <c r="P73" i="35"/>
  <c r="P74" i="35"/>
  <c r="P75" i="35"/>
  <c r="P76" i="35"/>
  <c r="P77" i="35"/>
  <c r="P78" i="35"/>
  <c r="P79" i="35"/>
  <c r="P80" i="35"/>
  <c r="P81" i="35"/>
  <c r="P82" i="35"/>
  <c r="P83" i="35"/>
  <c r="P84" i="35"/>
  <c r="P85" i="35"/>
  <c r="P86" i="35"/>
  <c r="P87" i="35"/>
  <c r="P88" i="35"/>
  <c r="P89" i="35"/>
  <c r="P90" i="35"/>
  <c r="P91" i="35"/>
  <c r="P92" i="35"/>
  <c r="P93" i="35"/>
  <c r="P94" i="35"/>
  <c r="P95" i="35"/>
  <c r="P96" i="35"/>
  <c r="P97" i="35"/>
  <c r="P98" i="35"/>
  <c r="P99" i="35"/>
  <c r="P100" i="35"/>
  <c r="P101" i="35"/>
  <c r="P102" i="35"/>
  <c r="P103" i="35"/>
  <c r="P104" i="35"/>
  <c r="P105" i="35"/>
  <c r="P106" i="35"/>
  <c r="P107" i="35"/>
  <c r="P108" i="35"/>
  <c r="P109" i="35"/>
  <c r="P110" i="35"/>
  <c r="P111" i="35"/>
  <c r="P112" i="35"/>
  <c r="P113" i="35"/>
  <c r="P114" i="35"/>
  <c r="P115" i="35"/>
  <c r="P116" i="35"/>
  <c r="P117" i="35"/>
  <c r="P118" i="35"/>
  <c r="P119" i="35"/>
  <c r="P120" i="35"/>
  <c r="P121" i="35"/>
  <c r="P122" i="35"/>
  <c r="P123" i="35"/>
  <c r="P124" i="35"/>
  <c r="P125" i="35"/>
  <c r="P126" i="35"/>
  <c r="P127" i="35"/>
  <c r="P128" i="35"/>
  <c r="P129" i="35"/>
  <c r="P130" i="35"/>
  <c r="P131" i="35"/>
  <c r="P132" i="35"/>
  <c r="P133" i="35"/>
  <c r="P134" i="35"/>
  <c r="P135" i="35"/>
  <c r="P136" i="35"/>
  <c r="P137" i="35"/>
  <c r="P138" i="35"/>
  <c r="P139" i="35"/>
  <c r="P140" i="35"/>
  <c r="P141" i="35"/>
  <c r="P142" i="35"/>
  <c r="P143" i="35"/>
  <c r="P144" i="35"/>
  <c r="P145" i="35"/>
  <c r="P146" i="35"/>
  <c r="P147" i="35"/>
  <c r="P148" i="35"/>
  <c r="P149" i="35"/>
  <c r="P150" i="35"/>
  <c r="P151" i="35"/>
  <c r="P152" i="35"/>
  <c r="P153" i="35"/>
  <c r="P154" i="35"/>
  <c r="P155" i="35"/>
  <c r="P156" i="35"/>
  <c r="P157" i="35"/>
  <c r="P158" i="35"/>
  <c r="P159" i="35"/>
  <c r="P160" i="35"/>
  <c r="P161" i="35"/>
  <c r="P162" i="35"/>
  <c r="P163" i="35"/>
  <c r="P164" i="35"/>
  <c r="P165" i="35"/>
  <c r="P166" i="35"/>
  <c r="P167" i="35"/>
  <c r="P168" i="35"/>
  <c r="P169" i="35"/>
  <c r="P170" i="35"/>
  <c r="P171" i="35"/>
  <c r="P172" i="35"/>
  <c r="P173" i="35"/>
  <c r="P174" i="35"/>
  <c r="P175" i="35"/>
  <c r="P176" i="35"/>
  <c r="P177" i="35"/>
  <c r="P178" i="35"/>
  <c r="P179" i="35"/>
  <c r="P180" i="35"/>
  <c r="P181" i="35"/>
  <c r="P182" i="35"/>
  <c r="P183" i="35"/>
  <c r="P184" i="35"/>
  <c r="P185" i="35"/>
  <c r="P186" i="35"/>
  <c r="P187" i="35"/>
  <c r="P188" i="35"/>
  <c r="P189" i="35"/>
  <c r="P190" i="35"/>
  <c r="P191" i="35"/>
  <c r="P192" i="35"/>
  <c r="P193" i="35"/>
  <c r="P194" i="35"/>
  <c r="P195" i="35"/>
  <c r="P196" i="35"/>
  <c r="P197" i="35"/>
  <c r="P198" i="35"/>
  <c r="P199" i="35"/>
  <c r="P200" i="35"/>
  <c r="P201" i="35"/>
  <c r="P202" i="35"/>
  <c r="P203" i="35"/>
  <c r="P204" i="35"/>
  <c r="P205" i="35"/>
  <c r="P206" i="35"/>
  <c r="P207" i="35"/>
  <c r="P208" i="35"/>
  <c r="P209" i="35"/>
  <c r="P210" i="35"/>
  <c r="P211" i="35"/>
  <c r="P212" i="35"/>
  <c r="P213" i="35"/>
  <c r="P214" i="35"/>
  <c r="P215" i="35"/>
  <c r="P216" i="35"/>
  <c r="P217" i="35"/>
  <c r="P218" i="35"/>
  <c r="P219" i="35"/>
  <c r="P220" i="35"/>
  <c r="P221" i="35"/>
  <c r="P222" i="35"/>
  <c r="P223" i="35"/>
  <c r="P224" i="35"/>
  <c r="P225" i="35"/>
  <c r="P226" i="35"/>
  <c r="P227" i="35"/>
  <c r="P228" i="35"/>
  <c r="P229" i="35"/>
  <c r="P230" i="35"/>
  <c r="P231" i="35"/>
  <c r="P232" i="35"/>
  <c r="P233" i="35"/>
  <c r="P234" i="35"/>
  <c r="P235" i="35"/>
  <c r="P236" i="35"/>
  <c r="P237" i="35"/>
  <c r="P238" i="35"/>
  <c r="P239" i="35"/>
  <c r="P240" i="35"/>
  <c r="P241" i="35"/>
  <c r="P242" i="35"/>
  <c r="P243" i="35"/>
  <c r="P244" i="35"/>
  <c r="P245" i="35"/>
  <c r="P246" i="35"/>
  <c r="P247" i="35"/>
  <c r="P248" i="35"/>
  <c r="P249" i="35"/>
  <c r="P250" i="35"/>
  <c r="P251" i="35"/>
  <c r="P252" i="35"/>
  <c r="P253" i="35"/>
  <c r="P254" i="35"/>
  <c r="P255" i="35"/>
  <c r="P256" i="35"/>
  <c r="P257" i="35"/>
  <c r="P258" i="35"/>
  <c r="P259" i="35"/>
  <c r="P260" i="35"/>
  <c r="P261" i="35"/>
  <c r="P262" i="35"/>
  <c r="P263" i="35"/>
  <c r="P264" i="35"/>
  <c r="P265" i="35"/>
  <c r="P266" i="35"/>
  <c r="P267" i="35"/>
  <c r="P268" i="35"/>
  <c r="P269" i="35"/>
  <c r="P270" i="35"/>
  <c r="P271" i="35"/>
  <c r="P272" i="35"/>
  <c r="P273" i="35"/>
  <c r="P274" i="35"/>
  <c r="P275" i="35"/>
  <c r="P276" i="35"/>
  <c r="P277" i="35"/>
  <c r="P278" i="35"/>
  <c r="P279" i="35"/>
  <c r="P280" i="35"/>
  <c r="P281" i="35"/>
  <c r="P282" i="35"/>
  <c r="P283" i="35"/>
  <c r="P284" i="35"/>
  <c r="P285" i="35"/>
  <c r="P286" i="35"/>
  <c r="P287" i="35"/>
  <c r="P288" i="35"/>
  <c r="P289" i="35"/>
  <c r="P290" i="35"/>
  <c r="P291" i="35"/>
  <c r="P292" i="35"/>
  <c r="P293" i="35"/>
  <c r="P294" i="35"/>
  <c r="P295" i="35"/>
  <c r="P296" i="35"/>
  <c r="P297" i="35"/>
  <c r="P298" i="35"/>
  <c r="P299" i="35"/>
  <c r="P300" i="35"/>
  <c r="P301" i="35"/>
  <c r="P302" i="35"/>
  <c r="P303" i="35"/>
  <c r="P304" i="35"/>
  <c r="P305" i="35"/>
  <c r="P306" i="35"/>
  <c r="P307" i="35"/>
  <c r="P308" i="35"/>
  <c r="P309" i="35"/>
  <c r="P310" i="35"/>
  <c r="P311" i="35"/>
  <c r="P312" i="35"/>
  <c r="P313" i="35"/>
  <c r="P314" i="35"/>
  <c r="P315" i="35"/>
  <c r="P316" i="35"/>
  <c r="P317" i="35"/>
  <c r="P318" i="35"/>
  <c r="P319" i="35"/>
  <c r="P320" i="35"/>
  <c r="P321" i="35"/>
  <c r="P322" i="35"/>
  <c r="P323" i="35"/>
  <c r="P324" i="35"/>
  <c r="P325" i="35"/>
  <c r="P326" i="35"/>
  <c r="P327" i="35"/>
  <c r="P328" i="35"/>
  <c r="P329" i="35"/>
  <c r="P330" i="35"/>
  <c r="P331" i="35"/>
  <c r="P332" i="35"/>
  <c r="P333" i="35"/>
  <c r="P334" i="35"/>
  <c r="P335" i="35"/>
  <c r="P336" i="35"/>
  <c r="P337" i="35"/>
  <c r="P338" i="35"/>
  <c r="P339" i="35"/>
  <c r="P340" i="35"/>
  <c r="P341" i="35"/>
  <c r="P342" i="35"/>
  <c r="P343" i="35"/>
  <c r="P344" i="35"/>
  <c r="P345" i="35"/>
  <c r="P346" i="35"/>
  <c r="P347" i="35"/>
  <c r="P348" i="35"/>
  <c r="P349" i="35"/>
  <c r="P350" i="35"/>
  <c r="P351" i="35"/>
  <c r="P352" i="35"/>
  <c r="P353" i="35"/>
  <c r="P354" i="35"/>
  <c r="P355" i="35"/>
  <c r="P356" i="35"/>
  <c r="P357" i="35"/>
  <c r="P358" i="35"/>
  <c r="P359" i="35"/>
  <c r="P360" i="35"/>
  <c r="P361" i="35"/>
  <c r="P362" i="35"/>
  <c r="P363" i="35"/>
  <c r="P364" i="35"/>
  <c r="P365" i="35"/>
  <c r="P366" i="35"/>
  <c r="P367" i="35"/>
  <c r="P368" i="35"/>
  <c r="P369" i="35"/>
  <c r="P370" i="35"/>
  <c r="P371" i="35"/>
  <c r="P372" i="35"/>
  <c r="P373" i="35"/>
  <c r="P374" i="35"/>
  <c r="P375" i="35"/>
  <c r="P376" i="35"/>
  <c r="P377" i="35"/>
  <c r="P378" i="35"/>
  <c r="P379" i="35"/>
  <c r="P380" i="35"/>
  <c r="P381" i="35"/>
  <c r="P382" i="35"/>
  <c r="P383" i="35"/>
  <c r="P384" i="35"/>
  <c r="P385" i="35"/>
  <c r="P386" i="35"/>
  <c r="P387" i="35"/>
  <c r="P388" i="35"/>
  <c r="P389" i="35"/>
  <c r="P390" i="35"/>
  <c r="P391" i="35"/>
  <c r="P392" i="35"/>
  <c r="P393" i="35"/>
  <c r="P394" i="35"/>
  <c r="P395" i="35"/>
  <c r="P396" i="35"/>
  <c r="P397" i="35"/>
  <c r="P398" i="35"/>
  <c r="P399" i="35"/>
  <c r="P400" i="35"/>
  <c r="P401" i="35"/>
  <c r="P402" i="35"/>
  <c r="P403" i="35"/>
  <c r="P404" i="35"/>
  <c r="P405" i="35"/>
  <c r="P406" i="35"/>
  <c r="P407" i="35"/>
  <c r="P408" i="35"/>
  <c r="P409" i="35"/>
  <c r="P410" i="35"/>
  <c r="P411" i="35"/>
  <c r="P412" i="35"/>
  <c r="P413" i="35"/>
  <c r="P414" i="35"/>
  <c r="P415" i="35"/>
  <c r="P416" i="35"/>
  <c r="P417" i="35"/>
  <c r="P418" i="35"/>
  <c r="P419" i="35"/>
  <c r="P420" i="35"/>
  <c r="P421" i="35"/>
  <c r="P422" i="35"/>
  <c r="P423" i="35"/>
  <c r="P424" i="35"/>
  <c r="P425" i="35"/>
  <c r="P426" i="35"/>
  <c r="P427" i="35"/>
  <c r="P428" i="35"/>
  <c r="P429" i="35"/>
  <c r="P430" i="35"/>
  <c r="P431" i="35"/>
  <c r="P432" i="35"/>
  <c r="P433" i="35"/>
  <c r="P434" i="35"/>
  <c r="P435" i="35"/>
  <c r="P436" i="35"/>
  <c r="P437" i="35"/>
  <c r="P438" i="35"/>
  <c r="P439" i="35"/>
  <c r="P440" i="35"/>
  <c r="P441" i="35"/>
  <c r="P442" i="35"/>
  <c r="P443" i="35"/>
  <c r="P444" i="35"/>
  <c r="P445" i="35"/>
  <c r="P446" i="35"/>
  <c r="P447" i="35"/>
  <c r="P448" i="35"/>
  <c r="P449" i="35"/>
  <c r="P450" i="35"/>
  <c r="P451" i="35"/>
  <c r="P452" i="35"/>
  <c r="P453" i="35"/>
  <c r="P454" i="35"/>
  <c r="P455" i="35"/>
  <c r="P456" i="35"/>
  <c r="P457" i="35"/>
  <c r="P458" i="35"/>
  <c r="P459" i="35"/>
  <c r="P460" i="35"/>
  <c r="P461" i="35"/>
  <c r="P462" i="35"/>
  <c r="P463" i="35"/>
  <c r="P464" i="35"/>
  <c r="P465" i="35"/>
  <c r="P466" i="35"/>
  <c r="P467" i="35"/>
  <c r="P468" i="35"/>
  <c r="P469" i="35"/>
  <c r="P470" i="35"/>
  <c r="P471" i="35"/>
  <c r="P472" i="35"/>
  <c r="P473" i="35"/>
  <c r="P474" i="35"/>
  <c r="P475" i="35"/>
  <c r="P476" i="35"/>
  <c r="P477" i="35"/>
  <c r="P478" i="35"/>
  <c r="P479" i="35"/>
  <c r="P480" i="35"/>
  <c r="P481" i="35"/>
  <c r="P482" i="35"/>
  <c r="P483" i="35"/>
  <c r="P484" i="35"/>
  <c r="P485" i="35"/>
  <c r="P486" i="35"/>
  <c r="P487" i="35"/>
  <c r="P488" i="35"/>
  <c r="P489" i="35"/>
  <c r="P490" i="35"/>
  <c r="P491" i="35"/>
  <c r="P492" i="35"/>
  <c r="P493" i="35"/>
  <c r="P494" i="35"/>
  <c r="P495" i="35"/>
  <c r="P496" i="35"/>
  <c r="P497" i="35"/>
  <c r="P498" i="35"/>
  <c r="P499" i="35"/>
  <c r="P500" i="35"/>
  <c r="P2" i="35"/>
  <c r="O3" i="35"/>
  <c r="O4" i="35"/>
  <c r="O5" i="35"/>
  <c r="O6" i="35"/>
  <c r="O7" i="35"/>
  <c r="O8" i="35"/>
  <c r="O9" i="35"/>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200" i="35"/>
  <c r="O201" i="35"/>
  <c r="O202" i="35"/>
  <c r="O203" i="35"/>
  <c r="O204" i="35"/>
  <c r="O205" i="35"/>
  <c r="O206" i="35"/>
  <c r="O207" i="35"/>
  <c r="O208" i="35"/>
  <c r="O209" i="35"/>
  <c r="O210" i="35"/>
  <c r="O211" i="35"/>
  <c r="O212" i="35"/>
  <c r="O213" i="35"/>
  <c r="O214" i="35"/>
  <c r="O215" i="35"/>
  <c r="O216" i="35"/>
  <c r="O217" i="35"/>
  <c r="O218" i="35"/>
  <c r="O219" i="35"/>
  <c r="O220" i="35"/>
  <c r="O221" i="35"/>
  <c r="O222" i="35"/>
  <c r="O223" i="35"/>
  <c r="O224" i="35"/>
  <c r="O225" i="35"/>
  <c r="O226" i="35"/>
  <c r="O227" i="35"/>
  <c r="O228" i="35"/>
  <c r="O229" i="35"/>
  <c r="O230" i="35"/>
  <c r="O231" i="35"/>
  <c r="O232" i="35"/>
  <c r="O233" i="35"/>
  <c r="O234" i="35"/>
  <c r="O235" i="35"/>
  <c r="O236" i="35"/>
  <c r="O237" i="35"/>
  <c r="O238" i="35"/>
  <c r="O239" i="35"/>
  <c r="O240" i="35"/>
  <c r="O241" i="35"/>
  <c r="O242" i="35"/>
  <c r="O243" i="35"/>
  <c r="O244" i="35"/>
  <c r="O245" i="35"/>
  <c r="O246" i="35"/>
  <c r="O247" i="35"/>
  <c r="O248" i="35"/>
  <c r="O249" i="35"/>
  <c r="O250" i="35"/>
  <c r="O251" i="35"/>
  <c r="O252" i="35"/>
  <c r="O253" i="35"/>
  <c r="O254" i="35"/>
  <c r="O255" i="35"/>
  <c r="O256" i="35"/>
  <c r="O257" i="35"/>
  <c r="O258" i="35"/>
  <c r="O259" i="35"/>
  <c r="O260" i="35"/>
  <c r="O261" i="35"/>
  <c r="O262" i="35"/>
  <c r="O263" i="35"/>
  <c r="O264" i="35"/>
  <c r="O265" i="35"/>
  <c r="O266" i="35"/>
  <c r="O267" i="35"/>
  <c r="O268" i="35"/>
  <c r="O269" i="35"/>
  <c r="O270" i="35"/>
  <c r="O271" i="35"/>
  <c r="O272" i="35"/>
  <c r="O273" i="35"/>
  <c r="O274" i="35"/>
  <c r="O275" i="35"/>
  <c r="O276" i="35"/>
  <c r="O277" i="35"/>
  <c r="O278" i="35"/>
  <c r="O279" i="35"/>
  <c r="O280" i="35"/>
  <c r="O281" i="35"/>
  <c r="O282" i="35"/>
  <c r="O283" i="35"/>
  <c r="O284" i="35"/>
  <c r="O285" i="35"/>
  <c r="O286" i="35"/>
  <c r="O287" i="35"/>
  <c r="O288" i="35"/>
  <c r="O289" i="35"/>
  <c r="O290" i="35"/>
  <c r="O291" i="35"/>
  <c r="O292" i="35"/>
  <c r="O293" i="35"/>
  <c r="O294" i="35"/>
  <c r="O295" i="35"/>
  <c r="O296" i="35"/>
  <c r="O297" i="35"/>
  <c r="O298" i="35"/>
  <c r="O299" i="35"/>
  <c r="O300" i="35"/>
  <c r="O301" i="35"/>
  <c r="O302" i="35"/>
  <c r="O303" i="35"/>
  <c r="O304" i="35"/>
  <c r="O305" i="35"/>
  <c r="O306" i="35"/>
  <c r="O307" i="35"/>
  <c r="O308" i="35"/>
  <c r="O309" i="35"/>
  <c r="O310" i="35"/>
  <c r="O311" i="35"/>
  <c r="O312" i="35"/>
  <c r="O313" i="35"/>
  <c r="O314" i="35"/>
  <c r="O315" i="35"/>
  <c r="O316" i="35"/>
  <c r="O317" i="35"/>
  <c r="O318" i="35"/>
  <c r="O319" i="35"/>
  <c r="O320" i="35"/>
  <c r="O321" i="35"/>
  <c r="O322" i="35"/>
  <c r="O323" i="35"/>
  <c r="O324" i="35"/>
  <c r="O325" i="35"/>
  <c r="O326" i="35"/>
  <c r="O327" i="35"/>
  <c r="O328" i="35"/>
  <c r="O329" i="35"/>
  <c r="O330" i="35"/>
  <c r="O331" i="35"/>
  <c r="O332" i="35"/>
  <c r="O333" i="35"/>
  <c r="O334" i="35"/>
  <c r="O335" i="35"/>
  <c r="O336" i="35"/>
  <c r="O337" i="35"/>
  <c r="O338" i="35"/>
  <c r="O339" i="35"/>
  <c r="O340" i="35"/>
  <c r="O341" i="35"/>
  <c r="O342" i="35"/>
  <c r="O343" i="35"/>
  <c r="O344" i="35"/>
  <c r="O345" i="35"/>
  <c r="O346" i="35"/>
  <c r="O347" i="35"/>
  <c r="O348" i="35"/>
  <c r="O349" i="35"/>
  <c r="O350" i="35"/>
  <c r="O351" i="35"/>
  <c r="O352" i="35"/>
  <c r="O353" i="35"/>
  <c r="O354" i="35"/>
  <c r="O355" i="35"/>
  <c r="O356" i="35"/>
  <c r="O357" i="35"/>
  <c r="O358" i="35"/>
  <c r="O359" i="35"/>
  <c r="O360" i="35"/>
  <c r="O361" i="35"/>
  <c r="O362" i="35"/>
  <c r="O363" i="35"/>
  <c r="O364" i="35"/>
  <c r="O365" i="35"/>
  <c r="O366" i="35"/>
  <c r="O367" i="35"/>
  <c r="O368" i="35"/>
  <c r="O369" i="35"/>
  <c r="O370" i="35"/>
  <c r="O371" i="35"/>
  <c r="O372" i="35"/>
  <c r="O373" i="35"/>
  <c r="O374" i="35"/>
  <c r="O375" i="35"/>
  <c r="O376" i="35"/>
  <c r="O377" i="35"/>
  <c r="O378" i="35"/>
  <c r="O379" i="35"/>
  <c r="O380" i="35"/>
  <c r="O381" i="35"/>
  <c r="O382" i="35"/>
  <c r="O383" i="35"/>
  <c r="O384" i="35"/>
  <c r="O385" i="35"/>
  <c r="O386" i="35"/>
  <c r="O387" i="35"/>
  <c r="O388" i="35"/>
  <c r="O389" i="35"/>
  <c r="O390" i="35"/>
  <c r="O391" i="35"/>
  <c r="O392" i="35"/>
  <c r="O393" i="35"/>
  <c r="O394" i="35"/>
  <c r="O395" i="35"/>
  <c r="O396" i="35"/>
  <c r="O397" i="35"/>
  <c r="O398" i="35"/>
  <c r="O399" i="35"/>
  <c r="O400" i="35"/>
  <c r="O401" i="35"/>
  <c r="O402" i="35"/>
  <c r="O403" i="35"/>
  <c r="O404" i="35"/>
  <c r="O405" i="35"/>
  <c r="O406" i="35"/>
  <c r="O407" i="35"/>
  <c r="O408" i="35"/>
  <c r="O409" i="35"/>
  <c r="O410" i="35"/>
  <c r="O411" i="35"/>
  <c r="O412" i="35"/>
  <c r="O413" i="35"/>
  <c r="O414" i="35"/>
  <c r="O415" i="35"/>
  <c r="O416" i="35"/>
  <c r="O417" i="35"/>
  <c r="O418" i="35"/>
  <c r="O419" i="35"/>
  <c r="O420" i="35"/>
  <c r="O421" i="35"/>
  <c r="O422" i="35"/>
  <c r="O423" i="35"/>
  <c r="O424" i="35"/>
  <c r="O425" i="35"/>
  <c r="O426" i="35"/>
  <c r="O427" i="35"/>
  <c r="O428" i="35"/>
  <c r="O429" i="35"/>
  <c r="O430" i="35"/>
  <c r="O431" i="35"/>
  <c r="O432" i="35"/>
  <c r="O433" i="35"/>
  <c r="O434" i="35"/>
  <c r="O435" i="35"/>
  <c r="O436" i="35"/>
  <c r="O437" i="35"/>
  <c r="O438" i="35"/>
  <c r="O439" i="35"/>
  <c r="O440" i="35"/>
  <c r="O441" i="35"/>
  <c r="O442" i="35"/>
  <c r="O443" i="35"/>
  <c r="O444" i="35"/>
  <c r="O445" i="35"/>
  <c r="O446" i="35"/>
  <c r="O447" i="35"/>
  <c r="O448" i="35"/>
  <c r="O449" i="35"/>
  <c r="O450" i="35"/>
  <c r="O451" i="35"/>
  <c r="O452" i="35"/>
  <c r="O453" i="35"/>
  <c r="O454" i="35"/>
  <c r="O455" i="35"/>
  <c r="O456" i="35"/>
  <c r="O457" i="35"/>
  <c r="O458" i="35"/>
  <c r="O459" i="35"/>
  <c r="O460" i="35"/>
  <c r="O461" i="35"/>
  <c r="O462" i="35"/>
  <c r="O463" i="35"/>
  <c r="O464" i="35"/>
  <c r="O465" i="35"/>
  <c r="O466" i="35"/>
  <c r="O467" i="35"/>
  <c r="O468" i="35"/>
  <c r="O469" i="35"/>
  <c r="O470" i="35"/>
  <c r="O471" i="35"/>
  <c r="O472" i="35"/>
  <c r="O473" i="35"/>
  <c r="O474" i="35"/>
  <c r="O475" i="35"/>
  <c r="O476" i="35"/>
  <c r="O477" i="35"/>
  <c r="O478" i="35"/>
  <c r="O479" i="35"/>
  <c r="O480" i="35"/>
  <c r="O481" i="35"/>
  <c r="O482" i="35"/>
  <c r="O483" i="35"/>
  <c r="O484" i="35"/>
  <c r="O485" i="35"/>
  <c r="O486" i="35"/>
  <c r="O487" i="35"/>
  <c r="O488" i="35"/>
  <c r="O489" i="35"/>
  <c r="O490" i="35"/>
  <c r="O491" i="35"/>
  <c r="O492" i="35"/>
  <c r="O493" i="35"/>
  <c r="O494" i="35"/>
  <c r="O495" i="35"/>
  <c r="O496" i="35"/>
  <c r="O497" i="35"/>
  <c r="O498" i="35"/>
  <c r="O499" i="35"/>
  <c r="O500" i="35"/>
  <c r="O2" i="35"/>
  <c r="O27" i="48"/>
  <c r="O26" i="48"/>
  <c r="O25" i="48"/>
  <c r="O24" i="48"/>
  <c r="O23" i="48"/>
  <c r="O22" i="48"/>
  <c r="O21" i="48"/>
  <c r="O20" i="48"/>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Q2" i="16"/>
  <c r="P2" i="16"/>
  <c r="C26" i="20"/>
  <c r="C25" i="20"/>
  <c r="C24" i="20"/>
  <c r="C23" i="20"/>
  <c r="C22" i="20"/>
  <c r="C21" i="20"/>
  <c r="C20" i="20"/>
  <c r="C19" i="20"/>
  <c r="C18" i="20"/>
  <c r="C17" i="20"/>
  <c r="C16" i="20"/>
  <c r="C15" i="20"/>
  <c r="C14" i="20"/>
  <c r="C13" i="20"/>
  <c r="C12" i="20"/>
  <c r="C11" i="20"/>
  <c r="C10" i="20"/>
  <c r="C9" i="20"/>
  <c r="C8" i="20"/>
  <c r="C7" i="20"/>
  <c r="C6" i="20"/>
  <c r="T45" i="16"/>
  <c r="T58"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406" i="16"/>
  <c r="T407" i="16"/>
  <c r="T408" i="16"/>
  <c r="T409" i="16"/>
  <c r="T410" i="16"/>
  <c r="T411" i="16"/>
  <c r="T412" i="16"/>
  <c r="T413" i="16"/>
  <c r="T414" i="16"/>
  <c r="T415" i="16"/>
  <c r="T416" i="16"/>
  <c r="T417" i="16"/>
  <c r="T418" i="16"/>
  <c r="T419" i="16"/>
  <c r="T420" i="16"/>
  <c r="T421" i="16"/>
  <c r="T422" i="16"/>
  <c r="T423" i="16"/>
  <c r="T424" i="16"/>
  <c r="T425" i="16"/>
  <c r="T426" i="16"/>
  <c r="T427" i="16"/>
  <c r="T428" i="16"/>
  <c r="T429" i="16"/>
  <c r="T430" i="16"/>
  <c r="T431" i="16"/>
  <c r="T432" i="16"/>
  <c r="T433" i="16"/>
  <c r="T434" i="16"/>
  <c r="T435" i="16"/>
  <c r="T436" i="16"/>
  <c r="T437" i="16"/>
  <c r="T438" i="16"/>
  <c r="T439" i="16"/>
  <c r="T440" i="16"/>
  <c r="T441" i="16"/>
  <c r="T442" i="16"/>
  <c r="T443" i="16"/>
  <c r="T444" i="16"/>
  <c r="T445" i="16"/>
  <c r="T446" i="16"/>
  <c r="T447" i="16"/>
  <c r="T448" i="16"/>
  <c r="T449" i="16"/>
  <c r="T450" i="16"/>
  <c r="T451" i="16"/>
  <c r="T452" i="16"/>
  <c r="T453" i="16"/>
  <c r="T454" i="16"/>
  <c r="T455" i="16"/>
  <c r="T456" i="16"/>
  <c r="T457" i="16"/>
  <c r="T458" i="16"/>
  <c r="T459" i="16"/>
  <c r="T460" i="16"/>
  <c r="T461" i="16"/>
  <c r="T462" i="16"/>
  <c r="T463" i="16"/>
  <c r="T464" i="16"/>
  <c r="T465" i="16"/>
  <c r="T466" i="16"/>
  <c r="T467" i="16"/>
  <c r="T468" i="16"/>
  <c r="T469" i="16"/>
  <c r="T470" i="16"/>
  <c r="T471" i="16"/>
  <c r="T472" i="16"/>
  <c r="T473" i="16"/>
  <c r="T474" i="16"/>
  <c r="T475" i="16"/>
  <c r="T476" i="16"/>
  <c r="T477" i="16"/>
  <c r="T478" i="16"/>
  <c r="T479" i="16"/>
  <c r="T480" i="16"/>
  <c r="T481" i="16"/>
  <c r="T482" i="16"/>
  <c r="T483" i="16"/>
  <c r="T484" i="16"/>
  <c r="T485" i="16"/>
  <c r="T486" i="16"/>
  <c r="T487" i="16"/>
  <c r="T488" i="16"/>
  <c r="T489" i="16"/>
  <c r="T490" i="16"/>
  <c r="T491" i="16"/>
  <c r="T492" i="16"/>
  <c r="T493" i="16"/>
  <c r="T494" i="16"/>
  <c r="T495" i="16"/>
  <c r="T496" i="16"/>
  <c r="T497" i="16"/>
  <c r="T498" i="16"/>
  <c r="T499" i="16"/>
  <c r="T500" i="16"/>
  <c r="AP22" i="18"/>
  <c r="AO22" i="18"/>
  <c r="AN22" i="18"/>
  <c r="AM22" i="18"/>
  <c r="AL22" i="18"/>
  <c r="AK22" i="18"/>
  <c r="AJ22" i="18"/>
  <c r="AI22" i="18"/>
  <c r="AH22" i="18"/>
  <c r="AG22" i="18"/>
  <c r="AP20" i="18"/>
  <c r="AO20" i="18"/>
  <c r="AN20" i="18"/>
  <c r="AM20" i="18"/>
  <c r="AL20" i="18"/>
  <c r="AK20" i="18"/>
  <c r="AJ20" i="18"/>
  <c r="AI20" i="18"/>
  <c r="AH20" i="18"/>
  <c r="AG20" i="18"/>
  <c r="C119" i="27" l="1"/>
  <c r="N153" i="27"/>
  <c r="M153" i="27"/>
  <c r="L153" i="27"/>
  <c r="K153" i="27"/>
  <c r="J153" i="27"/>
  <c r="I153" i="27"/>
  <c r="H153" i="27"/>
  <c r="G153" i="27"/>
  <c r="F153" i="27"/>
  <c r="E153" i="27"/>
  <c r="D153" i="27"/>
  <c r="C153" i="27"/>
  <c r="N152" i="27"/>
  <c r="M152" i="27"/>
  <c r="L152" i="27"/>
  <c r="K152" i="27"/>
  <c r="J152" i="27"/>
  <c r="I152" i="27"/>
  <c r="H152" i="27"/>
  <c r="G152" i="27"/>
  <c r="F152" i="27"/>
  <c r="E152" i="27"/>
  <c r="D152" i="27"/>
  <c r="C152" i="27"/>
  <c r="N151" i="27"/>
  <c r="M151" i="27"/>
  <c r="L151" i="27"/>
  <c r="K151" i="27"/>
  <c r="J151" i="27"/>
  <c r="I151" i="27"/>
  <c r="H151" i="27"/>
  <c r="G151" i="27"/>
  <c r="F151" i="27"/>
  <c r="E151" i="27"/>
  <c r="D151" i="27"/>
  <c r="C151" i="27"/>
  <c r="N150" i="27"/>
  <c r="M150" i="27"/>
  <c r="L150" i="27"/>
  <c r="K150" i="27"/>
  <c r="J150" i="27"/>
  <c r="I150" i="27"/>
  <c r="H150" i="27"/>
  <c r="G150" i="27"/>
  <c r="F150" i="27"/>
  <c r="E150" i="27"/>
  <c r="D150" i="27"/>
  <c r="C150" i="27"/>
  <c r="N149" i="27"/>
  <c r="M149" i="27"/>
  <c r="L149" i="27"/>
  <c r="K149" i="27"/>
  <c r="J149" i="27"/>
  <c r="I149" i="27"/>
  <c r="H149" i="27"/>
  <c r="G149" i="27"/>
  <c r="F149" i="27"/>
  <c r="E149" i="27"/>
  <c r="D149" i="27"/>
  <c r="C149" i="27"/>
  <c r="N148" i="27"/>
  <c r="M148" i="27"/>
  <c r="L148" i="27"/>
  <c r="K148" i="27"/>
  <c r="J148" i="27"/>
  <c r="I148" i="27"/>
  <c r="H148" i="27"/>
  <c r="G148" i="27"/>
  <c r="F148" i="27"/>
  <c r="E148" i="27"/>
  <c r="D148" i="27"/>
  <c r="C148" i="27"/>
  <c r="N147" i="27"/>
  <c r="M147" i="27"/>
  <c r="L147" i="27"/>
  <c r="K147" i="27"/>
  <c r="J147" i="27"/>
  <c r="I147" i="27"/>
  <c r="H147" i="27"/>
  <c r="G147" i="27"/>
  <c r="F147" i="27"/>
  <c r="E147" i="27"/>
  <c r="D147" i="27"/>
  <c r="C147" i="27"/>
  <c r="N146" i="27"/>
  <c r="M146" i="27"/>
  <c r="L146" i="27"/>
  <c r="K146" i="27"/>
  <c r="J146" i="27"/>
  <c r="I146" i="27"/>
  <c r="H146" i="27"/>
  <c r="G146" i="27"/>
  <c r="F146" i="27"/>
  <c r="E146" i="27"/>
  <c r="D146" i="27"/>
  <c r="C146" i="27"/>
  <c r="N145" i="27"/>
  <c r="M145" i="27"/>
  <c r="L145" i="27"/>
  <c r="K145" i="27"/>
  <c r="J145" i="27"/>
  <c r="I145" i="27"/>
  <c r="H145" i="27"/>
  <c r="G145" i="27"/>
  <c r="F145" i="27"/>
  <c r="E145" i="27"/>
  <c r="D145" i="27"/>
  <c r="C145" i="27"/>
  <c r="N144" i="27"/>
  <c r="M144" i="27"/>
  <c r="L144" i="27"/>
  <c r="K144" i="27"/>
  <c r="J144" i="27"/>
  <c r="I144" i="27"/>
  <c r="H144" i="27"/>
  <c r="G144" i="27"/>
  <c r="F144" i="27"/>
  <c r="E144" i="27"/>
  <c r="D144" i="27"/>
  <c r="C144" i="27"/>
  <c r="N143" i="27"/>
  <c r="M143" i="27"/>
  <c r="L143" i="27"/>
  <c r="K143" i="27"/>
  <c r="J143" i="27"/>
  <c r="I143" i="27"/>
  <c r="H143" i="27"/>
  <c r="G143" i="27"/>
  <c r="F143" i="27"/>
  <c r="E143" i="27"/>
  <c r="D143" i="27"/>
  <c r="C143" i="27"/>
  <c r="N142" i="27"/>
  <c r="M142" i="27"/>
  <c r="L142" i="27"/>
  <c r="K142" i="27"/>
  <c r="J142" i="27"/>
  <c r="I142" i="27"/>
  <c r="H142" i="27"/>
  <c r="G142" i="27"/>
  <c r="F142" i="27"/>
  <c r="E142" i="27"/>
  <c r="D142" i="27"/>
  <c r="C142" i="27"/>
  <c r="N141" i="27"/>
  <c r="M141" i="27"/>
  <c r="L141" i="27"/>
  <c r="K141" i="27"/>
  <c r="J141" i="27"/>
  <c r="I141" i="27"/>
  <c r="H141" i="27"/>
  <c r="G141" i="27"/>
  <c r="F141" i="27"/>
  <c r="E141" i="27"/>
  <c r="D141" i="27"/>
  <c r="C141" i="27"/>
  <c r="N140" i="27"/>
  <c r="M140" i="27"/>
  <c r="L140" i="27"/>
  <c r="K140" i="27"/>
  <c r="J140" i="27"/>
  <c r="I140" i="27"/>
  <c r="H140" i="27"/>
  <c r="G140" i="27"/>
  <c r="F140" i="27"/>
  <c r="E140" i="27"/>
  <c r="D140" i="27"/>
  <c r="C140" i="27"/>
  <c r="N139" i="27"/>
  <c r="M139" i="27"/>
  <c r="L139" i="27"/>
  <c r="K139" i="27"/>
  <c r="J139" i="27"/>
  <c r="I139" i="27"/>
  <c r="H139" i="27"/>
  <c r="G139" i="27"/>
  <c r="F139" i="27"/>
  <c r="E139" i="27"/>
  <c r="D139" i="27"/>
  <c r="C139" i="27"/>
  <c r="N138" i="27"/>
  <c r="M138" i="27"/>
  <c r="L138" i="27"/>
  <c r="K138" i="27"/>
  <c r="J138" i="27"/>
  <c r="I138" i="27"/>
  <c r="H138" i="27"/>
  <c r="G138" i="27"/>
  <c r="G154" i="27" s="1"/>
  <c r="F138" i="27"/>
  <c r="E138" i="27"/>
  <c r="D138" i="27"/>
  <c r="C138" i="27"/>
  <c r="N134" i="27"/>
  <c r="M134" i="27"/>
  <c r="L134" i="27"/>
  <c r="K134" i="27"/>
  <c r="J134" i="27"/>
  <c r="I134" i="27"/>
  <c r="H134" i="27"/>
  <c r="G134" i="27"/>
  <c r="F134" i="27"/>
  <c r="E134" i="27"/>
  <c r="D134" i="27"/>
  <c r="C134" i="27"/>
  <c r="N133" i="27"/>
  <c r="M133" i="27"/>
  <c r="L133" i="27"/>
  <c r="K133" i="27"/>
  <c r="J133" i="27"/>
  <c r="I133" i="27"/>
  <c r="H133" i="27"/>
  <c r="G133" i="27"/>
  <c r="F133" i="27"/>
  <c r="E133" i="27"/>
  <c r="D133" i="27"/>
  <c r="C133" i="27"/>
  <c r="N132" i="27"/>
  <c r="M132" i="27"/>
  <c r="L132" i="27"/>
  <c r="K132" i="27"/>
  <c r="J132" i="27"/>
  <c r="I132" i="27"/>
  <c r="H132" i="27"/>
  <c r="G132" i="27"/>
  <c r="F132" i="27"/>
  <c r="E132" i="27"/>
  <c r="D132" i="27"/>
  <c r="C132" i="27"/>
  <c r="N131" i="27"/>
  <c r="M131" i="27"/>
  <c r="L131" i="27"/>
  <c r="K131" i="27"/>
  <c r="J131" i="27"/>
  <c r="I131" i="27"/>
  <c r="H131" i="27"/>
  <c r="G131" i="27"/>
  <c r="F131" i="27"/>
  <c r="E131" i="27"/>
  <c r="D131" i="27"/>
  <c r="C131" i="27"/>
  <c r="N130" i="27"/>
  <c r="M130" i="27"/>
  <c r="L130" i="27"/>
  <c r="K130" i="27"/>
  <c r="J130" i="27"/>
  <c r="I130" i="27"/>
  <c r="H130" i="27"/>
  <c r="G130" i="27"/>
  <c r="F130" i="27"/>
  <c r="E130" i="27"/>
  <c r="D130" i="27"/>
  <c r="C130" i="27"/>
  <c r="N129" i="27"/>
  <c r="M129" i="27"/>
  <c r="L129" i="27"/>
  <c r="K129" i="27"/>
  <c r="J129" i="27"/>
  <c r="I129" i="27"/>
  <c r="H129" i="27"/>
  <c r="G129" i="27"/>
  <c r="F129" i="27"/>
  <c r="E129" i="27"/>
  <c r="D129" i="27"/>
  <c r="C129" i="27"/>
  <c r="N128" i="27"/>
  <c r="M128" i="27"/>
  <c r="L128" i="27"/>
  <c r="K128" i="27"/>
  <c r="J128" i="27"/>
  <c r="I128" i="27"/>
  <c r="H128" i="27"/>
  <c r="G128" i="27"/>
  <c r="F128" i="27"/>
  <c r="E128" i="27"/>
  <c r="D128" i="27"/>
  <c r="C128" i="27"/>
  <c r="N127" i="27"/>
  <c r="M127" i="27"/>
  <c r="L127" i="27"/>
  <c r="K127" i="27"/>
  <c r="J127" i="27"/>
  <c r="I127" i="27"/>
  <c r="H127" i="27"/>
  <c r="G127" i="27"/>
  <c r="F127" i="27"/>
  <c r="E127" i="27"/>
  <c r="D127" i="27"/>
  <c r="C127" i="27"/>
  <c r="N126" i="27"/>
  <c r="M126" i="27"/>
  <c r="L126" i="27"/>
  <c r="K126" i="27"/>
  <c r="J126" i="27"/>
  <c r="I126" i="27"/>
  <c r="H126" i="27"/>
  <c r="G126" i="27"/>
  <c r="F126" i="27"/>
  <c r="E126" i="27"/>
  <c r="D126" i="27"/>
  <c r="C126" i="27"/>
  <c r="N125" i="27"/>
  <c r="M125" i="27"/>
  <c r="L125" i="27"/>
  <c r="K125" i="27"/>
  <c r="J125" i="27"/>
  <c r="I125" i="27"/>
  <c r="H125" i="27"/>
  <c r="G125" i="27"/>
  <c r="F125" i="27"/>
  <c r="E125" i="27"/>
  <c r="D125" i="27"/>
  <c r="C125" i="27"/>
  <c r="N124" i="27"/>
  <c r="M124" i="27"/>
  <c r="L124" i="27"/>
  <c r="K124" i="27"/>
  <c r="J124" i="27"/>
  <c r="I124" i="27"/>
  <c r="H124" i="27"/>
  <c r="G124" i="27"/>
  <c r="F124" i="27"/>
  <c r="E124" i="27"/>
  <c r="D124" i="27"/>
  <c r="C124" i="27"/>
  <c r="N123" i="27"/>
  <c r="M123" i="27"/>
  <c r="L123" i="27"/>
  <c r="K123" i="27"/>
  <c r="J123" i="27"/>
  <c r="I123" i="27"/>
  <c r="H123" i="27"/>
  <c r="G123" i="27"/>
  <c r="F123" i="27"/>
  <c r="E123" i="27"/>
  <c r="D123" i="27"/>
  <c r="C123" i="27"/>
  <c r="N122" i="27"/>
  <c r="M122" i="27"/>
  <c r="L122" i="27"/>
  <c r="K122" i="27"/>
  <c r="J122" i="27"/>
  <c r="I122" i="27"/>
  <c r="H122" i="27"/>
  <c r="G122" i="27"/>
  <c r="F122" i="27"/>
  <c r="E122" i="27"/>
  <c r="D122" i="27"/>
  <c r="C122" i="27"/>
  <c r="N121" i="27"/>
  <c r="M121" i="27"/>
  <c r="L121" i="27"/>
  <c r="K121" i="27"/>
  <c r="J121" i="27"/>
  <c r="I121" i="27"/>
  <c r="H121" i="27"/>
  <c r="G121" i="27"/>
  <c r="F121" i="27"/>
  <c r="E121" i="27"/>
  <c r="D121" i="27"/>
  <c r="C121" i="27"/>
  <c r="N120" i="27"/>
  <c r="M120" i="27"/>
  <c r="L120" i="27"/>
  <c r="K120" i="27"/>
  <c r="J120" i="27"/>
  <c r="I120" i="27"/>
  <c r="H120" i="27"/>
  <c r="G120" i="27"/>
  <c r="F120" i="27"/>
  <c r="E120" i="27"/>
  <c r="D120" i="27"/>
  <c r="C120" i="27"/>
  <c r="N119" i="27"/>
  <c r="M119" i="27"/>
  <c r="L119" i="27"/>
  <c r="K119" i="27"/>
  <c r="J119" i="27"/>
  <c r="I119" i="27"/>
  <c r="H119" i="27"/>
  <c r="G119" i="27"/>
  <c r="F119" i="27"/>
  <c r="E119" i="27"/>
  <c r="D119" i="27"/>
  <c r="C109" i="27"/>
  <c r="C108" i="27"/>
  <c r="C107" i="27"/>
  <c r="C106" i="27"/>
  <c r="C105" i="27"/>
  <c r="C104" i="27"/>
  <c r="C103" i="27"/>
  <c r="C102" i="27"/>
  <c r="C101" i="27"/>
  <c r="C100" i="27"/>
  <c r="N115" i="27"/>
  <c r="M115" i="27"/>
  <c r="L115" i="27"/>
  <c r="K115" i="27"/>
  <c r="J115" i="27"/>
  <c r="I115" i="27"/>
  <c r="H115" i="27"/>
  <c r="G115" i="27"/>
  <c r="F115" i="27"/>
  <c r="E115" i="27"/>
  <c r="D115" i="27"/>
  <c r="C115" i="27"/>
  <c r="N114" i="27"/>
  <c r="M114" i="27"/>
  <c r="L114" i="27"/>
  <c r="K114" i="27"/>
  <c r="J114" i="27"/>
  <c r="I114" i="27"/>
  <c r="H114" i="27"/>
  <c r="G114" i="27"/>
  <c r="F114" i="27"/>
  <c r="E114" i="27"/>
  <c r="D114" i="27"/>
  <c r="C114" i="27"/>
  <c r="N113" i="27"/>
  <c r="M113" i="27"/>
  <c r="L113" i="27"/>
  <c r="K113" i="27"/>
  <c r="J113" i="27"/>
  <c r="I113" i="27"/>
  <c r="H113" i="27"/>
  <c r="G113" i="27"/>
  <c r="F113" i="27"/>
  <c r="E113" i="27"/>
  <c r="D113" i="27"/>
  <c r="C113" i="27"/>
  <c r="N112" i="27"/>
  <c r="M112" i="27"/>
  <c r="L112" i="27"/>
  <c r="K112" i="27"/>
  <c r="J112" i="27"/>
  <c r="I112" i="27"/>
  <c r="H112" i="27"/>
  <c r="G112" i="27"/>
  <c r="F112" i="27"/>
  <c r="E112" i="27"/>
  <c r="D112" i="27"/>
  <c r="C112" i="27"/>
  <c r="N111" i="27"/>
  <c r="M111" i="27"/>
  <c r="L111" i="27"/>
  <c r="K111" i="27"/>
  <c r="J111" i="27"/>
  <c r="I111" i="27"/>
  <c r="H111" i="27"/>
  <c r="G111" i="27"/>
  <c r="F111" i="27"/>
  <c r="E111" i="27"/>
  <c r="D111" i="27"/>
  <c r="C111" i="27"/>
  <c r="N110" i="27"/>
  <c r="M110" i="27"/>
  <c r="L110" i="27"/>
  <c r="K110" i="27"/>
  <c r="J110" i="27"/>
  <c r="I110" i="27"/>
  <c r="H110" i="27"/>
  <c r="G110" i="27"/>
  <c r="F110" i="27"/>
  <c r="E110" i="27"/>
  <c r="D110" i="27"/>
  <c r="C110" i="27"/>
  <c r="N109" i="27"/>
  <c r="M109" i="27"/>
  <c r="L109" i="27"/>
  <c r="K109" i="27"/>
  <c r="J109" i="27"/>
  <c r="I109" i="27"/>
  <c r="H109" i="27"/>
  <c r="G109" i="27"/>
  <c r="F109" i="27"/>
  <c r="E109" i="27"/>
  <c r="D109" i="27"/>
  <c r="N108" i="27"/>
  <c r="M108" i="27"/>
  <c r="L108" i="27"/>
  <c r="K108" i="27"/>
  <c r="J108" i="27"/>
  <c r="I108" i="27"/>
  <c r="H108" i="27"/>
  <c r="G108" i="27"/>
  <c r="F108" i="27"/>
  <c r="E108" i="27"/>
  <c r="D108" i="27"/>
  <c r="N107" i="27"/>
  <c r="M107" i="27"/>
  <c r="L107" i="27"/>
  <c r="K107" i="27"/>
  <c r="J107" i="27"/>
  <c r="I107" i="27"/>
  <c r="H107" i="27"/>
  <c r="G107" i="27"/>
  <c r="F107" i="27"/>
  <c r="E107" i="27"/>
  <c r="D107" i="27"/>
  <c r="N106" i="27"/>
  <c r="M106" i="27"/>
  <c r="L106" i="27"/>
  <c r="K106" i="27"/>
  <c r="J106" i="27"/>
  <c r="I106" i="27"/>
  <c r="H106" i="27"/>
  <c r="G106" i="27"/>
  <c r="F106" i="27"/>
  <c r="E106" i="27"/>
  <c r="D106" i="27"/>
  <c r="N105" i="27"/>
  <c r="M105" i="27"/>
  <c r="L105" i="27"/>
  <c r="K105" i="27"/>
  <c r="J105" i="27"/>
  <c r="I105" i="27"/>
  <c r="H105" i="27"/>
  <c r="G105" i="27"/>
  <c r="F105" i="27"/>
  <c r="E105" i="27"/>
  <c r="D105" i="27"/>
  <c r="N104" i="27"/>
  <c r="M104" i="27"/>
  <c r="L104" i="27"/>
  <c r="K104" i="27"/>
  <c r="J104" i="27"/>
  <c r="I104" i="27"/>
  <c r="H104" i="27"/>
  <c r="G104" i="27"/>
  <c r="F104" i="27"/>
  <c r="E104" i="27"/>
  <c r="D104" i="27"/>
  <c r="N103" i="27"/>
  <c r="M103" i="27"/>
  <c r="L103" i="27"/>
  <c r="K103" i="27"/>
  <c r="J103" i="27"/>
  <c r="I103" i="27"/>
  <c r="H103" i="27"/>
  <c r="G103" i="27"/>
  <c r="F103" i="27"/>
  <c r="E103" i="27"/>
  <c r="D103" i="27"/>
  <c r="N102" i="27"/>
  <c r="M102" i="27"/>
  <c r="L102" i="27"/>
  <c r="K102" i="27"/>
  <c r="J102" i="27"/>
  <c r="I102" i="27"/>
  <c r="H102" i="27"/>
  <c r="G102" i="27"/>
  <c r="F102" i="27"/>
  <c r="E102" i="27"/>
  <c r="D102" i="27"/>
  <c r="N101" i="27"/>
  <c r="M101" i="27"/>
  <c r="L101" i="27"/>
  <c r="K101" i="27"/>
  <c r="J101" i="27"/>
  <c r="I101" i="27"/>
  <c r="H101" i="27"/>
  <c r="G101" i="27"/>
  <c r="F101" i="27"/>
  <c r="E101" i="27"/>
  <c r="D101" i="27"/>
  <c r="N100" i="27"/>
  <c r="M100" i="27"/>
  <c r="L100" i="27"/>
  <c r="K100" i="27"/>
  <c r="J100" i="27"/>
  <c r="I100" i="27"/>
  <c r="H100" i="27"/>
  <c r="G100" i="27"/>
  <c r="F100" i="27"/>
  <c r="E100" i="27"/>
  <c r="D100" i="27"/>
  <c r="N96" i="27"/>
  <c r="M96" i="27"/>
  <c r="L96" i="27"/>
  <c r="K96" i="27"/>
  <c r="J96" i="27"/>
  <c r="I96" i="27"/>
  <c r="H96" i="27"/>
  <c r="G96" i="27"/>
  <c r="F96" i="27"/>
  <c r="E96" i="27"/>
  <c r="D96" i="27"/>
  <c r="C96" i="27"/>
  <c r="N95" i="27"/>
  <c r="M95" i="27"/>
  <c r="L95" i="27"/>
  <c r="K95" i="27"/>
  <c r="J95" i="27"/>
  <c r="I95" i="27"/>
  <c r="H95" i="27"/>
  <c r="G95" i="27"/>
  <c r="F95" i="27"/>
  <c r="E95" i="27"/>
  <c r="D95" i="27"/>
  <c r="C95" i="27"/>
  <c r="N94" i="27"/>
  <c r="M94" i="27"/>
  <c r="L94" i="27"/>
  <c r="K94" i="27"/>
  <c r="J94" i="27"/>
  <c r="I94" i="27"/>
  <c r="H94" i="27"/>
  <c r="G94" i="27"/>
  <c r="F94" i="27"/>
  <c r="E94" i="27"/>
  <c r="D94" i="27"/>
  <c r="C94" i="27"/>
  <c r="N93" i="27"/>
  <c r="M93" i="27"/>
  <c r="L93" i="27"/>
  <c r="K93" i="27"/>
  <c r="J93" i="27"/>
  <c r="I93" i="27"/>
  <c r="H93" i="27"/>
  <c r="G93" i="27"/>
  <c r="F93" i="27"/>
  <c r="E93" i="27"/>
  <c r="D93" i="27"/>
  <c r="C93" i="27"/>
  <c r="N92" i="27"/>
  <c r="M92" i="27"/>
  <c r="L92" i="27"/>
  <c r="K92" i="27"/>
  <c r="J92" i="27"/>
  <c r="I92" i="27"/>
  <c r="H92" i="27"/>
  <c r="G92" i="27"/>
  <c r="F92" i="27"/>
  <c r="E92" i="27"/>
  <c r="D92" i="27"/>
  <c r="C92" i="27"/>
  <c r="N91" i="27"/>
  <c r="M91" i="27"/>
  <c r="L91" i="27"/>
  <c r="K91" i="27"/>
  <c r="J91" i="27"/>
  <c r="I91" i="27"/>
  <c r="H91" i="27"/>
  <c r="G91" i="27"/>
  <c r="F91" i="27"/>
  <c r="E91" i="27"/>
  <c r="D91" i="27"/>
  <c r="C91" i="27"/>
  <c r="N90" i="27"/>
  <c r="M90" i="27"/>
  <c r="L90" i="27"/>
  <c r="K90" i="27"/>
  <c r="J90" i="27"/>
  <c r="I90" i="27"/>
  <c r="H90" i="27"/>
  <c r="G90" i="27"/>
  <c r="F90" i="27"/>
  <c r="E90" i="27"/>
  <c r="D90" i="27"/>
  <c r="C90" i="27"/>
  <c r="N89" i="27"/>
  <c r="M89" i="27"/>
  <c r="L89" i="27"/>
  <c r="K89" i="27"/>
  <c r="J89" i="27"/>
  <c r="I89" i="27"/>
  <c r="H89" i="27"/>
  <c r="G89" i="27"/>
  <c r="F89" i="27"/>
  <c r="E89" i="27"/>
  <c r="D89" i="27"/>
  <c r="C89" i="27"/>
  <c r="N88" i="27"/>
  <c r="M88" i="27"/>
  <c r="L88" i="27"/>
  <c r="K88" i="27"/>
  <c r="J88" i="27"/>
  <c r="I88" i="27"/>
  <c r="H88" i="27"/>
  <c r="G88" i="27"/>
  <c r="F88" i="27"/>
  <c r="E88" i="27"/>
  <c r="D88" i="27"/>
  <c r="C88" i="27"/>
  <c r="N87" i="27"/>
  <c r="M87" i="27"/>
  <c r="L87" i="27"/>
  <c r="K87" i="27"/>
  <c r="J87" i="27"/>
  <c r="I87" i="27"/>
  <c r="H87" i="27"/>
  <c r="G87" i="27"/>
  <c r="F87" i="27"/>
  <c r="E87" i="27"/>
  <c r="D87" i="27"/>
  <c r="C87" i="27"/>
  <c r="N86" i="27"/>
  <c r="M86" i="27"/>
  <c r="L86" i="27"/>
  <c r="K86" i="27"/>
  <c r="J86" i="27"/>
  <c r="I86" i="27"/>
  <c r="H86" i="27"/>
  <c r="G86" i="27"/>
  <c r="F86" i="27"/>
  <c r="E86" i="27"/>
  <c r="D86" i="27"/>
  <c r="C86" i="27"/>
  <c r="N85" i="27"/>
  <c r="M85" i="27"/>
  <c r="L85" i="27"/>
  <c r="K85" i="27"/>
  <c r="J85" i="27"/>
  <c r="I85" i="27"/>
  <c r="H85" i="27"/>
  <c r="G85" i="27"/>
  <c r="F85" i="27"/>
  <c r="E85" i="27"/>
  <c r="D85" i="27"/>
  <c r="C85" i="27"/>
  <c r="N84" i="27"/>
  <c r="M84" i="27"/>
  <c r="L84" i="27"/>
  <c r="K84" i="27"/>
  <c r="J84" i="27"/>
  <c r="I84" i="27"/>
  <c r="H84" i="27"/>
  <c r="G84" i="27"/>
  <c r="F84" i="27"/>
  <c r="E84" i="27"/>
  <c r="D84" i="27"/>
  <c r="C84" i="27"/>
  <c r="N82" i="27"/>
  <c r="M82" i="27"/>
  <c r="L82" i="27"/>
  <c r="K82" i="27"/>
  <c r="J82" i="27"/>
  <c r="I82" i="27"/>
  <c r="H82" i="27"/>
  <c r="G82" i="27"/>
  <c r="F82" i="27"/>
  <c r="E82" i="27"/>
  <c r="D82" i="27"/>
  <c r="C82" i="27"/>
  <c r="N81" i="27"/>
  <c r="M81" i="27"/>
  <c r="L81" i="27"/>
  <c r="K81" i="27"/>
  <c r="J81" i="27"/>
  <c r="I81" i="27"/>
  <c r="H81" i="27"/>
  <c r="G81" i="27"/>
  <c r="F81" i="27"/>
  <c r="E81" i="27"/>
  <c r="D81" i="27"/>
  <c r="C81" i="27"/>
  <c r="N77" i="27"/>
  <c r="M77" i="27"/>
  <c r="L77" i="27"/>
  <c r="K77" i="27"/>
  <c r="J77" i="27"/>
  <c r="I77" i="27"/>
  <c r="H77" i="27"/>
  <c r="G77" i="27"/>
  <c r="F77" i="27"/>
  <c r="E77" i="27"/>
  <c r="D77" i="27"/>
  <c r="C77" i="27"/>
  <c r="N76" i="27"/>
  <c r="M76" i="27"/>
  <c r="L76" i="27"/>
  <c r="K76" i="27"/>
  <c r="J76" i="27"/>
  <c r="I76" i="27"/>
  <c r="H76" i="27"/>
  <c r="G76" i="27"/>
  <c r="F76" i="27"/>
  <c r="E76" i="27"/>
  <c r="D76" i="27"/>
  <c r="C76" i="27"/>
  <c r="N75" i="27"/>
  <c r="M75" i="27"/>
  <c r="L75" i="27"/>
  <c r="K75" i="27"/>
  <c r="J75" i="27"/>
  <c r="I75" i="27"/>
  <c r="H75" i="27"/>
  <c r="G75" i="27"/>
  <c r="F75" i="27"/>
  <c r="E75" i="27"/>
  <c r="D75" i="27"/>
  <c r="C75" i="27"/>
  <c r="N74" i="27"/>
  <c r="M74" i="27"/>
  <c r="L74" i="27"/>
  <c r="K74" i="27"/>
  <c r="J74" i="27"/>
  <c r="I74" i="27"/>
  <c r="H74" i="27"/>
  <c r="G74" i="27"/>
  <c r="F74" i="27"/>
  <c r="E74" i="27"/>
  <c r="D74" i="27"/>
  <c r="C74" i="27"/>
  <c r="N73" i="27"/>
  <c r="M73" i="27"/>
  <c r="L73" i="27"/>
  <c r="K73" i="27"/>
  <c r="J73" i="27"/>
  <c r="I73" i="27"/>
  <c r="H73" i="27"/>
  <c r="G73" i="27"/>
  <c r="F73" i="27"/>
  <c r="E73" i="27"/>
  <c r="D73" i="27"/>
  <c r="C73" i="27"/>
  <c r="N72" i="27"/>
  <c r="M72" i="27"/>
  <c r="L72" i="27"/>
  <c r="K72" i="27"/>
  <c r="J72" i="27"/>
  <c r="I72" i="27"/>
  <c r="H72" i="27"/>
  <c r="G72" i="27"/>
  <c r="F72" i="27"/>
  <c r="E72" i="27"/>
  <c r="D72" i="27"/>
  <c r="C72" i="27"/>
  <c r="N71" i="27"/>
  <c r="M71" i="27"/>
  <c r="L71" i="27"/>
  <c r="K71" i="27"/>
  <c r="J71" i="27"/>
  <c r="I71" i="27"/>
  <c r="H71" i="27"/>
  <c r="G71" i="27"/>
  <c r="F71" i="27"/>
  <c r="E71" i="27"/>
  <c r="D71" i="27"/>
  <c r="C71" i="27"/>
  <c r="N70" i="27"/>
  <c r="M70" i="27"/>
  <c r="L70" i="27"/>
  <c r="K70" i="27"/>
  <c r="J70" i="27"/>
  <c r="I70" i="27"/>
  <c r="H70" i="27"/>
  <c r="G70" i="27"/>
  <c r="F70" i="27"/>
  <c r="E70" i="27"/>
  <c r="D70" i="27"/>
  <c r="C70" i="27"/>
  <c r="N69" i="27"/>
  <c r="M69" i="27"/>
  <c r="L69" i="27"/>
  <c r="K69" i="27"/>
  <c r="J69" i="27"/>
  <c r="I69" i="27"/>
  <c r="H69" i="27"/>
  <c r="G69" i="27"/>
  <c r="F69" i="27"/>
  <c r="E69" i="27"/>
  <c r="D69" i="27"/>
  <c r="C69" i="27"/>
  <c r="N68" i="27"/>
  <c r="M68" i="27"/>
  <c r="L68" i="27"/>
  <c r="K68" i="27"/>
  <c r="J68" i="27"/>
  <c r="I68" i="27"/>
  <c r="H68" i="27"/>
  <c r="G68" i="27"/>
  <c r="F68" i="27"/>
  <c r="E68" i="27"/>
  <c r="D68" i="27"/>
  <c r="C68" i="27"/>
  <c r="N67" i="27"/>
  <c r="M67" i="27"/>
  <c r="L67" i="27"/>
  <c r="K67" i="27"/>
  <c r="J67" i="27"/>
  <c r="I67" i="27"/>
  <c r="H67" i="27"/>
  <c r="G67" i="27"/>
  <c r="F67" i="27"/>
  <c r="E67" i="27"/>
  <c r="D67" i="27"/>
  <c r="C67" i="27"/>
  <c r="N66" i="27"/>
  <c r="M66" i="27"/>
  <c r="L66" i="27"/>
  <c r="K66" i="27"/>
  <c r="J66" i="27"/>
  <c r="I66" i="27"/>
  <c r="H66" i="27"/>
  <c r="G66" i="27"/>
  <c r="F66" i="27"/>
  <c r="E66" i="27"/>
  <c r="D66" i="27"/>
  <c r="C66" i="27"/>
  <c r="N65" i="27"/>
  <c r="M65" i="27"/>
  <c r="L65" i="27"/>
  <c r="K65" i="27"/>
  <c r="J65" i="27"/>
  <c r="I65" i="27"/>
  <c r="H65" i="27"/>
  <c r="G65" i="27"/>
  <c r="F65" i="27"/>
  <c r="E65" i="27"/>
  <c r="D65" i="27"/>
  <c r="C65" i="27"/>
  <c r="N64" i="27"/>
  <c r="M64" i="27"/>
  <c r="L64" i="27"/>
  <c r="K64" i="27"/>
  <c r="J64" i="27"/>
  <c r="I64" i="27"/>
  <c r="H64" i="27"/>
  <c r="G64" i="27"/>
  <c r="F64" i="27"/>
  <c r="E64" i="27"/>
  <c r="D64" i="27"/>
  <c r="C64" i="27"/>
  <c r="N63" i="27"/>
  <c r="M63" i="27"/>
  <c r="L63" i="27"/>
  <c r="K63" i="27"/>
  <c r="J63" i="27"/>
  <c r="I63" i="27"/>
  <c r="H63" i="27"/>
  <c r="G63" i="27"/>
  <c r="F63" i="27"/>
  <c r="E63" i="27"/>
  <c r="D63" i="27"/>
  <c r="C63" i="27"/>
  <c r="N62" i="27"/>
  <c r="M62" i="27"/>
  <c r="L62" i="27"/>
  <c r="K62" i="27"/>
  <c r="J62" i="27"/>
  <c r="H62" i="27"/>
  <c r="G62" i="27"/>
  <c r="E62" i="27"/>
  <c r="C62" i="27"/>
  <c r="C27" i="27"/>
  <c r="C26" i="27"/>
  <c r="C25" i="27"/>
  <c r="C24" i="27"/>
  <c r="N39" i="27"/>
  <c r="M39" i="27"/>
  <c r="L39" i="27"/>
  <c r="K39" i="27"/>
  <c r="J39" i="27"/>
  <c r="I39" i="27"/>
  <c r="H39" i="27"/>
  <c r="G39" i="27"/>
  <c r="F39" i="27"/>
  <c r="E39" i="27"/>
  <c r="D39" i="27"/>
  <c r="C39" i="27"/>
  <c r="N38" i="27"/>
  <c r="M38" i="27"/>
  <c r="L38" i="27"/>
  <c r="K38" i="27"/>
  <c r="J38" i="27"/>
  <c r="I38" i="27"/>
  <c r="H38" i="27"/>
  <c r="G38" i="27"/>
  <c r="F38" i="27"/>
  <c r="E38" i="27"/>
  <c r="D38" i="27"/>
  <c r="C38" i="27"/>
  <c r="N37" i="27"/>
  <c r="M37" i="27"/>
  <c r="L37" i="27"/>
  <c r="K37" i="27"/>
  <c r="J37" i="27"/>
  <c r="I37" i="27"/>
  <c r="H37" i="27"/>
  <c r="G37" i="27"/>
  <c r="F37" i="27"/>
  <c r="E37" i="27"/>
  <c r="D37" i="27"/>
  <c r="C37" i="27"/>
  <c r="N36" i="27"/>
  <c r="M36" i="27"/>
  <c r="L36" i="27"/>
  <c r="K36" i="27"/>
  <c r="J36" i="27"/>
  <c r="I36" i="27"/>
  <c r="H36" i="27"/>
  <c r="G36" i="27"/>
  <c r="F36" i="27"/>
  <c r="E36" i="27"/>
  <c r="D36" i="27"/>
  <c r="C36" i="27"/>
  <c r="N35" i="27"/>
  <c r="M35" i="27"/>
  <c r="L35" i="27"/>
  <c r="K35" i="27"/>
  <c r="J35" i="27"/>
  <c r="I35" i="27"/>
  <c r="H35" i="27"/>
  <c r="G35" i="27"/>
  <c r="F35" i="27"/>
  <c r="E35" i="27"/>
  <c r="D35" i="27"/>
  <c r="C35" i="27"/>
  <c r="N34" i="27"/>
  <c r="M34" i="27"/>
  <c r="L34" i="27"/>
  <c r="K34" i="27"/>
  <c r="J34" i="27"/>
  <c r="I34" i="27"/>
  <c r="H34" i="27"/>
  <c r="G34" i="27"/>
  <c r="F34" i="27"/>
  <c r="E34" i="27"/>
  <c r="D34" i="27"/>
  <c r="C34" i="27"/>
  <c r="N33" i="27"/>
  <c r="M33" i="27"/>
  <c r="L33" i="27"/>
  <c r="K33" i="27"/>
  <c r="J33" i="27"/>
  <c r="I33" i="27"/>
  <c r="H33" i="27"/>
  <c r="G33" i="27"/>
  <c r="F33" i="27"/>
  <c r="E33" i="27"/>
  <c r="D33" i="27"/>
  <c r="C33" i="27"/>
  <c r="N32" i="27"/>
  <c r="M32" i="27"/>
  <c r="L32" i="27"/>
  <c r="K32" i="27"/>
  <c r="J32" i="27"/>
  <c r="I32" i="27"/>
  <c r="H32" i="27"/>
  <c r="G32" i="27"/>
  <c r="F32" i="27"/>
  <c r="E32" i="27"/>
  <c r="D32" i="27"/>
  <c r="C32" i="27"/>
  <c r="N31" i="27"/>
  <c r="M31" i="27"/>
  <c r="L31" i="27"/>
  <c r="K31" i="27"/>
  <c r="J31" i="27"/>
  <c r="I31" i="27"/>
  <c r="H31" i="27"/>
  <c r="G31" i="27"/>
  <c r="F31" i="27"/>
  <c r="E31" i="27"/>
  <c r="D31" i="27"/>
  <c r="C31" i="27"/>
  <c r="N30" i="27"/>
  <c r="M30" i="27"/>
  <c r="L30" i="27"/>
  <c r="K30" i="27"/>
  <c r="J30" i="27"/>
  <c r="I30" i="27"/>
  <c r="H30" i="27"/>
  <c r="G30" i="27"/>
  <c r="F30" i="27"/>
  <c r="E30" i="27"/>
  <c r="D30" i="27"/>
  <c r="C30" i="27"/>
  <c r="N29" i="27"/>
  <c r="M29" i="27"/>
  <c r="L29" i="27"/>
  <c r="K29" i="27"/>
  <c r="J29" i="27"/>
  <c r="I29" i="27"/>
  <c r="H29" i="27"/>
  <c r="G29" i="27"/>
  <c r="F29" i="27"/>
  <c r="E29" i="27"/>
  <c r="D29" i="27"/>
  <c r="C29" i="27"/>
  <c r="N28" i="27"/>
  <c r="M28" i="27"/>
  <c r="L28" i="27"/>
  <c r="K28" i="27"/>
  <c r="J28" i="27"/>
  <c r="I28" i="27"/>
  <c r="H28" i="27"/>
  <c r="G28" i="27"/>
  <c r="F28" i="27"/>
  <c r="E28" i="27"/>
  <c r="D28" i="27"/>
  <c r="C28" i="27"/>
  <c r="N27" i="27"/>
  <c r="M27" i="27"/>
  <c r="L27" i="27"/>
  <c r="K27" i="27"/>
  <c r="J27" i="27"/>
  <c r="I27" i="27"/>
  <c r="H27" i="27"/>
  <c r="G27" i="27"/>
  <c r="F27" i="27"/>
  <c r="E27" i="27"/>
  <c r="D27" i="27"/>
  <c r="N26" i="27"/>
  <c r="M26" i="27"/>
  <c r="L26" i="27"/>
  <c r="K26" i="27"/>
  <c r="J26" i="27"/>
  <c r="I26" i="27"/>
  <c r="H26" i="27"/>
  <c r="G26" i="27"/>
  <c r="F26" i="27"/>
  <c r="E26" i="27"/>
  <c r="D26" i="27"/>
  <c r="N25" i="27"/>
  <c r="M25" i="27"/>
  <c r="L25" i="27"/>
  <c r="K25" i="27"/>
  <c r="J25" i="27"/>
  <c r="I25" i="27"/>
  <c r="H25" i="27"/>
  <c r="G25" i="27"/>
  <c r="F25" i="27"/>
  <c r="E25" i="27"/>
  <c r="D25" i="27"/>
  <c r="N24" i="27"/>
  <c r="M24" i="27"/>
  <c r="L24" i="27"/>
  <c r="K24" i="27"/>
  <c r="J24" i="27"/>
  <c r="I24" i="27"/>
  <c r="H24" i="27"/>
  <c r="G24" i="27"/>
  <c r="F24" i="27"/>
  <c r="E24" i="27"/>
  <c r="D24" i="27"/>
  <c r="E5" i="27"/>
  <c r="D5" i="27"/>
  <c r="N20" i="27"/>
  <c r="M20" i="27"/>
  <c r="L20" i="27"/>
  <c r="K20" i="27"/>
  <c r="J20" i="27"/>
  <c r="I20" i="27"/>
  <c r="H20" i="27"/>
  <c r="G20" i="27"/>
  <c r="F20" i="27"/>
  <c r="E20" i="27"/>
  <c r="D20" i="27"/>
  <c r="C20" i="27"/>
  <c r="N19" i="27"/>
  <c r="M19" i="27"/>
  <c r="L19" i="27"/>
  <c r="K19" i="27"/>
  <c r="J19" i="27"/>
  <c r="I19" i="27"/>
  <c r="H19" i="27"/>
  <c r="G19" i="27"/>
  <c r="F19" i="27"/>
  <c r="E19" i="27"/>
  <c r="D19" i="27"/>
  <c r="C19" i="27"/>
  <c r="N18" i="27"/>
  <c r="M18" i="27"/>
  <c r="L18" i="27"/>
  <c r="K18" i="27"/>
  <c r="J18" i="27"/>
  <c r="I18" i="27"/>
  <c r="H18" i="27"/>
  <c r="G18" i="27"/>
  <c r="F18" i="27"/>
  <c r="E18" i="27"/>
  <c r="D18" i="27"/>
  <c r="C18" i="27"/>
  <c r="N17" i="27"/>
  <c r="M17" i="27"/>
  <c r="L17" i="27"/>
  <c r="K17" i="27"/>
  <c r="J17" i="27"/>
  <c r="I17" i="27"/>
  <c r="H17" i="27"/>
  <c r="G17" i="27"/>
  <c r="F17" i="27"/>
  <c r="E17" i="27"/>
  <c r="D17" i="27"/>
  <c r="C17" i="27"/>
  <c r="N16" i="27"/>
  <c r="M16" i="27"/>
  <c r="L16" i="27"/>
  <c r="K16" i="27"/>
  <c r="J16" i="27"/>
  <c r="I16" i="27"/>
  <c r="H16" i="27"/>
  <c r="G16" i="27"/>
  <c r="F16" i="27"/>
  <c r="E16" i="27"/>
  <c r="D16" i="27"/>
  <c r="C16" i="27"/>
  <c r="N15" i="27"/>
  <c r="M15" i="27"/>
  <c r="L15" i="27"/>
  <c r="K15" i="27"/>
  <c r="J15" i="27"/>
  <c r="I15" i="27"/>
  <c r="H15" i="27"/>
  <c r="G15" i="27"/>
  <c r="F15" i="27"/>
  <c r="E15" i="27"/>
  <c r="D15" i="27"/>
  <c r="C15" i="27"/>
  <c r="N14" i="27"/>
  <c r="M14" i="27"/>
  <c r="L14" i="27"/>
  <c r="K14" i="27"/>
  <c r="J14" i="27"/>
  <c r="I14" i="27"/>
  <c r="H14" i="27"/>
  <c r="G14" i="27"/>
  <c r="F14" i="27"/>
  <c r="E14" i="27"/>
  <c r="D14" i="27"/>
  <c r="C14" i="27"/>
  <c r="N13" i="27"/>
  <c r="M13" i="27"/>
  <c r="L13" i="27"/>
  <c r="K13" i="27"/>
  <c r="J13" i="27"/>
  <c r="I13" i="27"/>
  <c r="H13" i="27"/>
  <c r="G13" i="27"/>
  <c r="F13" i="27"/>
  <c r="E13" i="27"/>
  <c r="D13" i="27"/>
  <c r="C13" i="27"/>
  <c r="N12" i="27"/>
  <c r="M12" i="27"/>
  <c r="L12" i="27"/>
  <c r="K12" i="27"/>
  <c r="J12" i="27"/>
  <c r="I12" i="27"/>
  <c r="H12" i="27"/>
  <c r="G12" i="27"/>
  <c r="F12" i="27"/>
  <c r="E12" i="27"/>
  <c r="D12" i="27"/>
  <c r="C12" i="27"/>
  <c r="N11" i="27"/>
  <c r="M11" i="27"/>
  <c r="L11" i="27"/>
  <c r="K11" i="27"/>
  <c r="J11" i="27"/>
  <c r="I11" i="27"/>
  <c r="H11" i="27"/>
  <c r="G11" i="27"/>
  <c r="F11" i="27"/>
  <c r="E11" i="27"/>
  <c r="D11" i="27"/>
  <c r="C11" i="27"/>
  <c r="N10" i="27"/>
  <c r="M10" i="27"/>
  <c r="L10" i="27"/>
  <c r="K10" i="27"/>
  <c r="J10" i="27"/>
  <c r="I10" i="27"/>
  <c r="H10" i="27"/>
  <c r="G10" i="27"/>
  <c r="F10" i="27"/>
  <c r="E10" i="27"/>
  <c r="D10" i="27"/>
  <c r="C10" i="27"/>
  <c r="N9" i="27"/>
  <c r="M9" i="27"/>
  <c r="L9" i="27"/>
  <c r="K9" i="27"/>
  <c r="J9" i="27"/>
  <c r="I9" i="27"/>
  <c r="H9" i="27"/>
  <c r="G9" i="27"/>
  <c r="F9" i="27"/>
  <c r="E9" i="27"/>
  <c r="D9" i="27"/>
  <c r="C9" i="27"/>
  <c r="N8" i="27"/>
  <c r="M8" i="27"/>
  <c r="L8" i="27"/>
  <c r="K8" i="27"/>
  <c r="J8" i="27"/>
  <c r="I8" i="27"/>
  <c r="H8" i="27"/>
  <c r="G8" i="27"/>
  <c r="F8" i="27"/>
  <c r="E8" i="27"/>
  <c r="D8" i="27"/>
  <c r="C8" i="27"/>
  <c r="N7" i="27"/>
  <c r="M7" i="27"/>
  <c r="L7" i="27"/>
  <c r="K7" i="27"/>
  <c r="J7" i="27"/>
  <c r="I7" i="27"/>
  <c r="H7" i="27"/>
  <c r="G7" i="27"/>
  <c r="F7" i="27"/>
  <c r="E7" i="27"/>
  <c r="D7" i="27"/>
  <c r="C7" i="27"/>
  <c r="N6" i="27"/>
  <c r="M6" i="27"/>
  <c r="L6" i="27"/>
  <c r="K6" i="27"/>
  <c r="J6" i="27"/>
  <c r="I6" i="27"/>
  <c r="H6" i="27"/>
  <c r="G6" i="27"/>
  <c r="F6" i="27"/>
  <c r="E6" i="27"/>
  <c r="D6" i="27"/>
  <c r="C6" i="27"/>
  <c r="N5" i="27"/>
  <c r="M5" i="27"/>
  <c r="L5" i="27"/>
  <c r="K5" i="27"/>
  <c r="J5" i="27"/>
  <c r="I5" i="27"/>
  <c r="H5" i="27"/>
  <c r="G5" i="27"/>
  <c r="F5" i="27"/>
  <c r="C5" i="27"/>
  <c r="B96" i="27"/>
  <c r="B95" i="27"/>
  <c r="B94" i="27"/>
  <c r="B93" i="27"/>
  <c r="B92" i="27"/>
  <c r="B91" i="27"/>
  <c r="B90" i="27"/>
  <c r="B89" i="27"/>
  <c r="B88" i="27"/>
  <c r="B87" i="27"/>
  <c r="B86" i="27"/>
  <c r="B85" i="27"/>
  <c r="B84" i="27"/>
  <c r="B83" i="27"/>
  <c r="B82" i="27"/>
  <c r="B81" i="27"/>
  <c r="B77" i="27"/>
  <c r="B76" i="27"/>
  <c r="B75" i="27"/>
  <c r="B74" i="27"/>
  <c r="B73" i="27"/>
  <c r="B72" i="27"/>
  <c r="B71" i="27"/>
  <c r="B70" i="27"/>
  <c r="B69" i="27"/>
  <c r="B68" i="27"/>
  <c r="B67" i="27"/>
  <c r="B66" i="27"/>
  <c r="B65" i="27"/>
  <c r="B64" i="27"/>
  <c r="B63" i="27"/>
  <c r="B62" i="27"/>
  <c r="B153" i="27"/>
  <c r="B152" i="27"/>
  <c r="B151" i="27"/>
  <c r="B150" i="27"/>
  <c r="B149" i="27"/>
  <c r="B148" i="27"/>
  <c r="B147" i="27"/>
  <c r="B146" i="27"/>
  <c r="B145" i="27"/>
  <c r="B144" i="27"/>
  <c r="B143" i="27"/>
  <c r="B142" i="27"/>
  <c r="B141" i="27"/>
  <c r="B140" i="27"/>
  <c r="B139" i="27"/>
  <c r="N154" i="27"/>
  <c r="B138" i="27"/>
  <c r="B134" i="27"/>
  <c r="B133" i="27"/>
  <c r="B132" i="27"/>
  <c r="B131" i="27"/>
  <c r="B130" i="27"/>
  <c r="B129" i="27"/>
  <c r="B128" i="27"/>
  <c r="B127" i="27"/>
  <c r="B126" i="27"/>
  <c r="B125" i="27"/>
  <c r="B124" i="27"/>
  <c r="B123" i="27"/>
  <c r="B122" i="27"/>
  <c r="B121" i="27"/>
  <c r="B120" i="27"/>
  <c r="B119" i="27"/>
  <c r="B115" i="27"/>
  <c r="B114" i="27"/>
  <c r="B113" i="27"/>
  <c r="B112" i="27"/>
  <c r="B111" i="27"/>
  <c r="B110" i="27"/>
  <c r="B109" i="27"/>
  <c r="B108" i="27"/>
  <c r="B107" i="27"/>
  <c r="B106" i="27"/>
  <c r="B105" i="27"/>
  <c r="B104" i="27"/>
  <c r="B103" i="27"/>
  <c r="B102" i="27"/>
  <c r="B101" i="27"/>
  <c r="B100" i="27"/>
  <c r="B58" i="27"/>
  <c r="B57" i="27"/>
  <c r="B56" i="27"/>
  <c r="B55" i="27"/>
  <c r="B54" i="27"/>
  <c r="B53" i="27"/>
  <c r="B52" i="27"/>
  <c r="B51" i="27"/>
  <c r="B50" i="27"/>
  <c r="B49" i="27"/>
  <c r="B48" i="27"/>
  <c r="B47" i="27"/>
  <c r="B46" i="27"/>
  <c r="B45" i="27"/>
  <c r="B44" i="27"/>
  <c r="B43" i="27"/>
  <c r="B39" i="27"/>
  <c r="B38" i="27"/>
  <c r="B37" i="27"/>
  <c r="B36" i="27"/>
  <c r="B35" i="27"/>
  <c r="B34" i="27"/>
  <c r="B33" i="27"/>
  <c r="B32" i="27"/>
  <c r="B31" i="27"/>
  <c r="B30" i="27"/>
  <c r="B29" i="27"/>
  <c r="B28" i="27"/>
  <c r="B27" i="27"/>
  <c r="B26" i="27"/>
  <c r="B25" i="27"/>
  <c r="B24" i="27"/>
  <c r="B20" i="27"/>
  <c r="B19" i="27"/>
  <c r="B18" i="27"/>
  <c r="B17" i="27"/>
  <c r="B16" i="27"/>
  <c r="B15" i="27"/>
  <c r="B14" i="27"/>
  <c r="B13" i="27"/>
  <c r="B12" i="27"/>
  <c r="B11" i="27"/>
  <c r="B10" i="27"/>
  <c r="B9" i="27"/>
  <c r="B8" i="27"/>
  <c r="B7" i="27"/>
  <c r="B6" i="27"/>
  <c r="B5" i="27"/>
  <c r="J2" i="16"/>
  <c r="I2" i="16"/>
  <c r="H9" i="7"/>
  <c r="I9" i="7" s="1"/>
  <c r="J9" i="7"/>
  <c r="H10" i="7"/>
  <c r="I10" i="7" s="1"/>
  <c r="J10" i="7"/>
  <c r="H11" i="7"/>
  <c r="I11" i="7" s="1"/>
  <c r="J11" i="7"/>
  <c r="H12" i="7"/>
  <c r="I12" i="7" s="1"/>
  <c r="J12" i="7"/>
  <c r="H13" i="7"/>
  <c r="I13" i="7" s="1"/>
  <c r="J13" i="7"/>
  <c r="H14" i="7"/>
  <c r="I14" i="7" s="1"/>
  <c r="J14" i="7"/>
  <c r="H8" i="5"/>
  <c r="I8" i="5" s="1"/>
  <c r="J8" i="5"/>
  <c r="H9" i="5"/>
  <c r="I9" i="5" s="1"/>
  <c r="J9" i="5"/>
  <c r="H10" i="5"/>
  <c r="I10" i="5" s="1"/>
  <c r="J10" i="5"/>
  <c r="H11" i="5"/>
  <c r="I11" i="5" s="1"/>
  <c r="J11" i="5"/>
  <c r="H12" i="5"/>
  <c r="I12" i="5" s="1"/>
  <c r="J12" i="5"/>
  <c r="H8" i="6"/>
  <c r="I8" i="6" s="1"/>
  <c r="J8" i="6"/>
  <c r="H9" i="6"/>
  <c r="I9" i="6" s="1"/>
  <c r="J9" i="6"/>
  <c r="H10" i="6"/>
  <c r="I10" i="6" s="1"/>
  <c r="J10" i="6"/>
  <c r="H11" i="6"/>
  <c r="I11" i="6" s="1"/>
  <c r="J11" i="6"/>
  <c r="H12" i="6"/>
  <c r="I12" i="6" s="1"/>
  <c r="J12" i="6"/>
  <c r="H13" i="6"/>
  <c r="I13" i="6" s="1"/>
  <c r="J13" i="6"/>
  <c r="R19" i="49"/>
  <c r="G12" i="3"/>
  <c r="G13" i="3"/>
  <c r="I13" i="3"/>
  <c r="L131" i="8"/>
  <c r="L17" i="8"/>
  <c r="L36" i="8"/>
  <c r="L48" i="8" s="1"/>
  <c r="L55" i="8"/>
  <c r="L67" i="8" s="1"/>
  <c r="L112" i="8"/>
  <c r="L132" i="8"/>
  <c r="L18" i="8"/>
  <c r="L37" i="8"/>
  <c r="L56" i="8"/>
  <c r="L113" i="8"/>
  <c r="L124" i="8" s="1"/>
  <c r="L133" i="8"/>
  <c r="L19" i="8"/>
  <c r="L38" i="8"/>
  <c r="L57" i="8"/>
  <c r="L114" i="8"/>
  <c r="L134" i="8"/>
  <c r="L20" i="8"/>
  <c r="D13" i="49" s="1"/>
  <c r="F13" i="49" s="1"/>
  <c r="H37" i="49" s="1"/>
  <c r="I37" i="49" s="1"/>
  <c r="L39" i="8"/>
  <c r="L58" i="8"/>
  <c r="L115" i="8"/>
  <c r="L21" i="8"/>
  <c r="L40" i="8"/>
  <c r="L59" i="8"/>
  <c r="L116" i="8"/>
  <c r="L135" i="8"/>
  <c r="L22" i="8"/>
  <c r="L41" i="8"/>
  <c r="L60" i="8"/>
  <c r="L117" i="8"/>
  <c r="L136" i="8"/>
  <c r="L23" i="8"/>
  <c r="L42" i="8"/>
  <c r="L61" i="8"/>
  <c r="L118" i="8"/>
  <c r="L137" i="8"/>
  <c r="L24" i="8"/>
  <c r="L43" i="8"/>
  <c r="L62" i="8"/>
  <c r="L119" i="8"/>
  <c r="L138" i="8"/>
  <c r="L25" i="8"/>
  <c r="D18" i="49" s="1"/>
  <c r="Q18" i="49" s="1"/>
  <c r="U18" i="49" s="1"/>
  <c r="W18" i="49" s="1"/>
  <c r="L44" i="8"/>
  <c r="L63" i="8"/>
  <c r="L120" i="8"/>
  <c r="L139" i="8"/>
  <c r="L26" i="8"/>
  <c r="L45" i="8"/>
  <c r="L64" i="8"/>
  <c r="L121" i="8"/>
  <c r="L140" i="8"/>
  <c r="L27" i="8"/>
  <c r="L46" i="8"/>
  <c r="L65" i="8"/>
  <c r="L122" i="8"/>
  <c r="L141" i="8"/>
  <c r="L28" i="8"/>
  <c r="L47" i="8"/>
  <c r="L66" i="8"/>
  <c r="L123" i="8"/>
  <c r="L142" i="8"/>
  <c r="R21" i="49"/>
  <c r="L85" i="8"/>
  <c r="L104" i="8"/>
  <c r="R20" i="49"/>
  <c r="L84" i="8"/>
  <c r="L103" i="8"/>
  <c r="L83" i="8"/>
  <c r="L102" i="8"/>
  <c r="L82" i="8"/>
  <c r="L101" i="8"/>
  <c r="L81" i="8"/>
  <c r="L86" i="8" s="1"/>
  <c r="L100" i="8"/>
  <c r="L80" i="8"/>
  <c r="L99" i="8"/>
  <c r="L79" i="8"/>
  <c r="L98" i="8"/>
  <c r="L78" i="8"/>
  <c r="L97" i="8"/>
  <c r="L77" i="8"/>
  <c r="L96" i="8"/>
  <c r="L76" i="8"/>
  <c r="L95" i="8"/>
  <c r="L75" i="8"/>
  <c r="L94" i="8"/>
  <c r="L74" i="8"/>
  <c r="L93" i="8"/>
  <c r="L105" i="8" s="1"/>
  <c r="L130" i="8"/>
  <c r="L111" i="8"/>
  <c r="L92" i="8"/>
  <c r="L73" i="8"/>
  <c r="L54" i="8"/>
  <c r="L35" i="8"/>
  <c r="L16" i="8"/>
  <c r="BD22" i="18"/>
  <c r="BC22" i="18"/>
  <c r="BB22" i="18"/>
  <c r="BA22" i="18"/>
  <c r="AX22" i="18"/>
  <c r="BD20" i="18"/>
  <c r="BC20" i="18"/>
  <c r="BB20" i="18"/>
  <c r="BA20" i="18"/>
  <c r="AX20" i="18"/>
  <c r="O157" i="48"/>
  <c r="Q157" i="48" s="1"/>
  <c r="O156" i="48"/>
  <c r="Q156" i="48" s="1"/>
  <c r="O155" i="48"/>
  <c r="Q155" i="48" s="1"/>
  <c r="O154" i="48"/>
  <c r="Q154" i="48" s="1"/>
  <c r="O153" i="48"/>
  <c r="Q153" i="48" s="1"/>
  <c r="O152" i="48"/>
  <c r="Q152" i="48" s="1"/>
  <c r="O151" i="48"/>
  <c r="Q151" i="48" s="1"/>
  <c r="O150" i="48"/>
  <c r="Q150" i="48" s="1"/>
  <c r="O149" i="48"/>
  <c r="Q149" i="48" s="1"/>
  <c r="O148" i="48"/>
  <c r="Q148" i="48" s="1"/>
  <c r="O147" i="48"/>
  <c r="Q147" i="48" s="1"/>
  <c r="O131" i="48"/>
  <c r="Q131" i="48" s="1"/>
  <c r="O130" i="48"/>
  <c r="Q130" i="48" s="1"/>
  <c r="O129" i="48"/>
  <c r="Q129" i="48" s="1"/>
  <c r="O128" i="48"/>
  <c r="Q128" i="48" s="1"/>
  <c r="O127" i="48"/>
  <c r="Q127" i="48" s="1"/>
  <c r="O126" i="48"/>
  <c r="Q126" i="48" s="1"/>
  <c r="O125" i="48"/>
  <c r="Q125" i="48" s="1"/>
  <c r="O124" i="48"/>
  <c r="Q124" i="48" s="1"/>
  <c r="O123" i="48"/>
  <c r="Q123" i="48" s="1"/>
  <c r="O122" i="48"/>
  <c r="Q122" i="48" s="1"/>
  <c r="O121" i="48"/>
  <c r="Q121" i="48" s="1"/>
  <c r="O105" i="48"/>
  <c r="Q105" i="48" s="1"/>
  <c r="O104" i="48"/>
  <c r="Q104" i="48" s="1"/>
  <c r="O103" i="48"/>
  <c r="Q103" i="48" s="1"/>
  <c r="O102" i="48"/>
  <c r="Q102" i="48" s="1"/>
  <c r="O101" i="48"/>
  <c r="Q101" i="48" s="1"/>
  <c r="O100" i="48"/>
  <c r="Q100" i="48" s="1"/>
  <c r="O99" i="48"/>
  <c r="Q99" i="48" s="1"/>
  <c r="O98" i="48"/>
  <c r="Q98" i="48" s="1"/>
  <c r="O97" i="48"/>
  <c r="Q97" i="48" s="1"/>
  <c r="O96" i="48"/>
  <c r="Q96" i="48" s="1"/>
  <c r="O95" i="48"/>
  <c r="Q95" i="48" s="1"/>
  <c r="O79" i="48"/>
  <c r="Q79" i="48" s="1"/>
  <c r="O78" i="48"/>
  <c r="Q78" i="48" s="1"/>
  <c r="O77" i="48"/>
  <c r="Q77" i="48" s="1"/>
  <c r="O76" i="48"/>
  <c r="Q76" i="48" s="1"/>
  <c r="O75" i="48"/>
  <c r="Q75" i="48" s="1"/>
  <c r="O74" i="48"/>
  <c r="Q74" i="48" s="1"/>
  <c r="O73" i="48"/>
  <c r="Q73" i="48" s="1"/>
  <c r="O72" i="48"/>
  <c r="Q72" i="48" s="1"/>
  <c r="O71" i="48"/>
  <c r="Q71" i="48" s="1"/>
  <c r="O70" i="48"/>
  <c r="Q70" i="48" s="1"/>
  <c r="O69" i="48"/>
  <c r="Q69" i="48" s="1"/>
  <c r="O53" i="48"/>
  <c r="Q53" i="48" s="1"/>
  <c r="O52" i="48"/>
  <c r="Q52" i="48" s="1"/>
  <c r="O51" i="48"/>
  <c r="Q51" i="48" s="1"/>
  <c r="O50" i="48"/>
  <c r="Q50" i="48" s="1"/>
  <c r="O49" i="48"/>
  <c r="Q49" i="48" s="1"/>
  <c r="O48" i="48"/>
  <c r="Q48" i="48" s="1"/>
  <c r="O47" i="48"/>
  <c r="Q47" i="48" s="1"/>
  <c r="O46" i="48"/>
  <c r="Q46" i="48" s="1"/>
  <c r="O45" i="48"/>
  <c r="Q45" i="48" s="1"/>
  <c r="O44" i="48"/>
  <c r="Q44" i="48" s="1"/>
  <c r="O43" i="48"/>
  <c r="Q43" i="48" s="1"/>
  <c r="Q24" i="48"/>
  <c r="Q23" i="48"/>
  <c r="Q22" i="48"/>
  <c r="Q21" i="48"/>
  <c r="Q20" i="48"/>
  <c r="Q27" i="48"/>
  <c r="Q26" i="48"/>
  <c r="Q25" i="48"/>
  <c r="O146" i="48"/>
  <c r="Q146" i="48" s="1"/>
  <c r="O120" i="48"/>
  <c r="Q120" i="48" s="1"/>
  <c r="O94" i="48"/>
  <c r="Q94" i="48" s="1"/>
  <c r="O68" i="48"/>
  <c r="Q68" i="48" s="1"/>
  <c r="O42" i="48"/>
  <c r="Q42" i="48" s="1"/>
  <c r="S157" i="48"/>
  <c r="K157" i="48"/>
  <c r="G157" i="48"/>
  <c r="H157" i="48" s="1"/>
  <c r="S156" i="48"/>
  <c r="K156" i="48"/>
  <c r="G156" i="48"/>
  <c r="H156" i="48" s="1"/>
  <c r="S155" i="48"/>
  <c r="K155" i="48"/>
  <c r="G155" i="48"/>
  <c r="H155" i="48" s="1"/>
  <c r="S154" i="48"/>
  <c r="K154" i="48"/>
  <c r="G154" i="48"/>
  <c r="H154" i="48" s="1"/>
  <c r="S153" i="48"/>
  <c r="K153" i="48"/>
  <c r="G153" i="48"/>
  <c r="H153" i="48" s="1"/>
  <c r="S152" i="48"/>
  <c r="K152" i="48"/>
  <c r="G152" i="48"/>
  <c r="H152" i="48" s="1"/>
  <c r="S151" i="48"/>
  <c r="K151" i="48"/>
  <c r="G151" i="48"/>
  <c r="H151" i="48" s="1"/>
  <c r="S150" i="48"/>
  <c r="K150" i="48"/>
  <c r="G150" i="48"/>
  <c r="H150" i="48" s="1"/>
  <c r="S149" i="48"/>
  <c r="K149" i="48"/>
  <c r="G149" i="48"/>
  <c r="H149" i="48" s="1"/>
  <c r="S148" i="48"/>
  <c r="K148" i="48"/>
  <c r="G148" i="48"/>
  <c r="H148" i="48" s="1"/>
  <c r="S147" i="48"/>
  <c r="K147" i="48"/>
  <c r="G147" i="48"/>
  <c r="H147" i="48" s="1"/>
  <c r="S146" i="48"/>
  <c r="K146" i="48"/>
  <c r="G146" i="48"/>
  <c r="H146" i="48" s="1"/>
  <c r="I146" i="48" s="1"/>
  <c r="S131" i="48"/>
  <c r="K131" i="48"/>
  <c r="G131" i="48"/>
  <c r="H131" i="48" s="1"/>
  <c r="S130" i="48"/>
  <c r="K130" i="48"/>
  <c r="G130" i="48"/>
  <c r="H130" i="48" s="1"/>
  <c r="S129" i="48"/>
  <c r="K129" i="48"/>
  <c r="G129" i="48"/>
  <c r="H129" i="48" s="1"/>
  <c r="S128" i="48"/>
  <c r="K128" i="48"/>
  <c r="G128" i="48"/>
  <c r="H128" i="48" s="1"/>
  <c r="S127" i="48"/>
  <c r="K127" i="48"/>
  <c r="G127" i="48"/>
  <c r="H127" i="48" s="1"/>
  <c r="S126" i="48"/>
  <c r="K126" i="48"/>
  <c r="G126" i="48"/>
  <c r="H126" i="48" s="1"/>
  <c r="S125" i="48"/>
  <c r="K125" i="48"/>
  <c r="G125" i="48"/>
  <c r="H125" i="48" s="1"/>
  <c r="S124" i="48"/>
  <c r="K124" i="48"/>
  <c r="G124" i="48"/>
  <c r="H124" i="48" s="1"/>
  <c r="S123" i="48"/>
  <c r="K123" i="48"/>
  <c r="G123" i="48"/>
  <c r="H123" i="48" s="1"/>
  <c r="S122" i="48"/>
  <c r="K122" i="48"/>
  <c r="G122" i="48"/>
  <c r="H122" i="48" s="1"/>
  <c r="S121" i="48"/>
  <c r="S120" i="48"/>
  <c r="K121" i="48"/>
  <c r="G121" i="48"/>
  <c r="H121" i="48" s="1"/>
  <c r="K120" i="48"/>
  <c r="G120" i="48"/>
  <c r="H120" i="48" s="1"/>
  <c r="I120" i="48" s="1"/>
  <c r="S105" i="48"/>
  <c r="K105" i="48"/>
  <c r="G105" i="48"/>
  <c r="H105" i="48" s="1"/>
  <c r="S104" i="48"/>
  <c r="K104" i="48"/>
  <c r="G104" i="48"/>
  <c r="H104" i="48" s="1"/>
  <c r="S103" i="48"/>
  <c r="K103" i="48"/>
  <c r="G103" i="48"/>
  <c r="H103" i="48" s="1"/>
  <c r="S102" i="48"/>
  <c r="K102" i="48"/>
  <c r="G102" i="48"/>
  <c r="H102" i="48" s="1"/>
  <c r="S101" i="48"/>
  <c r="K101" i="48"/>
  <c r="G101" i="48"/>
  <c r="H101" i="48" s="1"/>
  <c r="S100" i="48"/>
  <c r="K100" i="48"/>
  <c r="G100" i="48"/>
  <c r="H100" i="48" s="1"/>
  <c r="S99" i="48"/>
  <c r="K99" i="48"/>
  <c r="G99" i="48"/>
  <c r="H99" i="48" s="1"/>
  <c r="S98" i="48"/>
  <c r="K98" i="48"/>
  <c r="G98" i="48"/>
  <c r="H98" i="48" s="1"/>
  <c r="S97" i="48"/>
  <c r="K97" i="48"/>
  <c r="G97" i="48"/>
  <c r="H97" i="48" s="1"/>
  <c r="S96" i="48"/>
  <c r="S95" i="48"/>
  <c r="S94" i="48"/>
  <c r="K96" i="48"/>
  <c r="G96" i="48"/>
  <c r="H96" i="48" s="1"/>
  <c r="K95" i="48"/>
  <c r="G95" i="48"/>
  <c r="H95" i="48" s="1"/>
  <c r="G94" i="48"/>
  <c r="H94" i="48" s="1"/>
  <c r="I94" i="48" s="1"/>
  <c r="K94" i="48"/>
  <c r="S79" i="48"/>
  <c r="K79" i="48"/>
  <c r="G79" i="48"/>
  <c r="H79" i="48" s="1"/>
  <c r="S78" i="48"/>
  <c r="K78" i="48"/>
  <c r="G78" i="48"/>
  <c r="H78" i="48" s="1"/>
  <c r="S77" i="48"/>
  <c r="K77" i="48"/>
  <c r="G77" i="48"/>
  <c r="H77" i="48" s="1"/>
  <c r="S76" i="48"/>
  <c r="K76" i="48"/>
  <c r="G76" i="48"/>
  <c r="H76" i="48" s="1"/>
  <c r="S75" i="48"/>
  <c r="K75" i="48"/>
  <c r="G75" i="48"/>
  <c r="H75" i="48" s="1"/>
  <c r="S74" i="48"/>
  <c r="K74" i="48"/>
  <c r="G74" i="48"/>
  <c r="H74" i="48" s="1"/>
  <c r="S73" i="48"/>
  <c r="K73" i="48"/>
  <c r="G73" i="48"/>
  <c r="H73" i="48" s="1"/>
  <c r="S72" i="48"/>
  <c r="K72" i="48"/>
  <c r="G72" i="48"/>
  <c r="H72" i="48" s="1"/>
  <c r="S71" i="48"/>
  <c r="K71" i="48"/>
  <c r="G71" i="48"/>
  <c r="H71" i="48" s="1"/>
  <c r="S70" i="48"/>
  <c r="K70" i="48"/>
  <c r="G70" i="48"/>
  <c r="H70" i="48" s="1"/>
  <c r="S69" i="48"/>
  <c r="K69" i="48"/>
  <c r="G69" i="48"/>
  <c r="H69" i="48" s="1"/>
  <c r="S68" i="48"/>
  <c r="K68" i="48"/>
  <c r="G68" i="48"/>
  <c r="H68" i="48" s="1"/>
  <c r="I68" i="48" s="1"/>
  <c r="S53" i="48"/>
  <c r="K53" i="48"/>
  <c r="G53" i="48"/>
  <c r="H53" i="48" s="1"/>
  <c r="S52" i="48"/>
  <c r="K52" i="48"/>
  <c r="G52" i="48"/>
  <c r="H52" i="48" s="1"/>
  <c r="S51" i="48"/>
  <c r="K51" i="48"/>
  <c r="G51" i="48"/>
  <c r="H51" i="48" s="1"/>
  <c r="S50" i="48"/>
  <c r="K50" i="48"/>
  <c r="G50" i="48"/>
  <c r="H50" i="48" s="1"/>
  <c r="S49" i="48"/>
  <c r="K49" i="48"/>
  <c r="G49" i="48"/>
  <c r="H49" i="48" s="1"/>
  <c r="S48" i="48"/>
  <c r="K48" i="48"/>
  <c r="G48" i="48"/>
  <c r="H48" i="48" s="1"/>
  <c r="S47" i="48"/>
  <c r="K47" i="48"/>
  <c r="G47" i="48"/>
  <c r="H47" i="48" s="1"/>
  <c r="S46" i="48"/>
  <c r="K46" i="48"/>
  <c r="G46" i="48"/>
  <c r="H46" i="48" s="1"/>
  <c r="S45" i="48"/>
  <c r="K45" i="48"/>
  <c r="G45" i="48"/>
  <c r="H45" i="48" s="1"/>
  <c r="S44" i="48"/>
  <c r="K44" i="48"/>
  <c r="G44" i="48"/>
  <c r="H44" i="48" s="1"/>
  <c r="S43" i="48"/>
  <c r="K43" i="48"/>
  <c r="G43" i="48"/>
  <c r="H43" i="48" s="1"/>
  <c r="S42" i="48"/>
  <c r="K42" i="48"/>
  <c r="G42" i="48"/>
  <c r="H42" i="48" s="1"/>
  <c r="I42" i="48" s="1"/>
  <c r="S27" i="48"/>
  <c r="S26" i="48"/>
  <c r="S25" i="48"/>
  <c r="S24" i="48"/>
  <c r="S23" i="48"/>
  <c r="S22" i="48"/>
  <c r="S21" i="48"/>
  <c r="S20" i="48"/>
  <c r="S19" i="48"/>
  <c r="S18" i="48"/>
  <c r="S17" i="48"/>
  <c r="G16" i="48"/>
  <c r="H16" i="48" s="1"/>
  <c r="I16" i="48" s="1"/>
  <c r="O16" i="48" s="1"/>
  <c r="Q16" i="48" s="1"/>
  <c r="S16" i="48" s="1"/>
  <c r="G17" i="48"/>
  <c r="H17" i="48" s="1"/>
  <c r="K27" i="48"/>
  <c r="K26" i="48"/>
  <c r="K25" i="48"/>
  <c r="K24" i="48"/>
  <c r="K23" i="48"/>
  <c r="K22" i="48"/>
  <c r="K21" i="48"/>
  <c r="K20" i="48"/>
  <c r="K19" i="48"/>
  <c r="K18" i="48"/>
  <c r="K17" i="48"/>
  <c r="K16" i="48"/>
  <c r="G27" i="48"/>
  <c r="H27" i="48" s="1"/>
  <c r="G18" i="48"/>
  <c r="H18" i="48" s="1"/>
  <c r="G19" i="48"/>
  <c r="H19" i="48" s="1"/>
  <c r="G20" i="48"/>
  <c r="H20" i="48" s="1"/>
  <c r="G21" i="48"/>
  <c r="H21" i="48" s="1"/>
  <c r="G22" i="48"/>
  <c r="H22" i="48" s="1"/>
  <c r="G23" i="48"/>
  <c r="H23" i="48" s="1"/>
  <c r="G24" i="48"/>
  <c r="H24" i="48" s="1"/>
  <c r="G25" i="48"/>
  <c r="H25" i="48" s="1"/>
  <c r="G26" i="48"/>
  <c r="H26" i="48" s="1"/>
  <c r="F9" i="30"/>
  <c r="L5" i="16"/>
  <c r="M5" i="16" s="1"/>
  <c r="L6" i="16"/>
  <c r="M6" i="16" s="1"/>
  <c r="L7" i="16"/>
  <c r="M7" i="16" s="1"/>
  <c r="L8" i="16"/>
  <c r="M8" i="16" s="1"/>
  <c r="L9" i="16"/>
  <c r="M9" i="16" s="1"/>
  <c r="L10" i="16"/>
  <c r="M10" i="16" s="1"/>
  <c r="L11" i="16"/>
  <c r="M11" i="16" s="1"/>
  <c r="L12" i="16"/>
  <c r="M12" i="16" s="1"/>
  <c r="L13" i="16"/>
  <c r="M13" i="16" s="1"/>
  <c r="L14" i="16"/>
  <c r="M14" i="16" s="1"/>
  <c r="L15" i="16"/>
  <c r="M15" i="16" s="1"/>
  <c r="L16" i="16"/>
  <c r="M16" i="16" s="1"/>
  <c r="L17" i="16"/>
  <c r="M17" i="16" s="1"/>
  <c r="L18" i="16"/>
  <c r="M18" i="16" s="1"/>
  <c r="L19" i="16"/>
  <c r="M19" i="16" s="1"/>
  <c r="L20" i="16"/>
  <c r="M20" i="16" s="1"/>
  <c r="L21" i="16"/>
  <c r="M21" i="16" s="1"/>
  <c r="L22" i="16"/>
  <c r="M22" i="16" s="1"/>
  <c r="L23" i="16"/>
  <c r="M23" i="16" s="1"/>
  <c r="L24" i="16"/>
  <c r="M24" i="16" s="1"/>
  <c r="L25" i="16"/>
  <c r="M25" i="16" s="1"/>
  <c r="L26" i="16"/>
  <c r="M26" i="16" s="1"/>
  <c r="L27" i="16"/>
  <c r="M27" i="16" s="1"/>
  <c r="L28" i="16"/>
  <c r="M28" i="16" s="1"/>
  <c r="L29" i="16"/>
  <c r="M29" i="16" s="1"/>
  <c r="L30" i="16"/>
  <c r="M30" i="16" s="1"/>
  <c r="L31" i="16"/>
  <c r="M31" i="16" s="1"/>
  <c r="L32" i="16"/>
  <c r="M32" i="16" s="1"/>
  <c r="L33" i="16"/>
  <c r="M33" i="16" s="1"/>
  <c r="L34" i="16"/>
  <c r="M34" i="16" s="1"/>
  <c r="L35" i="16"/>
  <c r="M35" i="16" s="1"/>
  <c r="L36" i="16"/>
  <c r="M36" i="16" s="1"/>
  <c r="L37" i="16"/>
  <c r="M37" i="16" s="1"/>
  <c r="L38" i="16"/>
  <c r="M38" i="16" s="1"/>
  <c r="L39" i="16"/>
  <c r="M39" i="16" s="1"/>
  <c r="L40" i="16"/>
  <c r="M40" i="16" s="1"/>
  <c r="L41" i="16"/>
  <c r="M41" i="16" s="1"/>
  <c r="L42" i="16"/>
  <c r="M42" i="16" s="1"/>
  <c r="L43" i="16"/>
  <c r="M43" i="16" s="1"/>
  <c r="L44" i="16"/>
  <c r="M44" i="16" s="1"/>
  <c r="L45" i="16"/>
  <c r="M45" i="16" s="1"/>
  <c r="L46" i="16"/>
  <c r="M46" i="16" s="1"/>
  <c r="L47" i="16"/>
  <c r="M47" i="16" s="1"/>
  <c r="L48" i="16"/>
  <c r="M48" i="16" s="1"/>
  <c r="L49" i="16"/>
  <c r="M49" i="16" s="1"/>
  <c r="L50" i="16"/>
  <c r="M50" i="16" s="1"/>
  <c r="L51" i="16"/>
  <c r="M51" i="16" s="1"/>
  <c r="L52" i="16"/>
  <c r="M52" i="16" s="1"/>
  <c r="L53" i="16"/>
  <c r="M53" i="16" s="1"/>
  <c r="L54" i="16"/>
  <c r="M54" i="16" s="1"/>
  <c r="L55" i="16"/>
  <c r="M55" i="16" s="1"/>
  <c r="L56" i="16"/>
  <c r="M56" i="16" s="1"/>
  <c r="L57" i="16"/>
  <c r="M57" i="16" s="1"/>
  <c r="L58" i="16"/>
  <c r="M58" i="16" s="1"/>
  <c r="L59" i="16"/>
  <c r="M59" i="16" s="1"/>
  <c r="L60" i="16"/>
  <c r="M60" i="16" s="1"/>
  <c r="L61" i="16"/>
  <c r="M61" i="16" s="1"/>
  <c r="L62" i="16"/>
  <c r="M62" i="16" s="1"/>
  <c r="L63" i="16"/>
  <c r="M63" i="16" s="1"/>
  <c r="L64" i="16"/>
  <c r="M64" i="16" s="1"/>
  <c r="L65" i="16"/>
  <c r="M65" i="16" s="1"/>
  <c r="L66" i="16"/>
  <c r="M66" i="16" s="1"/>
  <c r="L67" i="16"/>
  <c r="M67" i="16" s="1"/>
  <c r="L68" i="16"/>
  <c r="M68" i="16" s="1"/>
  <c r="L69" i="16"/>
  <c r="M69" i="16" s="1"/>
  <c r="L70" i="16"/>
  <c r="M70" i="16" s="1"/>
  <c r="L71" i="16"/>
  <c r="M71" i="16" s="1"/>
  <c r="L72" i="16"/>
  <c r="M72" i="16" s="1"/>
  <c r="L73" i="16"/>
  <c r="M73" i="16" s="1"/>
  <c r="L74" i="16"/>
  <c r="M74" i="16" s="1"/>
  <c r="L75" i="16"/>
  <c r="M75" i="16" s="1"/>
  <c r="L76" i="16"/>
  <c r="M76" i="16" s="1"/>
  <c r="L77" i="16"/>
  <c r="M77" i="16" s="1"/>
  <c r="L78" i="16"/>
  <c r="M78" i="16" s="1"/>
  <c r="L79" i="16"/>
  <c r="M79" i="16" s="1"/>
  <c r="L80" i="16"/>
  <c r="M80" i="16" s="1"/>
  <c r="L81" i="16"/>
  <c r="M81" i="16" s="1"/>
  <c r="L82" i="16"/>
  <c r="M82" i="16" s="1"/>
  <c r="L83" i="16"/>
  <c r="M83" i="16" s="1"/>
  <c r="L84" i="16"/>
  <c r="M84" i="16" s="1"/>
  <c r="L85" i="16"/>
  <c r="M85" i="16" s="1"/>
  <c r="L86" i="16"/>
  <c r="M86" i="16" s="1"/>
  <c r="L87" i="16"/>
  <c r="M87" i="16" s="1"/>
  <c r="L88" i="16"/>
  <c r="M88" i="16" s="1"/>
  <c r="L89" i="16"/>
  <c r="M89" i="16" s="1"/>
  <c r="L90" i="16"/>
  <c r="M90" i="16" s="1"/>
  <c r="L91" i="16"/>
  <c r="M91" i="16" s="1"/>
  <c r="L92" i="16"/>
  <c r="M92" i="16" s="1"/>
  <c r="L93" i="16"/>
  <c r="M93" i="16" s="1"/>
  <c r="L94" i="16"/>
  <c r="M94" i="16" s="1"/>
  <c r="L95" i="16"/>
  <c r="M95" i="16" s="1"/>
  <c r="L96" i="16"/>
  <c r="M96" i="16" s="1"/>
  <c r="L97" i="16"/>
  <c r="M97" i="16" s="1"/>
  <c r="L98" i="16"/>
  <c r="M98" i="16" s="1"/>
  <c r="L99" i="16"/>
  <c r="M99" i="16" s="1"/>
  <c r="L100" i="16"/>
  <c r="M100" i="16" s="1"/>
  <c r="L101" i="16"/>
  <c r="M101" i="16" s="1"/>
  <c r="L102" i="16"/>
  <c r="M102" i="16" s="1"/>
  <c r="L103" i="16"/>
  <c r="M103" i="16" s="1"/>
  <c r="L104" i="16"/>
  <c r="M104" i="16" s="1"/>
  <c r="L105" i="16"/>
  <c r="M105" i="16" s="1"/>
  <c r="L106" i="16"/>
  <c r="M106" i="16" s="1"/>
  <c r="L107" i="16"/>
  <c r="M107" i="16" s="1"/>
  <c r="L108" i="16"/>
  <c r="M108" i="16" s="1"/>
  <c r="L109" i="16"/>
  <c r="M109" i="16" s="1"/>
  <c r="L110" i="16"/>
  <c r="M110" i="16" s="1"/>
  <c r="L111" i="16"/>
  <c r="M111" i="16" s="1"/>
  <c r="L112" i="16"/>
  <c r="M112" i="16" s="1"/>
  <c r="L113" i="16"/>
  <c r="M113" i="16" s="1"/>
  <c r="L114" i="16"/>
  <c r="M114" i="16" s="1"/>
  <c r="L115" i="16"/>
  <c r="M115" i="16" s="1"/>
  <c r="L116" i="16"/>
  <c r="M116" i="16" s="1"/>
  <c r="L117" i="16"/>
  <c r="M117" i="16" s="1"/>
  <c r="L118" i="16"/>
  <c r="M118" i="16" s="1"/>
  <c r="L119" i="16"/>
  <c r="M119" i="16" s="1"/>
  <c r="L120" i="16"/>
  <c r="M120" i="16" s="1"/>
  <c r="L121" i="16"/>
  <c r="M121" i="16" s="1"/>
  <c r="L122" i="16"/>
  <c r="M122" i="16" s="1"/>
  <c r="L123" i="16"/>
  <c r="M123" i="16" s="1"/>
  <c r="L124" i="16"/>
  <c r="M124" i="16" s="1"/>
  <c r="L125" i="16"/>
  <c r="M125" i="16" s="1"/>
  <c r="L126" i="16"/>
  <c r="M126" i="16" s="1"/>
  <c r="L127" i="16"/>
  <c r="M127" i="16" s="1"/>
  <c r="L128" i="16"/>
  <c r="M128" i="16" s="1"/>
  <c r="L129" i="16"/>
  <c r="M129" i="16" s="1"/>
  <c r="L130" i="16"/>
  <c r="M130" i="16" s="1"/>
  <c r="L131" i="16"/>
  <c r="M131" i="16" s="1"/>
  <c r="L132" i="16"/>
  <c r="M132" i="16" s="1"/>
  <c r="L133" i="16"/>
  <c r="M133" i="16" s="1"/>
  <c r="L134" i="16"/>
  <c r="M134" i="16" s="1"/>
  <c r="L135" i="16"/>
  <c r="M135" i="16" s="1"/>
  <c r="L136" i="16"/>
  <c r="M136" i="16" s="1"/>
  <c r="L137" i="16"/>
  <c r="M137" i="16" s="1"/>
  <c r="L138" i="16"/>
  <c r="M138" i="16" s="1"/>
  <c r="L139" i="16"/>
  <c r="M139" i="16" s="1"/>
  <c r="L140" i="16"/>
  <c r="M140" i="16" s="1"/>
  <c r="L141" i="16"/>
  <c r="M141" i="16" s="1"/>
  <c r="L142" i="16"/>
  <c r="M142" i="16" s="1"/>
  <c r="L143" i="16"/>
  <c r="M143" i="16" s="1"/>
  <c r="L144" i="16"/>
  <c r="M144" i="16" s="1"/>
  <c r="L145" i="16"/>
  <c r="M145" i="16" s="1"/>
  <c r="L146" i="16"/>
  <c r="M146" i="16" s="1"/>
  <c r="L147" i="16"/>
  <c r="M147" i="16" s="1"/>
  <c r="L148" i="16"/>
  <c r="M148" i="16" s="1"/>
  <c r="L149" i="16"/>
  <c r="M149" i="16" s="1"/>
  <c r="L150" i="16"/>
  <c r="M150" i="16" s="1"/>
  <c r="L151" i="16"/>
  <c r="M151" i="16" s="1"/>
  <c r="L152" i="16"/>
  <c r="M152" i="16" s="1"/>
  <c r="L153" i="16"/>
  <c r="M153" i="16" s="1"/>
  <c r="L154" i="16"/>
  <c r="M154" i="16" s="1"/>
  <c r="L155" i="16"/>
  <c r="M155" i="16" s="1"/>
  <c r="L156" i="16"/>
  <c r="M156" i="16" s="1"/>
  <c r="L157" i="16"/>
  <c r="M157" i="16" s="1"/>
  <c r="L158" i="16"/>
  <c r="M158" i="16" s="1"/>
  <c r="L159" i="16"/>
  <c r="M159" i="16" s="1"/>
  <c r="L160" i="16"/>
  <c r="M160" i="16" s="1"/>
  <c r="L161" i="16"/>
  <c r="M161" i="16" s="1"/>
  <c r="L162" i="16"/>
  <c r="M162" i="16" s="1"/>
  <c r="L163" i="16"/>
  <c r="M163" i="16" s="1"/>
  <c r="L164" i="16"/>
  <c r="M164" i="16" s="1"/>
  <c r="L165" i="16"/>
  <c r="M165" i="16" s="1"/>
  <c r="L166" i="16"/>
  <c r="M166" i="16" s="1"/>
  <c r="L167" i="16"/>
  <c r="M167" i="16" s="1"/>
  <c r="L168" i="16"/>
  <c r="M168" i="16" s="1"/>
  <c r="L169" i="16"/>
  <c r="M169" i="16" s="1"/>
  <c r="L170" i="16"/>
  <c r="M170" i="16" s="1"/>
  <c r="L171" i="16"/>
  <c r="M171" i="16" s="1"/>
  <c r="L172" i="16"/>
  <c r="M172" i="16" s="1"/>
  <c r="L173" i="16"/>
  <c r="M173" i="16" s="1"/>
  <c r="L174" i="16"/>
  <c r="M174" i="16" s="1"/>
  <c r="L175" i="16"/>
  <c r="M175" i="16" s="1"/>
  <c r="L176" i="16"/>
  <c r="M176" i="16" s="1"/>
  <c r="L177" i="16"/>
  <c r="M177" i="16" s="1"/>
  <c r="L178" i="16"/>
  <c r="M178" i="16" s="1"/>
  <c r="L179" i="16"/>
  <c r="M179" i="16" s="1"/>
  <c r="L180" i="16"/>
  <c r="M180" i="16" s="1"/>
  <c r="L181" i="16"/>
  <c r="M181" i="16" s="1"/>
  <c r="L182" i="16"/>
  <c r="M182" i="16" s="1"/>
  <c r="L183" i="16"/>
  <c r="M183" i="16" s="1"/>
  <c r="L184" i="16"/>
  <c r="M184" i="16" s="1"/>
  <c r="L185" i="16"/>
  <c r="M185" i="16" s="1"/>
  <c r="L186" i="16"/>
  <c r="M186" i="16" s="1"/>
  <c r="L187" i="16"/>
  <c r="M187" i="16" s="1"/>
  <c r="L188" i="16"/>
  <c r="M188" i="16" s="1"/>
  <c r="L189" i="16"/>
  <c r="M189" i="16" s="1"/>
  <c r="L190" i="16"/>
  <c r="M190" i="16" s="1"/>
  <c r="L191" i="16"/>
  <c r="M191" i="16" s="1"/>
  <c r="L192" i="16"/>
  <c r="M192" i="16" s="1"/>
  <c r="L193" i="16"/>
  <c r="M193" i="16" s="1"/>
  <c r="L194" i="16"/>
  <c r="M194" i="16" s="1"/>
  <c r="L195" i="16"/>
  <c r="M195" i="16" s="1"/>
  <c r="L196" i="16"/>
  <c r="M196" i="16" s="1"/>
  <c r="L197" i="16"/>
  <c r="M197" i="16" s="1"/>
  <c r="L198" i="16"/>
  <c r="M198" i="16" s="1"/>
  <c r="L199" i="16"/>
  <c r="M199" i="16" s="1"/>
  <c r="L200" i="16"/>
  <c r="M200" i="16" s="1"/>
  <c r="L201" i="16"/>
  <c r="M201" i="16" s="1"/>
  <c r="L202" i="16"/>
  <c r="M202" i="16" s="1"/>
  <c r="L203" i="16"/>
  <c r="M203" i="16" s="1"/>
  <c r="L204" i="16"/>
  <c r="M204" i="16" s="1"/>
  <c r="L205" i="16"/>
  <c r="M205" i="16" s="1"/>
  <c r="L206" i="16"/>
  <c r="M206" i="16" s="1"/>
  <c r="L207" i="16"/>
  <c r="M207" i="16" s="1"/>
  <c r="L208" i="16"/>
  <c r="M208" i="16" s="1"/>
  <c r="L209" i="16"/>
  <c r="M209" i="16" s="1"/>
  <c r="L210" i="16"/>
  <c r="M210" i="16" s="1"/>
  <c r="L211" i="16"/>
  <c r="M211" i="16" s="1"/>
  <c r="L212" i="16"/>
  <c r="M212" i="16" s="1"/>
  <c r="L213" i="16"/>
  <c r="M213" i="16" s="1"/>
  <c r="L214" i="16"/>
  <c r="M214" i="16" s="1"/>
  <c r="L215" i="16"/>
  <c r="M215" i="16" s="1"/>
  <c r="L216" i="16"/>
  <c r="M216" i="16" s="1"/>
  <c r="L217" i="16"/>
  <c r="M217" i="16" s="1"/>
  <c r="L218" i="16"/>
  <c r="M218" i="16" s="1"/>
  <c r="L219" i="16"/>
  <c r="M219" i="16" s="1"/>
  <c r="L220" i="16"/>
  <c r="M220" i="16" s="1"/>
  <c r="L221" i="16"/>
  <c r="M221" i="16" s="1"/>
  <c r="L222" i="16"/>
  <c r="M222" i="16" s="1"/>
  <c r="L223" i="16"/>
  <c r="M223" i="16" s="1"/>
  <c r="L224" i="16"/>
  <c r="M224" i="16" s="1"/>
  <c r="L225" i="16"/>
  <c r="M225" i="16" s="1"/>
  <c r="L226" i="16"/>
  <c r="M226" i="16" s="1"/>
  <c r="L227" i="16"/>
  <c r="M227" i="16" s="1"/>
  <c r="L228" i="16"/>
  <c r="M228" i="16" s="1"/>
  <c r="L229" i="16"/>
  <c r="M229" i="16" s="1"/>
  <c r="L230" i="16"/>
  <c r="M230" i="16" s="1"/>
  <c r="L231" i="16"/>
  <c r="M231" i="16" s="1"/>
  <c r="L232" i="16"/>
  <c r="M232" i="16" s="1"/>
  <c r="L233" i="16"/>
  <c r="M233" i="16" s="1"/>
  <c r="L234" i="16"/>
  <c r="M234" i="16" s="1"/>
  <c r="L235" i="16"/>
  <c r="M235" i="16" s="1"/>
  <c r="L236" i="16"/>
  <c r="M236" i="16" s="1"/>
  <c r="L237" i="16"/>
  <c r="M237" i="16" s="1"/>
  <c r="L238" i="16"/>
  <c r="M238" i="16" s="1"/>
  <c r="L239" i="16"/>
  <c r="M239" i="16" s="1"/>
  <c r="L240" i="16"/>
  <c r="M240" i="16" s="1"/>
  <c r="L241" i="16"/>
  <c r="M241" i="16" s="1"/>
  <c r="L242" i="16"/>
  <c r="M242" i="16" s="1"/>
  <c r="L243" i="16"/>
  <c r="M243" i="16" s="1"/>
  <c r="L244" i="16"/>
  <c r="M244" i="16" s="1"/>
  <c r="L245" i="16"/>
  <c r="M245" i="16" s="1"/>
  <c r="L246" i="16"/>
  <c r="M246" i="16" s="1"/>
  <c r="L247" i="16"/>
  <c r="M247" i="16" s="1"/>
  <c r="L248" i="16"/>
  <c r="M248" i="16" s="1"/>
  <c r="L249" i="16"/>
  <c r="M249" i="16" s="1"/>
  <c r="L250" i="16"/>
  <c r="M250" i="16" s="1"/>
  <c r="L251" i="16"/>
  <c r="M251" i="16" s="1"/>
  <c r="L252" i="16"/>
  <c r="M252" i="16" s="1"/>
  <c r="L253" i="16"/>
  <c r="M253" i="16" s="1"/>
  <c r="L254" i="16"/>
  <c r="M254" i="16" s="1"/>
  <c r="L255" i="16"/>
  <c r="M255" i="16" s="1"/>
  <c r="L256" i="16"/>
  <c r="M256" i="16" s="1"/>
  <c r="L257" i="16"/>
  <c r="M257" i="16" s="1"/>
  <c r="L258" i="16"/>
  <c r="M258" i="16" s="1"/>
  <c r="L259" i="16"/>
  <c r="M259" i="16" s="1"/>
  <c r="L260" i="16"/>
  <c r="M260" i="16" s="1"/>
  <c r="L261" i="16"/>
  <c r="M261" i="16" s="1"/>
  <c r="L262" i="16"/>
  <c r="M262" i="16" s="1"/>
  <c r="L263" i="16"/>
  <c r="M263" i="16" s="1"/>
  <c r="L264" i="16"/>
  <c r="M264" i="16" s="1"/>
  <c r="L265" i="16"/>
  <c r="M265" i="16" s="1"/>
  <c r="L266" i="16"/>
  <c r="M266" i="16" s="1"/>
  <c r="L267" i="16"/>
  <c r="M267" i="16" s="1"/>
  <c r="L268" i="16"/>
  <c r="M268" i="16" s="1"/>
  <c r="L269" i="16"/>
  <c r="M269" i="16" s="1"/>
  <c r="L270" i="16"/>
  <c r="M270" i="16" s="1"/>
  <c r="L271" i="16"/>
  <c r="M271" i="16" s="1"/>
  <c r="L272" i="16"/>
  <c r="M272" i="16" s="1"/>
  <c r="L273" i="16"/>
  <c r="M273" i="16" s="1"/>
  <c r="L274" i="16"/>
  <c r="M274" i="16" s="1"/>
  <c r="L275" i="16"/>
  <c r="M275" i="16" s="1"/>
  <c r="L276" i="16"/>
  <c r="M276" i="16" s="1"/>
  <c r="L277" i="16"/>
  <c r="M277" i="16" s="1"/>
  <c r="L278" i="16"/>
  <c r="M278" i="16" s="1"/>
  <c r="L279" i="16"/>
  <c r="M279" i="16" s="1"/>
  <c r="L280" i="16"/>
  <c r="M280" i="16" s="1"/>
  <c r="L281" i="16"/>
  <c r="M281" i="16" s="1"/>
  <c r="L282" i="16"/>
  <c r="M282" i="16" s="1"/>
  <c r="L283" i="16"/>
  <c r="M283" i="16" s="1"/>
  <c r="L284" i="16"/>
  <c r="M284" i="16" s="1"/>
  <c r="L285" i="16"/>
  <c r="M285" i="16" s="1"/>
  <c r="L286" i="16"/>
  <c r="M286" i="16" s="1"/>
  <c r="L287" i="16"/>
  <c r="M287" i="16" s="1"/>
  <c r="L288" i="16"/>
  <c r="M288" i="16" s="1"/>
  <c r="L289" i="16"/>
  <c r="M289" i="16" s="1"/>
  <c r="L290" i="16"/>
  <c r="M290" i="16" s="1"/>
  <c r="L291" i="16"/>
  <c r="M291" i="16" s="1"/>
  <c r="L292" i="16"/>
  <c r="M292" i="16" s="1"/>
  <c r="L293" i="16"/>
  <c r="M293" i="16" s="1"/>
  <c r="L294" i="16"/>
  <c r="M294" i="16" s="1"/>
  <c r="L295" i="16"/>
  <c r="M295" i="16" s="1"/>
  <c r="L296" i="16"/>
  <c r="M296" i="16" s="1"/>
  <c r="L297" i="16"/>
  <c r="M297" i="16" s="1"/>
  <c r="L298" i="16"/>
  <c r="M298" i="16" s="1"/>
  <c r="L299" i="16"/>
  <c r="M299" i="16" s="1"/>
  <c r="L300" i="16"/>
  <c r="M300" i="16" s="1"/>
  <c r="L301" i="16"/>
  <c r="M301" i="16" s="1"/>
  <c r="L302" i="16"/>
  <c r="M302" i="16" s="1"/>
  <c r="L303" i="16"/>
  <c r="M303" i="16" s="1"/>
  <c r="L304" i="16"/>
  <c r="M304" i="16" s="1"/>
  <c r="L305" i="16"/>
  <c r="M305" i="16" s="1"/>
  <c r="L306" i="16"/>
  <c r="M306" i="16" s="1"/>
  <c r="L307" i="16"/>
  <c r="M307" i="16" s="1"/>
  <c r="L308" i="16"/>
  <c r="M308" i="16" s="1"/>
  <c r="L309" i="16"/>
  <c r="M309" i="16" s="1"/>
  <c r="L310" i="16"/>
  <c r="M310" i="16" s="1"/>
  <c r="L311" i="16"/>
  <c r="M311" i="16" s="1"/>
  <c r="L312" i="16"/>
  <c r="M312" i="16" s="1"/>
  <c r="L313" i="16"/>
  <c r="M313" i="16" s="1"/>
  <c r="L314" i="16"/>
  <c r="M314" i="16" s="1"/>
  <c r="L315" i="16"/>
  <c r="M315" i="16" s="1"/>
  <c r="L316" i="16"/>
  <c r="M316" i="16" s="1"/>
  <c r="L317" i="16"/>
  <c r="M317" i="16" s="1"/>
  <c r="L318" i="16"/>
  <c r="M318" i="16" s="1"/>
  <c r="L319" i="16"/>
  <c r="M319" i="16" s="1"/>
  <c r="L320" i="16"/>
  <c r="M320" i="16" s="1"/>
  <c r="L321" i="16"/>
  <c r="M321" i="16" s="1"/>
  <c r="L322" i="16"/>
  <c r="M322" i="16" s="1"/>
  <c r="L323" i="16"/>
  <c r="M323" i="16" s="1"/>
  <c r="L324" i="16"/>
  <c r="M324" i="16" s="1"/>
  <c r="L325" i="16"/>
  <c r="M325" i="16" s="1"/>
  <c r="L326" i="16"/>
  <c r="M326" i="16" s="1"/>
  <c r="L327" i="16"/>
  <c r="M327" i="16" s="1"/>
  <c r="L328" i="16"/>
  <c r="M328" i="16" s="1"/>
  <c r="L329" i="16"/>
  <c r="M329" i="16" s="1"/>
  <c r="L330" i="16"/>
  <c r="M330" i="16" s="1"/>
  <c r="L331" i="16"/>
  <c r="M331" i="16" s="1"/>
  <c r="L332" i="16"/>
  <c r="M332" i="16" s="1"/>
  <c r="L333" i="16"/>
  <c r="M333" i="16" s="1"/>
  <c r="L334" i="16"/>
  <c r="M334" i="16" s="1"/>
  <c r="L335" i="16"/>
  <c r="M335" i="16" s="1"/>
  <c r="L336" i="16"/>
  <c r="M336" i="16" s="1"/>
  <c r="L337" i="16"/>
  <c r="M337" i="16" s="1"/>
  <c r="L338" i="16"/>
  <c r="M338" i="16" s="1"/>
  <c r="L339" i="16"/>
  <c r="M339" i="16" s="1"/>
  <c r="L340" i="16"/>
  <c r="M340" i="16" s="1"/>
  <c r="L341" i="16"/>
  <c r="M341" i="16" s="1"/>
  <c r="L342" i="16"/>
  <c r="M342" i="16" s="1"/>
  <c r="L343" i="16"/>
  <c r="M343" i="16" s="1"/>
  <c r="L344" i="16"/>
  <c r="M344" i="16" s="1"/>
  <c r="L345" i="16"/>
  <c r="M345" i="16" s="1"/>
  <c r="L346" i="16"/>
  <c r="M346" i="16" s="1"/>
  <c r="L347" i="16"/>
  <c r="M347" i="16" s="1"/>
  <c r="L348" i="16"/>
  <c r="M348" i="16" s="1"/>
  <c r="L349" i="16"/>
  <c r="M349" i="16" s="1"/>
  <c r="L350" i="16"/>
  <c r="M350" i="16" s="1"/>
  <c r="L351" i="16"/>
  <c r="M351" i="16" s="1"/>
  <c r="L352" i="16"/>
  <c r="M352" i="16" s="1"/>
  <c r="L353" i="16"/>
  <c r="M353" i="16" s="1"/>
  <c r="L354" i="16"/>
  <c r="M354" i="16" s="1"/>
  <c r="L355" i="16"/>
  <c r="M355" i="16" s="1"/>
  <c r="L356" i="16"/>
  <c r="M356" i="16" s="1"/>
  <c r="L357" i="16"/>
  <c r="M357" i="16" s="1"/>
  <c r="L358" i="16"/>
  <c r="M358" i="16" s="1"/>
  <c r="L359" i="16"/>
  <c r="M359" i="16" s="1"/>
  <c r="L360" i="16"/>
  <c r="M360" i="16" s="1"/>
  <c r="L361" i="16"/>
  <c r="M361" i="16" s="1"/>
  <c r="L362" i="16"/>
  <c r="M362" i="16" s="1"/>
  <c r="L363" i="16"/>
  <c r="M363" i="16" s="1"/>
  <c r="L364" i="16"/>
  <c r="M364" i="16" s="1"/>
  <c r="L365" i="16"/>
  <c r="M365" i="16" s="1"/>
  <c r="L366" i="16"/>
  <c r="M366" i="16" s="1"/>
  <c r="L367" i="16"/>
  <c r="M367" i="16" s="1"/>
  <c r="L368" i="16"/>
  <c r="M368" i="16" s="1"/>
  <c r="L369" i="16"/>
  <c r="M369" i="16" s="1"/>
  <c r="L370" i="16"/>
  <c r="M370" i="16" s="1"/>
  <c r="L371" i="16"/>
  <c r="M371" i="16" s="1"/>
  <c r="L372" i="16"/>
  <c r="M372" i="16" s="1"/>
  <c r="L373" i="16"/>
  <c r="M373" i="16" s="1"/>
  <c r="L374" i="16"/>
  <c r="M374" i="16" s="1"/>
  <c r="L375" i="16"/>
  <c r="M375" i="16" s="1"/>
  <c r="L376" i="16"/>
  <c r="M376" i="16" s="1"/>
  <c r="L377" i="16"/>
  <c r="M377" i="16" s="1"/>
  <c r="L378" i="16"/>
  <c r="M378" i="16" s="1"/>
  <c r="L379" i="16"/>
  <c r="M379" i="16" s="1"/>
  <c r="L380" i="16"/>
  <c r="M380" i="16" s="1"/>
  <c r="L381" i="16"/>
  <c r="M381" i="16" s="1"/>
  <c r="L382" i="16"/>
  <c r="M382" i="16" s="1"/>
  <c r="L383" i="16"/>
  <c r="M383" i="16" s="1"/>
  <c r="L384" i="16"/>
  <c r="M384" i="16" s="1"/>
  <c r="L385" i="16"/>
  <c r="M385" i="16" s="1"/>
  <c r="L386" i="16"/>
  <c r="M386" i="16" s="1"/>
  <c r="L387" i="16"/>
  <c r="M387" i="16" s="1"/>
  <c r="L388" i="16"/>
  <c r="M388" i="16" s="1"/>
  <c r="L389" i="16"/>
  <c r="M389" i="16" s="1"/>
  <c r="L390" i="16"/>
  <c r="M390" i="16" s="1"/>
  <c r="L391" i="16"/>
  <c r="M391" i="16" s="1"/>
  <c r="L392" i="16"/>
  <c r="M392" i="16" s="1"/>
  <c r="L393" i="16"/>
  <c r="M393" i="16" s="1"/>
  <c r="L394" i="16"/>
  <c r="M394" i="16" s="1"/>
  <c r="L395" i="16"/>
  <c r="M395" i="16" s="1"/>
  <c r="L396" i="16"/>
  <c r="M396" i="16" s="1"/>
  <c r="L397" i="16"/>
  <c r="M397" i="16" s="1"/>
  <c r="L398" i="16"/>
  <c r="M398" i="16" s="1"/>
  <c r="L399" i="16"/>
  <c r="M399" i="16" s="1"/>
  <c r="L400" i="16"/>
  <c r="M400" i="16" s="1"/>
  <c r="L401" i="16"/>
  <c r="M401" i="16" s="1"/>
  <c r="L402" i="16"/>
  <c r="M402" i="16" s="1"/>
  <c r="L403" i="16"/>
  <c r="M403" i="16" s="1"/>
  <c r="L404" i="16"/>
  <c r="M404" i="16" s="1"/>
  <c r="L405" i="16"/>
  <c r="M405" i="16" s="1"/>
  <c r="L406" i="16"/>
  <c r="M406" i="16" s="1"/>
  <c r="L407" i="16"/>
  <c r="M407" i="16" s="1"/>
  <c r="L408" i="16"/>
  <c r="M408" i="16" s="1"/>
  <c r="L409" i="16"/>
  <c r="M409" i="16" s="1"/>
  <c r="L410" i="16"/>
  <c r="M410" i="16" s="1"/>
  <c r="L411" i="16"/>
  <c r="M411" i="16" s="1"/>
  <c r="L412" i="16"/>
  <c r="M412" i="16" s="1"/>
  <c r="L413" i="16"/>
  <c r="M413" i="16" s="1"/>
  <c r="L414" i="16"/>
  <c r="M414" i="16" s="1"/>
  <c r="L415" i="16"/>
  <c r="M415" i="16" s="1"/>
  <c r="L416" i="16"/>
  <c r="M416" i="16" s="1"/>
  <c r="L417" i="16"/>
  <c r="M417" i="16" s="1"/>
  <c r="L418" i="16"/>
  <c r="M418" i="16" s="1"/>
  <c r="L419" i="16"/>
  <c r="M419" i="16" s="1"/>
  <c r="L420" i="16"/>
  <c r="M420" i="16" s="1"/>
  <c r="L421" i="16"/>
  <c r="M421" i="16" s="1"/>
  <c r="L422" i="16"/>
  <c r="M422" i="16" s="1"/>
  <c r="L423" i="16"/>
  <c r="M423" i="16" s="1"/>
  <c r="L424" i="16"/>
  <c r="M424" i="16" s="1"/>
  <c r="L425" i="16"/>
  <c r="M425" i="16" s="1"/>
  <c r="L426" i="16"/>
  <c r="M426" i="16" s="1"/>
  <c r="L427" i="16"/>
  <c r="M427" i="16" s="1"/>
  <c r="L428" i="16"/>
  <c r="M428" i="16" s="1"/>
  <c r="L429" i="16"/>
  <c r="M429" i="16" s="1"/>
  <c r="L430" i="16"/>
  <c r="M430" i="16" s="1"/>
  <c r="L431" i="16"/>
  <c r="M431" i="16" s="1"/>
  <c r="L432" i="16"/>
  <c r="M432" i="16" s="1"/>
  <c r="L433" i="16"/>
  <c r="M433" i="16" s="1"/>
  <c r="L434" i="16"/>
  <c r="M434" i="16" s="1"/>
  <c r="L435" i="16"/>
  <c r="M435" i="16" s="1"/>
  <c r="L436" i="16"/>
  <c r="M436" i="16" s="1"/>
  <c r="L437" i="16"/>
  <c r="M437" i="16" s="1"/>
  <c r="L438" i="16"/>
  <c r="M438" i="16" s="1"/>
  <c r="L439" i="16"/>
  <c r="M439" i="16" s="1"/>
  <c r="L440" i="16"/>
  <c r="M440" i="16" s="1"/>
  <c r="L441" i="16"/>
  <c r="M441" i="16" s="1"/>
  <c r="L442" i="16"/>
  <c r="M442" i="16" s="1"/>
  <c r="L443" i="16"/>
  <c r="M443" i="16" s="1"/>
  <c r="L444" i="16"/>
  <c r="M444" i="16" s="1"/>
  <c r="L445" i="16"/>
  <c r="M445" i="16" s="1"/>
  <c r="L446" i="16"/>
  <c r="M446" i="16" s="1"/>
  <c r="L447" i="16"/>
  <c r="M447" i="16" s="1"/>
  <c r="L448" i="16"/>
  <c r="M448" i="16" s="1"/>
  <c r="L449" i="16"/>
  <c r="M449" i="16" s="1"/>
  <c r="L450" i="16"/>
  <c r="M450" i="16" s="1"/>
  <c r="L451" i="16"/>
  <c r="M451" i="16" s="1"/>
  <c r="L452" i="16"/>
  <c r="M452" i="16" s="1"/>
  <c r="L453" i="16"/>
  <c r="M453" i="16" s="1"/>
  <c r="L454" i="16"/>
  <c r="M454" i="16" s="1"/>
  <c r="L455" i="16"/>
  <c r="M455" i="16" s="1"/>
  <c r="L456" i="16"/>
  <c r="M456" i="16" s="1"/>
  <c r="L457" i="16"/>
  <c r="M457" i="16" s="1"/>
  <c r="L458" i="16"/>
  <c r="M458" i="16" s="1"/>
  <c r="L459" i="16"/>
  <c r="M459" i="16" s="1"/>
  <c r="L460" i="16"/>
  <c r="M460" i="16" s="1"/>
  <c r="L461" i="16"/>
  <c r="M461" i="16" s="1"/>
  <c r="L462" i="16"/>
  <c r="M462" i="16" s="1"/>
  <c r="L463" i="16"/>
  <c r="M463" i="16" s="1"/>
  <c r="L464" i="16"/>
  <c r="M464" i="16" s="1"/>
  <c r="L465" i="16"/>
  <c r="M465" i="16" s="1"/>
  <c r="L466" i="16"/>
  <c r="M466" i="16" s="1"/>
  <c r="L467" i="16"/>
  <c r="M467" i="16" s="1"/>
  <c r="L468" i="16"/>
  <c r="M468" i="16" s="1"/>
  <c r="L469" i="16"/>
  <c r="M469" i="16" s="1"/>
  <c r="L470" i="16"/>
  <c r="M470" i="16" s="1"/>
  <c r="L471" i="16"/>
  <c r="M471" i="16" s="1"/>
  <c r="L472" i="16"/>
  <c r="M472" i="16" s="1"/>
  <c r="L473" i="16"/>
  <c r="M473" i="16" s="1"/>
  <c r="L474" i="16"/>
  <c r="M474" i="16" s="1"/>
  <c r="L475" i="16"/>
  <c r="M475" i="16" s="1"/>
  <c r="L476" i="16"/>
  <c r="M476" i="16" s="1"/>
  <c r="L477" i="16"/>
  <c r="M477" i="16" s="1"/>
  <c r="L478" i="16"/>
  <c r="M478" i="16" s="1"/>
  <c r="L479" i="16"/>
  <c r="M479" i="16" s="1"/>
  <c r="L480" i="16"/>
  <c r="M480" i="16" s="1"/>
  <c r="L481" i="16"/>
  <c r="M481" i="16" s="1"/>
  <c r="L482" i="16"/>
  <c r="M482" i="16" s="1"/>
  <c r="L483" i="16"/>
  <c r="M483" i="16" s="1"/>
  <c r="L484" i="16"/>
  <c r="M484" i="16" s="1"/>
  <c r="L485" i="16"/>
  <c r="M485" i="16" s="1"/>
  <c r="L486" i="16"/>
  <c r="M486" i="16" s="1"/>
  <c r="L487" i="16"/>
  <c r="M487" i="16" s="1"/>
  <c r="L488" i="16"/>
  <c r="M488" i="16" s="1"/>
  <c r="L489" i="16"/>
  <c r="M489" i="16" s="1"/>
  <c r="L490" i="16"/>
  <c r="M490" i="16" s="1"/>
  <c r="L491" i="16"/>
  <c r="M491" i="16" s="1"/>
  <c r="L492" i="16"/>
  <c r="M492" i="16" s="1"/>
  <c r="L493" i="16"/>
  <c r="M493" i="16" s="1"/>
  <c r="L494" i="16"/>
  <c r="M494" i="16" s="1"/>
  <c r="L495" i="16"/>
  <c r="M495" i="16" s="1"/>
  <c r="L496" i="16"/>
  <c r="M496" i="16" s="1"/>
  <c r="L497" i="16"/>
  <c r="M497" i="16" s="1"/>
  <c r="L498" i="16"/>
  <c r="M498" i="16" s="1"/>
  <c r="L499" i="16"/>
  <c r="M499" i="16" s="1"/>
  <c r="L500" i="16"/>
  <c r="M500" i="16" s="1"/>
  <c r="AA2" i="16"/>
  <c r="AB2" i="16" s="1"/>
  <c r="K2" i="16"/>
  <c r="J16" i="39"/>
  <c r="H16" i="39"/>
  <c r="I16" i="39" s="1"/>
  <c r="J15" i="39"/>
  <c r="H15" i="39"/>
  <c r="I15" i="39" s="1"/>
  <c r="J14" i="39"/>
  <c r="H14" i="39"/>
  <c r="I14" i="39" s="1"/>
  <c r="H10" i="39"/>
  <c r="I10" i="39" s="1"/>
  <c r="J10" i="39"/>
  <c r="H13" i="39"/>
  <c r="I13" i="39" s="1"/>
  <c r="J13" i="39"/>
  <c r="H11" i="39"/>
  <c r="I11" i="39" s="1"/>
  <c r="J11" i="39"/>
  <c r="BR22" i="18"/>
  <c r="BR20" i="18"/>
  <c r="H10" i="45"/>
  <c r="H26" i="47"/>
  <c r="H8" i="45"/>
  <c r="I8" i="45"/>
  <c r="F21" i="45"/>
  <c r="G21" i="45" s="1"/>
  <c r="H9" i="45"/>
  <c r="I9" i="45"/>
  <c r="F22" i="45"/>
  <c r="G22" i="45" s="1"/>
  <c r="I10" i="45"/>
  <c r="F23" i="45"/>
  <c r="G23" i="45" s="1"/>
  <c r="H11" i="45"/>
  <c r="I11" i="45"/>
  <c r="F24" i="45"/>
  <c r="G24" i="45" s="1"/>
  <c r="H12" i="45"/>
  <c r="I12" i="45"/>
  <c r="F25" i="45"/>
  <c r="G25" i="45" s="1"/>
  <c r="H13" i="45"/>
  <c r="I13" i="45"/>
  <c r="F26" i="45"/>
  <c r="G26" i="45" s="1"/>
  <c r="H14" i="45"/>
  <c r="I14" i="45"/>
  <c r="F27" i="45"/>
  <c r="G27" i="45" s="1"/>
  <c r="F28" i="45"/>
  <c r="J28" i="45" s="1"/>
  <c r="F29" i="45"/>
  <c r="J29" i="45" s="1"/>
  <c r="F30" i="45"/>
  <c r="J30" i="45" s="1"/>
  <c r="F31" i="45"/>
  <c r="J31" i="45" s="1"/>
  <c r="F32" i="45"/>
  <c r="J32" i="45" s="1"/>
  <c r="F33" i="45"/>
  <c r="G33" i="45" s="1"/>
  <c r="F34" i="45"/>
  <c r="J34" i="45" s="1"/>
  <c r="F35" i="45"/>
  <c r="J35" i="45" s="1"/>
  <c r="F36" i="45"/>
  <c r="J36" i="45" s="1"/>
  <c r="F37" i="45"/>
  <c r="G37" i="45" s="1"/>
  <c r="F38" i="45"/>
  <c r="J38" i="45" s="1"/>
  <c r="H8" i="44"/>
  <c r="I8" i="44"/>
  <c r="F21" i="44"/>
  <c r="G21" i="44" s="1"/>
  <c r="H9" i="44"/>
  <c r="I9" i="44"/>
  <c r="F22" i="44"/>
  <c r="G22" i="44" s="1"/>
  <c r="H10" i="44"/>
  <c r="I10" i="44"/>
  <c r="F23" i="44"/>
  <c r="G23" i="44" s="1"/>
  <c r="H11" i="44"/>
  <c r="I11" i="44"/>
  <c r="F24" i="44"/>
  <c r="G24" i="44" s="1"/>
  <c r="H12" i="44"/>
  <c r="I12" i="44"/>
  <c r="F25" i="44"/>
  <c r="G25" i="44" s="1"/>
  <c r="H13" i="44"/>
  <c r="I13" i="44"/>
  <c r="F26" i="44"/>
  <c r="G26" i="44" s="1"/>
  <c r="H14" i="44"/>
  <c r="I14" i="44"/>
  <c r="F27" i="44"/>
  <c r="G27" i="44" s="1"/>
  <c r="F28" i="44"/>
  <c r="J28" i="44" s="1"/>
  <c r="F29" i="44"/>
  <c r="J29" i="44" s="1"/>
  <c r="F30" i="44"/>
  <c r="G30" i="44" s="1"/>
  <c r="F31" i="44"/>
  <c r="J31" i="44" s="1"/>
  <c r="F32" i="44"/>
  <c r="J32" i="44" s="1"/>
  <c r="F33" i="44"/>
  <c r="J33" i="44" s="1"/>
  <c r="F34" i="44"/>
  <c r="G34" i="44"/>
  <c r="F35" i="44"/>
  <c r="J35" i="44" s="1"/>
  <c r="F36" i="44"/>
  <c r="J36" i="44" s="1"/>
  <c r="F37" i="44"/>
  <c r="J37" i="44" s="1"/>
  <c r="F38" i="44"/>
  <c r="J38" i="44" s="1"/>
  <c r="O38" i="3"/>
  <c r="O39" i="3"/>
  <c r="H9" i="47"/>
  <c r="I9" i="47"/>
  <c r="H10" i="47"/>
  <c r="I10" i="47"/>
  <c r="H11" i="47"/>
  <c r="J11" i="47" s="1"/>
  <c r="I11" i="47"/>
  <c r="H12" i="47"/>
  <c r="I12" i="47"/>
  <c r="H13" i="47"/>
  <c r="I13" i="47"/>
  <c r="H14" i="47"/>
  <c r="I14" i="47"/>
  <c r="H15" i="47"/>
  <c r="I15" i="47"/>
  <c r="H16" i="47"/>
  <c r="I16" i="47"/>
  <c r="H17" i="47"/>
  <c r="I17" i="47"/>
  <c r="H18" i="47"/>
  <c r="I18" i="47"/>
  <c r="H19" i="47"/>
  <c r="I19" i="47"/>
  <c r="H20" i="47"/>
  <c r="I20" i="47"/>
  <c r="H21" i="47"/>
  <c r="I21" i="47"/>
  <c r="H22" i="47"/>
  <c r="I22" i="47"/>
  <c r="H23" i="47"/>
  <c r="I23" i="47"/>
  <c r="H24" i="47"/>
  <c r="I24" i="47"/>
  <c r="H25" i="47"/>
  <c r="I25" i="47"/>
  <c r="I26" i="47"/>
  <c r="H27" i="47"/>
  <c r="I27" i="47"/>
  <c r="H28" i="47"/>
  <c r="I28" i="47"/>
  <c r="H8" i="47"/>
  <c r="I8" i="47"/>
  <c r="F35" i="47"/>
  <c r="B8" i="47"/>
  <c r="B9" i="47"/>
  <c r="B10" i="47"/>
  <c r="B11" i="47"/>
  <c r="B12" i="47"/>
  <c r="B13" i="47"/>
  <c r="B14" i="47"/>
  <c r="B15" i="47"/>
  <c r="B16" i="47"/>
  <c r="B17" i="47"/>
  <c r="B18" i="47"/>
  <c r="B19" i="47"/>
  <c r="B20" i="47"/>
  <c r="B21" i="47"/>
  <c r="B22" i="47"/>
  <c r="B23" i="47"/>
  <c r="B24" i="47"/>
  <c r="B25" i="47"/>
  <c r="B26" i="47"/>
  <c r="B27" i="47"/>
  <c r="B28" i="47"/>
  <c r="F36" i="47"/>
  <c r="F37" i="47"/>
  <c r="F38" i="47"/>
  <c r="F39" i="47"/>
  <c r="F40" i="47"/>
  <c r="F41" i="47"/>
  <c r="F42" i="47"/>
  <c r="F43" i="47"/>
  <c r="F44" i="47"/>
  <c r="F45" i="47"/>
  <c r="F46" i="47"/>
  <c r="F47" i="47"/>
  <c r="F48" i="47"/>
  <c r="F49" i="47"/>
  <c r="F50" i="47"/>
  <c r="F51" i="47"/>
  <c r="F52" i="47"/>
  <c r="F53" i="47"/>
  <c r="F54" i="47"/>
  <c r="F55" i="47"/>
  <c r="G30" i="47"/>
  <c r="G30" i="45"/>
  <c r="G38" i="45"/>
  <c r="G16" i="45"/>
  <c r="G31" i="44"/>
  <c r="G32" i="44"/>
  <c r="G33" i="44"/>
  <c r="G37" i="44"/>
  <c r="G38" i="44"/>
  <c r="G16" i="44"/>
  <c r="N74" i="43"/>
  <c r="M74" i="43"/>
  <c r="L74" i="43"/>
  <c r="K74" i="43"/>
  <c r="J74" i="43"/>
  <c r="I74" i="43"/>
  <c r="H74" i="43"/>
  <c r="G74" i="43"/>
  <c r="F74" i="43"/>
  <c r="E74" i="43"/>
  <c r="D74" i="43"/>
  <c r="C74" i="43"/>
  <c r="N64" i="43"/>
  <c r="M64" i="43"/>
  <c r="L64" i="43"/>
  <c r="K64" i="43"/>
  <c r="J64" i="43"/>
  <c r="I64" i="43"/>
  <c r="H64" i="43"/>
  <c r="G64" i="43"/>
  <c r="F64" i="43"/>
  <c r="E64" i="43"/>
  <c r="D64" i="43"/>
  <c r="C64" i="43"/>
  <c r="N54" i="43"/>
  <c r="M54" i="43"/>
  <c r="L54" i="43"/>
  <c r="K54" i="43"/>
  <c r="J54" i="43"/>
  <c r="I54" i="43"/>
  <c r="H54" i="43"/>
  <c r="G54" i="43"/>
  <c r="F54" i="43"/>
  <c r="E54" i="43"/>
  <c r="D54" i="43"/>
  <c r="C54" i="43"/>
  <c r="N44" i="43"/>
  <c r="M44" i="43"/>
  <c r="L44" i="43"/>
  <c r="K44" i="43"/>
  <c r="J44" i="43"/>
  <c r="I44" i="43"/>
  <c r="H44" i="43"/>
  <c r="G44" i="43"/>
  <c r="F44" i="43"/>
  <c r="E44" i="43"/>
  <c r="D44" i="43"/>
  <c r="C44" i="43"/>
  <c r="N34" i="43"/>
  <c r="M34" i="43"/>
  <c r="L34" i="43"/>
  <c r="K34" i="43"/>
  <c r="J34" i="43"/>
  <c r="I34" i="43"/>
  <c r="H34" i="43"/>
  <c r="G34" i="43"/>
  <c r="F34" i="43"/>
  <c r="E34" i="43"/>
  <c r="D34" i="43"/>
  <c r="C34" i="43"/>
  <c r="N24" i="43"/>
  <c r="M24" i="43"/>
  <c r="L24" i="43"/>
  <c r="K24" i="43"/>
  <c r="J24" i="43"/>
  <c r="I24" i="43"/>
  <c r="H24" i="43"/>
  <c r="G24" i="43"/>
  <c r="F24" i="43"/>
  <c r="E24" i="43"/>
  <c r="D24" i="43"/>
  <c r="C24" i="43"/>
  <c r="N14" i="43"/>
  <c r="M14" i="43"/>
  <c r="L14" i="43"/>
  <c r="K14" i="43"/>
  <c r="J14" i="43"/>
  <c r="I14" i="43"/>
  <c r="H14" i="43"/>
  <c r="G14" i="43"/>
  <c r="F14" i="43"/>
  <c r="E14" i="43"/>
  <c r="D14" i="43"/>
  <c r="C14" i="43"/>
  <c r="BQ22" i="18"/>
  <c r="BP22" i="18"/>
  <c r="BQ20" i="18"/>
  <c r="BP20" i="18"/>
  <c r="AX5" i="19"/>
  <c r="AY5" i="19"/>
  <c r="AZ5" i="19"/>
  <c r="BA5" i="19"/>
  <c r="BB5" i="19"/>
  <c r="BC5" i="19"/>
  <c r="BD5" i="19"/>
  <c r="BE5" i="19"/>
  <c r="BF5" i="19"/>
  <c r="BG5" i="19"/>
  <c r="BH5" i="19"/>
  <c r="BI5" i="19"/>
  <c r="BJ5" i="19"/>
  <c r="AC4" i="35"/>
  <c r="AA10" i="35"/>
  <c r="AC10" i="35" s="1"/>
  <c r="AA11" i="35"/>
  <c r="AC11" i="35" s="1"/>
  <c r="AA12" i="35"/>
  <c r="AB13" i="35"/>
  <c r="AA13" i="35"/>
  <c r="AB14" i="35"/>
  <c r="Z14" i="35"/>
  <c r="AA14" i="35" s="1"/>
  <c r="AB15" i="35"/>
  <c r="Z15" i="35"/>
  <c r="AA15" i="35" s="1"/>
  <c r="AB16" i="35"/>
  <c r="Z16" i="35"/>
  <c r="AA16" i="35" s="1"/>
  <c r="AB17" i="35"/>
  <c r="Z17" i="35"/>
  <c r="AA17" i="35" s="1"/>
  <c r="AB18" i="35"/>
  <c r="Z18" i="35"/>
  <c r="AA18" i="35" s="1"/>
  <c r="AB19" i="35"/>
  <c r="Z19" i="35"/>
  <c r="AA19" i="35" s="1"/>
  <c r="AB20" i="35"/>
  <c r="Z20" i="35"/>
  <c r="AA20" i="35" s="1"/>
  <c r="AB21" i="35"/>
  <c r="Z21" i="35"/>
  <c r="AA21" i="35" s="1"/>
  <c r="AB22" i="35"/>
  <c r="Z22" i="35"/>
  <c r="AA22" i="35" s="1"/>
  <c r="AB23" i="35"/>
  <c r="Z23" i="35"/>
  <c r="AA23" i="35" s="1"/>
  <c r="AB24" i="35"/>
  <c r="Z24" i="35"/>
  <c r="AA24" i="35" s="1"/>
  <c r="AB25" i="35"/>
  <c r="Z25" i="35"/>
  <c r="AA25" i="35" s="1"/>
  <c r="AB26" i="35"/>
  <c r="Z26" i="35"/>
  <c r="AA26" i="35" s="1"/>
  <c r="AB27" i="35"/>
  <c r="Z27" i="35"/>
  <c r="AA27" i="35" s="1"/>
  <c r="AB28" i="35"/>
  <c r="Z28" i="35"/>
  <c r="AA28" i="35" s="1"/>
  <c r="AB29" i="35"/>
  <c r="Z29" i="35"/>
  <c r="AA29" i="35" s="1"/>
  <c r="AB30" i="35"/>
  <c r="Z30" i="35"/>
  <c r="AA30" i="35" s="1"/>
  <c r="AB31" i="35"/>
  <c r="Z31" i="35"/>
  <c r="AA31" i="35" s="1"/>
  <c r="AB32" i="35"/>
  <c r="Z32" i="35"/>
  <c r="AA32" i="35" s="1"/>
  <c r="AB33" i="35"/>
  <c r="Z33" i="35"/>
  <c r="AA33" i="35" s="1"/>
  <c r="AB34" i="35"/>
  <c r="Z34" i="35"/>
  <c r="AA34" i="35" s="1"/>
  <c r="AB35" i="35"/>
  <c r="Z35" i="35"/>
  <c r="AA35" i="35" s="1"/>
  <c r="AB36" i="35"/>
  <c r="Z36" i="35"/>
  <c r="AA36" i="35" s="1"/>
  <c r="AB37" i="35"/>
  <c r="Z37" i="35"/>
  <c r="AA37" i="35" s="1"/>
  <c r="AB38" i="35"/>
  <c r="Z38" i="35"/>
  <c r="AA38" i="35" s="1"/>
  <c r="AB39" i="35"/>
  <c r="Z39" i="35"/>
  <c r="AA39" i="35" s="1"/>
  <c r="AB40" i="35"/>
  <c r="Z40" i="35"/>
  <c r="AA40" i="35" s="1"/>
  <c r="AB41" i="35"/>
  <c r="Z41" i="35"/>
  <c r="AA41" i="35" s="1"/>
  <c r="AB42" i="35"/>
  <c r="Z42" i="35"/>
  <c r="AA42" i="35" s="1"/>
  <c r="AB43" i="35"/>
  <c r="Z43" i="35"/>
  <c r="AA43" i="35" s="1"/>
  <c r="AB44" i="35"/>
  <c r="Z44" i="35"/>
  <c r="AA44" i="35" s="1"/>
  <c r="AB45" i="35"/>
  <c r="Z45" i="35"/>
  <c r="AA45" i="35" s="1"/>
  <c r="AB46" i="35"/>
  <c r="Z46" i="35"/>
  <c r="AA46" i="35" s="1"/>
  <c r="AB47" i="35"/>
  <c r="Z47" i="35"/>
  <c r="AA47" i="35" s="1"/>
  <c r="AB48" i="35"/>
  <c r="Z48" i="35"/>
  <c r="AA48" i="35" s="1"/>
  <c r="AB49" i="35"/>
  <c r="Z49" i="35"/>
  <c r="AA49" i="35" s="1"/>
  <c r="AB50" i="35"/>
  <c r="Z50" i="35"/>
  <c r="AA50" i="35" s="1"/>
  <c r="S51" i="35"/>
  <c r="AD51" i="35" s="1"/>
  <c r="AB51" i="35"/>
  <c r="Z51" i="35"/>
  <c r="AA51" i="35" s="1"/>
  <c r="AB52" i="35"/>
  <c r="Z52" i="35"/>
  <c r="AA52" i="35" s="1"/>
  <c r="AB53" i="35"/>
  <c r="Z53" i="35"/>
  <c r="AA53" i="35" s="1"/>
  <c r="AB54" i="35"/>
  <c r="Z54" i="35"/>
  <c r="AA54" i="35" s="1"/>
  <c r="AB55" i="35"/>
  <c r="Z55" i="35"/>
  <c r="AA55" i="35" s="1"/>
  <c r="AB56" i="35"/>
  <c r="Z56" i="35"/>
  <c r="AA56" i="35" s="1"/>
  <c r="S57" i="35"/>
  <c r="AD57" i="35" s="1"/>
  <c r="AB57" i="35"/>
  <c r="Z57" i="35"/>
  <c r="AA57" i="35" s="1"/>
  <c r="AB58" i="35"/>
  <c r="Z58" i="35"/>
  <c r="AA58" i="35" s="1"/>
  <c r="AB59" i="35"/>
  <c r="Z59" i="35"/>
  <c r="AA59" i="35" s="1"/>
  <c r="AB60" i="35"/>
  <c r="Z60" i="35"/>
  <c r="AA60" i="35" s="1"/>
  <c r="AB61" i="35"/>
  <c r="Z61" i="35"/>
  <c r="AA61" i="35" s="1"/>
  <c r="AB62" i="35"/>
  <c r="Z62" i="35"/>
  <c r="AA62" i="35" s="1"/>
  <c r="AB63" i="35"/>
  <c r="Z63" i="35"/>
  <c r="AA63" i="35" s="1"/>
  <c r="AB64" i="35"/>
  <c r="Z64" i="35"/>
  <c r="AA64" i="35" s="1"/>
  <c r="S65" i="35"/>
  <c r="AD65" i="35" s="1"/>
  <c r="AB65" i="35"/>
  <c r="Z65" i="35"/>
  <c r="AA65" i="35" s="1"/>
  <c r="S66" i="35"/>
  <c r="AD66" i="35" s="1"/>
  <c r="AB66" i="35"/>
  <c r="Z66" i="35"/>
  <c r="AA66" i="35" s="1"/>
  <c r="S67" i="35"/>
  <c r="AD67" i="35" s="1"/>
  <c r="AB67" i="35"/>
  <c r="Z67" i="35"/>
  <c r="AA67" i="35" s="1"/>
  <c r="S68" i="35"/>
  <c r="AD68" i="35" s="1"/>
  <c r="AB68" i="35"/>
  <c r="Z68" i="35"/>
  <c r="AA68" i="35" s="1"/>
  <c r="AB69" i="35"/>
  <c r="Z69" i="35"/>
  <c r="AA69" i="35" s="1"/>
  <c r="AB70" i="35"/>
  <c r="Z70" i="35"/>
  <c r="AA70" i="35" s="1"/>
  <c r="S71" i="35"/>
  <c r="AD71" i="35" s="1"/>
  <c r="AB71" i="35"/>
  <c r="Z71" i="35"/>
  <c r="AA71" i="35" s="1"/>
  <c r="S72" i="35"/>
  <c r="AD72" i="35" s="1"/>
  <c r="AB72" i="35"/>
  <c r="Z72" i="35"/>
  <c r="AA72" i="35" s="1"/>
  <c r="S73" i="35"/>
  <c r="AD73" i="35" s="1"/>
  <c r="AB73" i="35"/>
  <c r="Z73" i="35"/>
  <c r="AA73" i="35" s="1"/>
  <c r="S74" i="35"/>
  <c r="AD74" i="35" s="1"/>
  <c r="AB74" i="35"/>
  <c r="Z74" i="35"/>
  <c r="AA74" i="35" s="1"/>
  <c r="S75" i="35"/>
  <c r="AD75" i="35" s="1"/>
  <c r="AB75" i="35"/>
  <c r="Z75" i="35"/>
  <c r="AA75" i="35" s="1"/>
  <c r="S76" i="35"/>
  <c r="AD76" i="35" s="1"/>
  <c r="AB76" i="35"/>
  <c r="Z76" i="35"/>
  <c r="AA76" i="35" s="1"/>
  <c r="S77" i="35"/>
  <c r="AD77" i="35" s="1"/>
  <c r="AB77" i="35"/>
  <c r="Z77" i="35"/>
  <c r="AA77" i="35" s="1"/>
  <c r="S78" i="35"/>
  <c r="AD78" i="35" s="1"/>
  <c r="AB78" i="35"/>
  <c r="Z78" i="35"/>
  <c r="AA78" i="35" s="1"/>
  <c r="S79" i="35"/>
  <c r="AD79" i="35" s="1"/>
  <c r="AB79" i="35"/>
  <c r="Z79" i="35"/>
  <c r="AA79" i="35" s="1"/>
  <c r="S80" i="35"/>
  <c r="AD80" i="35" s="1"/>
  <c r="AB80" i="35"/>
  <c r="Z80" i="35"/>
  <c r="AA80" i="35" s="1"/>
  <c r="S81" i="35"/>
  <c r="AD81" i="35" s="1"/>
  <c r="AB81" i="35"/>
  <c r="Z81" i="35"/>
  <c r="AA81" i="35" s="1"/>
  <c r="S82" i="35"/>
  <c r="AD82" i="35" s="1"/>
  <c r="AB82" i="35"/>
  <c r="Z82" i="35"/>
  <c r="AA82" i="35" s="1"/>
  <c r="S83" i="35"/>
  <c r="AD83" i="35" s="1"/>
  <c r="AB83" i="35"/>
  <c r="Z83" i="35"/>
  <c r="AA83" i="35" s="1"/>
  <c r="S84" i="35"/>
  <c r="AD84" i="35" s="1"/>
  <c r="AB84" i="35"/>
  <c r="Z84" i="35"/>
  <c r="AA84" i="35" s="1"/>
  <c r="S85" i="35"/>
  <c r="AD85" i="35" s="1"/>
  <c r="AB85" i="35"/>
  <c r="Z85" i="35"/>
  <c r="AA85" i="35" s="1"/>
  <c r="S86" i="35"/>
  <c r="AD86" i="35" s="1"/>
  <c r="AB86" i="35"/>
  <c r="Z86" i="35"/>
  <c r="AA86" i="35" s="1"/>
  <c r="S87" i="35"/>
  <c r="AD87" i="35" s="1"/>
  <c r="AB87" i="35"/>
  <c r="Z87" i="35"/>
  <c r="AA87" i="35" s="1"/>
  <c r="S88" i="35"/>
  <c r="AD88" i="35" s="1"/>
  <c r="AB88" i="35"/>
  <c r="Z88" i="35"/>
  <c r="AA88" i="35" s="1"/>
  <c r="S89" i="35"/>
  <c r="AD89" i="35" s="1"/>
  <c r="AB89" i="35"/>
  <c r="Z89" i="35"/>
  <c r="AA89" i="35" s="1"/>
  <c r="S90" i="35"/>
  <c r="AD90" i="35" s="1"/>
  <c r="AB90" i="35"/>
  <c r="Z90" i="35"/>
  <c r="AA90" i="35" s="1"/>
  <c r="S91" i="35"/>
  <c r="AD91" i="35" s="1"/>
  <c r="AB91" i="35"/>
  <c r="Z91" i="35"/>
  <c r="AA91" i="35" s="1"/>
  <c r="S92" i="35"/>
  <c r="AD92" i="35" s="1"/>
  <c r="AB92" i="35"/>
  <c r="Z92" i="35"/>
  <c r="AA92" i="35" s="1"/>
  <c r="S93" i="35"/>
  <c r="AD93" i="35" s="1"/>
  <c r="AB93" i="35"/>
  <c r="Z93" i="35"/>
  <c r="AA93" i="35" s="1"/>
  <c r="S94" i="35"/>
  <c r="AD94" i="35" s="1"/>
  <c r="AB94" i="35"/>
  <c r="Z94" i="35"/>
  <c r="AA94" i="35" s="1"/>
  <c r="S95" i="35"/>
  <c r="AD95" i="35" s="1"/>
  <c r="AB95" i="35"/>
  <c r="Z95" i="35"/>
  <c r="AA95" i="35" s="1"/>
  <c r="S96" i="35"/>
  <c r="AD96" i="35" s="1"/>
  <c r="AB96" i="35"/>
  <c r="Z96" i="35"/>
  <c r="AA96" i="35" s="1"/>
  <c r="S97" i="35"/>
  <c r="AD97" i="35" s="1"/>
  <c r="AB97" i="35"/>
  <c r="Z97" i="35"/>
  <c r="AA97" i="35" s="1"/>
  <c r="S98" i="35"/>
  <c r="AD98" i="35" s="1"/>
  <c r="AB98" i="35"/>
  <c r="Z98" i="35"/>
  <c r="AA98" i="35" s="1"/>
  <c r="S99" i="35"/>
  <c r="AD99" i="35" s="1"/>
  <c r="AB99" i="35"/>
  <c r="Z99" i="35"/>
  <c r="AA99" i="35" s="1"/>
  <c r="S100" i="35"/>
  <c r="AD100" i="35" s="1"/>
  <c r="AB100" i="35"/>
  <c r="Z100" i="35"/>
  <c r="AA100" i="35" s="1"/>
  <c r="S101" i="35"/>
  <c r="AD101" i="35" s="1"/>
  <c r="AB101" i="35"/>
  <c r="Z101" i="35"/>
  <c r="AA101" i="35" s="1"/>
  <c r="S102" i="35"/>
  <c r="AD102" i="35" s="1"/>
  <c r="AB102" i="35"/>
  <c r="Z102" i="35"/>
  <c r="AA102" i="35" s="1"/>
  <c r="S103" i="35"/>
  <c r="AD103" i="35" s="1"/>
  <c r="AB103" i="35"/>
  <c r="Z103" i="35"/>
  <c r="AA103" i="35" s="1"/>
  <c r="S104" i="35"/>
  <c r="AD104" i="35" s="1"/>
  <c r="AB104" i="35"/>
  <c r="Z104" i="35"/>
  <c r="AA104" i="35" s="1"/>
  <c r="S105" i="35"/>
  <c r="AD105" i="35" s="1"/>
  <c r="AB105" i="35"/>
  <c r="Z105" i="35"/>
  <c r="AA105" i="35" s="1"/>
  <c r="S106" i="35"/>
  <c r="AD106" i="35" s="1"/>
  <c r="AB106" i="35"/>
  <c r="Z106" i="35"/>
  <c r="AA106" i="35" s="1"/>
  <c r="S107" i="35"/>
  <c r="AD107" i="35" s="1"/>
  <c r="AB107" i="35"/>
  <c r="Z107" i="35"/>
  <c r="AA107" i="35" s="1"/>
  <c r="S108" i="35"/>
  <c r="AD108" i="35" s="1"/>
  <c r="AB108" i="35"/>
  <c r="Z108" i="35"/>
  <c r="AA108" i="35" s="1"/>
  <c r="S109" i="35"/>
  <c r="AD109" i="35" s="1"/>
  <c r="AB109" i="35"/>
  <c r="Z109" i="35"/>
  <c r="AA109" i="35" s="1"/>
  <c r="S110" i="35"/>
  <c r="AD110" i="35" s="1"/>
  <c r="AB110" i="35"/>
  <c r="Z110" i="35"/>
  <c r="AA110" i="35" s="1"/>
  <c r="S111" i="35"/>
  <c r="AD111" i="35" s="1"/>
  <c r="AB111" i="35"/>
  <c r="Z111" i="35"/>
  <c r="AA111" i="35" s="1"/>
  <c r="S112" i="35"/>
  <c r="AD112" i="35" s="1"/>
  <c r="AB112" i="35"/>
  <c r="Z112" i="35"/>
  <c r="AA112" i="35" s="1"/>
  <c r="S113" i="35"/>
  <c r="AD113" i="35" s="1"/>
  <c r="AB113" i="35"/>
  <c r="Z113" i="35"/>
  <c r="AA113" i="35" s="1"/>
  <c r="S114" i="35"/>
  <c r="AD114" i="35" s="1"/>
  <c r="AB114" i="35"/>
  <c r="Z114" i="35"/>
  <c r="AA114" i="35" s="1"/>
  <c r="S115" i="35"/>
  <c r="AD115" i="35" s="1"/>
  <c r="AB115" i="35"/>
  <c r="Z115" i="35"/>
  <c r="AA115" i="35" s="1"/>
  <c r="S116" i="35"/>
  <c r="AD116" i="35" s="1"/>
  <c r="AB116" i="35"/>
  <c r="Z116" i="35"/>
  <c r="AA116" i="35" s="1"/>
  <c r="S117" i="35"/>
  <c r="AD117" i="35" s="1"/>
  <c r="AB117" i="35"/>
  <c r="Z117" i="35"/>
  <c r="AA117" i="35" s="1"/>
  <c r="S118" i="35"/>
  <c r="AD118" i="35" s="1"/>
  <c r="AB118" i="35"/>
  <c r="Z118" i="35"/>
  <c r="AA118" i="35" s="1"/>
  <c r="S119" i="35"/>
  <c r="AD119" i="35" s="1"/>
  <c r="AB119" i="35"/>
  <c r="Z119" i="35"/>
  <c r="AA119" i="35" s="1"/>
  <c r="S120" i="35"/>
  <c r="AD120" i="35" s="1"/>
  <c r="AB120" i="35"/>
  <c r="Z120" i="35"/>
  <c r="AA120" i="35" s="1"/>
  <c r="S121" i="35"/>
  <c r="AD121" i="35" s="1"/>
  <c r="AB121" i="35"/>
  <c r="Z121" i="35"/>
  <c r="AA121" i="35" s="1"/>
  <c r="S122" i="35"/>
  <c r="AD122" i="35" s="1"/>
  <c r="AB122" i="35"/>
  <c r="Z122" i="35"/>
  <c r="AA122" i="35" s="1"/>
  <c r="S123" i="35"/>
  <c r="AD123" i="35" s="1"/>
  <c r="AB123" i="35"/>
  <c r="Z123" i="35"/>
  <c r="AA123" i="35" s="1"/>
  <c r="S124" i="35"/>
  <c r="AD124" i="35" s="1"/>
  <c r="AB124" i="35"/>
  <c r="Z124" i="35"/>
  <c r="AA124" i="35" s="1"/>
  <c r="S125" i="35"/>
  <c r="AD125" i="35" s="1"/>
  <c r="AB125" i="35"/>
  <c r="Z125" i="35"/>
  <c r="AA125" i="35" s="1"/>
  <c r="S126" i="35"/>
  <c r="AD126" i="35" s="1"/>
  <c r="AB126" i="35"/>
  <c r="Z126" i="35"/>
  <c r="AA126" i="35" s="1"/>
  <c r="S127" i="35"/>
  <c r="AD127" i="35" s="1"/>
  <c r="AB127" i="35"/>
  <c r="Z127" i="35"/>
  <c r="AA127" i="35" s="1"/>
  <c r="S128" i="35"/>
  <c r="AD128" i="35" s="1"/>
  <c r="AB128" i="35"/>
  <c r="Z128" i="35"/>
  <c r="AA128" i="35" s="1"/>
  <c r="S129" i="35"/>
  <c r="AD129" i="35" s="1"/>
  <c r="AB129" i="35"/>
  <c r="Z129" i="35"/>
  <c r="AA129" i="35" s="1"/>
  <c r="S130" i="35"/>
  <c r="AD130" i="35" s="1"/>
  <c r="AB130" i="35"/>
  <c r="Z130" i="35"/>
  <c r="AA130" i="35" s="1"/>
  <c r="S131" i="35"/>
  <c r="AD131" i="35" s="1"/>
  <c r="AB131" i="35"/>
  <c r="Z131" i="35"/>
  <c r="AA131" i="35" s="1"/>
  <c r="S132" i="35"/>
  <c r="AD132" i="35" s="1"/>
  <c r="AB132" i="35"/>
  <c r="Z132" i="35"/>
  <c r="AA132" i="35" s="1"/>
  <c r="S133" i="35"/>
  <c r="AD133" i="35" s="1"/>
  <c r="AB133" i="35"/>
  <c r="Z133" i="35"/>
  <c r="AA133" i="35" s="1"/>
  <c r="S134" i="35"/>
  <c r="AD134" i="35" s="1"/>
  <c r="AB134" i="35"/>
  <c r="Z134" i="35"/>
  <c r="AA134" i="35" s="1"/>
  <c r="S135" i="35"/>
  <c r="AD135" i="35" s="1"/>
  <c r="AB135" i="35"/>
  <c r="Z135" i="35"/>
  <c r="AA135" i="35" s="1"/>
  <c r="S136" i="35"/>
  <c r="AD136" i="35" s="1"/>
  <c r="AB136" i="35"/>
  <c r="Z136" i="35"/>
  <c r="AA136" i="35" s="1"/>
  <c r="S137" i="35"/>
  <c r="AD137" i="35" s="1"/>
  <c r="AB137" i="35"/>
  <c r="Z137" i="35"/>
  <c r="AA137" i="35" s="1"/>
  <c r="S138" i="35"/>
  <c r="AD138" i="35" s="1"/>
  <c r="AB138" i="35"/>
  <c r="Z138" i="35"/>
  <c r="AA138" i="35" s="1"/>
  <c r="S139" i="35"/>
  <c r="AD139" i="35" s="1"/>
  <c r="AB139" i="35"/>
  <c r="Z139" i="35"/>
  <c r="AA139" i="35" s="1"/>
  <c r="S140" i="35"/>
  <c r="AD140" i="35" s="1"/>
  <c r="AB140" i="35"/>
  <c r="Z140" i="35"/>
  <c r="AA140" i="35" s="1"/>
  <c r="S141" i="35"/>
  <c r="AD141" i="35" s="1"/>
  <c r="AB141" i="35"/>
  <c r="Z141" i="35"/>
  <c r="AA141" i="35" s="1"/>
  <c r="S142" i="35"/>
  <c r="AD142" i="35" s="1"/>
  <c r="AB142" i="35"/>
  <c r="Z142" i="35"/>
  <c r="AA142" i="35" s="1"/>
  <c r="S143" i="35"/>
  <c r="AD143" i="35" s="1"/>
  <c r="AB143" i="35"/>
  <c r="Z143" i="35"/>
  <c r="AA143" i="35" s="1"/>
  <c r="S144" i="35"/>
  <c r="AD144" i="35" s="1"/>
  <c r="AB144" i="35"/>
  <c r="Z144" i="35"/>
  <c r="AA144" i="35" s="1"/>
  <c r="S145" i="35"/>
  <c r="AD145" i="35" s="1"/>
  <c r="AB145" i="35"/>
  <c r="Z145" i="35"/>
  <c r="AA145" i="35" s="1"/>
  <c r="S146" i="35"/>
  <c r="AD146" i="35" s="1"/>
  <c r="AB146" i="35"/>
  <c r="Z146" i="35"/>
  <c r="AA146" i="35" s="1"/>
  <c r="S147" i="35"/>
  <c r="AD147" i="35" s="1"/>
  <c r="AB147" i="35"/>
  <c r="Z147" i="35"/>
  <c r="AA147" i="35" s="1"/>
  <c r="S148" i="35"/>
  <c r="AD148" i="35" s="1"/>
  <c r="AB148" i="35"/>
  <c r="Z148" i="35"/>
  <c r="AA148" i="35" s="1"/>
  <c r="S149" i="35"/>
  <c r="AD149" i="35" s="1"/>
  <c r="AB149" i="35"/>
  <c r="Z149" i="35"/>
  <c r="AA149" i="35" s="1"/>
  <c r="S150" i="35"/>
  <c r="AD150" i="35" s="1"/>
  <c r="AB150" i="35"/>
  <c r="Z150" i="35"/>
  <c r="AA150" i="35" s="1"/>
  <c r="S151" i="35"/>
  <c r="AD151" i="35" s="1"/>
  <c r="AB151" i="35"/>
  <c r="Z151" i="35"/>
  <c r="AA151" i="35" s="1"/>
  <c r="S152" i="35"/>
  <c r="AD152" i="35" s="1"/>
  <c r="AB152" i="35"/>
  <c r="Z152" i="35"/>
  <c r="AA152" i="35" s="1"/>
  <c r="S153" i="35"/>
  <c r="AD153" i="35" s="1"/>
  <c r="AB153" i="35"/>
  <c r="Z153" i="35"/>
  <c r="AA153" i="35" s="1"/>
  <c r="S154" i="35"/>
  <c r="AD154" i="35" s="1"/>
  <c r="AB154" i="35"/>
  <c r="Z154" i="35"/>
  <c r="AA154" i="35" s="1"/>
  <c r="S155" i="35"/>
  <c r="AD155" i="35" s="1"/>
  <c r="AB155" i="35"/>
  <c r="Z155" i="35"/>
  <c r="AA155" i="35" s="1"/>
  <c r="S156" i="35"/>
  <c r="AD156" i="35" s="1"/>
  <c r="AB156" i="35"/>
  <c r="Z156" i="35"/>
  <c r="AA156" i="35" s="1"/>
  <c r="S157" i="35"/>
  <c r="AD157" i="35" s="1"/>
  <c r="AB157" i="35"/>
  <c r="Z157" i="35"/>
  <c r="AA157" i="35" s="1"/>
  <c r="S158" i="35"/>
  <c r="AD158" i="35" s="1"/>
  <c r="AB158" i="35"/>
  <c r="Z158" i="35"/>
  <c r="AA158" i="35" s="1"/>
  <c r="S159" i="35"/>
  <c r="AD159" i="35" s="1"/>
  <c r="AB159" i="35"/>
  <c r="Z159" i="35"/>
  <c r="AA159" i="35" s="1"/>
  <c r="S160" i="35"/>
  <c r="AD160" i="35" s="1"/>
  <c r="AB160" i="35"/>
  <c r="Z160" i="35"/>
  <c r="AA160" i="35" s="1"/>
  <c r="S161" i="35"/>
  <c r="AD161" i="35" s="1"/>
  <c r="AB161" i="35"/>
  <c r="Z161" i="35"/>
  <c r="AA161" i="35" s="1"/>
  <c r="S162" i="35"/>
  <c r="AD162" i="35" s="1"/>
  <c r="AB162" i="35"/>
  <c r="Z162" i="35"/>
  <c r="AA162" i="35" s="1"/>
  <c r="S163" i="35"/>
  <c r="AD163" i="35" s="1"/>
  <c r="AB163" i="35"/>
  <c r="Z163" i="35"/>
  <c r="AA163" i="35" s="1"/>
  <c r="S164" i="35"/>
  <c r="AD164" i="35" s="1"/>
  <c r="AB164" i="35"/>
  <c r="Z164" i="35"/>
  <c r="AA164" i="35" s="1"/>
  <c r="S165" i="35"/>
  <c r="AD165" i="35" s="1"/>
  <c r="AB165" i="35"/>
  <c r="Z165" i="35"/>
  <c r="AA165" i="35" s="1"/>
  <c r="S166" i="35"/>
  <c r="AD166" i="35" s="1"/>
  <c r="AB166" i="35"/>
  <c r="Z166" i="35"/>
  <c r="AA166" i="35" s="1"/>
  <c r="S167" i="35"/>
  <c r="AD167" i="35" s="1"/>
  <c r="AB167" i="35"/>
  <c r="Z167" i="35"/>
  <c r="AA167" i="35" s="1"/>
  <c r="S168" i="35"/>
  <c r="AD168" i="35" s="1"/>
  <c r="AB168" i="35"/>
  <c r="Z168" i="35"/>
  <c r="AA168" i="35" s="1"/>
  <c r="S169" i="35"/>
  <c r="AD169" i="35" s="1"/>
  <c r="AB169" i="35"/>
  <c r="Z169" i="35"/>
  <c r="AA169" i="35" s="1"/>
  <c r="S170" i="35"/>
  <c r="AD170" i="35" s="1"/>
  <c r="AB170" i="35"/>
  <c r="Z170" i="35"/>
  <c r="AA170" i="35" s="1"/>
  <c r="S171" i="35"/>
  <c r="AD171" i="35" s="1"/>
  <c r="AB171" i="35"/>
  <c r="Z171" i="35"/>
  <c r="AA171" i="35" s="1"/>
  <c r="S172" i="35"/>
  <c r="AD172" i="35" s="1"/>
  <c r="AB172" i="35"/>
  <c r="Z172" i="35"/>
  <c r="AA172" i="35" s="1"/>
  <c r="S173" i="35"/>
  <c r="AD173" i="35" s="1"/>
  <c r="AB173" i="35"/>
  <c r="Z173" i="35"/>
  <c r="AA173" i="35" s="1"/>
  <c r="S174" i="35"/>
  <c r="AD174" i="35" s="1"/>
  <c r="AB174" i="35"/>
  <c r="Z174" i="35"/>
  <c r="AA174" i="35" s="1"/>
  <c r="S175" i="35"/>
  <c r="AD175" i="35" s="1"/>
  <c r="AB175" i="35"/>
  <c r="Z175" i="35"/>
  <c r="AA175" i="35" s="1"/>
  <c r="S176" i="35"/>
  <c r="AD176" i="35" s="1"/>
  <c r="AB176" i="35"/>
  <c r="Z176" i="35"/>
  <c r="AA176" i="35" s="1"/>
  <c r="S177" i="35"/>
  <c r="AD177" i="35" s="1"/>
  <c r="AB177" i="35"/>
  <c r="Z177" i="35"/>
  <c r="AA177" i="35" s="1"/>
  <c r="S178" i="35"/>
  <c r="AD178" i="35" s="1"/>
  <c r="AB178" i="35"/>
  <c r="Z178" i="35"/>
  <c r="AA178" i="35" s="1"/>
  <c r="S179" i="35"/>
  <c r="AD179" i="35" s="1"/>
  <c r="AB179" i="35"/>
  <c r="Z179" i="35"/>
  <c r="AA179" i="35" s="1"/>
  <c r="S180" i="35"/>
  <c r="AD180" i="35" s="1"/>
  <c r="AB180" i="35"/>
  <c r="Z180" i="35"/>
  <c r="AA180" i="35" s="1"/>
  <c r="S181" i="35"/>
  <c r="AD181" i="35" s="1"/>
  <c r="AB181" i="35"/>
  <c r="Z181" i="35"/>
  <c r="AA181" i="35" s="1"/>
  <c r="S182" i="35"/>
  <c r="AD182" i="35" s="1"/>
  <c r="AB182" i="35"/>
  <c r="Z182" i="35"/>
  <c r="AA182" i="35" s="1"/>
  <c r="S183" i="35"/>
  <c r="AD183" i="35" s="1"/>
  <c r="AB183" i="35"/>
  <c r="Z183" i="35"/>
  <c r="AA183" i="35" s="1"/>
  <c r="S184" i="35"/>
  <c r="AD184" i="35" s="1"/>
  <c r="AB184" i="35"/>
  <c r="Z184" i="35"/>
  <c r="AA184" i="35" s="1"/>
  <c r="S185" i="35"/>
  <c r="AD185" i="35" s="1"/>
  <c r="AB185" i="35"/>
  <c r="Z185" i="35"/>
  <c r="AA185" i="35" s="1"/>
  <c r="S186" i="35"/>
  <c r="AD186" i="35" s="1"/>
  <c r="AB186" i="35"/>
  <c r="Z186" i="35"/>
  <c r="AA186" i="35" s="1"/>
  <c r="S187" i="35"/>
  <c r="AD187" i="35" s="1"/>
  <c r="AB187" i="35"/>
  <c r="Z187" i="35"/>
  <c r="AA187" i="35" s="1"/>
  <c r="S188" i="35"/>
  <c r="AD188" i="35" s="1"/>
  <c r="AB188" i="35"/>
  <c r="Z188" i="35"/>
  <c r="AA188" i="35" s="1"/>
  <c r="S189" i="35"/>
  <c r="AD189" i="35" s="1"/>
  <c r="AB189" i="35"/>
  <c r="Z189" i="35"/>
  <c r="AA189" i="35" s="1"/>
  <c r="S190" i="35"/>
  <c r="AD190" i="35" s="1"/>
  <c r="AB190" i="35"/>
  <c r="Z190" i="35"/>
  <c r="AA190" i="35" s="1"/>
  <c r="S191" i="35"/>
  <c r="AD191" i="35" s="1"/>
  <c r="AB191" i="35"/>
  <c r="Z191" i="35"/>
  <c r="AA191" i="35" s="1"/>
  <c r="S192" i="35"/>
  <c r="AD192" i="35" s="1"/>
  <c r="AB192" i="35"/>
  <c r="Z192" i="35"/>
  <c r="AA192" i="35" s="1"/>
  <c r="S193" i="35"/>
  <c r="AD193" i="35" s="1"/>
  <c r="AB193" i="35"/>
  <c r="Z193" i="35"/>
  <c r="AA193" i="35" s="1"/>
  <c r="S194" i="35"/>
  <c r="AD194" i="35" s="1"/>
  <c r="AB194" i="35"/>
  <c r="Z194" i="35"/>
  <c r="AA194" i="35" s="1"/>
  <c r="S195" i="35"/>
  <c r="AD195" i="35" s="1"/>
  <c r="AB195" i="35"/>
  <c r="Z195" i="35"/>
  <c r="AA195" i="35" s="1"/>
  <c r="S196" i="35"/>
  <c r="AD196" i="35" s="1"/>
  <c r="AB196" i="35"/>
  <c r="Z196" i="35"/>
  <c r="AA196" i="35" s="1"/>
  <c r="S197" i="35"/>
  <c r="AD197" i="35" s="1"/>
  <c r="AB197" i="35"/>
  <c r="Z197" i="35"/>
  <c r="AA197" i="35" s="1"/>
  <c r="S198" i="35"/>
  <c r="AD198" i="35" s="1"/>
  <c r="AB198" i="35"/>
  <c r="Z198" i="35"/>
  <c r="AA198" i="35" s="1"/>
  <c r="S199" i="35"/>
  <c r="AD199" i="35" s="1"/>
  <c r="AB199" i="35"/>
  <c r="Z199" i="35"/>
  <c r="AA199" i="35" s="1"/>
  <c r="S200" i="35"/>
  <c r="AD200" i="35" s="1"/>
  <c r="AB200" i="35"/>
  <c r="Z200" i="35"/>
  <c r="AA200" i="35" s="1"/>
  <c r="S201" i="35"/>
  <c r="AD201" i="35" s="1"/>
  <c r="AB201" i="35"/>
  <c r="Z201" i="35"/>
  <c r="AA201" i="35" s="1"/>
  <c r="S202" i="35"/>
  <c r="AD202" i="35" s="1"/>
  <c r="AB202" i="35"/>
  <c r="Z202" i="35"/>
  <c r="AA202" i="35" s="1"/>
  <c r="S203" i="35"/>
  <c r="AD203" i="35" s="1"/>
  <c r="AB203" i="35"/>
  <c r="Z203" i="35"/>
  <c r="AA203" i="35" s="1"/>
  <c r="S204" i="35"/>
  <c r="AD204" i="35" s="1"/>
  <c r="AB204" i="35"/>
  <c r="Z204" i="35"/>
  <c r="AA204" i="35" s="1"/>
  <c r="S205" i="35"/>
  <c r="AD205" i="35" s="1"/>
  <c r="AB205" i="35"/>
  <c r="Z205" i="35"/>
  <c r="AA205" i="35" s="1"/>
  <c r="S206" i="35"/>
  <c r="AD206" i="35" s="1"/>
  <c r="AB206" i="35"/>
  <c r="Z206" i="35"/>
  <c r="AA206" i="35" s="1"/>
  <c r="S207" i="35"/>
  <c r="AD207" i="35" s="1"/>
  <c r="AB207" i="35"/>
  <c r="Z207" i="35"/>
  <c r="AA207" i="35" s="1"/>
  <c r="S208" i="35"/>
  <c r="AD208" i="35" s="1"/>
  <c r="AB208" i="35"/>
  <c r="Z208" i="35"/>
  <c r="AA208" i="35" s="1"/>
  <c r="S209" i="35"/>
  <c r="AD209" i="35" s="1"/>
  <c r="AB209" i="35"/>
  <c r="Z209" i="35"/>
  <c r="AA209" i="35" s="1"/>
  <c r="S210" i="35"/>
  <c r="AD210" i="35" s="1"/>
  <c r="AB210" i="35"/>
  <c r="Z210" i="35"/>
  <c r="AA210" i="35" s="1"/>
  <c r="S211" i="35"/>
  <c r="AD211" i="35" s="1"/>
  <c r="AB211" i="35"/>
  <c r="Z211" i="35"/>
  <c r="AA211" i="35" s="1"/>
  <c r="S212" i="35"/>
  <c r="AD212" i="35" s="1"/>
  <c r="AB212" i="35"/>
  <c r="Z212" i="35"/>
  <c r="AA212" i="35" s="1"/>
  <c r="S213" i="35"/>
  <c r="AD213" i="35" s="1"/>
  <c r="AB213" i="35"/>
  <c r="Z213" i="35"/>
  <c r="AA213" i="35" s="1"/>
  <c r="S214" i="35"/>
  <c r="AD214" i="35" s="1"/>
  <c r="AB214" i="35"/>
  <c r="Z214" i="35"/>
  <c r="AA214" i="35" s="1"/>
  <c r="S215" i="35"/>
  <c r="AD215" i="35" s="1"/>
  <c r="AB215" i="35"/>
  <c r="Z215" i="35"/>
  <c r="AA215" i="35" s="1"/>
  <c r="S216" i="35"/>
  <c r="AD216" i="35" s="1"/>
  <c r="AB216" i="35"/>
  <c r="Z216" i="35"/>
  <c r="AA216" i="35" s="1"/>
  <c r="S217" i="35"/>
  <c r="AD217" i="35" s="1"/>
  <c r="AB217" i="35"/>
  <c r="Z217" i="35"/>
  <c r="AA217" i="35" s="1"/>
  <c r="S218" i="35"/>
  <c r="AD218" i="35" s="1"/>
  <c r="AB218" i="35"/>
  <c r="Z218" i="35"/>
  <c r="AA218" i="35" s="1"/>
  <c r="S219" i="35"/>
  <c r="AD219" i="35" s="1"/>
  <c r="AB219" i="35"/>
  <c r="Z219" i="35"/>
  <c r="AA219" i="35" s="1"/>
  <c r="S220" i="35"/>
  <c r="AD220" i="35" s="1"/>
  <c r="AB220" i="35"/>
  <c r="Z220" i="35"/>
  <c r="AA220" i="35" s="1"/>
  <c r="S221" i="35"/>
  <c r="AD221" i="35" s="1"/>
  <c r="AB221" i="35"/>
  <c r="Z221" i="35"/>
  <c r="AA221" i="35" s="1"/>
  <c r="S222" i="35"/>
  <c r="AD222" i="35" s="1"/>
  <c r="AB222" i="35"/>
  <c r="Z222" i="35"/>
  <c r="AA222" i="35" s="1"/>
  <c r="S223" i="35"/>
  <c r="AD223" i="35" s="1"/>
  <c r="AB223" i="35"/>
  <c r="Z223" i="35"/>
  <c r="AA223" i="35" s="1"/>
  <c r="S224" i="35"/>
  <c r="AD224" i="35" s="1"/>
  <c r="AB224" i="35"/>
  <c r="Z224" i="35"/>
  <c r="AA224" i="35" s="1"/>
  <c r="S225" i="35"/>
  <c r="AD225" i="35" s="1"/>
  <c r="AB225" i="35"/>
  <c r="Z225" i="35"/>
  <c r="AA225" i="35" s="1"/>
  <c r="S226" i="35"/>
  <c r="AD226" i="35" s="1"/>
  <c r="AB226" i="35"/>
  <c r="Z226" i="35"/>
  <c r="AA226" i="35" s="1"/>
  <c r="S227" i="35"/>
  <c r="AD227" i="35" s="1"/>
  <c r="AB227" i="35"/>
  <c r="Z227" i="35"/>
  <c r="AA227" i="35" s="1"/>
  <c r="S228" i="35"/>
  <c r="AD228" i="35" s="1"/>
  <c r="AB228" i="35"/>
  <c r="Z228" i="35"/>
  <c r="AA228" i="35" s="1"/>
  <c r="S229" i="35"/>
  <c r="AD229" i="35" s="1"/>
  <c r="AB229" i="35"/>
  <c r="Z229" i="35"/>
  <c r="AA229" i="35" s="1"/>
  <c r="S230" i="35"/>
  <c r="AD230" i="35" s="1"/>
  <c r="AB230" i="35"/>
  <c r="Z230" i="35"/>
  <c r="AA230" i="35" s="1"/>
  <c r="S231" i="35"/>
  <c r="AD231" i="35" s="1"/>
  <c r="AB231" i="35"/>
  <c r="Z231" i="35"/>
  <c r="AA231" i="35" s="1"/>
  <c r="S232" i="35"/>
  <c r="AD232" i="35" s="1"/>
  <c r="AB232" i="35"/>
  <c r="Z232" i="35"/>
  <c r="AA232" i="35" s="1"/>
  <c r="S233" i="35"/>
  <c r="AD233" i="35" s="1"/>
  <c r="AB233" i="35"/>
  <c r="Z233" i="35"/>
  <c r="AA233" i="35" s="1"/>
  <c r="S234" i="35"/>
  <c r="AD234" i="35" s="1"/>
  <c r="AB234" i="35"/>
  <c r="Z234" i="35"/>
  <c r="AA234" i="35" s="1"/>
  <c r="S235" i="35"/>
  <c r="AD235" i="35" s="1"/>
  <c r="AB235" i="35"/>
  <c r="Z235" i="35"/>
  <c r="AA235" i="35" s="1"/>
  <c r="S236" i="35"/>
  <c r="AD236" i="35" s="1"/>
  <c r="AB236" i="35"/>
  <c r="Z236" i="35"/>
  <c r="AA236" i="35" s="1"/>
  <c r="S237" i="35"/>
  <c r="AD237" i="35" s="1"/>
  <c r="AB237" i="35"/>
  <c r="Z237" i="35"/>
  <c r="AA237" i="35" s="1"/>
  <c r="S238" i="35"/>
  <c r="AD238" i="35" s="1"/>
  <c r="AB238" i="35"/>
  <c r="Z238" i="35"/>
  <c r="AA238" i="35" s="1"/>
  <c r="S239" i="35"/>
  <c r="AD239" i="35" s="1"/>
  <c r="AB239" i="35"/>
  <c r="Z239" i="35"/>
  <c r="AA239" i="35" s="1"/>
  <c r="S240" i="35"/>
  <c r="AD240" i="35" s="1"/>
  <c r="AB240" i="35"/>
  <c r="Z240" i="35"/>
  <c r="AA240" i="35" s="1"/>
  <c r="S241" i="35"/>
  <c r="AD241" i="35" s="1"/>
  <c r="AB241" i="35"/>
  <c r="Z241" i="35"/>
  <c r="AA241" i="35" s="1"/>
  <c r="S242" i="35"/>
  <c r="AD242" i="35" s="1"/>
  <c r="AB242" i="35"/>
  <c r="Z242" i="35"/>
  <c r="AA242" i="35" s="1"/>
  <c r="S243" i="35"/>
  <c r="AD243" i="35" s="1"/>
  <c r="AB243" i="35"/>
  <c r="Z243" i="35"/>
  <c r="AA243" i="35" s="1"/>
  <c r="S244" i="35"/>
  <c r="AD244" i="35" s="1"/>
  <c r="AB244" i="35"/>
  <c r="Z244" i="35"/>
  <c r="AA244" i="35" s="1"/>
  <c r="S245" i="35"/>
  <c r="AD245" i="35" s="1"/>
  <c r="AB245" i="35"/>
  <c r="Z245" i="35"/>
  <c r="AA245" i="35" s="1"/>
  <c r="S246" i="35"/>
  <c r="AD246" i="35" s="1"/>
  <c r="AB246" i="35"/>
  <c r="Z246" i="35"/>
  <c r="AA246" i="35" s="1"/>
  <c r="S247" i="35"/>
  <c r="AD247" i="35" s="1"/>
  <c r="AB247" i="35"/>
  <c r="Z247" i="35"/>
  <c r="AA247" i="35" s="1"/>
  <c r="S248" i="35"/>
  <c r="AD248" i="35" s="1"/>
  <c r="AB248" i="35"/>
  <c r="Z248" i="35"/>
  <c r="AA248" i="35" s="1"/>
  <c r="S249" i="35"/>
  <c r="AD249" i="35" s="1"/>
  <c r="AB249" i="35"/>
  <c r="Z249" i="35"/>
  <c r="AA249" i="35" s="1"/>
  <c r="S250" i="35"/>
  <c r="AD250" i="35" s="1"/>
  <c r="AB250" i="35"/>
  <c r="Z250" i="35"/>
  <c r="AA250" i="35" s="1"/>
  <c r="S251" i="35"/>
  <c r="AD251" i="35" s="1"/>
  <c r="AB251" i="35"/>
  <c r="Z251" i="35"/>
  <c r="AA251" i="35" s="1"/>
  <c r="S252" i="35"/>
  <c r="AD252" i="35" s="1"/>
  <c r="AB252" i="35"/>
  <c r="Z252" i="35"/>
  <c r="AA252" i="35" s="1"/>
  <c r="S253" i="35"/>
  <c r="AD253" i="35" s="1"/>
  <c r="AB253" i="35"/>
  <c r="Z253" i="35"/>
  <c r="AA253" i="35" s="1"/>
  <c r="S254" i="35"/>
  <c r="AD254" i="35" s="1"/>
  <c r="AB254" i="35"/>
  <c r="Z254" i="35"/>
  <c r="AA254" i="35" s="1"/>
  <c r="S255" i="35"/>
  <c r="AD255" i="35" s="1"/>
  <c r="AB255" i="35"/>
  <c r="Z255" i="35"/>
  <c r="AA255" i="35" s="1"/>
  <c r="S256" i="35"/>
  <c r="AD256" i="35" s="1"/>
  <c r="AB256" i="35"/>
  <c r="Z256" i="35"/>
  <c r="AA256" i="35" s="1"/>
  <c r="S257" i="35"/>
  <c r="AD257" i="35" s="1"/>
  <c r="AB257" i="35"/>
  <c r="Z257" i="35"/>
  <c r="AA257" i="35" s="1"/>
  <c r="S258" i="35"/>
  <c r="AD258" i="35" s="1"/>
  <c r="AB258" i="35"/>
  <c r="Z258" i="35"/>
  <c r="AA258" i="35" s="1"/>
  <c r="S259" i="35"/>
  <c r="AD259" i="35" s="1"/>
  <c r="AB259" i="35"/>
  <c r="Z259" i="35"/>
  <c r="AA259" i="35" s="1"/>
  <c r="S260" i="35"/>
  <c r="AD260" i="35" s="1"/>
  <c r="AB260" i="35"/>
  <c r="Z260" i="35"/>
  <c r="AA260" i="35" s="1"/>
  <c r="S261" i="35"/>
  <c r="AD261" i="35" s="1"/>
  <c r="AB261" i="35"/>
  <c r="Z261" i="35"/>
  <c r="AA261" i="35" s="1"/>
  <c r="S262" i="35"/>
  <c r="AD262" i="35" s="1"/>
  <c r="AB262" i="35"/>
  <c r="Z262" i="35"/>
  <c r="AA262" i="35" s="1"/>
  <c r="S263" i="35"/>
  <c r="AD263" i="35" s="1"/>
  <c r="AB263" i="35"/>
  <c r="Z263" i="35"/>
  <c r="AA263" i="35" s="1"/>
  <c r="S264" i="35"/>
  <c r="AD264" i="35" s="1"/>
  <c r="AB264" i="35"/>
  <c r="Z264" i="35"/>
  <c r="AA264" i="35" s="1"/>
  <c r="S265" i="35"/>
  <c r="AD265" i="35" s="1"/>
  <c r="AB265" i="35"/>
  <c r="Z265" i="35"/>
  <c r="AA265" i="35" s="1"/>
  <c r="S266" i="35"/>
  <c r="AD266" i="35" s="1"/>
  <c r="AB266" i="35"/>
  <c r="Z266" i="35"/>
  <c r="AA266" i="35" s="1"/>
  <c r="S267" i="35"/>
  <c r="AD267" i="35" s="1"/>
  <c r="AB267" i="35"/>
  <c r="Z267" i="35"/>
  <c r="AA267" i="35" s="1"/>
  <c r="S268" i="35"/>
  <c r="AD268" i="35" s="1"/>
  <c r="AB268" i="35"/>
  <c r="Z268" i="35"/>
  <c r="AA268" i="35" s="1"/>
  <c r="S269" i="35"/>
  <c r="AD269" i="35" s="1"/>
  <c r="AB269" i="35"/>
  <c r="Z269" i="35"/>
  <c r="AA269" i="35" s="1"/>
  <c r="S270" i="35"/>
  <c r="AD270" i="35" s="1"/>
  <c r="AB270" i="35"/>
  <c r="Z270" i="35"/>
  <c r="AA270" i="35" s="1"/>
  <c r="S271" i="35"/>
  <c r="AD271" i="35" s="1"/>
  <c r="AB271" i="35"/>
  <c r="Z271" i="35"/>
  <c r="AA271" i="35" s="1"/>
  <c r="S272" i="35"/>
  <c r="AD272" i="35" s="1"/>
  <c r="AB272" i="35"/>
  <c r="Z272" i="35"/>
  <c r="AA272" i="35" s="1"/>
  <c r="S273" i="35"/>
  <c r="AD273" i="35" s="1"/>
  <c r="AB273" i="35"/>
  <c r="Z273" i="35"/>
  <c r="AA273" i="35" s="1"/>
  <c r="S274" i="35"/>
  <c r="AD274" i="35" s="1"/>
  <c r="AB274" i="35"/>
  <c r="Z274" i="35"/>
  <c r="AA274" i="35" s="1"/>
  <c r="S275" i="35"/>
  <c r="AD275" i="35" s="1"/>
  <c r="AB275" i="35"/>
  <c r="Z275" i="35"/>
  <c r="AA275" i="35" s="1"/>
  <c r="S276" i="35"/>
  <c r="AD276" i="35" s="1"/>
  <c r="AB276" i="35"/>
  <c r="Z276" i="35"/>
  <c r="AA276" i="35" s="1"/>
  <c r="S277" i="35"/>
  <c r="AD277" i="35" s="1"/>
  <c r="AB277" i="35"/>
  <c r="Z277" i="35"/>
  <c r="AA277" i="35" s="1"/>
  <c r="S278" i="35"/>
  <c r="AD278" i="35" s="1"/>
  <c r="AB278" i="35"/>
  <c r="Z278" i="35"/>
  <c r="AA278" i="35" s="1"/>
  <c r="S279" i="35"/>
  <c r="AD279" i="35" s="1"/>
  <c r="AB279" i="35"/>
  <c r="Z279" i="35"/>
  <c r="AA279" i="35" s="1"/>
  <c r="S280" i="35"/>
  <c r="AD280" i="35" s="1"/>
  <c r="AB280" i="35"/>
  <c r="Z280" i="35"/>
  <c r="AA280" i="35" s="1"/>
  <c r="S281" i="35"/>
  <c r="AD281" i="35" s="1"/>
  <c r="AB281" i="35"/>
  <c r="Z281" i="35"/>
  <c r="AA281" i="35" s="1"/>
  <c r="S282" i="35"/>
  <c r="AD282" i="35" s="1"/>
  <c r="AB282" i="35"/>
  <c r="Z282" i="35"/>
  <c r="AA282" i="35" s="1"/>
  <c r="S283" i="35"/>
  <c r="AD283" i="35" s="1"/>
  <c r="AB283" i="35"/>
  <c r="Z283" i="35"/>
  <c r="AA283" i="35" s="1"/>
  <c r="S284" i="35"/>
  <c r="AD284" i="35" s="1"/>
  <c r="AB284" i="35"/>
  <c r="Z284" i="35"/>
  <c r="AA284" i="35" s="1"/>
  <c r="S285" i="35"/>
  <c r="AD285" i="35" s="1"/>
  <c r="AB285" i="35"/>
  <c r="Z285" i="35"/>
  <c r="AA285" i="35" s="1"/>
  <c r="S286" i="35"/>
  <c r="AD286" i="35" s="1"/>
  <c r="AB286" i="35"/>
  <c r="Z286" i="35"/>
  <c r="AA286" i="35" s="1"/>
  <c r="S287" i="35"/>
  <c r="AD287" i="35" s="1"/>
  <c r="AB287" i="35"/>
  <c r="Z287" i="35"/>
  <c r="AA287" i="35" s="1"/>
  <c r="S288" i="35"/>
  <c r="AD288" i="35" s="1"/>
  <c r="AB288" i="35"/>
  <c r="Z288" i="35"/>
  <c r="AA288" i="35" s="1"/>
  <c r="S289" i="35"/>
  <c r="AD289" i="35" s="1"/>
  <c r="AB289" i="35"/>
  <c r="Z289" i="35"/>
  <c r="AA289" i="35" s="1"/>
  <c r="S290" i="35"/>
  <c r="AD290" i="35" s="1"/>
  <c r="AB290" i="35"/>
  <c r="Z290" i="35"/>
  <c r="AA290" i="35" s="1"/>
  <c r="S291" i="35"/>
  <c r="AD291" i="35" s="1"/>
  <c r="AB291" i="35"/>
  <c r="Z291" i="35"/>
  <c r="AA291" i="35" s="1"/>
  <c r="S292" i="35"/>
  <c r="AD292" i="35" s="1"/>
  <c r="AB292" i="35"/>
  <c r="Z292" i="35"/>
  <c r="AA292" i="35" s="1"/>
  <c r="S293" i="35"/>
  <c r="AD293" i="35" s="1"/>
  <c r="AB293" i="35"/>
  <c r="Z293" i="35"/>
  <c r="AA293" i="35" s="1"/>
  <c r="S294" i="35"/>
  <c r="AD294" i="35" s="1"/>
  <c r="AB294" i="35"/>
  <c r="Z294" i="35"/>
  <c r="AA294" i="35" s="1"/>
  <c r="S295" i="35"/>
  <c r="AD295" i="35" s="1"/>
  <c r="AB295" i="35"/>
  <c r="Z295" i="35"/>
  <c r="AA295" i="35" s="1"/>
  <c r="S296" i="35"/>
  <c r="AD296" i="35" s="1"/>
  <c r="AB296" i="35"/>
  <c r="Z296" i="35"/>
  <c r="AA296" i="35" s="1"/>
  <c r="S297" i="35"/>
  <c r="AD297" i="35" s="1"/>
  <c r="AB297" i="35"/>
  <c r="Z297" i="35"/>
  <c r="AA297" i="35" s="1"/>
  <c r="S298" i="35"/>
  <c r="AD298" i="35" s="1"/>
  <c r="AB298" i="35"/>
  <c r="Z298" i="35"/>
  <c r="AA298" i="35" s="1"/>
  <c r="S299" i="35"/>
  <c r="AD299" i="35" s="1"/>
  <c r="AB299" i="35"/>
  <c r="Z299" i="35"/>
  <c r="AA299" i="35" s="1"/>
  <c r="S300" i="35"/>
  <c r="AD300" i="35" s="1"/>
  <c r="AB300" i="35"/>
  <c r="Z300" i="35"/>
  <c r="AA300" i="35" s="1"/>
  <c r="S301" i="35"/>
  <c r="AD301" i="35" s="1"/>
  <c r="AB301" i="35"/>
  <c r="Z301" i="35"/>
  <c r="AA301" i="35" s="1"/>
  <c r="S302" i="35"/>
  <c r="AD302" i="35" s="1"/>
  <c r="AB302" i="35"/>
  <c r="Z302" i="35"/>
  <c r="AA302" i="35" s="1"/>
  <c r="S303" i="35"/>
  <c r="AD303" i="35" s="1"/>
  <c r="AB303" i="35"/>
  <c r="Z303" i="35"/>
  <c r="AA303" i="35" s="1"/>
  <c r="S304" i="35"/>
  <c r="AD304" i="35" s="1"/>
  <c r="AB304" i="35"/>
  <c r="Z304" i="35"/>
  <c r="AA304" i="35" s="1"/>
  <c r="S305" i="35"/>
  <c r="AD305" i="35" s="1"/>
  <c r="AB305" i="35"/>
  <c r="Z305" i="35"/>
  <c r="AA305" i="35" s="1"/>
  <c r="S306" i="35"/>
  <c r="AD306" i="35" s="1"/>
  <c r="AB306" i="35"/>
  <c r="Z306" i="35"/>
  <c r="AA306" i="35" s="1"/>
  <c r="S307" i="35"/>
  <c r="AD307" i="35" s="1"/>
  <c r="AB307" i="35"/>
  <c r="Z307" i="35"/>
  <c r="AA307" i="35" s="1"/>
  <c r="S308" i="35"/>
  <c r="AD308" i="35" s="1"/>
  <c r="AB308" i="35"/>
  <c r="Z308" i="35"/>
  <c r="AA308" i="35" s="1"/>
  <c r="S309" i="35"/>
  <c r="AD309" i="35" s="1"/>
  <c r="AB309" i="35"/>
  <c r="Z309" i="35"/>
  <c r="AA309" i="35" s="1"/>
  <c r="S310" i="35"/>
  <c r="AD310" i="35" s="1"/>
  <c r="AB310" i="35"/>
  <c r="Z310" i="35"/>
  <c r="AA310" i="35" s="1"/>
  <c r="S311" i="35"/>
  <c r="AD311" i="35" s="1"/>
  <c r="AB311" i="35"/>
  <c r="Z311" i="35"/>
  <c r="AA311" i="35" s="1"/>
  <c r="S312" i="35"/>
  <c r="AD312" i="35" s="1"/>
  <c r="AB312" i="35"/>
  <c r="Z312" i="35"/>
  <c r="AA312" i="35" s="1"/>
  <c r="S313" i="35"/>
  <c r="AD313" i="35" s="1"/>
  <c r="AB313" i="35"/>
  <c r="Z313" i="35"/>
  <c r="AA313" i="35" s="1"/>
  <c r="S314" i="35"/>
  <c r="AD314" i="35" s="1"/>
  <c r="AB314" i="35"/>
  <c r="Z314" i="35"/>
  <c r="AA314" i="35" s="1"/>
  <c r="S315" i="35"/>
  <c r="AD315" i="35" s="1"/>
  <c r="AB315" i="35"/>
  <c r="Z315" i="35"/>
  <c r="AA315" i="35" s="1"/>
  <c r="S316" i="35"/>
  <c r="AD316" i="35" s="1"/>
  <c r="AB316" i="35"/>
  <c r="Z316" i="35"/>
  <c r="AA316" i="35" s="1"/>
  <c r="S317" i="35"/>
  <c r="AD317" i="35" s="1"/>
  <c r="AB317" i="35"/>
  <c r="Z317" i="35"/>
  <c r="AA317" i="35" s="1"/>
  <c r="S318" i="35"/>
  <c r="AD318" i="35" s="1"/>
  <c r="AB318" i="35"/>
  <c r="Z318" i="35"/>
  <c r="AA318" i="35" s="1"/>
  <c r="S319" i="35"/>
  <c r="AD319" i="35" s="1"/>
  <c r="AB319" i="35"/>
  <c r="Z319" i="35"/>
  <c r="AA319" i="35" s="1"/>
  <c r="S320" i="35"/>
  <c r="AD320" i="35" s="1"/>
  <c r="AB320" i="35"/>
  <c r="Z320" i="35"/>
  <c r="AA320" i="35" s="1"/>
  <c r="S321" i="35"/>
  <c r="AD321" i="35" s="1"/>
  <c r="AB321" i="35"/>
  <c r="Z321" i="35"/>
  <c r="AA321" i="35" s="1"/>
  <c r="S322" i="35"/>
  <c r="AD322" i="35" s="1"/>
  <c r="AB322" i="35"/>
  <c r="Z322" i="35"/>
  <c r="AA322" i="35" s="1"/>
  <c r="S323" i="35"/>
  <c r="AD323" i="35" s="1"/>
  <c r="AB323" i="35"/>
  <c r="Z323" i="35"/>
  <c r="AA323" i="35" s="1"/>
  <c r="S324" i="35"/>
  <c r="AD324" i="35" s="1"/>
  <c r="AB324" i="35"/>
  <c r="Z324" i="35"/>
  <c r="AA324" i="35" s="1"/>
  <c r="S325" i="35"/>
  <c r="AD325" i="35" s="1"/>
  <c r="AB325" i="35"/>
  <c r="Z325" i="35"/>
  <c r="AA325" i="35" s="1"/>
  <c r="S326" i="35"/>
  <c r="AD326" i="35" s="1"/>
  <c r="AB326" i="35"/>
  <c r="Z326" i="35"/>
  <c r="AA326" i="35" s="1"/>
  <c r="S327" i="35"/>
  <c r="AD327" i="35" s="1"/>
  <c r="AB327" i="35"/>
  <c r="Z327" i="35"/>
  <c r="AA327" i="35" s="1"/>
  <c r="S328" i="35"/>
  <c r="AD328" i="35" s="1"/>
  <c r="AB328" i="35"/>
  <c r="Z328" i="35"/>
  <c r="AA328" i="35" s="1"/>
  <c r="S329" i="35"/>
  <c r="AD329" i="35" s="1"/>
  <c r="AB329" i="35"/>
  <c r="Z329" i="35"/>
  <c r="AA329" i="35" s="1"/>
  <c r="S330" i="35"/>
  <c r="AD330" i="35" s="1"/>
  <c r="AB330" i="35"/>
  <c r="Z330" i="35"/>
  <c r="AA330" i="35" s="1"/>
  <c r="S331" i="35"/>
  <c r="AD331" i="35" s="1"/>
  <c r="AB331" i="35"/>
  <c r="Z331" i="35"/>
  <c r="AA331" i="35" s="1"/>
  <c r="S332" i="35"/>
  <c r="AD332" i="35" s="1"/>
  <c r="AB332" i="35"/>
  <c r="Z332" i="35"/>
  <c r="AA332" i="35" s="1"/>
  <c r="S333" i="35"/>
  <c r="AD333" i="35" s="1"/>
  <c r="AB333" i="35"/>
  <c r="Z333" i="35"/>
  <c r="AA333" i="35" s="1"/>
  <c r="S334" i="35"/>
  <c r="AD334" i="35" s="1"/>
  <c r="AB334" i="35"/>
  <c r="Z334" i="35"/>
  <c r="AA334" i="35" s="1"/>
  <c r="S335" i="35"/>
  <c r="AD335" i="35" s="1"/>
  <c r="AB335" i="35"/>
  <c r="Z335" i="35"/>
  <c r="AA335" i="35" s="1"/>
  <c r="S336" i="35"/>
  <c r="AD336" i="35" s="1"/>
  <c r="AB336" i="35"/>
  <c r="Z336" i="35"/>
  <c r="AA336" i="35" s="1"/>
  <c r="S337" i="35"/>
  <c r="AD337" i="35" s="1"/>
  <c r="AB337" i="35"/>
  <c r="Z337" i="35"/>
  <c r="AA337" i="35" s="1"/>
  <c r="S338" i="35"/>
  <c r="AD338" i="35" s="1"/>
  <c r="AB338" i="35"/>
  <c r="Z338" i="35"/>
  <c r="AA338" i="35" s="1"/>
  <c r="S339" i="35"/>
  <c r="AD339" i="35" s="1"/>
  <c r="AB339" i="35"/>
  <c r="Z339" i="35"/>
  <c r="AA339" i="35" s="1"/>
  <c r="S340" i="35"/>
  <c r="AD340" i="35" s="1"/>
  <c r="AB340" i="35"/>
  <c r="Z340" i="35"/>
  <c r="AA340" i="35" s="1"/>
  <c r="S341" i="35"/>
  <c r="AD341" i="35" s="1"/>
  <c r="AB341" i="35"/>
  <c r="Z341" i="35"/>
  <c r="AA341" i="35" s="1"/>
  <c r="S342" i="35"/>
  <c r="AD342" i="35" s="1"/>
  <c r="AB342" i="35"/>
  <c r="Z342" i="35"/>
  <c r="AA342" i="35" s="1"/>
  <c r="S343" i="35"/>
  <c r="AD343" i="35" s="1"/>
  <c r="AB343" i="35"/>
  <c r="Z343" i="35"/>
  <c r="AA343" i="35" s="1"/>
  <c r="S344" i="35"/>
  <c r="AD344" i="35" s="1"/>
  <c r="AB344" i="35"/>
  <c r="Z344" i="35"/>
  <c r="AA344" i="35" s="1"/>
  <c r="S345" i="35"/>
  <c r="AD345" i="35" s="1"/>
  <c r="AB345" i="35"/>
  <c r="Z345" i="35"/>
  <c r="AA345" i="35" s="1"/>
  <c r="S346" i="35"/>
  <c r="AD346" i="35" s="1"/>
  <c r="AB346" i="35"/>
  <c r="Z346" i="35"/>
  <c r="AA346" i="35" s="1"/>
  <c r="S347" i="35"/>
  <c r="AD347" i="35" s="1"/>
  <c r="AB347" i="35"/>
  <c r="Z347" i="35"/>
  <c r="AA347" i="35" s="1"/>
  <c r="S348" i="35"/>
  <c r="AD348" i="35" s="1"/>
  <c r="AB348" i="35"/>
  <c r="Z348" i="35"/>
  <c r="AA348" i="35" s="1"/>
  <c r="S349" i="35"/>
  <c r="AD349" i="35" s="1"/>
  <c r="AB349" i="35"/>
  <c r="Z349" i="35"/>
  <c r="AA349" i="35" s="1"/>
  <c r="S350" i="35"/>
  <c r="AD350" i="35" s="1"/>
  <c r="AB350" i="35"/>
  <c r="Z350" i="35"/>
  <c r="AA350" i="35" s="1"/>
  <c r="S351" i="35"/>
  <c r="AD351" i="35" s="1"/>
  <c r="AB351" i="35"/>
  <c r="Z351" i="35"/>
  <c r="AA351" i="35" s="1"/>
  <c r="S352" i="35"/>
  <c r="AD352" i="35" s="1"/>
  <c r="AB352" i="35"/>
  <c r="Z352" i="35"/>
  <c r="AA352" i="35" s="1"/>
  <c r="S353" i="35"/>
  <c r="AD353" i="35" s="1"/>
  <c r="AB353" i="35"/>
  <c r="Z353" i="35"/>
  <c r="AA353" i="35" s="1"/>
  <c r="S354" i="35"/>
  <c r="AD354" i="35" s="1"/>
  <c r="AB354" i="35"/>
  <c r="Z354" i="35"/>
  <c r="AA354" i="35" s="1"/>
  <c r="S355" i="35"/>
  <c r="AD355" i="35" s="1"/>
  <c r="AB355" i="35"/>
  <c r="Z355" i="35"/>
  <c r="AA355" i="35" s="1"/>
  <c r="S356" i="35"/>
  <c r="AD356" i="35" s="1"/>
  <c r="AB356" i="35"/>
  <c r="Z356" i="35"/>
  <c r="AA356" i="35" s="1"/>
  <c r="S357" i="35"/>
  <c r="AD357" i="35" s="1"/>
  <c r="AB357" i="35"/>
  <c r="Z357" i="35"/>
  <c r="AA357" i="35" s="1"/>
  <c r="S358" i="35"/>
  <c r="AD358" i="35" s="1"/>
  <c r="AB358" i="35"/>
  <c r="Z358" i="35"/>
  <c r="AA358" i="35" s="1"/>
  <c r="S359" i="35"/>
  <c r="AD359" i="35" s="1"/>
  <c r="AB359" i="35"/>
  <c r="Z359" i="35"/>
  <c r="AA359" i="35" s="1"/>
  <c r="S360" i="35"/>
  <c r="AD360" i="35" s="1"/>
  <c r="AB360" i="35"/>
  <c r="Z360" i="35"/>
  <c r="AA360" i="35" s="1"/>
  <c r="S361" i="35"/>
  <c r="AD361" i="35" s="1"/>
  <c r="AB361" i="35"/>
  <c r="Z361" i="35"/>
  <c r="AA361" i="35" s="1"/>
  <c r="S362" i="35"/>
  <c r="AD362" i="35" s="1"/>
  <c r="AB362" i="35"/>
  <c r="Z362" i="35"/>
  <c r="AA362" i="35" s="1"/>
  <c r="S363" i="35"/>
  <c r="AD363" i="35" s="1"/>
  <c r="AB363" i="35"/>
  <c r="Z363" i="35"/>
  <c r="AA363" i="35" s="1"/>
  <c r="S364" i="35"/>
  <c r="AD364" i="35" s="1"/>
  <c r="AB364" i="35"/>
  <c r="Z364" i="35"/>
  <c r="AA364" i="35" s="1"/>
  <c r="S365" i="35"/>
  <c r="AD365" i="35" s="1"/>
  <c r="AB365" i="35"/>
  <c r="Z365" i="35"/>
  <c r="AA365" i="35" s="1"/>
  <c r="S366" i="35"/>
  <c r="AD366" i="35" s="1"/>
  <c r="AB366" i="35"/>
  <c r="Z366" i="35"/>
  <c r="AA366" i="35" s="1"/>
  <c r="S367" i="35"/>
  <c r="AD367" i="35" s="1"/>
  <c r="AB367" i="35"/>
  <c r="Z367" i="35"/>
  <c r="AA367" i="35" s="1"/>
  <c r="S368" i="35"/>
  <c r="AD368" i="35" s="1"/>
  <c r="AB368" i="35"/>
  <c r="Z368" i="35"/>
  <c r="AA368" i="35" s="1"/>
  <c r="S369" i="35"/>
  <c r="AD369" i="35" s="1"/>
  <c r="AB369" i="35"/>
  <c r="Z369" i="35"/>
  <c r="AA369" i="35" s="1"/>
  <c r="S370" i="35"/>
  <c r="AD370" i="35" s="1"/>
  <c r="AB370" i="35"/>
  <c r="Z370" i="35"/>
  <c r="AA370" i="35" s="1"/>
  <c r="S371" i="35"/>
  <c r="AD371" i="35" s="1"/>
  <c r="AB371" i="35"/>
  <c r="Z371" i="35"/>
  <c r="AA371" i="35" s="1"/>
  <c r="S372" i="35"/>
  <c r="AD372" i="35" s="1"/>
  <c r="AB372" i="35"/>
  <c r="Z372" i="35"/>
  <c r="AA372" i="35" s="1"/>
  <c r="S373" i="35"/>
  <c r="AD373" i="35" s="1"/>
  <c r="AB373" i="35"/>
  <c r="Z373" i="35"/>
  <c r="AA373" i="35" s="1"/>
  <c r="S374" i="35"/>
  <c r="AD374" i="35" s="1"/>
  <c r="AB374" i="35"/>
  <c r="Z374" i="35"/>
  <c r="AA374" i="35" s="1"/>
  <c r="S375" i="35"/>
  <c r="AD375" i="35" s="1"/>
  <c r="AB375" i="35"/>
  <c r="Z375" i="35"/>
  <c r="AA375" i="35" s="1"/>
  <c r="S376" i="35"/>
  <c r="AD376" i="35" s="1"/>
  <c r="AB376" i="35"/>
  <c r="Z376" i="35"/>
  <c r="AA376" i="35" s="1"/>
  <c r="S377" i="35"/>
  <c r="AD377" i="35" s="1"/>
  <c r="AB377" i="35"/>
  <c r="Z377" i="35"/>
  <c r="AA377" i="35" s="1"/>
  <c r="S378" i="35"/>
  <c r="AD378" i="35" s="1"/>
  <c r="AB378" i="35"/>
  <c r="Z378" i="35"/>
  <c r="AA378" i="35" s="1"/>
  <c r="S379" i="35"/>
  <c r="AD379" i="35" s="1"/>
  <c r="AB379" i="35"/>
  <c r="Z379" i="35"/>
  <c r="AA379" i="35" s="1"/>
  <c r="S380" i="35"/>
  <c r="AD380" i="35" s="1"/>
  <c r="AB380" i="35"/>
  <c r="Z380" i="35"/>
  <c r="AA380" i="35" s="1"/>
  <c r="S381" i="35"/>
  <c r="AD381" i="35" s="1"/>
  <c r="AB381" i="35"/>
  <c r="Z381" i="35"/>
  <c r="AA381" i="35" s="1"/>
  <c r="S382" i="35"/>
  <c r="AD382" i="35" s="1"/>
  <c r="AB382" i="35"/>
  <c r="Z382" i="35"/>
  <c r="AA382" i="35" s="1"/>
  <c r="S383" i="35"/>
  <c r="AD383" i="35" s="1"/>
  <c r="AB383" i="35"/>
  <c r="Z383" i="35"/>
  <c r="AA383" i="35" s="1"/>
  <c r="S384" i="35"/>
  <c r="AD384" i="35" s="1"/>
  <c r="AB384" i="35"/>
  <c r="Z384" i="35"/>
  <c r="AA384" i="35" s="1"/>
  <c r="S385" i="35"/>
  <c r="AD385" i="35" s="1"/>
  <c r="AB385" i="35"/>
  <c r="Z385" i="35"/>
  <c r="AA385" i="35" s="1"/>
  <c r="S386" i="35"/>
  <c r="AD386" i="35" s="1"/>
  <c r="AB386" i="35"/>
  <c r="Z386" i="35"/>
  <c r="AA386" i="35" s="1"/>
  <c r="S387" i="35"/>
  <c r="AD387" i="35" s="1"/>
  <c r="AB387" i="35"/>
  <c r="Z387" i="35"/>
  <c r="AA387" i="35" s="1"/>
  <c r="S388" i="35"/>
  <c r="AD388" i="35" s="1"/>
  <c r="AB388" i="35"/>
  <c r="Z388" i="35"/>
  <c r="AA388" i="35" s="1"/>
  <c r="S389" i="35"/>
  <c r="AD389" i="35" s="1"/>
  <c r="AB389" i="35"/>
  <c r="Z389" i="35"/>
  <c r="AA389" i="35" s="1"/>
  <c r="S390" i="35"/>
  <c r="AD390" i="35" s="1"/>
  <c r="AB390" i="35"/>
  <c r="Z390" i="35"/>
  <c r="AA390" i="35" s="1"/>
  <c r="S391" i="35"/>
  <c r="AD391" i="35" s="1"/>
  <c r="AB391" i="35"/>
  <c r="Z391" i="35"/>
  <c r="AA391" i="35" s="1"/>
  <c r="S392" i="35"/>
  <c r="AD392" i="35" s="1"/>
  <c r="AB392" i="35"/>
  <c r="Z392" i="35"/>
  <c r="AA392" i="35" s="1"/>
  <c r="S393" i="35"/>
  <c r="AD393" i="35" s="1"/>
  <c r="AB393" i="35"/>
  <c r="Z393" i="35"/>
  <c r="AA393" i="35" s="1"/>
  <c r="S394" i="35"/>
  <c r="AD394" i="35" s="1"/>
  <c r="AB394" i="35"/>
  <c r="Z394" i="35"/>
  <c r="AA394" i="35" s="1"/>
  <c r="S395" i="35"/>
  <c r="AD395" i="35" s="1"/>
  <c r="AB395" i="35"/>
  <c r="Z395" i="35"/>
  <c r="AA395" i="35" s="1"/>
  <c r="S396" i="35"/>
  <c r="AD396" i="35" s="1"/>
  <c r="AB396" i="35"/>
  <c r="Z396" i="35"/>
  <c r="AA396" i="35" s="1"/>
  <c r="S397" i="35"/>
  <c r="AD397" i="35" s="1"/>
  <c r="AB397" i="35"/>
  <c r="Z397" i="35"/>
  <c r="AA397" i="35" s="1"/>
  <c r="S398" i="35"/>
  <c r="AD398" i="35" s="1"/>
  <c r="AB398" i="35"/>
  <c r="Z398" i="35"/>
  <c r="AA398" i="35" s="1"/>
  <c r="S399" i="35"/>
  <c r="AD399" i="35" s="1"/>
  <c r="AB399" i="35"/>
  <c r="Z399" i="35"/>
  <c r="AA399" i="35" s="1"/>
  <c r="S400" i="35"/>
  <c r="AD400" i="35" s="1"/>
  <c r="AB400" i="35"/>
  <c r="Z400" i="35"/>
  <c r="AA400" i="35" s="1"/>
  <c r="S401" i="35"/>
  <c r="AD401" i="35" s="1"/>
  <c r="AB401" i="35"/>
  <c r="Z401" i="35"/>
  <c r="AA401" i="35" s="1"/>
  <c r="S402" i="35"/>
  <c r="AD402" i="35" s="1"/>
  <c r="AB402" i="35"/>
  <c r="Z402" i="35"/>
  <c r="AA402" i="35" s="1"/>
  <c r="S403" i="35"/>
  <c r="AD403" i="35" s="1"/>
  <c r="AB403" i="35"/>
  <c r="Z403" i="35"/>
  <c r="AA403" i="35" s="1"/>
  <c r="S404" i="35"/>
  <c r="AD404" i="35" s="1"/>
  <c r="AB404" i="35"/>
  <c r="Z404" i="35"/>
  <c r="AA404" i="35" s="1"/>
  <c r="S405" i="35"/>
  <c r="AD405" i="35" s="1"/>
  <c r="AB405" i="35"/>
  <c r="Z405" i="35"/>
  <c r="AA405" i="35" s="1"/>
  <c r="S406" i="35"/>
  <c r="AD406" i="35" s="1"/>
  <c r="AB406" i="35"/>
  <c r="Z406" i="35"/>
  <c r="AA406" i="35" s="1"/>
  <c r="S407" i="35"/>
  <c r="AD407" i="35" s="1"/>
  <c r="AB407" i="35"/>
  <c r="Z407" i="35"/>
  <c r="AA407" i="35" s="1"/>
  <c r="S408" i="35"/>
  <c r="AD408" i="35" s="1"/>
  <c r="AB408" i="35"/>
  <c r="Z408" i="35"/>
  <c r="AA408" i="35" s="1"/>
  <c r="S409" i="35"/>
  <c r="AD409" i="35" s="1"/>
  <c r="AB409" i="35"/>
  <c r="Z409" i="35"/>
  <c r="AA409" i="35" s="1"/>
  <c r="S410" i="35"/>
  <c r="AD410" i="35" s="1"/>
  <c r="AB410" i="35"/>
  <c r="Z410" i="35"/>
  <c r="AA410" i="35" s="1"/>
  <c r="S411" i="35"/>
  <c r="AD411" i="35" s="1"/>
  <c r="AB411" i="35"/>
  <c r="Z411" i="35"/>
  <c r="AA411" i="35" s="1"/>
  <c r="S412" i="35"/>
  <c r="AD412" i="35" s="1"/>
  <c r="AB412" i="35"/>
  <c r="Z412" i="35"/>
  <c r="AA412" i="35" s="1"/>
  <c r="S413" i="35"/>
  <c r="AD413" i="35" s="1"/>
  <c r="AB413" i="35"/>
  <c r="Z413" i="35"/>
  <c r="AA413" i="35" s="1"/>
  <c r="S414" i="35"/>
  <c r="AD414" i="35" s="1"/>
  <c r="AB414" i="35"/>
  <c r="Z414" i="35"/>
  <c r="AA414" i="35" s="1"/>
  <c r="S415" i="35"/>
  <c r="AD415" i="35" s="1"/>
  <c r="AB415" i="35"/>
  <c r="Z415" i="35"/>
  <c r="AA415" i="35" s="1"/>
  <c r="S416" i="35"/>
  <c r="AD416" i="35" s="1"/>
  <c r="AB416" i="35"/>
  <c r="Z416" i="35"/>
  <c r="AA416" i="35" s="1"/>
  <c r="S417" i="35"/>
  <c r="AD417" i="35" s="1"/>
  <c r="AB417" i="35"/>
  <c r="Z417" i="35"/>
  <c r="AA417" i="35" s="1"/>
  <c r="S418" i="35"/>
  <c r="AD418" i="35" s="1"/>
  <c r="AB418" i="35"/>
  <c r="Z418" i="35"/>
  <c r="AA418" i="35" s="1"/>
  <c r="S419" i="35"/>
  <c r="AD419" i="35" s="1"/>
  <c r="AB419" i="35"/>
  <c r="Z419" i="35"/>
  <c r="AA419" i="35" s="1"/>
  <c r="S420" i="35"/>
  <c r="AD420" i="35" s="1"/>
  <c r="AB420" i="35"/>
  <c r="Z420" i="35"/>
  <c r="AA420" i="35" s="1"/>
  <c r="S421" i="35"/>
  <c r="AD421" i="35" s="1"/>
  <c r="AB421" i="35"/>
  <c r="Z421" i="35"/>
  <c r="AA421" i="35" s="1"/>
  <c r="S422" i="35"/>
  <c r="AD422" i="35" s="1"/>
  <c r="AB422" i="35"/>
  <c r="Z422" i="35"/>
  <c r="AA422" i="35" s="1"/>
  <c r="S423" i="35"/>
  <c r="AD423" i="35" s="1"/>
  <c r="AB423" i="35"/>
  <c r="Z423" i="35"/>
  <c r="AA423" i="35" s="1"/>
  <c r="S424" i="35"/>
  <c r="AD424" i="35" s="1"/>
  <c r="AB424" i="35"/>
  <c r="Z424" i="35"/>
  <c r="AA424" i="35" s="1"/>
  <c r="S425" i="35"/>
  <c r="AD425" i="35" s="1"/>
  <c r="AB425" i="35"/>
  <c r="Z425" i="35"/>
  <c r="AA425" i="35" s="1"/>
  <c r="S426" i="35"/>
  <c r="AD426" i="35" s="1"/>
  <c r="AB426" i="35"/>
  <c r="Z426" i="35"/>
  <c r="AA426" i="35" s="1"/>
  <c r="S427" i="35"/>
  <c r="AD427" i="35" s="1"/>
  <c r="AB427" i="35"/>
  <c r="Z427" i="35"/>
  <c r="AA427" i="35" s="1"/>
  <c r="S428" i="35"/>
  <c r="AD428" i="35" s="1"/>
  <c r="AB428" i="35"/>
  <c r="Z428" i="35"/>
  <c r="AA428" i="35" s="1"/>
  <c r="S429" i="35"/>
  <c r="AD429" i="35" s="1"/>
  <c r="AB429" i="35"/>
  <c r="Z429" i="35"/>
  <c r="AA429" i="35" s="1"/>
  <c r="S430" i="35"/>
  <c r="AD430" i="35" s="1"/>
  <c r="AB430" i="35"/>
  <c r="Z430" i="35"/>
  <c r="AA430" i="35" s="1"/>
  <c r="S431" i="35"/>
  <c r="AD431" i="35" s="1"/>
  <c r="AB431" i="35"/>
  <c r="Z431" i="35"/>
  <c r="AA431" i="35" s="1"/>
  <c r="S432" i="35"/>
  <c r="AD432" i="35" s="1"/>
  <c r="AB432" i="35"/>
  <c r="Z432" i="35"/>
  <c r="AA432" i="35" s="1"/>
  <c r="S433" i="35"/>
  <c r="AD433" i="35" s="1"/>
  <c r="AB433" i="35"/>
  <c r="Z433" i="35"/>
  <c r="AA433" i="35" s="1"/>
  <c r="S434" i="35"/>
  <c r="AD434" i="35" s="1"/>
  <c r="AB434" i="35"/>
  <c r="Z434" i="35"/>
  <c r="AA434" i="35" s="1"/>
  <c r="S435" i="35"/>
  <c r="AD435" i="35" s="1"/>
  <c r="AB435" i="35"/>
  <c r="Z435" i="35"/>
  <c r="AA435" i="35" s="1"/>
  <c r="S436" i="35"/>
  <c r="AD436" i="35" s="1"/>
  <c r="AB436" i="35"/>
  <c r="Z436" i="35"/>
  <c r="AA436" i="35" s="1"/>
  <c r="S437" i="35"/>
  <c r="AD437" i="35" s="1"/>
  <c r="AB437" i="35"/>
  <c r="Z437" i="35"/>
  <c r="AA437" i="35" s="1"/>
  <c r="S438" i="35"/>
  <c r="AD438" i="35" s="1"/>
  <c r="AB438" i="35"/>
  <c r="Z438" i="35"/>
  <c r="AA438" i="35" s="1"/>
  <c r="S439" i="35"/>
  <c r="AD439" i="35" s="1"/>
  <c r="AB439" i="35"/>
  <c r="Z439" i="35"/>
  <c r="AA439" i="35" s="1"/>
  <c r="S440" i="35"/>
  <c r="AD440" i="35" s="1"/>
  <c r="AB440" i="35"/>
  <c r="Z440" i="35"/>
  <c r="AA440" i="35" s="1"/>
  <c r="S441" i="35"/>
  <c r="AD441" i="35" s="1"/>
  <c r="AB441" i="35"/>
  <c r="Z441" i="35"/>
  <c r="AA441" i="35" s="1"/>
  <c r="S442" i="35"/>
  <c r="AD442" i="35" s="1"/>
  <c r="AB442" i="35"/>
  <c r="Z442" i="35"/>
  <c r="AA442" i="35" s="1"/>
  <c r="S443" i="35"/>
  <c r="AD443" i="35" s="1"/>
  <c r="AB443" i="35"/>
  <c r="Z443" i="35"/>
  <c r="AA443" i="35" s="1"/>
  <c r="S444" i="35"/>
  <c r="AD444" i="35" s="1"/>
  <c r="AB444" i="35"/>
  <c r="Z444" i="35"/>
  <c r="AA444" i="35" s="1"/>
  <c r="S445" i="35"/>
  <c r="AD445" i="35" s="1"/>
  <c r="AB445" i="35"/>
  <c r="Z445" i="35"/>
  <c r="AA445" i="35" s="1"/>
  <c r="S446" i="35"/>
  <c r="AD446" i="35" s="1"/>
  <c r="AB446" i="35"/>
  <c r="Z446" i="35"/>
  <c r="AA446" i="35" s="1"/>
  <c r="S447" i="35"/>
  <c r="AD447" i="35" s="1"/>
  <c r="AB447" i="35"/>
  <c r="Z447" i="35"/>
  <c r="AA447" i="35" s="1"/>
  <c r="S448" i="35"/>
  <c r="AD448" i="35" s="1"/>
  <c r="AB448" i="35"/>
  <c r="Z448" i="35"/>
  <c r="AA448" i="35" s="1"/>
  <c r="S449" i="35"/>
  <c r="AD449" i="35" s="1"/>
  <c r="AB449" i="35"/>
  <c r="Z449" i="35"/>
  <c r="AA449" i="35" s="1"/>
  <c r="S450" i="35"/>
  <c r="AD450" i="35" s="1"/>
  <c r="AB450" i="35"/>
  <c r="Z450" i="35"/>
  <c r="AA450" i="35" s="1"/>
  <c r="S451" i="35"/>
  <c r="AD451" i="35" s="1"/>
  <c r="AB451" i="35"/>
  <c r="Z451" i="35"/>
  <c r="AA451" i="35" s="1"/>
  <c r="S452" i="35"/>
  <c r="AD452" i="35" s="1"/>
  <c r="AB452" i="35"/>
  <c r="Z452" i="35"/>
  <c r="AA452" i="35" s="1"/>
  <c r="S453" i="35"/>
  <c r="AD453" i="35" s="1"/>
  <c r="AB453" i="35"/>
  <c r="Z453" i="35"/>
  <c r="AA453" i="35" s="1"/>
  <c r="S454" i="35"/>
  <c r="AD454" i="35" s="1"/>
  <c r="AB454" i="35"/>
  <c r="Z454" i="35"/>
  <c r="AA454" i="35" s="1"/>
  <c r="S455" i="35"/>
  <c r="AD455" i="35" s="1"/>
  <c r="AB455" i="35"/>
  <c r="Z455" i="35"/>
  <c r="AA455" i="35" s="1"/>
  <c r="S456" i="35"/>
  <c r="AD456" i="35" s="1"/>
  <c r="AB456" i="35"/>
  <c r="Z456" i="35"/>
  <c r="AA456" i="35" s="1"/>
  <c r="S457" i="35"/>
  <c r="AD457" i="35" s="1"/>
  <c r="AB457" i="35"/>
  <c r="Z457" i="35"/>
  <c r="AA457" i="35" s="1"/>
  <c r="S458" i="35"/>
  <c r="AD458" i="35" s="1"/>
  <c r="AB458" i="35"/>
  <c r="Z458" i="35"/>
  <c r="AA458" i="35" s="1"/>
  <c r="S459" i="35"/>
  <c r="AD459" i="35" s="1"/>
  <c r="AB459" i="35"/>
  <c r="Z459" i="35"/>
  <c r="AA459" i="35" s="1"/>
  <c r="S460" i="35"/>
  <c r="AD460" i="35" s="1"/>
  <c r="AB460" i="35"/>
  <c r="Z460" i="35"/>
  <c r="AA460" i="35" s="1"/>
  <c r="S461" i="35"/>
  <c r="AD461" i="35" s="1"/>
  <c r="AB461" i="35"/>
  <c r="Z461" i="35"/>
  <c r="AA461" i="35" s="1"/>
  <c r="S462" i="35"/>
  <c r="AD462" i="35" s="1"/>
  <c r="AB462" i="35"/>
  <c r="Z462" i="35"/>
  <c r="AA462" i="35" s="1"/>
  <c r="S463" i="35"/>
  <c r="AD463" i="35" s="1"/>
  <c r="AB463" i="35"/>
  <c r="Z463" i="35"/>
  <c r="AA463" i="35" s="1"/>
  <c r="S464" i="35"/>
  <c r="AD464" i="35" s="1"/>
  <c r="AB464" i="35"/>
  <c r="Z464" i="35"/>
  <c r="AA464" i="35" s="1"/>
  <c r="S465" i="35"/>
  <c r="AD465" i="35" s="1"/>
  <c r="AB465" i="35"/>
  <c r="Z465" i="35"/>
  <c r="AA465" i="35" s="1"/>
  <c r="S466" i="35"/>
  <c r="AD466" i="35" s="1"/>
  <c r="AB466" i="35"/>
  <c r="Z466" i="35"/>
  <c r="AA466" i="35" s="1"/>
  <c r="S467" i="35"/>
  <c r="AD467" i="35" s="1"/>
  <c r="AB467" i="35"/>
  <c r="Z467" i="35"/>
  <c r="AA467" i="35" s="1"/>
  <c r="S468" i="35"/>
  <c r="AD468" i="35" s="1"/>
  <c r="AB468" i="35"/>
  <c r="Z468" i="35"/>
  <c r="AA468" i="35" s="1"/>
  <c r="S469" i="35"/>
  <c r="AD469" i="35" s="1"/>
  <c r="AB469" i="35"/>
  <c r="Z469" i="35"/>
  <c r="AA469" i="35" s="1"/>
  <c r="S470" i="35"/>
  <c r="AD470" i="35" s="1"/>
  <c r="AB470" i="35"/>
  <c r="Z470" i="35"/>
  <c r="AA470" i="35" s="1"/>
  <c r="S471" i="35"/>
  <c r="AD471" i="35" s="1"/>
  <c r="AB471" i="35"/>
  <c r="Z471" i="35"/>
  <c r="AA471" i="35" s="1"/>
  <c r="S472" i="35"/>
  <c r="AD472" i="35" s="1"/>
  <c r="AB472" i="35"/>
  <c r="Z472" i="35"/>
  <c r="AA472" i="35" s="1"/>
  <c r="S473" i="35"/>
  <c r="AD473" i="35" s="1"/>
  <c r="AB473" i="35"/>
  <c r="Z473" i="35"/>
  <c r="AA473" i="35" s="1"/>
  <c r="S474" i="35"/>
  <c r="AD474" i="35" s="1"/>
  <c r="AB474" i="35"/>
  <c r="Z474" i="35"/>
  <c r="AA474" i="35" s="1"/>
  <c r="S475" i="35"/>
  <c r="AD475" i="35" s="1"/>
  <c r="AB475" i="35"/>
  <c r="Z475" i="35"/>
  <c r="AA475" i="35" s="1"/>
  <c r="S476" i="35"/>
  <c r="AD476" i="35" s="1"/>
  <c r="AB476" i="35"/>
  <c r="Z476" i="35"/>
  <c r="AA476" i="35" s="1"/>
  <c r="S477" i="35"/>
  <c r="AD477" i="35" s="1"/>
  <c r="AB477" i="35"/>
  <c r="Z477" i="35"/>
  <c r="AA477" i="35" s="1"/>
  <c r="S478" i="35"/>
  <c r="AD478" i="35" s="1"/>
  <c r="AB478" i="35"/>
  <c r="Z478" i="35"/>
  <c r="AA478" i="35" s="1"/>
  <c r="S479" i="35"/>
  <c r="AD479" i="35" s="1"/>
  <c r="AB479" i="35"/>
  <c r="Z479" i="35"/>
  <c r="AA479" i="35" s="1"/>
  <c r="S480" i="35"/>
  <c r="AD480" i="35" s="1"/>
  <c r="AB480" i="35"/>
  <c r="Z480" i="35"/>
  <c r="AA480" i="35" s="1"/>
  <c r="S481" i="35"/>
  <c r="AD481" i="35" s="1"/>
  <c r="AB481" i="35"/>
  <c r="Z481" i="35"/>
  <c r="AA481" i="35" s="1"/>
  <c r="S482" i="35"/>
  <c r="AD482" i="35" s="1"/>
  <c r="AB482" i="35"/>
  <c r="Z482" i="35"/>
  <c r="AA482" i="35" s="1"/>
  <c r="S483" i="35"/>
  <c r="AD483" i="35" s="1"/>
  <c r="AB483" i="35"/>
  <c r="Z483" i="35"/>
  <c r="AA483" i="35" s="1"/>
  <c r="S484" i="35"/>
  <c r="AD484" i="35" s="1"/>
  <c r="AB484" i="35"/>
  <c r="Z484" i="35"/>
  <c r="AA484" i="35" s="1"/>
  <c r="S485" i="35"/>
  <c r="AD485" i="35" s="1"/>
  <c r="AB485" i="35"/>
  <c r="Z485" i="35"/>
  <c r="AA485" i="35" s="1"/>
  <c r="S486" i="35"/>
  <c r="AD486" i="35" s="1"/>
  <c r="AB486" i="35"/>
  <c r="Z486" i="35"/>
  <c r="AA486" i="35" s="1"/>
  <c r="S487" i="35"/>
  <c r="AD487" i="35" s="1"/>
  <c r="AB487" i="35"/>
  <c r="Z487" i="35"/>
  <c r="AA487" i="35" s="1"/>
  <c r="S488" i="35"/>
  <c r="AD488" i="35" s="1"/>
  <c r="AB488" i="35"/>
  <c r="Z488" i="35"/>
  <c r="AA488" i="35" s="1"/>
  <c r="S489" i="35"/>
  <c r="AD489" i="35" s="1"/>
  <c r="AB489" i="35"/>
  <c r="Z489" i="35"/>
  <c r="AA489" i="35" s="1"/>
  <c r="S490" i="35"/>
  <c r="AD490" i="35" s="1"/>
  <c r="AB490" i="35"/>
  <c r="Z490" i="35"/>
  <c r="AA490" i="35" s="1"/>
  <c r="S491" i="35"/>
  <c r="AD491" i="35" s="1"/>
  <c r="AB491" i="35"/>
  <c r="Z491" i="35"/>
  <c r="AA491" i="35" s="1"/>
  <c r="S492" i="35"/>
  <c r="AD492" i="35" s="1"/>
  <c r="AB492" i="35"/>
  <c r="Z492" i="35"/>
  <c r="AA492" i="35" s="1"/>
  <c r="S493" i="35"/>
  <c r="AD493" i="35" s="1"/>
  <c r="AB493" i="35"/>
  <c r="Z493" i="35"/>
  <c r="AA493" i="35" s="1"/>
  <c r="S494" i="35"/>
  <c r="AD494" i="35" s="1"/>
  <c r="AB494" i="35"/>
  <c r="Z494" i="35"/>
  <c r="AA494" i="35" s="1"/>
  <c r="S495" i="35"/>
  <c r="AD495" i="35" s="1"/>
  <c r="AB495" i="35"/>
  <c r="Z495" i="35"/>
  <c r="AA495" i="35" s="1"/>
  <c r="S496" i="35"/>
  <c r="AD496" i="35" s="1"/>
  <c r="AB496" i="35"/>
  <c r="Z496" i="35"/>
  <c r="AA496" i="35" s="1"/>
  <c r="S497" i="35"/>
  <c r="AD497" i="35" s="1"/>
  <c r="AB497" i="35"/>
  <c r="Z497" i="35"/>
  <c r="AA497" i="35" s="1"/>
  <c r="S498" i="35"/>
  <c r="AD498" i="35" s="1"/>
  <c r="AB498" i="35"/>
  <c r="Z498" i="35"/>
  <c r="AA498" i="35" s="1"/>
  <c r="S499" i="35"/>
  <c r="AD499" i="35" s="1"/>
  <c r="AB499" i="35"/>
  <c r="Z499" i="35"/>
  <c r="AA499" i="35" s="1"/>
  <c r="S500" i="35"/>
  <c r="AD500" i="35" s="1"/>
  <c r="AB500" i="35"/>
  <c r="Z500" i="35"/>
  <c r="AA500" i="35" s="1"/>
  <c r="Z2" i="35"/>
  <c r="AA2" i="35" s="1"/>
  <c r="AC2" i="35" s="1"/>
  <c r="Q2" i="35"/>
  <c r="J7" i="16"/>
  <c r="K7" i="16" s="1"/>
  <c r="I7" i="16"/>
  <c r="J6" i="16"/>
  <c r="K6" i="16" s="1"/>
  <c r="I6" i="16"/>
  <c r="J4" i="16"/>
  <c r="K4" i="16" s="1"/>
  <c r="I4" i="16"/>
  <c r="K3" i="35"/>
  <c r="L3" i="35" s="1"/>
  <c r="AK3" i="35" s="1"/>
  <c r="Q3" i="35"/>
  <c r="K4" i="35"/>
  <c r="L4" i="35" s="1"/>
  <c r="Q4" i="35"/>
  <c r="K5" i="35"/>
  <c r="L5" i="35" s="1"/>
  <c r="Q5" i="35"/>
  <c r="K6" i="35"/>
  <c r="L6" i="35" s="1"/>
  <c r="Q6" i="35"/>
  <c r="K7" i="35"/>
  <c r="L7" i="35" s="1"/>
  <c r="Q7" i="35"/>
  <c r="K8" i="35"/>
  <c r="L8" i="35" s="1"/>
  <c r="Q8" i="35"/>
  <c r="K9" i="35"/>
  <c r="L9" i="35" s="1"/>
  <c r="AK9" i="35" s="1"/>
  <c r="Q9" i="35"/>
  <c r="K10" i="35"/>
  <c r="L10" i="35" s="1"/>
  <c r="Q10" i="35"/>
  <c r="K11" i="35"/>
  <c r="L11" i="35" s="1"/>
  <c r="Q11" i="35"/>
  <c r="K12" i="35"/>
  <c r="L12" i="35" s="1"/>
  <c r="Q12" i="35"/>
  <c r="K13" i="35"/>
  <c r="L13" i="35" s="1"/>
  <c r="Q13" i="35"/>
  <c r="K14" i="35"/>
  <c r="L14" i="35" s="1"/>
  <c r="Q14" i="35"/>
  <c r="K15" i="35"/>
  <c r="L15" i="35" s="1"/>
  <c r="Q15" i="35"/>
  <c r="K16" i="35"/>
  <c r="L16" i="35" s="1"/>
  <c r="Q16" i="35"/>
  <c r="K17" i="35"/>
  <c r="L17" i="35" s="1"/>
  <c r="Q17" i="35"/>
  <c r="K18" i="35"/>
  <c r="L18" i="35" s="1"/>
  <c r="Q18" i="35"/>
  <c r="K19" i="35"/>
  <c r="L19" i="35" s="1"/>
  <c r="Q19" i="35"/>
  <c r="K20" i="35"/>
  <c r="L20" i="35" s="1"/>
  <c r="Q20" i="35"/>
  <c r="K21" i="35"/>
  <c r="L21" i="35" s="1"/>
  <c r="Q21" i="35"/>
  <c r="K22" i="35"/>
  <c r="L22" i="35" s="1"/>
  <c r="Q22" i="35"/>
  <c r="K23" i="35"/>
  <c r="L23" i="35" s="1"/>
  <c r="Q23" i="35"/>
  <c r="K24" i="35"/>
  <c r="L24" i="35" s="1"/>
  <c r="Q24" i="35"/>
  <c r="K25" i="35"/>
  <c r="L25" i="35" s="1"/>
  <c r="Q25" i="35"/>
  <c r="K26" i="35"/>
  <c r="L26" i="35" s="1"/>
  <c r="Q26" i="35"/>
  <c r="K27" i="35"/>
  <c r="L27" i="35" s="1"/>
  <c r="Q27" i="35"/>
  <c r="K28" i="35"/>
  <c r="L28" i="35" s="1"/>
  <c r="Q28" i="35"/>
  <c r="K29" i="35"/>
  <c r="L29" i="35" s="1"/>
  <c r="Q29" i="35"/>
  <c r="K30" i="35"/>
  <c r="L30" i="35" s="1"/>
  <c r="Q30" i="35"/>
  <c r="K31" i="35"/>
  <c r="L31" i="35" s="1"/>
  <c r="Q31" i="35"/>
  <c r="K32" i="35"/>
  <c r="L32" i="35" s="1"/>
  <c r="Q32" i="35"/>
  <c r="K33" i="35"/>
  <c r="L33" i="35" s="1"/>
  <c r="Q33" i="35"/>
  <c r="K34" i="35"/>
  <c r="L34" i="35" s="1"/>
  <c r="Q34" i="35"/>
  <c r="K35" i="35"/>
  <c r="L35" i="35" s="1"/>
  <c r="Q35" i="35"/>
  <c r="K36" i="35"/>
  <c r="L36" i="35" s="1"/>
  <c r="Q36" i="35"/>
  <c r="K37" i="35"/>
  <c r="L37" i="35" s="1"/>
  <c r="Q37" i="35"/>
  <c r="K38" i="35"/>
  <c r="L38" i="35" s="1"/>
  <c r="Q38" i="35"/>
  <c r="K39" i="35"/>
  <c r="L39" i="35" s="1"/>
  <c r="Q39" i="35"/>
  <c r="K40" i="35"/>
  <c r="L40" i="35" s="1"/>
  <c r="Q40" i="35"/>
  <c r="K41" i="35"/>
  <c r="L41" i="35" s="1"/>
  <c r="Q41" i="35"/>
  <c r="K42" i="35"/>
  <c r="L42" i="35" s="1"/>
  <c r="Q42" i="35"/>
  <c r="K43" i="35"/>
  <c r="L43" i="35" s="1"/>
  <c r="Q43" i="35"/>
  <c r="K44" i="35"/>
  <c r="L44" i="35" s="1"/>
  <c r="Q44" i="35"/>
  <c r="K45" i="35"/>
  <c r="L45" i="35" s="1"/>
  <c r="Q45" i="35"/>
  <c r="K46" i="35"/>
  <c r="L46" i="35" s="1"/>
  <c r="Q46" i="35"/>
  <c r="K47" i="35"/>
  <c r="L47" i="35" s="1"/>
  <c r="Q47" i="35"/>
  <c r="K48" i="35"/>
  <c r="L48" i="35" s="1"/>
  <c r="Q48" i="35"/>
  <c r="K49" i="35"/>
  <c r="L49" i="35" s="1"/>
  <c r="Q49" i="35"/>
  <c r="K50" i="35"/>
  <c r="L50" i="35" s="1"/>
  <c r="Q50" i="35"/>
  <c r="K51" i="35"/>
  <c r="L51" i="35" s="1"/>
  <c r="Q51" i="35"/>
  <c r="K52" i="35"/>
  <c r="L52" i="35" s="1"/>
  <c r="Q52" i="35"/>
  <c r="K53" i="35"/>
  <c r="L53" i="35" s="1"/>
  <c r="Q53" i="35"/>
  <c r="K54" i="35"/>
  <c r="L54" i="35" s="1"/>
  <c r="Q54" i="35"/>
  <c r="K55" i="35"/>
  <c r="L55" i="35" s="1"/>
  <c r="Q55" i="35"/>
  <c r="K56" i="35"/>
  <c r="L56" i="35" s="1"/>
  <c r="Q56" i="35"/>
  <c r="K57" i="35"/>
  <c r="L57" i="35" s="1"/>
  <c r="Q57" i="35"/>
  <c r="K58" i="35"/>
  <c r="L58" i="35" s="1"/>
  <c r="Q58" i="35"/>
  <c r="K59" i="35"/>
  <c r="L59" i="35" s="1"/>
  <c r="Q59" i="35"/>
  <c r="K60" i="35"/>
  <c r="L60" i="35" s="1"/>
  <c r="Q60" i="35"/>
  <c r="K61" i="35"/>
  <c r="L61" i="35" s="1"/>
  <c r="Q61" i="35"/>
  <c r="K62" i="35"/>
  <c r="L62" i="35" s="1"/>
  <c r="Q62" i="35"/>
  <c r="K63" i="35"/>
  <c r="L63" i="35" s="1"/>
  <c r="Q63" i="35"/>
  <c r="K64" i="35"/>
  <c r="L64" i="35" s="1"/>
  <c r="Q64" i="35"/>
  <c r="K65" i="35"/>
  <c r="L65" i="35" s="1"/>
  <c r="Q65" i="35"/>
  <c r="K66" i="35"/>
  <c r="L66" i="35" s="1"/>
  <c r="Q66" i="35"/>
  <c r="K67" i="35"/>
  <c r="L67" i="35" s="1"/>
  <c r="Q67" i="35"/>
  <c r="K68" i="35"/>
  <c r="L68" i="35" s="1"/>
  <c r="Q68" i="35"/>
  <c r="K69" i="35"/>
  <c r="L69" i="35" s="1"/>
  <c r="Q69" i="35"/>
  <c r="K70" i="35"/>
  <c r="L70" i="35" s="1"/>
  <c r="Q70" i="35"/>
  <c r="K71" i="35"/>
  <c r="L71" i="35" s="1"/>
  <c r="Q71" i="35"/>
  <c r="K72" i="35"/>
  <c r="L72" i="35" s="1"/>
  <c r="Q72" i="35"/>
  <c r="K73" i="35"/>
  <c r="L73" i="35" s="1"/>
  <c r="Q73" i="35"/>
  <c r="K74" i="35"/>
  <c r="L74" i="35" s="1"/>
  <c r="Q74" i="35"/>
  <c r="K75" i="35"/>
  <c r="L75" i="35" s="1"/>
  <c r="Q75" i="35"/>
  <c r="K76" i="35"/>
  <c r="L76" i="35" s="1"/>
  <c r="Q76" i="35"/>
  <c r="K77" i="35"/>
  <c r="L77" i="35" s="1"/>
  <c r="Q77" i="35"/>
  <c r="K78" i="35"/>
  <c r="L78" i="35" s="1"/>
  <c r="Q78" i="35"/>
  <c r="K79" i="35"/>
  <c r="L79" i="35" s="1"/>
  <c r="Q79" i="35"/>
  <c r="K80" i="35"/>
  <c r="L80" i="35" s="1"/>
  <c r="Q80" i="35"/>
  <c r="K81" i="35"/>
  <c r="L81" i="35" s="1"/>
  <c r="Q81" i="35"/>
  <c r="K82" i="35"/>
  <c r="L82" i="35" s="1"/>
  <c r="Q82" i="35"/>
  <c r="K83" i="35"/>
  <c r="L83" i="35" s="1"/>
  <c r="Q83" i="35"/>
  <c r="K84" i="35"/>
  <c r="L84" i="35" s="1"/>
  <c r="Q84" i="35"/>
  <c r="K85" i="35"/>
  <c r="L85" i="35" s="1"/>
  <c r="Q85" i="35"/>
  <c r="K86" i="35"/>
  <c r="L86" i="35" s="1"/>
  <c r="Q86" i="35"/>
  <c r="K87" i="35"/>
  <c r="L87" i="35" s="1"/>
  <c r="Q87" i="35"/>
  <c r="K88" i="35"/>
  <c r="L88" i="35" s="1"/>
  <c r="Q88" i="35"/>
  <c r="K89" i="35"/>
  <c r="L89" i="35" s="1"/>
  <c r="Q89" i="35"/>
  <c r="K90" i="35"/>
  <c r="L90" i="35" s="1"/>
  <c r="Q90" i="35"/>
  <c r="K91" i="35"/>
  <c r="L91" i="35" s="1"/>
  <c r="Q91" i="35"/>
  <c r="K92" i="35"/>
  <c r="L92" i="35" s="1"/>
  <c r="Q92" i="35"/>
  <c r="K93" i="35"/>
  <c r="L93" i="35" s="1"/>
  <c r="Q93" i="35"/>
  <c r="K94" i="35"/>
  <c r="L94" i="35" s="1"/>
  <c r="Q94" i="35"/>
  <c r="K95" i="35"/>
  <c r="L95" i="35" s="1"/>
  <c r="Q95" i="35"/>
  <c r="K96" i="35"/>
  <c r="L96" i="35" s="1"/>
  <c r="Q96" i="35"/>
  <c r="K97" i="35"/>
  <c r="L97" i="35" s="1"/>
  <c r="Q97" i="35"/>
  <c r="K98" i="35"/>
  <c r="L98" i="35" s="1"/>
  <c r="Q98" i="35"/>
  <c r="K99" i="35"/>
  <c r="L99" i="35" s="1"/>
  <c r="Q99" i="35"/>
  <c r="K100" i="35"/>
  <c r="L100" i="35" s="1"/>
  <c r="Q100" i="35"/>
  <c r="K101" i="35"/>
  <c r="L101" i="35" s="1"/>
  <c r="Q101" i="35"/>
  <c r="K102" i="35"/>
  <c r="L102" i="35" s="1"/>
  <c r="Q102" i="35"/>
  <c r="K103" i="35"/>
  <c r="L103" i="35" s="1"/>
  <c r="Q103" i="35"/>
  <c r="K104" i="35"/>
  <c r="L104" i="35" s="1"/>
  <c r="Q104" i="35"/>
  <c r="K105" i="35"/>
  <c r="L105" i="35" s="1"/>
  <c r="Q105" i="35"/>
  <c r="K106" i="35"/>
  <c r="L106" i="35" s="1"/>
  <c r="Q106" i="35"/>
  <c r="K107" i="35"/>
  <c r="L107" i="35" s="1"/>
  <c r="Q107" i="35"/>
  <c r="K108" i="35"/>
  <c r="L108" i="35" s="1"/>
  <c r="Q108" i="35"/>
  <c r="K109" i="35"/>
  <c r="L109" i="35" s="1"/>
  <c r="Q109" i="35"/>
  <c r="K110" i="35"/>
  <c r="L110" i="35" s="1"/>
  <c r="Q110" i="35"/>
  <c r="K111" i="35"/>
  <c r="L111" i="35" s="1"/>
  <c r="Q111" i="35"/>
  <c r="K112" i="35"/>
  <c r="L112" i="35" s="1"/>
  <c r="Q112" i="35"/>
  <c r="K113" i="35"/>
  <c r="L113" i="35" s="1"/>
  <c r="Q113" i="35"/>
  <c r="K114" i="35"/>
  <c r="L114" i="35" s="1"/>
  <c r="Q114" i="35"/>
  <c r="K115" i="35"/>
  <c r="L115" i="35" s="1"/>
  <c r="Q115" i="35"/>
  <c r="K116" i="35"/>
  <c r="L116" i="35" s="1"/>
  <c r="Q116" i="35"/>
  <c r="K117" i="35"/>
  <c r="L117" i="35" s="1"/>
  <c r="Q117" i="35"/>
  <c r="K118" i="35"/>
  <c r="L118" i="35" s="1"/>
  <c r="Q118" i="35"/>
  <c r="K119" i="35"/>
  <c r="L119" i="35" s="1"/>
  <c r="Q119" i="35"/>
  <c r="K120" i="35"/>
  <c r="L120" i="35" s="1"/>
  <c r="Q120" i="35"/>
  <c r="K121" i="35"/>
  <c r="L121" i="35" s="1"/>
  <c r="Q121" i="35"/>
  <c r="K122" i="35"/>
  <c r="L122" i="35" s="1"/>
  <c r="Q122" i="35"/>
  <c r="K123" i="35"/>
  <c r="L123" i="35" s="1"/>
  <c r="Q123" i="35"/>
  <c r="K124" i="35"/>
  <c r="L124" i="35" s="1"/>
  <c r="Q124" i="35"/>
  <c r="K125" i="35"/>
  <c r="L125" i="35" s="1"/>
  <c r="Q125" i="35"/>
  <c r="K126" i="35"/>
  <c r="L126" i="35" s="1"/>
  <c r="Q126" i="35"/>
  <c r="K127" i="35"/>
  <c r="L127" i="35" s="1"/>
  <c r="Q127" i="35"/>
  <c r="K128" i="35"/>
  <c r="L128" i="35" s="1"/>
  <c r="Q128" i="35"/>
  <c r="K129" i="35"/>
  <c r="L129" i="35" s="1"/>
  <c r="Q129" i="35"/>
  <c r="K130" i="35"/>
  <c r="L130" i="35" s="1"/>
  <c r="Q130" i="35"/>
  <c r="K131" i="35"/>
  <c r="L131" i="35" s="1"/>
  <c r="Q131" i="35"/>
  <c r="K132" i="35"/>
  <c r="L132" i="35" s="1"/>
  <c r="Q132" i="35"/>
  <c r="K133" i="35"/>
  <c r="L133" i="35" s="1"/>
  <c r="Q133" i="35"/>
  <c r="K134" i="35"/>
  <c r="L134" i="35" s="1"/>
  <c r="Q134" i="35"/>
  <c r="K135" i="35"/>
  <c r="L135" i="35" s="1"/>
  <c r="Q135" i="35"/>
  <c r="K136" i="35"/>
  <c r="L136" i="35" s="1"/>
  <c r="Q136" i="35"/>
  <c r="K137" i="35"/>
  <c r="L137" i="35" s="1"/>
  <c r="Q137" i="35"/>
  <c r="K138" i="35"/>
  <c r="L138" i="35" s="1"/>
  <c r="Q138" i="35"/>
  <c r="K139" i="35"/>
  <c r="L139" i="35" s="1"/>
  <c r="Q139" i="35"/>
  <c r="K140" i="35"/>
  <c r="L140" i="35" s="1"/>
  <c r="Q140" i="35"/>
  <c r="K141" i="35"/>
  <c r="L141" i="35" s="1"/>
  <c r="Q141" i="35"/>
  <c r="K142" i="35"/>
  <c r="L142" i="35" s="1"/>
  <c r="Q142" i="35"/>
  <c r="K143" i="35"/>
  <c r="L143" i="35" s="1"/>
  <c r="Q143" i="35"/>
  <c r="K144" i="35"/>
  <c r="L144" i="35" s="1"/>
  <c r="Q144" i="35"/>
  <c r="K145" i="35"/>
  <c r="L145" i="35" s="1"/>
  <c r="Q145" i="35"/>
  <c r="K146" i="35"/>
  <c r="L146" i="35" s="1"/>
  <c r="Q146" i="35"/>
  <c r="K147" i="35"/>
  <c r="L147" i="35" s="1"/>
  <c r="Q147" i="35"/>
  <c r="K148" i="35"/>
  <c r="L148" i="35" s="1"/>
  <c r="Q148" i="35"/>
  <c r="K149" i="35"/>
  <c r="L149" i="35" s="1"/>
  <c r="Q149" i="35"/>
  <c r="K150" i="35"/>
  <c r="L150" i="35" s="1"/>
  <c r="Q150" i="35"/>
  <c r="K151" i="35"/>
  <c r="L151" i="35" s="1"/>
  <c r="Q151" i="35"/>
  <c r="K152" i="35"/>
  <c r="L152" i="35" s="1"/>
  <c r="Q152" i="35"/>
  <c r="K153" i="35"/>
  <c r="L153" i="35" s="1"/>
  <c r="Q153" i="35"/>
  <c r="K154" i="35"/>
  <c r="L154" i="35" s="1"/>
  <c r="Q154" i="35"/>
  <c r="K155" i="35"/>
  <c r="L155" i="35" s="1"/>
  <c r="Q155" i="35"/>
  <c r="K156" i="35"/>
  <c r="L156" i="35" s="1"/>
  <c r="Q156" i="35"/>
  <c r="K157" i="35"/>
  <c r="L157" i="35" s="1"/>
  <c r="Q157" i="35"/>
  <c r="K158" i="35"/>
  <c r="L158" i="35" s="1"/>
  <c r="Q158" i="35"/>
  <c r="K159" i="35"/>
  <c r="L159" i="35" s="1"/>
  <c r="Q159" i="35"/>
  <c r="K160" i="35"/>
  <c r="L160" i="35" s="1"/>
  <c r="Q160" i="35"/>
  <c r="K161" i="35"/>
  <c r="L161" i="35" s="1"/>
  <c r="Q161" i="35"/>
  <c r="K162" i="35"/>
  <c r="L162" i="35" s="1"/>
  <c r="Q162" i="35"/>
  <c r="K163" i="35"/>
  <c r="L163" i="35" s="1"/>
  <c r="Q163" i="35"/>
  <c r="K164" i="35"/>
  <c r="L164" i="35" s="1"/>
  <c r="Q164" i="35"/>
  <c r="K165" i="35"/>
  <c r="L165" i="35" s="1"/>
  <c r="Q165" i="35"/>
  <c r="K166" i="35"/>
  <c r="L166" i="35" s="1"/>
  <c r="Q166" i="35"/>
  <c r="K167" i="35"/>
  <c r="L167" i="35" s="1"/>
  <c r="Q167" i="35"/>
  <c r="K168" i="35"/>
  <c r="L168" i="35" s="1"/>
  <c r="Q168" i="35"/>
  <c r="K169" i="35"/>
  <c r="L169" i="35" s="1"/>
  <c r="Q169" i="35"/>
  <c r="K170" i="35"/>
  <c r="L170" i="35" s="1"/>
  <c r="Q170" i="35"/>
  <c r="K171" i="35"/>
  <c r="L171" i="35" s="1"/>
  <c r="Q171" i="35"/>
  <c r="K172" i="35"/>
  <c r="L172" i="35" s="1"/>
  <c r="Q172" i="35"/>
  <c r="K173" i="35"/>
  <c r="L173" i="35" s="1"/>
  <c r="Q173" i="35"/>
  <c r="K174" i="35"/>
  <c r="L174" i="35" s="1"/>
  <c r="Q174" i="35"/>
  <c r="K175" i="35"/>
  <c r="L175" i="35" s="1"/>
  <c r="Q175" i="35"/>
  <c r="K176" i="35"/>
  <c r="L176" i="35" s="1"/>
  <c r="Q176" i="35"/>
  <c r="K177" i="35"/>
  <c r="L177" i="35" s="1"/>
  <c r="Q177" i="35"/>
  <c r="K178" i="35"/>
  <c r="L178" i="35" s="1"/>
  <c r="Q178" i="35"/>
  <c r="K179" i="35"/>
  <c r="L179" i="35" s="1"/>
  <c r="Q179" i="35"/>
  <c r="K180" i="35"/>
  <c r="L180" i="35" s="1"/>
  <c r="Q180" i="35"/>
  <c r="K181" i="35"/>
  <c r="L181" i="35" s="1"/>
  <c r="Q181" i="35"/>
  <c r="K182" i="35"/>
  <c r="L182" i="35" s="1"/>
  <c r="Q182" i="35"/>
  <c r="K183" i="35"/>
  <c r="L183" i="35" s="1"/>
  <c r="Q183" i="35"/>
  <c r="K184" i="35"/>
  <c r="L184" i="35" s="1"/>
  <c r="Q184" i="35"/>
  <c r="K185" i="35"/>
  <c r="L185" i="35" s="1"/>
  <c r="Q185" i="35"/>
  <c r="K186" i="35"/>
  <c r="L186" i="35" s="1"/>
  <c r="Q186" i="35"/>
  <c r="K187" i="35"/>
  <c r="L187" i="35" s="1"/>
  <c r="Q187" i="35"/>
  <c r="K188" i="35"/>
  <c r="L188" i="35" s="1"/>
  <c r="Q188" i="35"/>
  <c r="K189" i="35"/>
  <c r="L189" i="35" s="1"/>
  <c r="Q189" i="35"/>
  <c r="K190" i="35"/>
  <c r="L190" i="35" s="1"/>
  <c r="Q190" i="35"/>
  <c r="K191" i="35"/>
  <c r="L191" i="35" s="1"/>
  <c r="Q191" i="35"/>
  <c r="K192" i="35"/>
  <c r="L192" i="35" s="1"/>
  <c r="Q192" i="35"/>
  <c r="K193" i="35"/>
  <c r="L193" i="35" s="1"/>
  <c r="Q193" i="35"/>
  <c r="K194" i="35"/>
  <c r="L194" i="35" s="1"/>
  <c r="Q194" i="35"/>
  <c r="K195" i="35"/>
  <c r="L195" i="35" s="1"/>
  <c r="Q195" i="35"/>
  <c r="K196" i="35"/>
  <c r="L196" i="35" s="1"/>
  <c r="Q196" i="35"/>
  <c r="K197" i="35"/>
  <c r="L197" i="35" s="1"/>
  <c r="Q197" i="35"/>
  <c r="K198" i="35"/>
  <c r="L198" i="35" s="1"/>
  <c r="Q198" i="35"/>
  <c r="K199" i="35"/>
  <c r="L199" i="35" s="1"/>
  <c r="Q199" i="35"/>
  <c r="K200" i="35"/>
  <c r="L200" i="35" s="1"/>
  <c r="Q200" i="35"/>
  <c r="K201" i="35"/>
  <c r="L201" i="35" s="1"/>
  <c r="Q201" i="35"/>
  <c r="K202" i="35"/>
  <c r="L202" i="35" s="1"/>
  <c r="Q202" i="35"/>
  <c r="K203" i="35"/>
  <c r="L203" i="35" s="1"/>
  <c r="Q203" i="35"/>
  <c r="K204" i="35"/>
  <c r="L204" i="35" s="1"/>
  <c r="Q204" i="35"/>
  <c r="K205" i="35"/>
  <c r="L205" i="35" s="1"/>
  <c r="Q205" i="35"/>
  <c r="K206" i="35"/>
  <c r="L206" i="35" s="1"/>
  <c r="Q206" i="35"/>
  <c r="K207" i="35"/>
  <c r="L207" i="35" s="1"/>
  <c r="Q207" i="35"/>
  <c r="K208" i="35"/>
  <c r="L208" i="35" s="1"/>
  <c r="Q208" i="35"/>
  <c r="K209" i="35"/>
  <c r="L209" i="35" s="1"/>
  <c r="Q209" i="35"/>
  <c r="K210" i="35"/>
  <c r="L210" i="35" s="1"/>
  <c r="Q210" i="35"/>
  <c r="K211" i="35"/>
  <c r="L211" i="35" s="1"/>
  <c r="Q211" i="35"/>
  <c r="K212" i="35"/>
  <c r="L212" i="35" s="1"/>
  <c r="Q212" i="35"/>
  <c r="K213" i="35"/>
  <c r="L213" i="35" s="1"/>
  <c r="Q213" i="35"/>
  <c r="K214" i="35"/>
  <c r="L214" i="35" s="1"/>
  <c r="Q214" i="35"/>
  <c r="K215" i="35"/>
  <c r="L215" i="35" s="1"/>
  <c r="Q215" i="35"/>
  <c r="K216" i="35"/>
  <c r="L216" i="35" s="1"/>
  <c r="Q216" i="35"/>
  <c r="K217" i="35"/>
  <c r="L217" i="35" s="1"/>
  <c r="Q217" i="35"/>
  <c r="K218" i="35"/>
  <c r="L218" i="35" s="1"/>
  <c r="Q218" i="35"/>
  <c r="K219" i="35"/>
  <c r="L219" i="35" s="1"/>
  <c r="Q219" i="35"/>
  <c r="K220" i="35"/>
  <c r="L220" i="35" s="1"/>
  <c r="Q220" i="35"/>
  <c r="K221" i="35"/>
  <c r="L221" i="35" s="1"/>
  <c r="Q221" i="35"/>
  <c r="K222" i="35"/>
  <c r="L222" i="35" s="1"/>
  <c r="Q222" i="35"/>
  <c r="K223" i="35"/>
  <c r="L223" i="35" s="1"/>
  <c r="Q223" i="35"/>
  <c r="K224" i="35"/>
  <c r="L224" i="35" s="1"/>
  <c r="Q224" i="35"/>
  <c r="K225" i="35"/>
  <c r="L225" i="35" s="1"/>
  <c r="Q225" i="35"/>
  <c r="K226" i="35"/>
  <c r="L226" i="35" s="1"/>
  <c r="Q226" i="35"/>
  <c r="K227" i="35"/>
  <c r="L227" i="35" s="1"/>
  <c r="Q227" i="35"/>
  <c r="K228" i="35"/>
  <c r="L228" i="35" s="1"/>
  <c r="Q228" i="35"/>
  <c r="K229" i="35"/>
  <c r="L229" i="35" s="1"/>
  <c r="Q229" i="35"/>
  <c r="K230" i="35"/>
  <c r="L230" i="35" s="1"/>
  <c r="Q230" i="35"/>
  <c r="K231" i="35"/>
  <c r="L231" i="35" s="1"/>
  <c r="Q231" i="35"/>
  <c r="K232" i="35"/>
  <c r="L232" i="35" s="1"/>
  <c r="Q232" i="35"/>
  <c r="K233" i="35"/>
  <c r="L233" i="35" s="1"/>
  <c r="Q233" i="35"/>
  <c r="K234" i="35"/>
  <c r="L234" i="35" s="1"/>
  <c r="Q234" i="35"/>
  <c r="K235" i="35"/>
  <c r="L235" i="35" s="1"/>
  <c r="Q235" i="35"/>
  <c r="K236" i="35"/>
  <c r="L236" i="35" s="1"/>
  <c r="Q236" i="35"/>
  <c r="K237" i="35"/>
  <c r="L237" i="35" s="1"/>
  <c r="Q237" i="35"/>
  <c r="K238" i="35"/>
  <c r="L238" i="35" s="1"/>
  <c r="Q238" i="35"/>
  <c r="K239" i="35"/>
  <c r="L239" i="35" s="1"/>
  <c r="Q239" i="35"/>
  <c r="K240" i="35"/>
  <c r="L240" i="35" s="1"/>
  <c r="Q240" i="35"/>
  <c r="K241" i="35"/>
  <c r="L241" i="35" s="1"/>
  <c r="Q241" i="35"/>
  <c r="K242" i="35"/>
  <c r="L242" i="35" s="1"/>
  <c r="Q242" i="35"/>
  <c r="K243" i="35"/>
  <c r="L243" i="35" s="1"/>
  <c r="Q243" i="35"/>
  <c r="K244" i="35"/>
  <c r="L244" i="35" s="1"/>
  <c r="Q244" i="35"/>
  <c r="K245" i="35"/>
  <c r="L245" i="35" s="1"/>
  <c r="Q245" i="35"/>
  <c r="K246" i="35"/>
  <c r="L246" i="35" s="1"/>
  <c r="Q246" i="35"/>
  <c r="K247" i="35"/>
  <c r="L247" i="35" s="1"/>
  <c r="Q247" i="35"/>
  <c r="K248" i="35"/>
  <c r="L248" i="35" s="1"/>
  <c r="Q248" i="35"/>
  <c r="K249" i="35"/>
  <c r="L249" i="35" s="1"/>
  <c r="Q249" i="35"/>
  <c r="K250" i="35"/>
  <c r="L250" i="35" s="1"/>
  <c r="Q250" i="35"/>
  <c r="K251" i="35"/>
  <c r="L251" i="35" s="1"/>
  <c r="Q251" i="35"/>
  <c r="K252" i="35"/>
  <c r="L252" i="35" s="1"/>
  <c r="Q252" i="35"/>
  <c r="K253" i="35"/>
  <c r="L253" i="35" s="1"/>
  <c r="Q253" i="35"/>
  <c r="K254" i="35"/>
  <c r="L254" i="35" s="1"/>
  <c r="Q254" i="35"/>
  <c r="K255" i="35"/>
  <c r="L255" i="35" s="1"/>
  <c r="Q255" i="35"/>
  <c r="K256" i="35"/>
  <c r="L256" i="35" s="1"/>
  <c r="Q256" i="35"/>
  <c r="K257" i="35"/>
  <c r="L257" i="35" s="1"/>
  <c r="Q257" i="35"/>
  <c r="K258" i="35"/>
  <c r="L258" i="35" s="1"/>
  <c r="Q258" i="35"/>
  <c r="K259" i="35"/>
  <c r="L259" i="35" s="1"/>
  <c r="Q259" i="35"/>
  <c r="K260" i="35"/>
  <c r="L260" i="35" s="1"/>
  <c r="Q260" i="35"/>
  <c r="K261" i="35"/>
  <c r="L261" i="35" s="1"/>
  <c r="Q261" i="35"/>
  <c r="K262" i="35"/>
  <c r="L262" i="35" s="1"/>
  <c r="Q262" i="35"/>
  <c r="K263" i="35"/>
  <c r="L263" i="35" s="1"/>
  <c r="Q263" i="35"/>
  <c r="K264" i="35"/>
  <c r="L264" i="35" s="1"/>
  <c r="Q264" i="35"/>
  <c r="K265" i="35"/>
  <c r="L265" i="35" s="1"/>
  <c r="Q265" i="35"/>
  <c r="K266" i="35"/>
  <c r="L266" i="35" s="1"/>
  <c r="Q266" i="35"/>
  <c r="K267" i="35"/>
  <c r="L267" i="35" s="1"/>
  <c r="Q267" i="35"/>
  <c r="K268" i="35"/>
  <c r="L268" i="35" s="1"/>
  <c r="Q268" i="35"/>
  <c r="K269" i="35"/>
  <c r="L269" i="35" s="1"/>
  <c r="Q269" i="35"/>
  <c r="K270" i="35"/>
  <c r="L270" i="35" s="1"/>
  <c r="Q270" i="35"/>
  <c r="K271" i="35"/>
  <c r="L271" i="35" s="1"/>
  <c r="Q271" i="35"/>
  <c r="K272" i="35"/>
  <c r="L272" i="35" s="1"/>
  <c r="Q272" i="35"/>
  <c r="K273" i="35"/>
  <c r="L273" i="35" s="1"/>
  <c r="Q273" i="35"/>
  <c r="K274" i="35"/>
  <c r="L274" i="35" s="1"/>
  <c r="Q274" i="35"/>
  <c r="K275" i="35"/>
  <c r="L275" i="35" s="1"/>
  <c r="Q275" i="35"/>
  <c r="K276" i="35"/>
  <c r="L276" i="35" s="1"/>
  <c r="Q276" i="35"/>
  <c r="K277" i="35"/>
  <c r="L277" i="35" s="1"/>
  <c r="Q277" i="35"/>
  <c r="K278" i="35"/>
  <c r="L278" i="35" s="1"/>
  <c r="Q278" i="35"/>
  <c r="K279" i="35"/>
  <c r="L279" i="35" s="1"/>
  <c r="Q279" i="35"/>
  <c r="K280" i="35"/>
  <c r="L280" i="35" s="1"/>
  <c r="Q280" i="35"/>
  <c r="K281" i="35"/>
  <c r="L281" i="35" s="1"/>
  <c r="Q281" i="35"/>
  <c r="K282" i="35"/>
  <c r="L282" i="35" s="1"/>
  <c r="Q282" i="35"/>
  <c r="K283" i="35"/>
  <c r="L283" i="35" s="1"/>
  <c r="Q283" i="35"/>
  <c r="K284" i="35"/>
  <c r="L284" i="35" s="1"/>
  <c r="Q284" i="35"/>
  <c r="K285" i="35"/>
  <c r="L285" i="35" s="1"/>
  <c r="Q285" i="35"/>
  <c r="K286" i="35"/>
  <c r="L286" i="35" s="1"/>
  <c r="Q286" i="35"/>
  <c r="K287" i="35"/>
  <c r="L287" i="35" s="1"/>
  <c r="Q287" i="35"/>
  <c r="K288" i="35"/>
  <c r="L288" i="35" s="1"/>
  <c r="Q288" i="35"/>
  <c r="K289" i="35"/>
  <c r="L289" i="35" s="1"/>
  <c r="Q289" i="35"/>
  <c r="K290" i="35"/>
  <c r="L290" i="35" s="1"/>
  <c r="Q290" i="35"/>
  <c r="K291" i="35"/>
  <c r="L291" i="35" s="1"/>
  <c r="Q291" i="35"/>
  <c r="K292" i="35"/>
  <c r="L292" i="35" s="1"/>
  <c r="Q292" i="35"/>
  <c r="K293" i="35"/>
  <c r="L293" i="35" s="1"/>
  <c r="Q293" i="35"/>
  <c r="K294" i="35"/>
  <c r="L294" i="35" s="1"/>
  <c r="Q294" i="35"/>
  <c r="K295" i="35"/>
  <c r="L295" i="35" s="1"/>
  <c r="Q295" i="35"/>
  <c r="K296" i="35"/>
  <c r="L296" i="35" s="1"/>
  <c r="Q296" i="35"/>
  <c r="K297" i="35"/>
  <c r="L297" i="35" s="1"/>
  <c r="Q297" i="35"/>
  <c r="K298" i="35"/>
  <c r="L298" i="35" s="1"/>
  <c r="Q298" i="35"/>
  <c r="K299" i="35"/>
  <c r="L299" i="35" s="1"/>
  <c r="Q299" i="35"/>
  <c r="K300" i="35"/>
  <c r="L300" i="35" s="1"/>
  <c r="Q300" i="35"/>
  <c r="K301" i="35"/>
  <c r="L301" i="35" s="1"/>
  <c r="Q301" i="35"/>
  <c r="K302" i="35"/>
  <c r="L302" i="35" s="1"/>
  <c r="Q302" i="35"/>
  <c r="K303" i="35"/>
  <c r="L303" i="35" s="1"/>
  <c r="Q303" i="35"/>
  <c r="K304" i="35"/>
  <c r="L304" i="35" s="1"/>
  <c r="Q304" i="35"/>
  <c r="K305" i="35"/>
  <c r="L305" i="35" s="1"/>
  <c r="Q305" i="35"/>
  <c r="K306" i="35"/>
  <c r="L306" i="35" s="1"/>
  <c r="Q306" i="35"/>
  <c r="K307" i="35"/>
  <c r="L307" i="35" s="1"/>
  <c r="Q307" i="35"/>
  <c r="K308" i="35"/>
  <c r="L308" i="35" s="1"/>
  <c r="Q308" i="35"/>
  <c r="K309" i="35"/>
  <c r="L309" i="35" s="1"/>
  <c r="Q309" i="35"/>
  <c r="K310" i="35"/>
  <c r="L310" i="35" s="1"/>
  <c r="Q310" i="35"/>
  <c r="K311" i="35"/>
  <c r="L311" i="35" s="1"/>
  <c r="Q311" i="35"/>
  <c r="K312" i="35"/>
  <c r="L312" i="35" s="1"/>
  <c r="Q312" i="35"/>
  <c r="K313" i="35"/>
  <c r="L313" i="35" s="1"/>
  <c r="Q313" i="35"/>
  <c r="K314" i="35"/>
  <c r="L314" i="35" s="1"/>
  <c r="Q314" i="35"/>
  <c r="K315" i="35"/>
  <c r="L315" i="35" s="1"/>
  <c r="Q315" i="35"/>
  <c r="K316" i="35"/>
  <c r="L316" i="35" s="1"/>
  <c r="Q316" i="35"/>
  <c r="K317" i="35"/>
  <c r="L317" i="35" s="1"/>
  <c r="Q317" i="35"/>
  <c r="K318" i="35"/>
  <c r="L318" i="35" s="1"/>
  <c r="Q318" i="35"/>
  <c r="K319" i="35"/>
  <c r="L319" i="35" s="1"/>
  <c r="Q319" i="35"/>
  <c r="K320" i="35"/>
  <c r="L320" i="35" s="1"/>
  <c r="Q320" i="35"/>
  <c r="K321" i="35"/>
  <c r="L321" i="35" s="1"/>
  <c r="Q321" i="35"/>
  <c r="K322" i="35"/>
  <c r="L322" i="35" s="1"/>
  <c r="Q322" i="35"/>
  <c r="K323" i="35"/>
  <c r="L323" i="35" s="1"/>
  <c r="Q323" i="35"/>
  <c r="K324" i="35"/>
  <c r="L324" i="35" s="1"/>
  <c r="Q324" i="35"/>
  <c r="K325" i="35"/>
  <c r="L325" i="35" s="1"/>
  <c r="Q325" i="35"/>
  <c r="K326" i="35"/>
  <c r="L326" i="35" s="1"/>
  <c r="Q326" i="35"/>
  <c r="K327" i="35"/>
  <c r="L327" i="35" s="1"/>
  <c r="Q327" i="35"/>
  <c r="K328" i="35"/>
  <c r="L328" i="35" s="1"/>
  <c r="Q328" i="35"/>
  <c r="K329" i="35"/>
  <c r="L329" i="35" s="1"/>
  <c r="Q329" i="35"/>
  <c r="K330" i="35"/>
  <c r="L330" i="35" s="1"/>
  <c r="Q330" i="35"/>
  <c r="K331" i="35"/>
  <c r="L331" i="35" s="1"/>
  <c r="Q331" i="35"/>
  <c r="K332" i="35"/>
  <c r="L332" i="35" s="1"/>
  <c r="Q332" i="35"/>
  <c r="K333" i="35"/>
  <c r="L333" i="35" s="1"/>
  <c r="Q333" i="35"/>
  <c r="K334" i="35"/>
  <c r="L334" i="35" s="1"/>
  <c r="Q334" i="35"/>
  <c r="K335" i="35"/>
  <c r="L335" i="35" s="1"/>
  <c r="Q335" i="35"/>
  <c r="K336" i="35"/>
  <c r="L336" i="35" s="1"/>
  <c r="Q336" i="35"/>
  <c r="K337" i="35"/>
  <c r="L337" i="35" s="1"/>
  <c r="Q337" i="35"/>
  <c r="K338" i="35"/>
  <c r="L338" i="35" s="1"/>
  <c r="Q338" i="35"/>
  <c r="K339" i="35"/>
  <c r="L339" i="35" s="1"/>
  <c r="Q339" i="35"/>
  <c r="K340" i="35"/>
  <c r="L340" i="35" s="1"/>
  <c r="Q340" i="35"/>
  <c r="K341" i="35"/>
  <c r="L341" i="35" s="1"/>
  <c r="Q341" i="35"/>
  <c r="K342" i="35"/>
  <c r="L342" i="35" s="1"/>
  <c r="Q342" i="35"/>
  <c r="K343" i="35"/>
  <c r="L343" i="35" s="1"/>
  <c r="Q343" i="35"/>
  <c r="K344" i="35"/>
  <c r="L344" i="35" s="1"/>
  <c r="Q344" i="35"/>
  <c r="K345" i="35"/>
  <c r="L345" i="35" s="1"/>
  <c r="Q345" i="35"/>
  <c r="K346" i="35"/>
  <c r="L346" i="35" s="1"/>
  <c r="Q346" i="35"/>
  <c r="K347" i="35"/>
  <c r="L347" i="35" s="1"/>
  <c r="Q347" i="35"/>
  <c r="K348" i="35"/>
  <c r="L348" i="35" s="1"/>
  <c r="Q348" i="35"/>
  <c r="K349" i="35"/>
  <c r="L349" i="35" s="1"/>
  <c r="Q349" i="35"/>
  <c r="K350" i="35"/>
  <c r="L350" i="35" s="1"/>
  <c r="Q350" i="35"/>
  <c r="K351" i="35"/>
  <c r="L351" i="35" s="1"/>
  <c r="Q351" i="35"/>
  <c r="K352" i="35"/>
  <c r="L352" i="35" s="1"/>
  <c r="Q352" i="35"/>
  <c r="K353" i="35"/>
  <c r="L353" i="35" s="1"/>
  <c r="Q353" i="35"/>
  <c r="K354" i="35"/>
  <c r="L354" i="35" s="1"/>
  <c r="Q354" i="35"/>
  <c r="K355" i="35"/>
  <c r="L355" i="35" s="1"/>
  <c r="Q355" i="35"/>
  <c r="K356" i="35"/>
  <c r="L356" i="35" s="1"/>
  <c r="Q356" i="35"/>
  <c r="K357" i="35"/>
  <c r="L357" i="35" s="1"/>
  <c r="Q357" i="35"/>
  <c r="K358" i="35"/>
  <c r="L358" i="35" s="1"/>
  <c r="Q358" i="35"/>
  <c r="K359" i="35"/>
  <c r="L359" i="35" s="1"/>
  <c r="Q359" i="35"/>
  <c r="K360" i="35"/>
  <c r="L360" i="35" s="1"/>
  <c r="Q360" i="35"/>
  <c r="K361" i="35"/>
  <c r="L361" i="35" s="1"/>
  <c r="Q361" i="35"/>
  <c r="K362" i="35"/>
  <c r="L362" i="35" s="1"/>
  <c r="Q362" i="35"/>
  <c r="K363" i="35"/>
  <c r="L363" i="35" s="1"/>
  <c r="Q363" i="35"/>
  <c r="K364" i="35"/>
  <c r="L364" i="35" s="1"/>
  <c r="Q364" i="35"/>
  <c r="K365" i="35"/>
  <c r="L365" i="35" s="1"/>
  <c r="Q365" i="35"/>
  <c r="K366" i="35"/>
  <c r="L366" i="35" s="1"/>
  <c r="Q366" i="35"/>
  <c r="K367" i="35"/>
  <c r="L367" i="35" s="1"/>
  <c r="Q367" i="35"/>
  <c r="K368" i="35"/>
  <c r="L368" i="35" s="1"/>
  <c r="Q368" i="35"/>
  <c r="K369" i="35"/>
  <c r="L369" i="35" s="1"/>
  <c r="Q369" i="35"/>
  <c r="K370" i="35"/>
  <c r="L370" i="35" s="1"/>
  <c r="Q370" i="35"/>
  <c r="K371" i="35"/>
  <c r="L371" i="35" s="1"/>
  <c r="Q371" i="35"/>
  <c r="K372" i="35"/>
  <c r="L372" i="35" s="1"/>
  <c r="Q372" i="35"/>
  <c r="K373" i="35"/>
  <c r="L373" i="35" s="1"/>
  <c r="Q373" i="35"/>
  <c r="K374" i="35"/>
  <c r="L374" i="35" s="1"/>
  <c r="Q374" i="35"/>
  <c r="K375" i="35"/>
  <c r="L375" i="35" s="1"/>
  <c r="Q375" i="35"/>
  <c r="K376" i="35"/>
  <c r="L376" i="35" s="1"/>
  <c r="Q376" i="35"/>
  <c r="K377" i="35"/>
  <c r="L377" i="35" s="1"/>
  <c r="Q377" i="35"/>
  <c r="K378" i="35"/>
  <c r="L378" i="35" s="1"/>
  <c r="Q378" i="35"/>
  <c r="K379" i="35"/>
  <c r="L379" i="35" s="1"/>
  <c r="Q379" i="35"/>
  <c r="K380" i="35"/>
  <c r="L380" i="35" s="1"/>
  <c r="Q380" i="35"/>
  <c r="K381" i="35"/>
  <c r="L381" i="35" s="1"/>
  <c r="Q381" i="35"/>
  <c r="K382" i="35"/>
  <c r="L382" i="35" s="1"/>
  <c r="Q382" i="35"/>
  <c r="K383" i="35"/>
  <c r="L383" i="35" s="1"/>
  <c r="Q383" i="35"/>
  <c r="K384" i="35"/>
  <c r="L384" i="35" s="1"/>
  <c r="Q384" i="35"/>
  <c r="K385" i="35"/>
  <c r="L385" i="35" s="1"/>
  <c r="Q385" i="35"/>
  <c r="K386" i="35"/>
  <c r="L386" i="35" s="1"/>
  <c r="Q386" i="35"/>
  <c r="K387" i="35"/>
  <c r="L387" i="35" s="1"/>
  <c r="Q387" i="35"/>
  <c r="K388" i="35"/>
  <c r="L388" i="35" s="1"/>
  <c r="Q388" i="35"/>
  <c r="K389" i="35"/>
  <c r="L389" i="35" s="1"/>
  <c r="Q389" i="35"/>
  <c r="K390" i="35"/>
  <c r="L390" i="35" s="1"/>
  <c r="Q390" i="35"/>
  <c r="K391" i="35"/>
  <c r="L391" i="35" s="1"/>
  <c r="Q391" i="35"/>
  <c r="K392" i="35"/>
  <c r="L392" i="35" s="1"/>
  <c r="Q392" i="35"/>
  <c r="K393" i="35"/>
  <c r="L393" i="35" s="1"/>
  <c r="Q393" i="35"/>
  <c r="K394" i="35"/>
  <c r="L394" i="35" s="1"/>
  <c r="Q394" i="35"/>
  <c r="K395" i="35"/>
  <c r="L395" i="35" s="1"/>
  <c r="Q395" i="35"/>
  <c r="K396" i="35"/>
  <c r="L396" i="35" s="1"/>
  <c r="Q396" i="35"/>
  <c r="K397" i="35"/>
  <c r="L397" i="35" s="1"/>
  <c r="Q397" i="35"/>
  <c r="K398" i="35"/>
  <c r="L398" i="35" s="1"/>
  <c r="Q398" i="35"/>
  <c r="K399" i="35"/>
  <c r="L399" i="35" s="1"/>
  <c r="Q399" i="35"/>
  <c r="K400" i="35"/>
  <c r="L400" i="35" s="1"/>
  <c r="Q400" i="35"/>
  <c r="K401" i="35"/>
  <c r="L401" i="35" s="1"/>
  <c r="Q401" i="35"/>
  <c r="K402" i="35"/>
  <c r="L402" i="35" s="1"/>
  <c r="Q402" i="35"/>
  <c r="K403" i="35"/>
  <c r="L403" i="35" s="1"/>
  <c r="Q403" i="35"/>
  <c r="K404" i="35"/>
  <c r="L404" i="35" s="1"/>
  <c r="Q404" i="35"/>
  <c r="K405" i="35"/>
  <c r="L405" i="35" s="1"/>
  <c r="Q405" i="35"/>
  <c r="K406" i="35"/>
  <c r="L406" i="35" s="1"/>
  <c r="Q406" i="35"/>
  <c r="K407" i="35"/>
  <c r="L407" i="35" s="1"/>
  <c r="Q407" i="35"/>
  <c r="K408" i="35"/>
  <c r="L408" i="35" s="1"/>
  <c r="Q408" i="35"/>
  <c r="K409" i="35"/>
  <c r="L409" i="35" s="1"/>
  <c r="Q409" i="35"/>
  <c r="K410" i="35"/>
  <c r="L410" i="35" s="1"/>
  <c r="Q410" i="35"/>
  <c r="K411" i="35"/>
  <c r="L411" i="35" s="1"/>
  <c r="Q411" i="35"/>
  <c r="K412" i="35"/>
  <c r="L412" i="35" s="1"/>
  <c r="Q412" i="35"/>
  <c r="K413" i="35"/>
  <c r="L413" i="35" s="1"/>
  <c r="Q413" i="35"/>
  <c r="K414" i="35"/>
  <c r="L414" i="35" s="1"/>
  <c r="Q414" i="35"/>
  <c r="K415" i="35"/>
  <c r="L415" i="35" s="1"/>
  <c r="Q415" i="35"/>
  <c r="K416" i="35"/>
  <c r="L416" i="35" s="1"/>
  <c r="Q416" i="35"/>
  <c r="K417" i="35"/>
  <c r="L417" i="35" s="1"/>
  <c r="Q417" i="35"/>
  <c r="K418" i="35"/>
  <c r="L418" i="35" s="1"/>
  <c r="Q418" i="35"/>
  <c r="K419" i="35"/>
  <c r="L419" i="35" s="1"/>
  <c r="Q419" i="35"/>
  <c r="K420" i="35"/>
  <c r="L420" i="35" s="1"/>
  <c r="Q420" i="35"/>
  <c r="K421" i="35"/>
  <c r="L421" i="35" s="1"/>
  <c r="Q421" i="35"/>
  <c r="K422" i="35"/>
  <c r="L422" i="35" s="1"/>
  <c r="Q422" i="35"/>
  <c r="K423" i="35"/>
  <c r="L423" i="35" s="1"/>
  <c r="Q423" i="35"/>
  <c r="K424" i="35"/>
  <c r="L424" i="35" s="1"/>
  <c r="Q424" i="35"/>
  <c r="K425" i="35"/>
  <c r="L425" i="35" s="1"/>
  <c r="Q425" i="35"/>
  <c r="K426" i="35"/>
  <c r="L426" i="35" s="1"/>
  <c r="Q426" i="35"/>
  <c r="K427" i="35"/>
  <c r="L427" i="35" s="1"/>
  <c r="Q427" i="35"/>
  <c r="K428" i="35"/>
  <c r="L428" i="35" s="1"/>
  <c r="Q428" i="35"/>
  <c r="K429" i="35"/>
  <c r="L429" i="35" s="1"/>
  <c r="Q429" i="35"/>
  <c r="K430" i="35"/>
  <c r="L430" i="35" s="1"/>
  <c r="Q430" i="35"/>
  <c r="K431" i="35"/>
  <c r="L431" i="35" s="1"/>
  <c r="Q431" i="35"/>
  <c r="K432" i="35"/>
  <c r="L432" i="35" s="1"/>
  <c r="Q432" i="35"/>
  <c r="K433" i="35"/>
  <c r="L433" i="35" s="1"/>
  <c r="Q433" i="35"/>
  <c r="K434" i="35"/>
  <c r="L434" i="35" s="1"/>
  <c r="Q434" i="35"/>
  <c r="K435" i="35"/>
  <c r="L435" i="35" s="1"/>
  <c r="Q435" i="35"/>
  <c r="K436" i="35"/>
  <c r="L436" i="35" s="1"/>
  <c r="Q436" i="35"/>
  <c r="K437" i="35"/>
  <c r="L437" i="35" s="1"/>
  <c r="Q437" i="35"/>
  <c r="K438" i="35"/>
  <c r="L438" i="35" s="1"/>
  <c r="Q438" i="35"/>
  <c r="K439" i="35"/>
  <c r="L439" i="35" s="1"/>
  <c r="Q439" i="35"/>
  <c r="K440" i="35"/>
  <c r="L440" i="35" s="1"/>
  <c r="Q440" i="35"/>
  <c r="K441" i="35"/>
  <c r="L441" i="35" s="1"/>
  <c r="Q441" i="35"/>
  <c r="K442" i="35"/>
  <c r="L442" i="35" s="1"/>
  <c r="Q442" i="35"/>
  <c r="K443" i="35"/>
  <c r="L443" i="35" s="1"/>
  <c r="Q443" i="35"/>
  <c r="K444" i="35"/>
  <c r="L444" i="35" s="1"/>
  <c r="Q444" i="35"/>
  <c r="K445" i="35"/>
  <c r="L445" i="35" s="1"/>
  <c r="Q445" i="35"/>
  <c r="K446" i="35"/>
  <c r="L446" i="35" s="1"/>
  <c r="Q446" i="35"/>
  <c r="K447" i="35"/>
  <c r="L447" i="35" s="1"/>
  <c r="Q447" i="35"/>
  <c r="K448" i="35"/>
  <c r="L448" i="35" s="1"/>
  <c r="Q448" i="35"/>
  <c r="K449" i="35"/>
  <c r="L449" i="35" s="1"/>
  <c r="Q449" i="35"/>
  <c r="K450" i="35"/>
  <c r="L450" i="35" s="1"/>
  <c r="Q450" i="35"/>
  <c r="K451" i="35"/>
  <c r="L451" i="35" s="1"/>
  <c r="Q451" i="35"/>
  <c r="K452" i="35"/>
  <c r="L452" i="35" s="1"/>
  <c r="Q452" i="35"/>
  <c r="K453" i="35"/>
  <c r="L453" i="35" s="1"/>
  <c r="Q453" i="35"/>
  <c r="K454" i="35"/>
  <c r="L454" i="35" s="1"/>
  <c r="Q454" i="35"/>
  <c r="K455" i="35"/>
  <c r="L455" i="35" s="1"/>
  <c r="Q455" i="35"/>
  <c r="K456" i="35"/>
  <c r="L456" i="35" s="1"/>
  <c r="Q456" i="35"/>
  <c r="K457" i="35"/>
  <c r="L457" i="35" s="1"/>
  <c r="Q457" i="35"/>
  <c r="K458" i="35"/>
  <c r="L458" i="35" s="1"/>
  <c r="Q458" i="35"/>
  <c r="K459" i="35"/>
  <c r="L459" i="35" s="1"/>
  <c r="Q459" i="35"/>
  <c r="K460" i="35"/>
  <c r="L460" i="35" s="1"/>
  <c r="Q460" i="35"/>
  <c r="K461" i="35"/>
  <c r="L461" i="35" s="1"/>
  <c r="Q461" i="35"/>
  <c r="K462" i="35"/>
  <c r="L462" i="35" s="1"/>
  <c r="Q462" i="35"/>
  <c r="K463" i="35"/>
  <c r="L463" i="35" s="1"/>
  <c r="Q463" i="35"/>
  <c r="K464" i="35"/>
  <c r="L464" i="35" s="1"/>
  <c r="Q464" i="35"/>
  <c r="K465" i="35"/>
  <c r="L465" i="35" s="1"/>
  <c r="Q465" i="35"/>
  <c r="K466" i="35"/>
  <c r="L466" i="35" s="1"/>
  <c r="Q466" i="35"/>
  <c r="K467" i="35"/>
  <c r="L467" i="35" s="1"/>
  <c r="Q467" i="35"/>
  <c r="K468" i="35"/>
  <c r="L468" i="35" s="1"/>
  <c r="Q468" i="35"/>
  <c r="K469" i="35"/>
  <c r="L469" i="35" s="1"/>
  <c r="Q469" i="35"/>
  <c r="K470" i="35"/>
  <c r="L470" i="35" s="1"/>
  <c r="Q470" i="35"/>
  <c r="K471" i="35"/>
  <c r="L471" i="35" s="1"/>
  <c r="Q471" i="35"/>
  <c r="K472" i="35"/>
  <c r="L472" i="35" s="1"/>
  <c r="Q472" i="35"/>
  <c r="K473" i="35"/>
  <c r="L473" i="35" s="1"/>
  <c r="Q473" i="35"/>
  <c r="K474" i="35"/>
  <c r="L474" i="35" s="1"/>
  <c r="Q474" i="35"/>
  <c r="K475" i="35"/>
  <c r="L475" i="35" s="1"/>
  <c r="Q475" i="35"/>
  <c r="K476" i="35"/>
  <c r="L476" i="35" s="1"/>
  <c r="Q476" i="35"/>
  <c r="K477" i="35"/>
  <c r="L477" i="35" s="1"/>
  <c r="Q477" i="35"/>
  <c r="K478" i="35"/>
  <c r="L478" i="35" s="1"/>
  <c r="Q478" i="35"/>
  <c r="K479" i="35"/>
  <c r="L479" i="35" s="1"/>
  <c r="Q479" i="35"/>
  <c r="K480" i="35"/>
  <c r="L480" i="35" s="1"/>
  <c r="Q480" i="35"/>
  <c r="K481" i="35"/>
  <c r="L481" i="35" s="1"/>
  <c r="Q481" i="35"/>
  <c r="K482" i="35"/>
  <c r="L482" i="35" s="1"/>
  <c r="Q482" i="35"/>
  <c r="K483" i="35"/>
  <c r="L483" i="35" s="1"/>
  <c r="Q483" i="35"/>
  <c r="K484" i="35"/>
  <c r="L484" i="35" s="1"/>
  <c r="Q484" i="35"/>
  <c r="K485" i="35"/>
  <c r="L485" i="35" s="1"/>
  <c r="Q485" i="35"/>
  <c r="K486" i="35"/>
  <c r="L486" i="35" s="1"/>
  <c r="Q486" i="35"/>
  <c r="K487" i="35"/>
  <c r="L487" i="35" s="1"/>
  <c r="Q487" i="35"/>
  <c r="K488" i="35"/>
  <c r="L488" i="35" s="1"/>
  <c r="Q488" i="35"/>
  <c r="K489" i="35"/>
  <c r="L489" i="35" s="1"/>
  <c r="Q489" i="35"/>
  <c r="K490" i="35"/>
  <c r="L490" i="35" s="1"/>
  <c r="Q490" i="35"/>
  <c r="K491" i="35"/>
  <c r="L491" i="35" s="1"/>
  <c r="Q491" i="35"/>
  <c r="K492" i="35"/>
  <c r="L492" i="35" s="1"/>
  <c r="Q492" i="35"/>
  <c r="K493" i="35"/>
  <c r="L493" i="35" s="1"/>
  <c r="Q493" i="35"/>
  <c r="K494" i="35"/>
  <c r="L494" i="35" s="1"/>
  <c r="Q494" i="35"/>
  <c r="K495" i="35"/>
  <c r="L495" i="35" s="1"/>
  <c r="Q495" i="35"/>
  <c r="K496" i="35"/>
  <c r="L496" i="35" s="1"/>
  <c r="Q496" i="35"/>
  <c r="K497" i="35"/>
  <c r="L497" i="35" s="1"/>
  <c r="Q497" i="35"/>
  <c r="K498" i="35"/>
  <c r="L498" i="35" s="1"/>
  <c r="Q498" i="35"/>
  <c r="K499" i="35"/>
  <c r="L499" i="35" s="1"/>
  <c r="Q499" i="35"/>
  <c r="K500" i="35"/>
  <c r="L500" i="35" s="1"/>
  <c r="Q500" i="35"/>
  <c r="K2" i="35"/>
  <c r="L2" i="35" s="1"/>
  <c r="J9" i="40"/>
  <c r="GM5" i="19"/>
  <c r="GN5" i="19"/>
  <c r="GO5" i="19"/>
  <c r="GP5" i="19"/>
  <c r="GQ5" i="19"/>
  <c r="GR5" i="19"/>
  <c r="GS5" i="19"/>
  <c r="GT5" i="19"/>
  <c r="GU5" i="19"/>
  <c r="GV5" i="19"/>
  <c r="GW5" i="19"/>
  <c r="GX5" i="19"/>
  <c r="FV5" i="19"/>
  <c r="FF5" i="19"/>
  <c r="FW5" i="19"/>
  <c r="FX5" i="19"/>
  <c r="FY5" i="19"/>
  <c r="FZ5" i="19"/>
  <c r="GA5" i="19"/>
  <c r="GB5" i="19"/>
  <c r="GC5" i="19"/>
  <c r="GD5" i="19"/>
  <c r="GE5" i="19"/>
  <c r="GF5" i="19"/>
  <c r="GG5" i="19"/>
  <c r="GH5" i="19"/>
  <c r="G30" i="11"/>
  <c r="B11" i="8"/>
  <c r="B10" i="8"/>
  <c r="J3" i="35"/>
  <c r="J4" i="35"/>
  <c r="J5" i="35"/>
  <c r="J6" i="35"/>
  <c r="J7" i="35"/>
  <c r="J8" i="35"/>
  <c r="J9" i="35"/>
  <c r="J10" i="35"/>
  <c r="J11" i="35"/>
  <c r="J12" i="35"/>
  <c r="J13" i="35"/>
  <c r="J14" i="35"/>
  <c r="J15" i="35"/>
  <c r="J16" i="35"/>
  <c r="J17" i="35"/>
  <c r="J18" i="35"/>
  <c r="J19" i="35"/>
  <c r="J20" i="35"/>
  <c r="J21" i="35"/>
  <c r="J22" i="35"/>
  <c r="J23" i="35"/>
  <c r="J24" i="35"/>
  <c r="J25" i="35"/>
  <c r="J26" i="35"/>
  <c r="J27" i="35"/>
  <c r="J28" i="35"/>
  <c r="J29" i="35"/>
  <c r="J30" i="35"/>
  <c r="J31" i="35"/>
  <c r="J32" i="35"/>
  <c r="J33" i="35"/>
  <c r="J34" i="35"/>
  <c r="J35" i="35"/>
  <c r="J36" i="35"/>
  <c r="J37" i="35"/>
  <c r="J38" i="35"/>
  <c r="J39" i="35"/>
  <c r="J40" i="35"/>
  <c r="J41" i="35"/>
  <c r="J42" i="35"/>
  <c r="J43" i="35"/>
  <c r="J44" i="35"/>
  <c r="J45" i="35"/>
  <c r="J46" i="35"/>
  <c r="J47" i="35"/>
  <c r="J48" i="35"/>
  <c r="J49" i="35"/>
  <c r="J50" i="35"/>
  <c r="J51" i="35"/>
  <c r="J52" i="35"/>
  <c r="J53" i="35"/>
  <c r="J54" i="35"/>
  <c r="J55" i="35"/>
  <c r="J56" i="35"/>
  <c r="J57" i="35"/>
  <c r="J58" i="35"/>
  <c r="J59" i="35"/>
  <c r="J60" i="35"/>
  <c r="J61" i="35"/>
  <c r="J62" i="35"/>
  <c r="J63" i="35"/>
  <c r="J64" i="35"/>
  <c r="J65" i="35"/>
  <c r="J66" i="35"/>
  <c r="J67" i="35"/>
  <c r="J68" i="35"/>
  <c r="J69" i="35"/>
  <c r="J70" i="35"/>
  <c r="J71" i="35"/>
  <c r="J72" i="35"/>
  <c r="J73" i="35"/>
  <c r="J74" i="35"/>
  <c r="J75" i="35"/>
  <c r="J76" i="35"/>
  <c r="J77" i="35"/>
  <c r="J78" i="35"/>
  <c r="J79" i="35"/>
  <c r="J80" i="35"/>
  <c r="J81" i="35"/>
  <c r="J82" i="35"/>
  <c r="J83" i="35"/>
  <c r="J84" i="35"/>
  <c r="J85" i="35"/>
  <c r="J86" i="35"/>
  <c r="J87" i="35"/>
  <c r="J88" i="35"/>
  <c r="J89" i="35"/>
  <c r="J90" i="35"/>
  <c r="J91" i="35"/>
  <c r="J92" i="35"/>
  <c r="J93" i="35"/>
  <c r="J94" i="35"/>
  <c r="J95" i="35"/>
  <c r="J96" i="35"/>
  <c r="J97" i="35"/>
  <c r="J98" i="35"/>
  <c r="J99" i="35"/>
  <c r="J100" i="35"/>
  <c r="J101" i="35"/>
  <c r="J102" i="35"/>
  <c r="J103" i="35"/>
  <c r="J104" i="35"/>
  <c r="J105" i="35"/>
  <c r="J106" i="35"/>
  <c r="J107" i="35"/>
  <c r="J108" i="35"/>
  <c r="J109" i="35"/>
  <c r="J110" i="35"/>
  <c r="J111" i="35"/>
  <c r="J112" i="35"/>
  <c r="J113" i="35"/>
  <c r="J114" i="35"/>
  <c r="J115" i="35"/>
  <c r="J116" i="35"/>
  <c r="J117" i="35"/>
  <c r="J118" i="35"/>
  <c r="J119" i="35"/>
  <c r="J120" i="35"/>
  <c r="J121" i="35"/>
  <c r="J122" i="35"/>
  <c r="J123" i="35"/>
  <c r="J124" i="35"/>
  <c r="J125" i="35"/>
  <c r="J126" i="35"/>
  <c r="J127" i="35"/>
  <c r="J128" i="35"/>
  <c r="J129" i="35"/>
  <c r="J130" i="35"/>
  <c r="J131" i="35"/>
  <c r="J132" i="35"/>
  <c r="J133" i="35"/>
  <c r="J134" i="35"/>
  <c r="J135" i="35"/>
  <c r="J136" i="35"/>
  <c r="J137" i="35"/>
  <c r="J138" i="35"/>
  <c r="J139" i="35"/>
  <c r="J140" i="35"/>
  <c r="J141" i="35"/>
  <c r="J142" i="35"/>
  <c r="J143" i="35"/>
  <c r="J144" i="35"/>
  <c r="J145" i="35"/>
  <c r="J146" i="35"/>
  <c r="J147" i="35"/>
  <c r="J148" i="35"/>
  <c r="J149" i="35"/>
  <c r="J150" i="35"/>
  <c r="J151" i="35"/>
  <c r="J152" i="35"/>
  <c r="J153" i="35"/>
  <c r="J154" i="35"/>
  <c r="J155" i="35"/>
  <c r="J156" i="35"/>
  <c r="J157" i="35"/>
  <c r="J158" i="35"/>
  <c r="J159" i="35"/>
  <c r="J160" i="35"/>
  <c r="J161" i="35"/>
  <c r="J162" i="35"/>
  <c r="J163" i="35"/>
  <c r="J164" i="35"/>
  <c r="J165" i="35"/>
  <c r="J166" i="35"/>
  <c r="J167" i="35"/>
  <c r="J168" i="35"/>
  <c r="J169" i="35"/>
  <c r="J170" i="35"/>
  <c r="J171" i="35"/>
  <c r="J172" i="35"/>
  <c r="J173" i="35"/>
  <c r="J174" i="35"/>
  <c r="J175" i="35"/>
  <c r="J176" i="35"/>
  <c r="J177" i="35"/>
  <c r="J178" i="35"/>
  <c r="J179" i="35"/>
  <c r="J180" i="35"/>
  <c r="J181" i="35"/>
  <c r="J182" i="35"/>
  <c r="J183" i="35"/>
  <c r="J184" i="35"/>
  <c r="J185" i="35"/>
  <c r="J186" i="35"/>
  <c r="J187" i="35"/>
  <c r="J188" i="35"/>
  <c r="J189" i="35"/>
  <c r="J190" i="35"/>
  <c r="J191" i="35"/>
  <c r="J192" i="35"/>
  <c r="J193" i="35"/>
  <c r="J194" i="35"/>
  <c r="J195" i="35"/>
  <c r="J196" i="35"/>
  <c r="J197" i="35"/>
  <c r="J198" i="35"/>
  <c r="J199" i="35"/>
  <c r="J200" i="35"/>
  <c r="J201" i="35"/>
  <c r="J202" i="35"/>
  <c r="J203" i="35"/>
  <c r="J204" i="35"/>
  <c r="J205" i="35"/>
  <c r="J206" i="35"/>
  <c r="J207" i="35"/>
  <c r="J208" i="35"/>
  <c r="J209" i="35"/>
  <c r="J210" i="35"/>
  <c r="J211" i="35"/>
  <c r="J212" i="35"/>
  <c r="J213" i="35"/>
  <c r="J214" i="35"/>
  <c r="J215" i="35"/>
  <c r="J216" i="35"/>
  <c r="J217" i="35"/>
  <c r="J218" i="35"/>
  <c r="J219" i="35"/>
  <c r="J220" i="35"/>
  <c r="J221" i="35"/>
  <c r="J222" i="35"/>
  <c r="J223" i="35"/>
  <c r="J224" i="35"/>
  <c r="J225" i="35"/>
  <c r="J226" i="35"/>
  <c r="J227" i="35"/>
  <c r="J228" i="35"/>
  <c r="J229" i="35"/>
  <c r="J230" i="35"/>
  <c r="J231" i="35"/>
  <c r="J232" i="35"/>
  <c r="J233" i="35"/>
  <c r="J234" i="35"/>
  <c r="J235" i="35"/>
  <c r="J236" i="35"/>
  <c r="J237" i="35"/>
  <c r="J238" i="35"/>
  <c r="J239" i="35"/>
  <c r="J240" i="35"/>
  <c r="J241" i="35"/>
  <c r="J242" i="35"/>
  <c r="J243" i="35"/>
  <c r="J244" i="35"/>
  <c r="J245" i="35"/>
  <c r="J246" i="35"/>
  <c r="J247" i="35"/>
  <c r="J248" i="35"/>
  <c r="J249" i="35"/>
  <c r="J250" i="35"/>
  <c r="J251" i="35"/>
  <c r="J252" i="35"/>
  <c r="J253" i="35"/>
  <c r="J254" i="35"/>
  <c r="J255" i="35"/>
  <c r="J256" i="35"/>
  <c r="J257" i="35"/>
  <c r="J258" i="35"/>
  <c r="J259" i="35"/>
  <c r="J260" i="35"/>
  <c r="J261" i="35"/>
  <c r="J262" i="35"/>
  <c r="J263" i="35"/>
  <c r="J264" i="35"/>
  <c r="J265" i="35"/>
  <c r="J266" i="35"/>
  <c r="J267" i="35"/>
  <c r="J268" i="35"/>
  <c r="J269" i="35"/>
  <c r="J270" i="35"/>
  <c r="J271" i="35"/>
  <c r="J272" i="35"/>
  <c r="J273" i="35"/>
  <c r="J274" i="35"/>
  <c r="J275" i="35"/>
  <c r="J276" i="35"/>
  <c r="J277" i="35"/>
  <c r="J278" i="35"/>
  <c r="J279" i="35"/>
  <c r="J280" i="35"/>
  <c r="J281" i="35"/>
  <c r="J282" i="35"/>
  <c r="J283" i="35"/>
  <c r="J284" i="35"/>
  <c r="J285" i="35"/>
  <c r="J286" i="35"/>
  <c r="J287" i="35"/>
  <c r="J288" i="35"/>
  <c r="J289" i="35"/>
  <c r="J290" i="35"/>
  <c r="J291" i="35"/>
  <c r="J292" i="35"/>
  <c r="J293" i="35"/>
  <c r="J294" i="35"/>
  <c r="J295" i="35"/>
  <c r="J296" i="35"/>
  <c r="J297" i="35"/>
  <c r="J298" i="35"/>
  <c r="J299" i="35"/>
  <c r="J300" i="35"/>
  <c r="J301" i="35"/>
  <c r="J302" i="35"/>
  <c r="J303" i="35"/>
  <c r="J304" i="35"/>
  <c r="J305" i="35"/>
  <c r="J306" i="35"/>
  <c r="J307" i="35"/>
  <c r="J308" i="35"/>
  <c r="J309" i="35"/>
  <c r="J310" i="35"/>
  <c r="J311" i="35"/>
  <c r="J312" i="35"/>
  <c r="J313" i="35"/>
  <c r="J314" i="35"/>
  <c r="J315" i="35"/>
  <c r="J316" i="35"/>
  <c r="J317" i="35"/>
  <c r="J318" i="35"/>
  <c r="J319" i="35"/>
  <c r="J320" i="35"/>
  <c r="J321" i="35"/>
  <c r="J322" i="35"/>
  <c r="J323" i="35"/>
  <c r="J324" i="35"/>
  <c r="J325" i="35"/>
  <c r="J326" i="35"/>
  <c r="J327" i="35"/>
  <c r="J328" i="35"/>
  <c r="J329" i="35"/>
  <c r="J330" i="35"/>
  <c r="J331" i="35"/>
  <c r="J332" i="35"/>
  <c r="J333" i="35"/>
  <c r="J334" i="35"/>
  <c r="J335" i="35"/>
  <c r="J336" i="35"/>
  <c r="J337" i="35"/>
  <c r="J338" i="35"/>
  <c r="J339" i="35"/>
  <c r="J340" i="35"/>
  <c r="J341" i="35"/>
  <c r="J342" i="35"/>
  <c r="J343" i="35"/>
  <c r="J344" i="35"/>
  <c r="J345" i="35"/>
  <c r="J346" i="35"/>
  <c r="J347" i="35"/>
  <c r="J348" i="35"/>
  <c r="J349" i="35"/>
  <c r="J350" i="35"/>
  <c r="J351" i="35"/>
  <c r="J352" i="35"/>
  <c r="J353" i="35"/>
  <c r="J354" i="35"/>
  <c r="J355" i="35"/>
  <c r="J356" i="35"/>
  <c r="J357" i="35"/>
  <c r="J358" i="35"/>
  <c r="J359" i="35"/>
  <c r="J360" i="35"/>
  <c r="J361" i="35"/>
  <c r="J362" i="35"/>
  <c r="J363" i="35"/>
  <c r="J364" i="35"/>
  <c r="J365" i="35"/>
  <c r="J366" i="35"/>
  <c r="J367" i="35"/>
  <c r="J368" i="35"/>
  <c r="J369" i="35"/>
  <c r="J370" i="35"/>
  <c r="J371" i="35"/>
  <c r="J372" i="35"/>
  <c r="J373" i="35"/>
  <c r="J374" i="35"/>
  <c r="J375" i="35"/>
  <c r="J376" i="35"/>
  <c r="J377" i="35"/>
  <c r="J378" i="35"/>
  <c r="J379" i="35"/>
  <c r="J380" i="35"/>
  <c r="J381" i="35"/>
  <c r="J382" i="35"/>
  <c r="J383" i="35"/>
  <c r="J384" i="35"/>
  <c r="J385" i="35"/>
  <c r="J386" i="35"/>
  <c r="J387" i="35"/>
  <c r="J388" i="35"/>
  <c r="J389" i="35"/>
  <c r="J390" i="35"/>
  <c r="J391" i="35"/>
  <c r="J392" i="35"/>
  <c r="J393" i="35"/>
  <c r="J394" i="35"/>
  <c r="J395" i="35"/>
  <c r="J396" i="35"/>
  <c r="J397" i="35"/>
  <c r="J398" i="35"/>
  <c r="J399" i="35"/>
  <c r="J400" i="35"/>
  <c r="J401" i="35"/>
  <c r="J402" i="35"/>
  <c r="J403" i="35"/>
  <c r="J404" i="35"/>
  <c r="J405" i="35"/>
  <c r="J406" i="35"/>
  <c r="J407" i="35"/>
  <c r="J408" i="35"/>
  <c r="J409" i="35"/>
  <c r="J410" i="35"/>
  <c r="J411" i="35"/>
  <c r="J412" i="35"/>
  <c r="J413" i="35"/>
  <c r="J414" i="35"/>
  <c r="J415" i="35"/>
  <c r="J416" i="35"/>
  <c r="J417" i="35"/>
  <c r="J418" i="35"/>
  <c r="J419" i="35"/>
  <c r="J420" i="35"/>
  <c r="J421" i="35"/>
  <c r="J422" i="35"/>
  <c r="J423" i="35"/>
  <c r="J424" i="35"/>
  <c r="J425" i="35"/>
  <c r="J426" i="35"/>
  <c r="J427" i="35"/>
  <c r="J428" i="35"/>
  <c r="J429" i="35"/>
  <c r="J430" i="35"/>
  <c r="J431" i="35"/>
  <c r="J432" i="35"/>
  <c r="J433" i="35"/>
  <c r="J434" i="35"/>
  <c r="J435" i="35"/>
  <c r="J436" i="35"/>
  <c r="J437" i="35"/>
  <c r="J438" i="35"/>
  <c r="J439" i="35"/>
  <c r="J440" i="35"/>
  <c r="J441" i="35"/>
  <c r="J442" i="35"/>
  <c r="J443" i="35"/>
  <c r="J444" i="35"/>
  <c r="J445" i="35"/>
  <c r="J446" i="35"/>
  <c r="J447" i="35"/>
  <c r="J448" i="35"/>
  <c r="J449" i="35"/>
  <c r="J450" i="35"/>
  <c r="J451" i="35"/>
  <c r="J452" i="35"/>
  <c r="J453" i="35"/>
  <c r="J454" i="35"/>
  <c r="J455" i="35"/>
  <c r="J456" i="35"/>
  <c r="J457" i="35"/>
  <c r="J458" i="35"/>
  <c r="J459" i="35"/>
  <c r="J460" i="35"/>
  <c r="J461" i="35"/>
  <c r="J462" i="35"/>
  <c r="J463" i="35"/>
  <c r="J464" i="35"/>
  <c r="J465" i="35"/>
  <c r="J466" i="35"/>
  <c r="J467" i="35"/>
  <c r="J468" i="35"/>
  <c r="J469" i="35"/>
  <c r="J470" i="35"/>
  <c r="J471" i="35"/>
  <c r="J472" i="35"/>
  <c r="J473" i="35"/>
  <c r="J474" i="35"/>
  <c r="J475" i="35"/>
  <c r="J476" i="35"/>
  <c r="J477" i="35"/>
  <c r="J478" i="35"/>
  <c r="J479" i="35"/>
  <c r="J480" i="35"/>
  <c r="J481" i="35"/>
  <c r="J482" i="35"/>
  <c r="J483" i="35"/>
  <c r="J484" i="35"/>
  <c r="J485" i="35"/>
  <c r="J486" i="35"/>
  <c r="J487" i="35"/>
  <c r="J488" i="35"/>
  <c r="J489" i="35"/>
  <c r="J490" i="35"/>
  <c r="J491" i="35"/>
  <c r="J492" i="35"/>
  <c r="J493" i="35"/>
  <c r="J494" i="35"/>
  <c r="J495" i="35"/>
  <c r="J496" i="35"/>
  <c r="J497" i="35"/>
  <c r="J498" i="35"/>
  <c r="J499" i="35"/>
  <c r="J500" i="35"/>
  <c r="J2" i="35"/>
  <c r="B54" i="3"/>
  <c r="M10" i="10"/>
  <c r="P10" i="10" s="1"/>
  <c r="M11" i="10"/>
  <c r="P11" i="10" s="1"/>
  <c r="M12" i="10"/>
  <c r="P12" i="10" s="1"/>
  <c r="M13" i="10"/>
  <c r="P13" i="10" s="1"/>
  <c r="M14" i="10"/>
  <c r="P14" i="10" s="1"/>
  <c r="M15" i="10"/>
  <c r="P15" i="10" s="1"/>
  <c r="M16" i="10"/>
  <c r="P16" i="10" s="1"/>
  <c r="M17" i="10"/>
  <c r="P17" i="10" s="1"/>
  <c r="M18" i="10"/>
  <c r="P18" i="10" s="1"/>
  <c r="M19" i="10"/>
  <c r="P19" i="10" s="1"/>
  <c r="M20" i="10"/>
  <c r="P20" i="10" s="1"/>
  <c r="M21" i="10"/>
  <c r="P21" i="10" s="1"/>
  <c r="M22" i="10"/>
  <c r="P22" i="10" s="1"/>
  <c r="M23" i="10"/>
  <c r="P23" i="10" s="1"/>
  <c r="M24" i="10"/>
  <c r="P24" i="10" s="1"/>
  <c r="M25" i="10"/>
  <c r="P25" i="10" s="1"/>
  <c r="M26" i="10"/>
  <c r="P26" i="10" s="1"/>
  <c r="M27" i="10"/>
  <c r="P27" i="10" s="1"/>
  <c r="L2" i="16"/>
  <c r="M2" i="16" s="1"/>
  <c r="AA3" i="16"/>
  <c r="AB3" i="16" s="1"/>
  <c r="L3" i="16"/>
  <c r="M3" i="16" s="1"/>
  <c r="R3" i="16"/>
  <c r="AA4" i="16"/>
  <c r="AB4" i="16" s="1"/>
  <c r="L4" i="16"/>
  <c r="M4" i="16" s="1"/>
  <c r="R4" i="16"/>
  <c r="AA5" i="16"/>
  <c r="AB5" i="16" s="1"/>
  <c r="R5" i="16"/>
  <c r="AA6" i="16"/>
  <c r="AB6" i="16" s="1"/>
  <c r="R6" i="16"/>
  <c r="AA7" i="16"/>
  <c r="AB7" i="16" s="1"/>
  <c r="R7" i="16"/>
  <c r="AA8" i="16"/>
  <c r="AB8" i="16" s="1"/>
  <c r="R8" i="16"/>
  <c r="AA9" i="16"/>
  <c r="AB9" i="16" s="1"/>
  <c r="R9" i="16"/>
  <c r="AA10" i="16"/>
  <c r="AB10" i="16" s="1"/>
  <c r="R10" i="16"/>
  <c r="AA11" i="16"/>
  <c r="AB11" i="16" s="1"/>
  <c r="R11" i="16"/>
  <c r="AA12" i="16"/>
  <c r="AB12" i="16" s="1"/>
  <c r="R12" i="16"/>
  <c r="AA13" i="16"/>
  <c r="AB13" i="16" s="1"/>
  <c r="R13" i="16"/>
  <c r="AA14" i="16"/>
  <c r="AB14" i="16" s="1"/>
  <c r="R14" i="16"/>
  <c r="AA15" i="16"/>
  <c r="AB15" i="16" s="1"/>
  <c r="R15" i="16"/>
  <c r="AA16" i="16"/>
  <c r="AB16" i="16" s="1"/>
  <c r="R16" i="16"/>
  <c r="AA17" i="16"/>
  <c r="AB17" i="16" s="1"/>
  <c r="R17" i="16"/>
  <c r="AA18" i="16"/>
  <c r="AB18" i="16" s="1"/>
  <c r="R18" i="16"/>
  <c r="AA19" i="16"/>
  <c r="AB19" i="16" s="1"/>
  <c r="R19" i="16"/>
  <c r="AA20" i="16"/>
  <c r="AB20" i="16" s="1"/>
  <c r="R20" i="16"/>
  <c r="AA21" i="16"/>
  <c r="AB21" i="16" s="1"/>
  <c r="R21" i="16"/>
  <c r="AA22" i="16"/>
  <c r="AB22" i="16" s="1"/>
  <c r="R22" i="16"/>
  <c r="AA23" i="16"/>
  <c r="AB23" i="16" s="1"/>
  <c r="R23" i="16"/>
  <c r="AA24" i="16"/>
  <c r="AB24" i="16" s="1"/>
  <c r="R24" i="16"/>
  <c r="AA25" i="16"/>
  <c r="AB25" i="16" s="1"/>
  <c r="R25" i="16"/>
  <c r="AA26" i="16"/>
  <c r="AB26" i="16" s="1"/>
  <c r="R26" i="16"/>
  <c r="AA27" i="16"/>
  <c r="AB27" i="16" s="1"/>
  <c r="R27" i="16"/>
  <c r="AA28" i="16"/>
  <c r="AB28" i="16" s="1"/>
  <c r="R28" i="16"/>
  <c r="AA29" i="16"/>
  <c r="AB29" i="16" s="1"/>
  <c r="R29" i="16"/>
  <c r="AA30" i="16"/>
  <c r="AB30" i="16" s="1"/>
  <c r="R30" i="16"/>
  <c r="AA31" i="16"/>
  <c r="AB31" i="16" s="1"/>
  <c r="R31" i="16"/>
  <c r="AA32" i="16"/>
  <c r="AB32" i="16" s="1"/>
  <c r="R32" i="16"/>
  <c r="AA33" i="16"/>
  <c r="AB33" i="16" s="1"/>
  <c r="R33" i="16"/>
  <c r="AA34" i="16"/>
  <c r="AB34" i="16" s="1"/>
  <c r="R34" i="16"/>
  <c r="AA35" i="16"/>
  <c r="AB35" i="16" s="1"/>
  <c r="R35" i="16"/>
  <c r="AA36" i="16"/>
  <c r="AB36" i="16" s="1"/>
  <c r="R36" i="16"/>
  <c r="AA37" i="16"/>
  <c r="AB37" i="16" s="1"/>
  <c r="R37" i="16"/>
  <c r="AA38" i="16"/>
  <c r="AB38" i="16" s="1"/>
  <c r="R38" i="16"/>
  <c r="AA39" i="16"/>
  <c r="AB39" i="16" s="1"/>
  <c r="R39" i="16"/>
  <c r="AA40" i="16"/>
  <c r="AB40" i="16" s="1"/>
  <c r="R40" i="16"/>
  <c r="AA41" i="16"/>
  <c r="AB41" i="16" s="1"/>
  <c r="R41" i="16"/>
  <c r="AA42" i="16"/>
  <c r="AB42" i="16" s="1"/>
  <c r="R42" i="16"/>
  <c r="AA43" i="16"/>
  <c r="AB43" i="16" s="1"/>
  <c r="R43" i="16"/>
  <c r="AA44" i="16"/>
  <c r="AB44" i="16" s="1"/>
  <c r="R44" i="16"/>
  <c r="AA45" i="16"/>
  <c r="AB45" i="16" s="1"/>
  <c r="R45" i="16"/>
  <c r="AA46" i="16"/>
  <c r="AB46" i="16" s="1"/>
  <c r="R46" i="16"/>
  <c r="AA47" i="16"/>
  <c r="AB47" i="16" s="1"/>
  <c r="R47" i="16"/>
  <c r="AA48" i="16"/>
  <c r="AB48" i="16" s="1"/>
  <c r="R48" i="16"/>
  <c r="AA49" i="16"/>
  <c r="AB49" i="16" s="1"/>
  <c r="R49" i="16"/>
  <c r="AA50" i="16"/>
  <c r="AB50" i="16" s="1"/>
  <c r="R50" i="16"/>
  <c r="AA51" i="16"/>
  <c r="AB51" i="16" s="1"/>
  <c r="R51" i="16"/>
  <c r="AA52" i="16"/>
  <c r="AB52" i="16" s="1"/>
  <c r="R52" i="16"/>
  <c r="AA53" i="16"/>
  <c r="AB53" i="16" s="1"/>
  <c r="R53" i="16"/>
  <c r="AA54" i="16"/>
  <c r="AB54" i="16" s="1"/>
  <c r="R54" i="16"/>
  <c r="AA55" i="16"/>
  <c r="AB55" i="16" s="1"/>
  <c r="R55" i="16"/>
  <c r="AA56" i="16"/>
  <c r="AB56" i="16" s="1"/>
  <c r="R56" i="16"/>
  <c r="AA57" i="16"/>
  <c r="AB57" i="16" s="1"/>
  <c r="R57" i="16"/>
  <c r="AA58" i="16"/>
  <c r="AB58" i="16" s="1"/>
  <c r="R58" i="16"/>
  <c r="AA59" i="16"/>
  <c r="AB59" i="16" s="1"/>
  <c r="R59" i="16"/>
  <c r="AA60" i="16"/>
  <c r="AB60" i="16" s="1"/>
  <c r="R60" i="16"/>
  <c r="AA61" i="16"/>
  <c r="AB61" i="16" s="1"/>
  <c r="R61" i="16"/>
  <c r="AA62" i="16"/>
  <c r="AB62" i="16" s="1"/>
  <c r="R62" i="16"/>
  <c r="AA63" i="16"/>
  <c r="AB63" i="16" s="1"/>
  <c r="R63" i="16"/>
  <c r="AA64" i="16"/>
  <c r="AB64" i="16" s="1"/>
  <c r="R64" i="16"/>
  <c r="AA65" i="16"/>
  <c r="AB65" i="16" s="1"/>
  <c r="R65" i="16"/>
  <c r="AA66" i="16"/>
  <c r="AB66" i="16" s="1"/>
  <c r="R66" i="16"/>
  <c r="AA67" i="16"/>
  <c r="AB67" i="16" s="1"/>
  <c r="R67" i="16"/>
  <c r="AA68" i="16"/>
  <c r="AB68" i="16" s="1"/>
  <c r="R68" i="16"/>
  <c r="AA69" i="16"/>
  <c r="AB69" i="16" s="1"/>
  <c r="R69" i="16"/>
  <c r="AA70" i="16"/>
  <c r="AB70" i="16" s="1"/>
  <c r="R70" i="16"/>
  <c r="AA71" i="16"/>
  <c r="AB71" i="16" s="1"/>
  <c r="R71" i="16"/>
  <c r="AA72" i="16"/>
  <c r="AB72" i="16" s="1"/>
  <c r="R72" i="16"/>
  <c r="AA73" i="16"/>
  <c r="AB73" i="16" s="1"/>
  <c r="R73" i="16"/>
  <c r="AA74" i="16"/>
  <c r="AB74" i="16" s="1"/>
  <c r="R74" i="16"/>
  <c r="AA75" i="16"/>
  <c r="AB75" i="16" s="1"/>
  <c r="R75" i="16"/>
  <c r="AA76" i="16"/>
  <c r="AB76" i="16" s="1"/>
  <c r="R76" i="16"/>
  <c r="AA77" i="16"/>
  <c r="AB77" i="16" s="1"/>
  <c r="R77" i="16"/>
  <c r="AA78" i="16"/>
  <c r="AB78" i="16" s="1"/>
  <c r="R78" i="16"/>
  <c r="AA79" i="16"/>
  <c r="AB79" i="16" s="1"/>
  <c r="R79" i="16"/>
  <c r="AA80" i="16"/>
  <c r="AB80" i="16" s="1"/>
  <c r="R80" i="16"/>
  <c r="AA81" i="16"/>
  <c r="AB81" i="16" s="1"/>
  <c r="R81" i="16"/>
  <c r="AA82" i="16"/>
  <c r="AB82" i="16" s="1"/>
  <c r="R82" i="16"/>
  <c r="AA83" i="16"/>
  <c r="AB83" i="16" s="1"/>
  <c r="R83" i="16"/>
  <c r="AA84" i="16"/>
  <c r="AB84" i="16" s="1"/>
  <c r="R84" i="16"/>
  <c r="AA85" i="16"/>
  <c r="AB85" i="16" s="1"/>
  <c r="R85" i="16"/>
  <c r="AA86" i="16"/>
  <c r="AB86" i="16" s="1"/>
  <c r="R86" i="16"/>
  <c r="AA87" i="16"/>
  <c r="AB87" i="16" s="1"/>
  <c r="R87" i="16"/>
  <c r="AA88" i="16"/>
  <c r="AB88" i="16" s="1"/>
  <c r="R88" i="16"/>
  <c r="AA89" i="16"/>
  <c r="AB89" i="16" s="1"/>
  <c r="R89" i="16"/>
  <c r="AA90" i="16"/>
  <c r="AB90" i="16" s="1"/>
  <c r="R90" i="16"/>
  <c r="AA91" i="16"/>
  <c r="AB91" i="16" s="1"/>
  <c r="R91" i="16"/>
  <c r="AA92" i="16"/>
  <c r="AB92" i="16" s="1"/>
  <c r="R92" i="16"/>
  <c r="AA93" i="16"/>
  <c r="AB93" i="16" s="1"/>
  <c r="R93" i="16"/>
  <c r="AA94" i="16"/>
  <c r="AB94" i="16" s="1"/>
  <c r="R94" i="16"/>
  <c r="AA95" i="16"/>
  <c r="AB95" i="16" s="1"/>
  <c r="R95" i="16"/>
  <c r="AA96" i="16"/>
  <c r="AB96" i="16" s="1"/>
  <c r="R96" i="16"/>
  <c r="AA97" i="16"/>
  <c r="AB97" i="16" s="1"/>
  <c r="R97" i="16"/>
  <c r="AA98" i="16"/>
  <c r="AB98" i="16" s="1"/>
  <c r="R98" i="16"/>
  <c r="AA99" i="16"/>
  <c r="AB99" i="16" s="1"/>
  <c r="R99" i="16"/>
  <c r="AA100" i="16"/>
  <c r="AB100" i="16" s="1"/>
  <c r="R100" i="16"/>
  <c r="AA101" i="16"/>
  <c r="AB101" i="16" s="1"/>
  <c r="R101" i="16"/>
  <c r="AA102" i="16"/>
  <c r="AB102" i="16" s="1"/>
  <c r="R102" i="16"/>
  <c r="AA103" i="16"/>
  <c r="AB103" i="16" s="1"/>
  <c r="R103" i="16"/>
  <c r="AA104" i="16"/>
  <c r="AB104" i="16" s="1"/>
  <c r="R104" i="16"/>
  <c r="AA105" i="16"/>
  <c r="AB105" i="16" s="1"/>
  <c r="R105" i="16"/>
  <c r="AA106" i="16"/>
  <c r="AB106" i="16" s="1"/>
  <c r="R106" i="16"/>
  <c r="AA107" i="16"/>
  <c r="AB107" i="16" s="1"/>
  <c r="R107" i="16"/>
  <c r="AA108" i="16"/>
  <c r="AB108" i="16" s="1"/>
  <c r="R108" i="16"/>
  <c r="AA109" i="16"/>
  <c r="AB109" i="16" s="1"/>
  <c r="R109" i="16"/>
  <c r="AA110" i="16"/>
  <c r="AB110" i="16" s="1"/>
  <c r="R110" i="16"/>
  <c r="AA111" i="16"/>
  <c r="AB111" i="16" s="1"/>
  <c r="R111" i="16"/>
  <c r="AA112" i="16"/>
  <c r="AB112" i="16" s="1"/>
  <c r="R112" i="16"/>
  <c r="AA113" i="16"/>
  <c r="AB113" i="16" s="1"/>
  <c r="R113" i="16"/>
  <c r="AA114" i="16"/>
  <c r="AB114" i="16" s="1"/>
  <c r="R114" i="16"/>
  <c r="AA115" i="16"/>
  <c r="AB115" i="16" s="1"/>
  <c r="R115" i="16"/>
  <c r="AA116" i="16"/>
  <c r="AB116" i="16" s="1"/>
  <c r="R116" i="16"/>
  <c r="AA117" i="16"/>
  <c r="AB117" i="16" s="1"/>
  <c r="R117" i="16"/>
  <c r="AA118" i="16"/>
  <c r="AB118" i="16" s="1"/>
  <c r="R118" i="16"/>
  <c r="AA119" i="16"/>
  <c r="AB119" i="16" s="1"/>
  <c r="R119" i="16"/>
  <c r="AA120" i="16"/>
  <c r="AB120" i="16" s="1"/>
  <c r="R120" i="16"/>
  <c r="AA121" i="16"/>
  <c r="AB121" i="16" s="1"/>
  <c r="R121" i="16"/>
  <c r="AA122" i="16"/>
  <c r="AB122" i="16" s="1"/>
  <c r="R122" i="16"/>
  <c r="AA123" i="16"/>
  <c r="AB123" i="16" s="1"/>
  <c r="R123" i="16"/>
  <c r="AA124" i="16"/>
  <c r="AB124" i="16" s="1"/>
  <c r="R124" i="16"/>
  <c r="AA125" i="16"/>
  <c r="AB125" i="16" s="1"/>
  <c r="R125" i="16"/>
  <c r="AA126" i="16"/>
  <c r="AB126" i="16" s="1"/>
  <c r="R126" i="16"/>
  <c r="AA127" i="16"/>
  <c r="AB127" i="16" s="1"/>
  <c r="R127" i="16"/>
  <c r="AA128" i="16"/>
  <c r="AB128" i="16" s="1"/>
  <c r="R128" i="16"/>
  <c r="AA129" i="16"/>
  <c r="AB129" i="16" s="1"/>
  <c r="R129" i="16"/>
  <c r="AA130" i="16"/>
  <c r="AB130" i="16" s="1"/>
  <c r="R130" i="16"/>
  <c r="AA131" i="16"/>
  <c r="AB131" i="16" s="1"/>
  <c r="R131" i="16"/>
  <c r="AA132" i="16"/>
  <c r="AB132" i="16" s="1"/>
  <c r="R132" i="16"/>
  <c r="AA133" i="16"/>
  <c r="AB133" i="16" s="1"/>
  <c r="R133" i="16"/>
  <c r="AA134" i="16"/>
  <c r="AB134" i="16" s="1"/>
  <c r="R134" i="16"/>
  <c r="AA135" i="16"/>
  <c r="AB135" i="16" s="1"/>
  <c r="R135" i="16"/>
  <c r="AA136" i="16"/>
  <c r="AB136" i="16" s="1"/>
  <c r="R136" i="16"/>
  <c r="AA137" i="16"/>
  <c r="AB137" i="16" s="1"/>
  <c r="R137" i="16"/>
  <c r="AA138" i="16"/>
  <c r="AB138" i="16" s="1"/>
  <c r="R138" i="16"/>
  <c r="AA139" i="16"/>
  <c r="AB139" i="16" s="1"/>
  <c r="R139" i="16"/>
  <c r="AA140" i="16"/>
  <c r="AB140" i="16" s="1"/>
  <c r="R140" i="16"/>
  <c r="AA141" i="16"/>
  <c r="AB141" i="16" s="1"/>
  <c r="R141" i="16"/>
  <c r="AA142" i="16"/>
  <c r="AB142" i="16" s="1"/>
  <c r="R142" i="16"/>
  <c r="AA143" i="16"/>
  <c r="AB143" i="16" s="1"/>
  <c r="R143" i="16"/>
  <c r="AA144" i="16"/>
  <c r="AB144" i="16" s="1"/>
  <c r="R144" i="16"/>
  <c r="AA145" i="16"/>
  <c r="AB145" i="16" s="1"/>
  <c r="R145" i="16"/>
  <c r="AA146" i="16"/>
  <c r="AB146" i="16" s="1"/>
  <c r="R146" i="16"/>
  <c r="AA147" i="16"/>
  <c r="AB147" i="16" s="1"/>
  <c r="R147" i="16"/>
  <c r="AA148" i="16"/>
  <c r="AB148" i="16" s="1"/>
  <c r="R148" i="16"/>
  <c r="AA149" i="16"/>
  <c r="AB149" i="16" s="1"/>
  <c r="R149" i="16"/>
  <c r="AA150" i="16"/>
  <c r="AB150" i="16" s="1"/>
  <c r="R150" i="16"/>
  <c r="AA151" i="16"/>
  <c r="AB151" i="16" s="1"/>
  <c r="R151" i="16"/>
  <c r="AA152" i="16"/>
  <c r="AB152" i="16" s="1"/>
  <c r="R152" i="16"/>
  <c r="AA153" i="16"/>
  <c r="AB153" i="16" s="1"/>
  <c r="R153" i="16"/>
  <c r="AA154" i="16"/>
  <c r="AB154" i="16" s="1"/>
  <c r="R154" i="16"/>
  <c r="AA155" i="16"/>
  <c r="AB155" i="16" s="1"/>
  <c r="R155" i="16"/>
  <c r="AA156" i="16"/>
  <c r="AB156" i="16" s="1"/>
  <c r="R156" i="16"/>
  <c r="AA157" i="16"/>
  <c r="AB157" i="16" s="1"/>
  <c r="R157" i="16"/>
  <c r="AA158" i="16"/>
  <c r="AB158" i="16" s="1"/>
  <c r="R158" i="16"/>
  <c r="AA159" i="16"/>
  <c r="AB159" i="16" s="1"/>
  <c r="R159" i="16"/>
  <c r="AA160" i="16"/>
  <c r="AB160" i="16" s="1"/>
  <c r="R160" i="16"/>
  <c r="AA161" i="16"/>
  <c r="AB161" i="16" s="1"/>
  <c r="R161" i="16"/>
  <c r="AA162" i="16"/>
  <c r="AB162" i="16" s="1"/>
  <c r="R162" i="16"/>
  <c r="AA163" i="16"/>
  <c r="AB163" i="16" s="1"/>
  <c r="R163" i="16"/>
  <c r="AA164" i="16"/>
  <c r="AB164" i="16" s="1"/>
  <c r="R164" i="16"/>
  <c r="AA165" i="16"/>
  <c r="AB165" i="16" s="1"/>
  <c r="R165" i="16"/>
  <c r="AA166" i="16"/>
  <c r="AB166" i="16" s="1"/>
  <c r="R166" i="16"/>
  <c r="AA167" i="16"/>
  <c r="AB167" i="16" s="1"/>
  <c r="R167" i="16"/>
  <c r="AA168" i="16"/>
  <c r="AB168" i="16" s="1"/>
  <c r="R168" i="16"/>
  <c r="AA169" i="16"/>
  <c r="AB169" i="16" s="1"/>
  <c r="R169" i="16"/>
  <c r="AA170" i="16"/>
  <c r="AB170" i="16" s="1"/>
  <c r="R170" i="16"/>
  <c r="AA171" i="16"/>
  <c r="AB171" i="16" s="1"/>
  <c r="R171" i="16"/>
  <c r="AA172" i="16"/>
  <c r="AB172" i="16" s="1"/>
  <c r="R172" i="16"/>
  <c r="AA173" i="16"/>
  <c r="AB173" i="16" s="1"/>
  <c r="R173" i="16"/>
  <c r="AA174" i="16"/>
  <c r="AB174" i="16" s="1"/>
  <c r="R174" i="16"/>
  <c r="AA175" i="16"/>
  <c r="AB175" i="16" s="1"/>
  <c r="R175" i="16"/>
  <c r="AA176" i="16"/>
  <c r="AB176" i="16" s="1"/>
  <c r="R176" i="16"/>
  <c r="AA177" i="16"/>
  <c r="AB177" i="16" s="1"/>
  <c r="R177" i="16"/>
  <c r="AA178" i="16"/>
  <c r="AB178" i="16" s="1"/>
  <c r="R178" i="16"/>
  <c r="AA179" i="16"/>
  <c r="AB179" i="16" s="1"/>
  <c r="R179" i="16"/>
  <c r="AA180" i="16"/>
  <c r="AB180" i="16" s="1"/>
  <c r="R180" i="16"/>
  <c r="AA181" i="16"/>
  <c r="AB181" i="16" s="1"/>
  <c r="R181" i="16"/>
  <c r="AA182" i="16"/>
  <c r="AB182" i="16" s="1"/>
  <c r="R182" i="16"/>
  <c r="AA183" i="16"/>
  <c r="AB183" i="16" s="1"/>
  <c r="R183" i="16"/>
  <c r="AA184" i="16"/>
  <c r="AB184" i="16" s="1"/>
  <c r="R184" i="16"/>
  <c r="AA185" i="16"/>
  <c r="AB185" i="16" s="1"/>
  <c r="R185" i="16"/>
  <c r="AA186" i="16"/>
  <c r="AB186" i="16" s="1"/>
  <c r="R186" i="16"/>
  <c r="AA187" i="16"/>
  <c r="AB187" i="16" s="1"/>
  <c r="R187" i="16"/>
  <c r="AA188" i="16"/>
  <c r="AB188" i="16" s="1"/>
  <c r="R188" i="16"/>
  <c r="AA189" i="16"/>
  <c r="AB189" i="16" s="1"/>
  <c r="R189" i="16"/>
  <c r="AA190" i="16"/>
  <c r="AB190" i="16" s="1"/>
  <c r="R190" i="16"/>
  <c r="AA191" i="16"/>
  <c r="AB191" i="16" s="1"/>
  <c r="R191" i="16"/>
  <c r="AA192" i="16"/>
  <c r="AB192" i="16" s="1"/>
  <c r="R192" i="16"/>
  <c r="AA193" i="16"/>
  <c r="AB193" i="16" s="1"/>
  <c r="R193" i="16"/>
  <c r="AA194" i="16"/>
  <c r="AB194" i="16" s="1"/>
  <c r="R194" i="16"/>
  <c r="AA195" i="16"/>
  <c r="AB195" i="16" s="1"/>
  <c r="R195" i="16"/>
  <c r="AA196" i="16"/>
  <c r="AB196" i="16" s="1"/>
  <c r="R196" i="16"/>
  <c r="AA197" i="16"/>
  <c r="AB197" i="16" s="1"/>
  <c r="R197" i="16"/>
  <c r="AA198" i="16"/>
  <c r="AB198" i="16" s="1"/>
  <c r="R198" i="16"/>
  <c r="AA199" i="16"/>
  <c r="AB199" i="16" s="1"/>
  <c r="R199" i="16"/>
  <c r="AA200" i="16"/>
  <c r="AB200" i="16" s="1"/>
  <c r="R200" i="16"/>
  <c r="AA201" i="16"/>
  <c r="AB201" i="16" s="1"/>
  <c r="R201" i="16"/>
  <c r="AA202" i="16"/>
  <c r="AB202" i="16" s="1"/>
  <c r="R202" i="16"/>
  <c r="AA203" i="16"/>
  <c r="AB203" i="16" s="1"/>
  <c r="R203" i="16"/>
  <c r="AA204" i="16"/>
  <c r="AB204" i="16" s="1"/>
  <c r="R204" i="16"/>
  <c r="AA205" i="16"/>
  <c r="AB205" i="16" s="1"/>
  <c r="R205" i="16"/>
  <c r="AA206" i="16"/>
  <c r="AB206" i="16" s="1"/>
  <c r="R206" i="16"/>
  <c r="AA207" i="16"/>
  <c r="AB207" i="16" s="1"/>
  <c r="R207" i="16"/>
  <c r="AA208" i="16"/>
  <c r="AB208" i="16" s="1"/>
  <c r="R208" i="16"/>
  <c r="AA209" i="16"/>
  <c r="AB209" i="16" s="1"/>
  <c r="R209" i="16"/>
  <c r="AA210" i="16"/>
  <c r="AB210" i="16" s="1"/>
  <c r="R210" i="16"/>
  <c r="AA211" i="16"/>
  <c r="AB211" i="16" s="1"/>
  <c r="R211" i="16"/>
  <c r="AA212" i="16"/>
  <c r="AB212" i="16" s="1"/>
  <c r="R212" i="16"/>
  <c r="AA213" i="16"/>
  <c r="AB213" i="16" s="1"/>
  <c r="R213" i="16"/>
  <c r="AA214" i="16"/>
  <c r="AB214" i="16" s="1"/>
  <c r="R214" i="16"/>
  <c r="AA215" i="16"/>
  <c r="AB215" i="16" s="1"/>
  <c r="R215" i="16"/>
  <c r="AA216" i="16"/>
  <c r="AB216" i="16" s="1"/>
  <c r="R216" i="16"/>
  <c r="AA217" i="16"/>
  <c r="AB217" i="16" s="1"/>
  <c r="R217" i="16"/>
  <c r="AA218" i="16"/>
  <c r="AB218" i="16" s="1"/>
  <c r="R218" i="16"/>
  <c r="AA219" i="16"/>
  <c r="AB219" i="16" s="1"/>
  <c r="R219" i="16"/>
  <c r="AA220" i="16"/>
  <c r="AB220" i="16" s="1"/>
  <c r="R220" i="16"/>
  <c r="AA221" i="16"/>
  <c r="AB221" i="16" s="1"/>
  <c r="R221" i="16"/>
  <c r="AA222" i="16"/>
  <c r="AB222" i="16" s="1"/>
  <c r="R222" i="16"/>
  <c r="AA223" i="16"/>
  <c r="AB223" i="16" s="1"/>
  <c r="R223" i="16"/>
  <c r="AA224" i="16"/>
  <c r="AB224" i="16" s="1"/>
  <c r="R224" i="16"/>
  <c r="AA225" i="16"/>
  <c r="AB225" i="16" s="1"/>
  <c r="R225" i="16"/>
  <c r="AA226" i="16"/>
  <c r="AB226" i="16" s="1"/>
  <c r="R226" i="16"/>
  <c r="AA227" i="16"/>
  <c r="AB227" i="16" s="1"/>
  <c r="R227" i="16"/>
  <c r="AA228" i="16"/>
  <c r="AB228" i="16" s="1"/>
  <c r="R228" i="16"/>
  <c r="AA229" i="16"/>
  <c r="AB229" i="16" s="1"/>
  <c r="R229" i="16"/>
  <c r="AA230" i="16"/>
  <c r="AB230" i="16" s="1"/>
  <c r="R230" i="16"/>
  <c r="AA231" i="16"/>
  <c r="AB231" i="16" s="1"/>
  <c r="R231" i="16"/>
  <c r="AA232" i="16"/>
  <c r="AB232" i="16" s="1"/>
  <c r="R232" i="16"/>
  <c r="AA233" i="16"/>
  <c r="AB233" i="16" s="1"/>
  <c r="R233" i="16"/>
  <c r="AA234" i="16"/>
  <c r="AB234" i="16" s="1"/>
  <c r="R234" i="16"/>
  <c r="AA235" i="16"/>
  <c r="AB235" i="16" s="1"/>
  <c r="R235" i="16"/>
  <c r="AA236" i="16"/>
  <c r="AB236" i="16" s="1"/>
  <c r="R236" i="16"/>
  <c r="AA237" i="16"/>
  <c r="AB237" i="16" s="1"/>
  <c r="R237" i="16"/>
  <c r="AA238" i="16"/>
  <c r="AB238" i="16" s="1"/>
  <c r="R238" i="16"/>
  <c r="AA239" i="16"/>
  <c r="AB239" i="16" s="1"/>
  <c r="R239" i="16"/>
  <c r="AA240" i="16"/>
  <c r="AB240" i="16" s="1"/>
  <c r="R240" i="16"/>
  <c r="AA241" i="16"/>
  <c r="AB241" i="16" s="1"/>
  <c r="R241" i="16"/>
  <c r="AA242" i="16"/>
  <c r="AB242" i="16" s="1"/>
  <c r="R242" i="16"/>
  <c r="AA243" i="16"/>
  <c r="AB243" i="16" s="1"/>
  <c r="R243" i="16"/>
  <c r="AA244" i="16"/>
  <c r="AB244" i="16" s="1"/>
  <c r="R244" i="16"/>
  <c r="AA245" i="16"/>
  <c r="AB245" i="16" s="1"/>
  <c r="R245" i="16"/>
  <c r="AA246" i="16"/>
  <c r="AB246" i="16" s="1"/>
  <c r="R246" i="16"/>
  <c r="AA247" i="16"/>
  <c r="AB247" i="16" s="1"/>
  <c r="R247" i="16"/>
  <c r="AA248" i="16"/>
  <c r="AB248" i="16" s="1"/>
  <c r="R248" i="16"/>
  <c r="AA249" i="16"/>
  <c r="AB249" i="16" s="1"/>
  <c r="R249" i="16"/>
  <c r="AA250" i="16"/>
  <c r="AB250" i="16" s="1"/>
  <c r="R250" i="16"/>
  <c r="AA251" i="16"/>
  <c r="AB251" i="16" s="1"/>
  <c r="R251" i="16"/>
  <c r="AA252" i="16"/>
  <c r="AB252" i="16" s="1"/>
  <c r="R252" i="16"/>
  <c r="AA253" i="16"/>
  <c r="AB253" i="16" s="1"/>
  <c r="R253" i="16"/>
  <c r="AA254" i="16"/>
  <c r="AB254" i="16" s="1"/>
  <c r="R254" i="16"/>
  <c r="AA255" i="16"/>
  <c r="AB255" i="16" s="1"/>
  <c r="R255" i="16"/>
  <c r="AA256" i="16"/>
  <c r="AB256" i="16" s="1"/>
  <c r="R256" i="16"/>
  <c r="AA257" i="16"/>
  <c r="AB257" i="16" s="1"/>
  <c r="R257" i="16"/>
  <c r="AA258" i="16"/>
  <c r="AB258" i="16" s="1"/>
  <c r="R258" i="16"/>
  <c r="AA259" i="16"/>
  <c r="AB259" i="16" s="1"/>
  <c r="R259" i="16"/>
  <c r="AA260" i="16"/>
  <c r="AB260" i="16" s="1"/>
  <c r="R260" i="16"/>
  <c r="AA261" i="16"/>
  <c r="AB261" i="16" s="1"/>
  <c r="R261" i="16"/>
  <c r="AA262" i="16"/>
  <c r="AB262" i="16" s="1"/>
  <c r="R262" i="16"/>
  <c r="AA263" i="16"/>
  <c r="AB263" i="16" s="1"/>
  <c r="R263" i="16"/>
  <c r="AA264" i="16"/>
  <c r="AB264" i="16" s="1"/>
  <c r="R264" i="16"/>
  <c r="AA265" i="16"/>
  <c r="AB265" i="16" s="1"/>
  <c r="R265" i="16"/>
  <c r="AA266" i="16"/>
  <c r="AB266" i="16" s="1"/>
  <c r="R266" i="16"/>
  <c r="AA267" i="16"/>
  <c r="AB267" i="16" s="1"/>
  <c r="R267" i="16"/>
  <c r="AA268" i="16"/>
  <c r="AB268" i="16" s="1"/>
  <c r="R268" i="16"/>
  <c r="AA269" i="16"/>
  <c r="AB269" i="16" s="1"/>
  <c r="R269" i="16"/>
  <c r="AA270" i="16"/>
  <c r="AB270" i="16" s="1"/>
  <c r="R270" i="16"/>
  <c r="AA271" i="16"/>
  <c r="AB271" i="16" s="1"/>
  <c r="R271" i="16"/>
  <c r="AA272" i="16"/>
  <c r="AB272" i="16" s="1"/>
  <c r="R272" i="16"/>
  <c r="AA273" i="16"/>
  <c r="AB273" i="16" s="1"/>
  <c r="R273" i="16"/>
  <c r="AA274" i="16"/>
  <c r="AB274" i="16" s="1"/>
  <c r="R274" i="16"/>
  <c r="AA275" i="16"/>
  <c r="AB275" i="16" s="1"/>
  <c r="R275" i="16"/>
  <c r="AA276" i="16"/>
  <c r="AB276" i="16" s="1"/>
  <c r="R276" i="16"/>
  <c r="AA277" i="16"/>
  <c r="AB277" i="16" s="1"/>
  <c r="R277" i="16"/>
  <c r="AA278" i="16"/>
  <c r="AB278" i="16" s="1"/>
  <c r="R278" i="16"/>
  <c r="AA279" i="16"/>
  <c r="AB279" i="16" s="1"/>
  <c r="R279" i="16"/>
  <c r="AA280" i="16"/>
  <c r="AB280" i="16" s="1"/>
  <c r="R280" i="16"/>
  <c r="AA281" i="16"/>
  <c r="AB281" i="16" s="1"/>
  <c r="R281" i="16"/>
  <c r="AA282" i="16"/>
  <c r="AB282" i="16" s="1"/>
  <c r="R282" i="16"/>
  <c r="AA283" i="16"/>
  <c r="AB283" i="16" s="1"/>
  <c r="R283" i="16"/>
  <c r="AA284" i="16"/>
  <c r="AB284" i="16" s="1"/>
  <c r="R284" i="16"/>
  <c r="AA285" i="16"/>
  <c r="AB285" i="16" s="1"/>
  <c r="R285" i="16"/>
  <c r="AA286" i="16"/>
  <c r="AB286" i="16" s="1"/>
  <c r="R286" i="16"/>
  <c r="AA287" i="16"/>
  <c r="AB287" i="16" s="1"/>
  <c r="R287" i="16"/>
  <c r="AA288" i="16"/>
  <c r="AB288" i="16" s="1"/>
  <c r="R288" i="16"/>
  <c r="AA289" i="16"/>
  <c r="AB289" i="16" s="1"/>
  <c r="R289" i="16"/>
  <c r="AA290" i="16"/>
  <c r="AB290" i="16" s="1"/>
  <c r="R290" i="16"/>
  <c r="AA291" i="16"/>
  <c r="AB291" i="16" s="1"/>
  <c r="R291" i="16"/>
  <c r="AA292" i="16"/>
  <c r="AB292" i="16" s="1"/>
  <c r="R292" i="16"/>
  <c r="AA293" i="16"/>
  <c r="AB293" i="16" s="1"/>
  <c r="R293" i="16"/>
  <c r="AA294" i="16"/>
  <c r="AB294" i="16" s="1"/>
  <c r="R294" i="16"/>
  <c r="AA295" i="16"/>
  <c r="AB295" i="16" s="1"/>
  <c r="R295" i="16"/>
  <c r="AA296" i="16"/>
  <c r="AB296" i="16" s="1"/>
  <c r="R296" i="16"/>
  <c r="AA297" i="16"/>
  <c r="AB297" i="16" s="1"/>
  <c r="R297" i="16"/>
  <c r="AA298" i="16"/>
  <c r="AB298" i="16" s="1"/>
  <c r="R298" i="16"/>
  <c r="AA299" i="16"/>
  <c r="AB299" i="16" s="1"/>
  <c r="R299" i="16"/>
  <c r="AA300" i="16"/>
  <c r="AB300" i="16" s="1"/>
  <c r="R300" i="16"/>
  <c r="AA301" i="16"/>
  <c r="AB301" i="16" s="1"/>
  <c r="R301" i="16"/>
  <c r="AA302" i="16"/>
  <c r="AB302" i="16" s="1"/>
  <c r="R302" i="16"/>
  <c r="AA303" i="16"/>
  <c r="AB303" i="16" s="1"/>
  <c r="R303" i="16"/>
  <c r="AA304" i="16"/>
  <c r="AB304" i="16" s="1"/>
  <c r="R304" i="16"/>
  <c r="AA305" i="16"/>
  <c r="AB305" i="16" s="1"/>
  <c r="R305" i="16"/>
  <c r="AA306" i="16"/>
  <c r="AB306" i="16" s="1"/>
  <c r="R306" i="16"/>
  <c r="AA307" i="16"/>
  <c r="AB307" i="16" s="1"/>
  <c r="R307" i="16"/>
  <c r="AA308" i="16"/>
  <c r="AB308" i="16" s="1"/>
  <c r="R308" i="16"/>
  <c r="AA309" i="16"/>
  <c r="AB309" i="16" s="1"/>
  <c r="R309" i="16"/>
  <c r="AA310" i="16"/>
  <c r="AB310" i="16" s="1"/>
  <c r="R310" i="16"/>
  <c r="AA311" i="16"/>
  <c r="AB311" i="16" s="1"/>
  <c r="R311" i="16"/>
  <c r="AA312" i="16"/>
  <c r="AB312" i="16" s="1"/>
  <c r="R312" i="16"/>
  <c r="AA313" i="16"/>
  <c r="AB313" i="16" s="1"/>
  <c r="R313" i="16"/>
  <c r="AA314" i="16"/>
  <c r="AB314" i="16" s="1"/>
  <c r="R314" i="16"/>
  <c r="AA315" i="16"/>
  <c r="AB315" i="16" s="1"/>
  <c r="R315" i="16"/>
  <c r="AA316" i="16"/>
  <c r="AB316" i="16" s="1"/>
  <c r="R316" i="16"/>
  <c r="AA317" i="16"/>
  <c r="AB317" i="16" s="1"/>
  <c r="R317" i="16"/>
  <c r="AA318" i="16"/>
  <c r="AB318" i="16" s="1"/>
  <c r="R318" i="16"/>
  <c r="AA319" i="16"/>
  <c r="AB319" i="16" s="1"/>
  <c r="R319" i="16"/>
  <c r="AA320" i="16"/>
  <c r="AB320" i="16" s="1"/>
  <c r="R320" i="16"/>
  <c r="AA321" i="16"/>
  <c r="AB321" i="16" s="1"/>
  <c r="R321" i="16"/>
  <c r="AA322" i="16"/>
  <c r="AB322" i="16" s="1"/>
  <c r="R322" i="16"/>
  <c r="AA323" i="16"/>
  <c r="AB323" i="16" s="1"/>
  <c r="R323" i="16"/>
  <c r="AA324" i="16"/>
  <c r="AB324" i="16" s="1"/>
  <c r="R324" i="16"/>
  <c r="AA325" i="16"/>
  <c r="AB325" i="16" s="1"/>
  <c r="R325" i="16"/>
  <c r="AA326" i="16"/>
  <c r="AB326" i="16" s="1"/>
  <c r="R326" i="16"/>
  <c r="AA327" i="16"/>
  <c r="AB327" i="16" s="1"/>
  <c r="R327" i="16"/>
  <c r="AA328" i="16"/>
  <c r="AB328" i="16" s="1"/>
  <c r="R328" i="16"/>
  <c r="AA329" i="16"/>
  <c r="AB329" i="16" s="1"/>
  <c r="R329" i="16"/>
  <c r="AA330" i="16"/>
  <c r="AB330" i="16" s="1"/>
  <c r="R330" i="16"/>
  <c r="AA331" i="16"/>
  <c r="AB331" i="16" s="1"/>
  <c r="R331" i="16"/>
  <c r="AA332" i="16"/>
  <c r="AB332" i="16" s="1"/>
  <c r="R332" i="16"/>
  <c r="AA333" i="16"/>
  <c r="AB333" i="16" s="1"/>
  <c r="R333" i="16"/>
  <c r="AA334" i="16"/>
  <c r="AB334" i="16" s="1"/>
  <c r="R334" i="16"/>
  <c r="AA335" i="16"/>
  <c r="AB335" i="16" s="1"/>
  <c r="R335" i="16"/>
  <c r="AA336" i="16"/>
  <c r="AB336" i="16" s="1"/>
  <c r="R336" i="16"/>
  <c r="AA337" i="16"/>
  <c r="AB337" i="16" s="1"/>
  <c r="R337" i="16"/>
  <c r="AA338" i="16"/>
  <c r="AB338" i="16" s="1"/>
  <c r="R338" i="16"/>
  <c r="AA339" i="16"/>
  <c r="AB339" i="16" s="1"/>
  <c r="R339" i="16"/>
  <c r="AA340" i="16"/>
  <c r="AB340" i="16" s="1"/>
  <c r="R340" i="16"/>
  <c r="AA341" i="16"/>
  <c r="AB341" i="16" s="1"/>
  <c r="R341" i="16"/>
  <c r="AA342" i="16"/>
  <c r="AB342" i="16" s="1"/>
  <c r="R342" i="16"/>
  <c r="AA343" i="16"/>
  <c r="AB343" i="16" s="1"/>
  <c r="R343" i="16"/>
  <c r="AA344" i="16"/>
  <c r="AB344" i="16" s="1"/>
  <c r="R344" i="16"/>
  <c r="AA345" i="16"/>
  <c r="AB345" i="16" s="1"/>
  <c r="R345" i="16"/>
  <c r="AA346" i="16"/>
  <c r="AB346" i="16" s="1"/>
  <c r="R346" i="16"/>
  <c r="AA347" i="16"/>
  <c r="AB347" i="16" s="1"/>
  <c r="R347" i="16"/>
  <c r="AA348" i="16"/>
  <c r="AB348" i="16" s="1"/>
  <c r="R348" i="16"/>
  <c r="AA349" i="16"/>
  <c r="AB349" i="16" s="1"/>
  <c r="R349" i="16"/>
  <c r="AA350" i="16"/>
  <c r="AB350" i="16" s="1"/>
  <c r="R350" i="16"/>
  <c r="AA351" i="16"/>
  <c r="AB351" i="16" s="1"/>
  <c r="R351" i="16"/>
  <c r="AA352" i="16"/>
  <c r="AB352" i="16" s="1"/>
  <c r="R352" i="16"/>
  <c r="AA353" i="16"/>
  <c r="AB353" i="16" s="1"/>
  <c r="R353" i="16"/>
  <c r="AA354" i="16"/>
  <c r="AB354" i="16" s="1"/>
  <c r="R354" i="16"/>
  <c r="AA355" i="16"/>
  <c r="AB355" i="16" s="1"/>
  <c r="R355" i="16"/>
  <c r="AA356" i="16"/>
  <c r="AB356" i="16" s="1"/>
  <c r="R356" i="16"/>
  <c r="AA357" i="16"/>
  <c r="AB357" i="16" s="1"/>
  <c r="R357" i="16"/>
  <c r="AA358" i="16"/>
  <c r="AB358" i="16" s="1"/>
  <c r="R358" i="16"/>
  <c r="AA359" i="16"/>
  <c r="AB359" i="16" s="1"/>
  <c r="R359" i="16"/>
  <c r="AA360" i="16"/>
  <c r="AB360" i="16" s="1"/>
  <c r="R360" i="16"/>
  <c r="AA361" i="16"/>
  <c r="AB361" i="16" s="1"/>
  <c r="R361" i="16"/>
  <c r="AA362" i="16"/>
  <c r="AB362" i="16" s="1"/>
  <c r="R362" i="16"/>
  <c r="AA363" i="16"/>
  <c r="AB363" i="16" s="1"/>
  <c r="R363" i="16"/>
  <c r="AA364" i="16"/>
  <c r="AB364" i="16" s="1"/>
  <c r="R364" i="16"/>
  <c r="AA365" i="16"/>
  <c r="AB365" i="16" s="1"/>
  <c r="R365" i="16"/>
  <c r="AA366" i="16"/>
  <c r="AB366" i="16" s="1"/>
  <c r="R366" i="16"/>
  <c r="AA367" i="16"/>
  <c r="AB367" i="16" s="1"/>
  <c r="R367" i="16"/>
  <c r="AA368" i="16"/>
  <c r="AB368" i="16" s="1"/>
  <c r="R368" i="16"/>
  <c r="AA369" i="16"/>
  <c r="AB369" i="16" s="1"/>
  <c r="R369" i="16"/>
  <c r="AA370" i="16"/>
  <c r="AB370" i="16" s="1"/>
  <c r="R370" i="16"/>
  <c r="AA371" i="16"/>
  <c r="AB371" i="16" s="1"/>
  <c r="R371" i="16"/>
  <c r="AA372" i="16"/>
  <c r="AB372" i="16" s="1"/>
  <c r="R372" i="16"/>
  <c r="AA373" i="16"/>
  <c r="AB373" i="16" s="1"/>
  <c r="R373" i="16"/>
  <c r="AA374" i="16"/>
  <c r="AB374" i="16" s="1"/>
  <c r="R374" i="16"/>
  <c r="AA375" i="16"/>
  <c r="AB375" i="16" s="1"/>
  <c r="R375" i="16"/>
  <c r="AA376" i="16"/>
  <c r="AB376" i="16" s="1"/>
  <c r="R376" i="16"/>
  <c r="AA377" i="16"/>
  <c r="AB377" i="16" s="1"/>
  <c r="R377" i="16"/>
  <c r="AA378" i="16"/>
  <c r="AB378" i="16" s="1"/>
  <c r="R378" i="16"/>
  <c r="AA379" i="16"/>
  <c r="AB379" i="16" s="1"/>
  <c r="R379" i="16"/>
  <c r="AA380" i="16"/>
  <c r="AB380" i="16" s="1"/>
  <c r="R380" i="16"/>
  <c r="AA381" i="16"/>
  <c r="AB381" i="16" s="1"/>
  <c r="R381" i="16"/>
  <c r="AA382" i="16"/>
  <c r="AB382" i="16" s="1"/>
  <c r="R382" i="16"/>
  <c r="AA383" i="16"/>
  <c r="AB383" i="16" s="1"/>
  <c r="R383" i="16"/>
  <c r="AA384" i="16"/>
  <c r="AB384" i="16" s="1"/>
  <c r="R384" i="16"/>
  <c r="AA385" i="16"/>
  <c r="AB385" i="16" s="1"/>
  <c r="R385" i="16"/>
  <c r="AA386" i="16"/>
  <c r="AB386" i="16" s="1"/>
  <c r="R386" i="16"/>
  <c r="AA387" i="16"/>
  <c r="AB387" i="16" s="1"/>
  <c r="R387" i="16"/>
  <c r="AA388" i="16"/>
  <c r="AB388" i="16" s="1"/>
  <c r="R388" i="16"/>
  <c r="AA389" i="16"/>
  <c r="AB389" i="16" s="1"/>
  <c r="R389" i="16"/>
  <c r="AA390" i="16"/>
  <c r="AB390" i="16" s="1"/>
  <c r="R390" i="16"/>
  <c r="AA391" i="16"/>
  <c r="AB391" i="16" s="1"/>
  <c r="R391" i="16"/>
  <c r="AA392" i="16"/>
  <c r="AB392" i="16" s="1"/>
  <c r="R392" i="16"/>
  <c r="AA393" i="16"/>
  <c r="AB393" i="16" s="1"/>
  <c r="R393" i="16"/>
  <c r="AA394" i="16"/>
  <c r="AB394" i="16" s="1"/>
  <c r="R394" i="16"/>
  <c r="AA395" i="16"/>
  <c r="AB395" i="16" s="1"/>
  <c r="R395" i="16"/>
  <c r="AA396" i="16"/>
  <c r="AB396" i="16" s="1"/>
  <c r="R396" i="16"/>
  <c r="AA397" i="16"/>
  <c r="AB397" i="16" s="1"/>
  <c r="R397" i="16"/>
  <c r="AA398" i="16"/>
  <c r="AB398" i="16" s="1"/>
  <c r="R398" i="16"/>
  <c r="AA399" i="16"/>
  <c r="AB399" i="16" s="1"/>
  <c r="R399" i="16"/>
  <c r="AA400" i="16"/>
  <c r="AB400" i="16" s="1"/>
  <c r="R400" i="16"/>
  <c r="AA401" i="16"/>
  <c r="AB401" i="16" s="1"/>
  <c r="R401" i="16"/>
  <c r="AA402" i="16"/>
  <c r="AB402" i="16" s="1"/>
  <c r="R402" i="16"/>
  <c r="AA403" i="16"/>
  <c r="AB403" i="16" s="1"/>
  <c r="R403" i="16"/>
  <c r="AA404" i="16"/>
  <c r="AB404" i="16" s="1"/>
  <c r="R404" i="16"/>
  <c r="AA405" i="16"/>
  <c r="AB405" i="16" s="1"/>
  <c r="R405" i="16"/>
  <c r="AA406" i="16"/>
  <c r="AB406" i="16" s="1"/>
  <c r="R406" i="16"/>
  <c r="AA407" i="16"/>
  <c r="AB407" i="16" s="1"/>
  <c r="R407" i="16"/>
  <c r="AA408" i="16"/>
  <c r="AB408" i="16" s="1"/>
  <c r="R408" i="16"/>
  <c r="AA409" i="16"/>
  <c r="AB409" i="16" s="1"/>
  <c r="R409" i="16"/>
  <c r="AA410" i="16"/>
  <c r="AB410" i="16" s="1"/>
  <c r="R410" i="16"/>
  <c r="AA411" i="16"/>
  <c r="AB411" i="16" s="1"/>
  <c r="R411" i="16"/>
  <c r="AA412" i="16"/>
  <c r="AB412" i="16" s="1"/>
  <c r="R412" i="16"/>
  <c r="AA413" i="16"/>
  <c r="AB413" i="16" s="1"/>
  <c r="R413" i="16"/>
  <c r="AA414" i="16"/>
  <c r="AB414" i="16" s="1"/>
  <c r="R414" i="16"/>
  <c r="AA415" i="16"/>
  <c r="AB415" i="16" s="1"/>
  <c r="R415" i="16"/>
  <c r="AA416" i="16"/>
  <c r="AB416" i="16" s="1"/>
  <c r="R416" i="16"/>
  <c r="AA417" i="16"/>
  <c r="AB417" i="16" s="1"/>
  <c r="R417" i="16"/>
  <c r="AA418" i="16"/>
  <c r="AB418" i="16" s="1"/>
  <c r="R418" i="16"/>
  <c r="AA419" i="16"/>
  <c r="AB419" i="16" s="1"/>
  <c r="R419" i="16"/>
  <c r="AA420" i="16"/>
  <c r="AB420" i="16" s="1"/>
  <c r="R420" i="16"/>
  <c r="AA421" i="16"/>
  <c r="AB421" i="16" s="1"/>
  <c r="R421" i="16"/>
  <c r="AA422" i="16"/>
  <c r="AB422" i="16" s="1"/>
  <c r="R422" i="16"/>
  <c r="AA423" i="16"/>
  <c r="AB423" i="16" s="1"/>
  <c r="R423" i="16"/>
  <c r="AA424" i="16"/>
  <c r="AB424" i="16" s="1"/>
  <c r="R424" i="16"/>
  <c r="AA425" i="16"/>
  <c r="AB425" i="16" s="1"/>
  <c r="R425" i="16"/>
  <c r="AA426" i="16"/>
  <c r="AB426" i="16" s="1"/>
  <c r="R426" i="16"/>
  <c r="AA427" i="16"/>
  <c r="AB427" i="16" s="1"/>
  <c r="R427" i="16"/>
  <c r="AA428" i="16"/>
  <c r="AB428" i="16" s="1"/>
  <c r="R428" i="16"/>
  <c r="AA429" i="16"/>
  <c r="AB429" i="16" s="1"/>
  <c r="R429" i="16"/>
  <c r="AA430" i="16"/>
  <c r="AB430" i="16" s="1"/>
  <c r="R430" i="16"/>
  <c r="AA431" i="16"/>
  <c r="AB431" i="16" s="1"/>
  <c r="R431" i="16"/>
  <c r="AA432" i="16"/>
  <c r="AB432" i="16" s="1"/>
  <c r="R432" i="16"/>
  <c r="AA433" i="16"/>
  <c r="AB433" i="16" s="1"/>
  <c r="R433" i="16"/>
  <c r="AA434" i="16"/>
  <c r="AB434" i="16" s="1"/>
  <c r="R434" i="16"/>
  <c r="AA435" i="16"/>
  <c r="AB435" i="16" s="1"/>
  <c r="R435" i="16"/>
  <c r="AA436" i="16"/>
  <c r="AB436" i="16" s="1"/>
  <c r="R436" i="16"/>
  <c r="AA437" i="16"/>
  <c r="AB437" i="16" s="1"/>
  <c r="R437" i="16"/>
  <c r="AA438" i="16"/>
  <c r="AB438" i="16" s="1"/>
  <c r="R438" i="16"/>
  <c r="AA439" i="16"/>
  <c r="AB439" i="16" s="1"/>
  <c r="R439" i="16"/>
  <c r="AA440" i="16"/>
  <c r="AB440" i="16" s="1"/>
  <c r="R440" i="16"/>
  <c r="AA441" i="16"/>
  <c r="AB441" i="16" s="1"/>
  <c r="R441" i="16"/>
  <c r="AA442" i="16"/>
  <c r="AB442" i="16" s="1"/>
  <c r="R442" i="16"/>
  <c r="AA443" i="16"/>
  <c r="AB443" i="16" s="1"/>
  <c r="R443" i="16"/>
  <c r="AA444" i="16"/>
  <c r="AB444" i="16" s="1"/>
  <c r="R444" i="16"/>
  <c r="AA445" i="16"/>
  <c r="AB445" i="16" s="1"/>
  <c r="R445" i="16"/>
  <c r="AA446" i="16"/>
  <c r="AB446" i="16" s="1"/>
  <c r="R446" i="16"/>
  <c r="AA447" i="16"/>
  <c r="AB447" i="16" s="1"/>
  <c r="R447" i="16"/>
  <c r="AA448" i="16"/>
  <c r="AB448" i="16" s="1"/>
  <c r="R448" i="16"/>
  <c r="AA449" i="16"/>
  <c r="AB449" i="16" s="1"/>
  <c r="R449" i="16"/>
  <c r="AA450" i="16"/>
  <c r="AB450" i="16" s="1"/>
  <c r="R450" i="16"/>
  <c r="AA451" i="16"/>
  <c r="AB451" i="16" s="1"/>
  <c r="R451" i="16"/>
  <c r="AA452" i="16"/>
  <c r="AB452" i="16" s="1"/>
  <c r="R452" i="16"/>
  <c r="AA453" i="16"/>
  <c r="AB453" i="16" s="1"/>
  <c r="R453" i="16"/>
  <c r="AA454" i="16"/>
  <c r="AB454" i="16" s="1"/>
  <c r="R454" i="16"/>
  <c r="AA455" i="16"/>
  <c r="AB455" i="16" s="1"/>
  <c r="R455" i="16"/>
  <c r="AA456" i="16"/>
  <c r="AB456" i="16" s="1"/>
  <c r="R456" i="16"/>
  <c r="AA457" i="16"/>
  <c r="AB457" i="16" s="1"/>
  <c r="R457" i="16"/>
  <c r="AA458" i="16"/>
  <c r="AB458" i="16" s="1"/>
  <c r="R458" i="16"/>
  <c r="AA459" i="16"/>
  <c r="AB459" i="16" s="1"/>
  <c r="R459" i="16"/>
  <c r="AA460" i="16"/>
  <c r="AB460" i="16" s="1"/>
  <c r="R460" i="16"/>
  <c r="AA461" i="16"/>
  <c r="AB461" i="16" s="1"/>
  <c r="R461" i="16"/>
  <c r="AA462" i="16"/>
  <c r="AB462" i="16" s="1"/>
  <c r="R462" i="16"/>
  <c r="AA463" i="16"/>
  <c r="AB463" i="16" s="1"/>
  <c r="R463" i="16"/>
  <c r="AA464" i="16"/>
  <c r="AB464" i="16" s="1"/>
  <c r="R464" i="16"/>
  <c r="AA465" i="16"/>
  <c r="AB465" i="16" s="1"/>
  <c r="R465" i="16"/>
  <c r="AA466" i="16"/>
  <c r="AB466" i="16" s="1"/>
  <c r="R466" i="16"/>
  <c r="AA467" i="16"/>
  <c r="AB467" i="16" s="1"/>
  <c r="R467" i="16"/>
  <c r="AA468" i="16"/>
  <c r="AB468" i="16" s="1"/>
  <c r="R468" i="16"/>
  <c r="AA469" i="16"/>
  <c r="AB469" i="16" s="1"/>
  <c r="R469" i="16"/>
  <c r="AA470" i="16"/>
  <c r="AB470" i="16" s="1"/>
  <c r="R470" i="16"/>
  <c r="AA471" i="16"/>
  <c r="AB471" i="16" s="1"/>
  <c r="R471" i="16"/>
  <c r="AA472" i="16"/>
  <c r="AB472" i="16" s="1"/>
  <c r="R472" i="16"/>
  <c r="AA473" i="16"/>
  <c r="AB473" i="16" s="1"/>
  <c r="R473" i="16"/>
  <c r="AA474" i="16"/>
  <c r="AB474" i="16" s="1"/>
  <c r="R474" i="16"/>
  <c r="AA475" i="16"/>
  <c r="AB475" i="16" s="1"/>
  <c r="R475" i="16"/>
  <c r="AA476" i="16"/>
  <c r="AB476" i="16" s="1"/>
  <c r="R476" i="16"/>
  <c r="AA477" i="16"/>
  <c r="AB477" i="16" s="1"/>
  <c r="R477" i="16"/>
  <c r="AA478" i="16"/>
  <c r="AB478" i="16" s="1"/>
  <c r="R478" i="16"/>
  <c r="AA479" i="16"/>
  <c r="AB479" i="16" s="1"/>
  <c r="R479" i="16"/>
  <c r="AA480" i="16"/>
  <c r="AB480" i="16" s="1"/>
  <c r="R480" i="16"/>
  <c r="AA481" i="16"/>
  <c r="AB481" i="16" s="1"/>
  <c r="R481" i="16"/>
  <c r="AA482" i="16"/>
  <c r="AB482" i="16" s="1"/>
  <c r="R482" i="16"/>
  <c r="AA483" i="16"/>
  <c r="AB483" i="16" s="1"/>
  <c r="R483" i="16"/>
  <c r="AA484" i="16"/>
  <c r="AB484" i="16" s="1"/>
  <c r="R484" i="16"/>
  <c r="AA485" i="16"/>
  <c r="AB485" i="16" s="1"/>
  <c r="R485" i="16"/>
  <c r="AA486" i="16"/>
  <c r="AB486" i="16" s="1"/>
  <c r="R486" i="16"/>
  <c r="AA487" i="16"/>
  <c r="AB487" i="16" s="1"/>
  <c r="R487" i="16"/>
  <c r="AA488" i="16"/>
  <c r="AB488" i="16" s="1"/>
  <c r="R488" i="16"/>
  <c r="AA489" i="16"/>
  <c r="AB489" i="16" s="1"/>
  <c r="R489" i="16"/>
  <c r="AA490" i="16"/>
  <c r="AB490" i="16" s="1"/>
  <c r="R490" i="16"/>
  <c r="AA491" i="16"/>
  <c r="AB491" i="16" s="1"/>
  <c r="R491" i="16"/>
  <c r="AA492" i="16"/>
  <c r="AB492" i="16" s="1"/>
  <c r="R492" i="16"/>
  <c r="AA493" i="16"/>
  <c r="AB493" i="16" s="1"/>
  <c r="R493" i="16"/>
  <c r="AA494" i="16"/>
  <c r="AB494" i="16" s="1"/>
  <c r="R494" i="16"/>
  <c r="AA495" i="16"/>
  <c r="AB495" i="16" s="1"/>
  <c r="R495" i="16"/>
  <c r="AA496" i="16"/>
  <c r="AB496" i="16" s="1"/>
  <c r="R496" i="16"/>
  <c r="AA497" i="16"/>
  <c r="AB497" i="16" s="1"/>
  <c r="R497" i="16"/>
  <c r="AA498" i="16"/>
  <c r="AB498" i="16" s="1"/>
  <c r="R498" i="16"/>
  <c r="AA499" i="16"/>
  <c r="AB499" i="16" s="1"/>
  <c r="R499" i="16"/>
  <c r="AA500" i="16"/>
  <c r="AB500" i="16" s="1"/>
  <c r="R500" i="16"/>
  <c r="G18" i="15"/>
  <c r="F43" i="15"/>
  <c r="K43" i="15" s="1"/>
  <c r="F31" i="15"/>
  <c r="G31" i="15" s="1"/>
  <c r="F32" i="15"/>
  <c r="K32" i="15" s="1"/>
  <c r="F33" i="15"/>
  <c r="K33" i="15" s="1"/>
  <c r="F34" i="15"/>
  <c r="G34" i="15" s="1"/>
  <c r="F35" i="15"/>
  <c r="K35" i="15" s="1"/>
  <c r="F36" i="15"/>
  <c r="K36" i="15" s="1"/>
  <c r="F37" i="15"/>
  <c r="K37" i="15" s="1"/>
  <c r="F38" i="15"/>
  <c r="K38" i="15" s="1"/>
  <c r="F39" i="15"/>
  <c r="G39" i="15" s="1"/>
  <c r="F40" i="15"/>
  <c r="G40" i="15" s="1"/>
  <c r="F41" i="15"/>
  <c r="I41" i="15" s="1"/>
  <c r="F42" i="15"/>
  <c r="K42" i="15" s="1"/>
  <c r="G15" i="40"/>
  <c r="H8" i="13"/>
  <c r="I8" i="13" s="1"/>
  <c r="G15" i="13"/>
  <c r="J8" i="13"/>
  <c r="J9" i="13"/>
  <c r="J10" i="13"/>
  <c r="J11" i="13"/>
  <c r="J12" i="13"/>
  <c r="J13" i="13"/>
  <c r="F40" i="40"/>
  <c r="K40" i="40" s="1"/>
  <c r="F39" i="40"/>
  <c r="I39" i="40" s="1"/>
  <c r="F38" i="40"/>
  <c r="I38" i="40" s="1"/>
  <c r="F37" i="40"/>
  <c r="I37" i="40" s="1"/>
  <c r="F36" i="40"/>
  <c r="K36" i="40" s="1"/>
  <c r="F35" i="40"/>
  <c r="I35" i="40" s="1"/>
  <c r="F34" i="40"/>
  <c r="I34" i="40" s="1"/>
  <c r="F33" i="40"/>
  <c r="I33" i="40" s="1"/>
  <c r="F32" i="40"/>
  <c r="K32" i="40" s="1"/>
  <c r="F31" i="40"/>
  <c r="I31" i="40" s="1"/>
  <c r="F30" i="40"/>
  <c r="I30" i="40" s="1"/>
  <c r="F29" i="40"/>
  <c r="I29" i="40" s="1"/>
  <c r="F28" i="40"/>
  <c r="K28" i="40" s="1"/>
  <c r="F27" i="40"/>
  <c r="I27" i="40" s="1"/>
  <c r="F26" i="40"/>
  <c r="I26" i="40" s="1"/>
  <c r="F25" i="40"/>
  <c r="F24" i="40"/>
  <c r="G24" i="40" s="1"/>
  <c r="F23" i="40"/>
  <c r="G23" i="40" s="1"/>
  <c r="F22" i="40"/>
  <c r="G22" i="40" s="1"/>
  <c r="F21" i="40"/>
  <c r="G21" i="40" s="1"/>
  <c r="F20" i="40"/>
  <c r="G20" i="40" s="1"/>
  <c r="J13" i="40"/>
  <c r="H13" i="40"/>
  <c r="I13" i="40" s="1"/>
  <c r="I25" i="40" s="1"/>
  <c r="J12" i="40"/>
  <c r="H12" i="40"/>
  <c r="I12" i="40" s="1"/>
  <c r="J11" i="40"/>
  <c r="H11" i="40"/>
  <c r="I11" i="40" s="1"/>
  <c r="J10" i="40"/>
  <c r="H10" i="40"/>
  <c r="I10" i="40" s="1"/>
  <c r="H9" i="40"/>
  <c r="I9" i="40" s="1"/>
  <c r="I21" i="40" s="1"/>
  <c r="J8" i="40"/>
  <c r="H8" i="40"/>
  <c r="I8" i="40" s="1"/>
  <c r="G32" i="40"/>
  <c r="G25" i="40"/>
  <c r="G40" i="40"/>
  <c r="I35" i="15"/>
  <c r="G36" i="15"/>
  <c r="F39" i="13"/>
  <c r="K39" i="13" s="1"/>
  <c r="F40" i="13"/>
  <c r="G40" i="13" s="1"/>
  <c r="F29" i="13"/>
  <c r="I29" i="13" s="1"/>
  <c r="F30" i="13"/>
  <c r="I30" i="13" s="1"/>
  <c r="F31" i="13"/>
  <c r="G31" i="13" s="1"/>
  <c r="F32" i="13"/>
  <c r="G32" i="13" s="1"/>
  <c r="F33" i="13"/>
  <c r="G33" i="13" s="1"/>
  <c r="F34" i="13"/>
  <c r="G34" i="13" s="1"/>
  <c r="F35" i="13"/>
  <c r="G35" i="13" s="1"/>
  <c r="F36" i="13"/>
  <c r="G36" i="13" s="1"/>
  <c r="F37" i="13"/>
  <c r="G37" i="13" s="1"/>
  <c r="F38" i="13"/>
  <c r="G38" i="13" s="1"/>
  <c r="G19" i="39"/>
  <c r="F25" i="39"/>
  <c r="G25" i="39" s="1"/>
  <c r="F26" i="39"/>
  <c r="G26" i="39" s="1"/>
  <c r="F27" i="39"/>
  <c r="G27" i="39" s="1"/>
  <c r="F28" i="39"/>
  <c r="I28" i="39" s="1"/>
  <c r="F29" i="39"/>
  <c r="G29" i="39" s="1"/>
  <c r="F30" i="39"/>
  <c r="G30" i="39" s="1"/>
  <c r="F31" i="39"/>
  <c r="G31" i="39" s="1"/>
  <c r="F32" i="39"/>
  <c r="G32" i="39" s="1"/>
  <c r="F33" i="39"/>
  <c r="G33" i="39" s="1"/>
  <c r="F34" i="39"/>
  <c r="I34" i="39" s="1"/>
  <c r="F35" i="39"/>
  <c r="K35" i="39" s="1"/>
  <c r="F36" i="39"/>
  <c r="I36" i="39" s="1"/>
  <c r="F37" i="39"/>
  <c r="I37" i="39" s="1"/>
  <c r="F38" i="39"/>
  <c r="I38" i="39" s="1"/>
  <c r="F39" i="39"/>
  <c r="I39" i="39" s="1"/>
  <c r="F40" i="39"/>
  <c r="I40" i="39" s="1"/>
  <c r="F41" i="39"/>
  <c r="G41" i="39" s="1"/>
  <c r="F42" i="39"/>
  <c r="K42" i="39" s="1"/>
  <c r="F43" i="39"/>
  <c r="K43" i="39" s="1"/>
  <c r="F44" i="39"/>
  <c r="I44" i="39" s="1"/>
  <c r="F24" i="39"/>
  <c r="G24" i="39" s="1"/>
  <c r="K40" i="13"/>
  <c r="K30" i="13"/>
  <c r="F54" i="11"/>
  <c r="F55" i="11"/>
  <c r="F43" i="11"/>
  <c r="F44" i="11"/>
  <c r="F45" i="11"/>
  <c r="F46" i="11"/>
  <c r="F47" i="11"/>
  <c r="F48" i="11"/>
  <c r="F49" i="11"/>
  <c r="F50" i="11"/>
  <c r="F51" i="11"/>
  <c r="F52" i="11"/>
  <c r="F53" i="11"/>
  <c r="H26" i="11"/>
  <c r="I26" i="11" s="1"/>
  <c r="H25" i="11"/>
  <c r="I25" i="11" s="1"/>
  <c r="H24" i="11"/>
  <c r="I24" i="11" s="1"/>
  <c r="H23" i="11"/>
  <c r="I23" i="11" s="1"/>
  <c r="H22" i="11"/>
  <c r="I22" i="11" s="1"/>
  <c r="H21" i="11"/>
  <c r="I21" i="11" s="1"/>
  <c r="H20" i="11"/>
  <c r="I20" i="11" s="1"/>
  <c r="H19" i="11"/>
  <c r="I19" i="11" s="1"/>
  <c r="H18" i="11"/>
  <c r="I18" i="11" s="1"/>
  <c r="H17" i="11"/>
  <c r="I17" i="11" s="1"/>
  <c r="H15" i="11"/>
  <c r="I15" i="11" s="1"/>
  <c r="H14" i="11"/>
  <c r="I14" i="11" s="1"/>
  <c r="H13" i="11"/>
  <c r="I13" i="11" s="1"/>
  <c r="H12" i="11"/>
  <c r="I12" i="11" s="1"/>
  <c r="H11" i="11"/>
  <c r="I11" i="11" s="1"/>
  <c r="H10" i="11"/>
  <c r="I10" i="11" s="1"/>
  <c r="H9" i="11"/>
  <c r="I9" i="11" s="1"/>
  <c r="F30" i="10"/>
  <c r="G15" i="14"/>
  <c r="G16" i="7"/>
  <c r="H8" i="39"/>
  <c r="I8" i="39" s="1"/>
  <c r="J17" i="39"/>
  <c r="H17" i="39"/>
  <c r="J9" i="39"/>
  <c r="H9" i="39"/>
  <c r="I9" i="39" s="1"/>
  <c r="J8" i="39"/>
  <c r="N27" i="10"/>
  <c r="Q27" i="10" s="1"/>
  <c r="N26" i="10"/>
  <c r="Q26" i="10" s="1"/>
  <c r="N25" i="10"/>
  <c r="Q25" i="10" s="1"/>
  <c r="N24" i="10"/>
  <c r="Q24" i="10" s="1"/>
  <c r="N23" i="10"/>
  <c r="N22" i="10"/>
  <c r="Q22" i="10" s="1"/>
  <c r="N21" i="10"/>
  <c r="Q21" i="10" s="1"/>
  <c r="N20" i="10"/>
  <c r="Q20" i="10" s="1"/>
  <c r="N19" i="10"/>
  <c r="Q19" i="10" s="1"/>
  <c r="N18" i="10"/>
  <c r="Q18" i="10" s="1"/>
  <c r="N17" i="10"/>
  <c r="N16" i="10"/>
  <c r="Q16" i="10" s="1"/>
  <c r="N15" i="10"/>
  <c r="Q15" i="10" s="1"/>
  <c r="N14" i="10"/>
  <c r="Q14" i="10" s="1"/>
  <c r="N13" i="10"/>
  <c r="Q13" i="10" s="1"/>
  <c r="N12" i="10"/>
  <c r="Q12" i="10" s="1"/>
  <c r="N11" i="10"/>
  <c r="N10" i="10"/>
  <c r="Q10" i="10" s="1"/>
  <c r="K27" i="10"/>
  <c r="K26" i="10"/>
  <c r="K25" i="10"/>
  <c r="K24" i="10"/>
  <c r="K23" i="10"/>
  <c r="K22" i="10"/>
  <c r="K21" i="10"/>
  <c r="K20" i="10"/>
  <c r="K19" i="10"/>
  <c r="K18" i="10"/>
  <c r="K17" i="10"/>
  <c r="K16" i="10"/>
  <c r="K15" i="10"/>
  <c r="K14" i="10"/>
  <c r="K13" i="10"/>
  <c r="K12" i="10"/>
  <c r="K11" i="10"/>
  <c r="K10" i="10"/>
  <c r="K9" i="10"/>
  <c r="K8" i="10"/>
  <c r="E43" i="10"/>
  <c r="E44" i="10"/>
  <c r="E45" i="10"/>
  <c r="E46" i="10"/>
  <c r="E47" i="10"/>
  <c r="E48" i="10"/>
  <c r="E49" i="10"/>
  <c r="E50" i="10"/>
  <c r="E51" i="10"/>
  <c r="E52" i="10"/>
  <c r="E53" i="10"/>
  <c r="E54" i="10"/>
  <c r="E55" i="10"/>
  <c r="I9" i="10"/>
  <c r="I10" i="10"/>
  <c r="I30" i="10"/>
  <c r="I11" i="10"/>
  <c r="I12" i="10"/>
  <c r="I13" i="10"/>
  <c r="I14" i="10"/>
  <c r="I15" i="10"/>
  <c r="I16" i="10"/>
  <c r="I17" i="10"/>
  <c r="I18" i="10"/>
  <c r="I19" i="10"/>
  <c r="I20" i="10"/>
  <c r="I21" i="10"/>
  <c r="I22" i="10"/>
  <c r="I23" i="10"/>
  <c r="I24" i="10"/>
  <c r="I25" i="10"/>
  <c r="I26" i="10"/>
  <c r="I27" i="10"/>
  <c r="I28" i="10"/>
  <c r="I8" i="10"/>
  <c r="H28" i="10"/>
  <c r="M28" i="10"/>
  <c r="P28" i="10" s="1"/>
  <c r="H27" i="10"/>
  <c r="H26" i="10"/>
  <c r="H25" i="10"/>
  <c r="H24" i="10"/>
  <c r="H23" i="10"/>
  <c r="H22" i="10"/>
  <c r="H21" i="10"/>
  <c r="H20" i="10"/>
  <c r="H19" i="10"/>
  <c r="H18" i="10"/>
  <c r="H17" i="10"/>
  <c r="H16" i="10"/>
  <c r="H15" i="10"/>
  <c r="H14" i="10"/>
  <c r="H13" i="10"/>
  <c r="H12" i="10"/>
  <c r="H11" i="10"/>
  <c r="H10" i="10"/>
  <c r="H9" i="10"/>
  <c r="H8" i="10"/>
  <c r="F39" i="14"/>
  <c r="I39" i="14" s="1"/>
  <c r="F38" i="14"/>
  <c r="I38" i="14" s="1"/>
  <c r="F37" i="14"/>
  <c r="I37" i="14" s="1"/>
  <c r="F36" i="14"/>
  <c r="G36" i="14" s="1"/>
  <c r="F35" i="14"/>
  <c r="K35" i="14" s="1"/>
  <c r="F34" i="14"/>
  <c r="I34" i="14" s="1"/>
  <c r="F33" i="14"/>
  <c r="I33" i="14" s="1"/>
  <c r="F32" i="14"/>
  <c r="K32" i="14" s="1"/>
  <c r="F31" i="14"/>
  <c r="K31" i="14" s="1"/>
  <c r="F30" i="14"/>
  <c r="G30" i="14" s="1"/>
  <c r="F29" i="14"/>
  <c r="I29" i="14" s="1"/>
  <c r="F28" i="14"/>
  <c r="K28" i="14" s="1"/>
  <c r="H30" i="10"/>
  <c r="M9" i="10"/>
  <c r="P9" i="10" s="1"/>
  <c r="N9" i="10"/>
  <c r="Q9" i="10" s="1"/>
  <c r="M8" i="10"/>
  <c r="N8" i="10"/>
  <c r="Q8" i="10" s="1"/>
  <c r="L143" i="8"/>
  <c r="I42" i="39"/>
  <c r="I41" i="39"/>
  <c r="I30" i="14"/>
  <c r="G34" i="14"/>
  <c r="G38" i="14"/>
  <c r="K38" i="14"/>
  <c r="K30" i="14"/>
  <c r="I28" i="14"/>
  <c r="F29" i="7"/>
  <c r="G29" i="7" s="1"/>
  <c r="F30" i="7"/>
  <c r="I30" i="7" s="1"/>
  <c r="F31" i="7"/>
  <c r="K31" i="7" s="1"/>
  <c r="F32" i="7"/>
  <c r="K32" i="7" s="1"/>
  <c r="F33" i="7"/>
  <c r="K33" i="7" s="1"/>
  <c r="F34" i="7"/>
  <c r="K34" i="7" s="1"/>
  <c r="F35" i="7"/>
  <c r="K35" i="7" s="1"/>
  <c r="F36" i="7"/>
  <c r="K36" i="7" s="1"/>
  <c r="F37" i="7"/>
  <c r="K37" i="7" s="1"/>
  <c r="F38" i="7"/>
  <c r="K38" i="7" s="1"/>
  <c r="F39" i="7"/>
  <c r="G39" i="7" s="1"/>
  <c r="F40" i="7"/>
  <c r="K40" i="7" s="1"/>
  <c r="F41" i="7"/>
  <c r="G41" i="7" s="1"/>
  <c r="G15" i="6"/>
  <c r="F36" i="6"/>
  <c r="I36" i="6" s="1"/>
  <c r="F37" i="6"/>
  <c r="K37" i="6" s="1"/>
  <c r="F38" i="6"/>
  <c r="K38" i="6" s="1"/>
  <c r="F39" i="6"/>
  <c r="K39" i="6" s="1"/>
  <c r="F40" i="6"/>
  <c r="G40" i="6" s="1"/>
  <c r="F28" i="6"/>
  <c r="G28" i="6" s="1"/>
  <c r="F29" i="6"/>
  <c r="I29" i="6" s="1"/>
  <c r="F30" i="6"/>
  <c r="K30" i="6" s="1"/>
  <c r="F31" i="6"/>
  <c r="K31" i="6" s="1"/>
  <c r="F32" i="6"/>
  <c r="G32" i="6" s="1"/>
  <c r="F33" i="6"/>
  <c r="I33" i="6" s="1"/>
  <c r="G33" i="6"/>
  <c r="F34" i="6"/>
  <c r="I34" i="6" s="1"/>
  <c r="F35" i="6"/>
  <c r="K35" i="6" s="1"/>
  <c r="G58" i="5"/>
  <c r="G29" i="6"/>
  <c r="I34" i="7"/>
  <c r="G34" i="7"/>
  <c r="I38" i="7"/>
  <c r="G38" i="7"/>
  <c r="G30" i="7"/>
  <c r="F81" i="5"/>
  <c r="K81" i="5" s="1"/>
  <c r="F82" i="5"/>
  <c r="G82" i="5" s="1"/>
  <c r="F83" i="5"/>
  <c r="I83" i="5" s="1"/>
  <c r="F72" i="5"/>
  <c r="K72" i="5" s="1"/>
  <c r="F73" i="5"/>
  <c r="I73" i="5" s="1"/>
  <c r="F74" i="5"/>
  <c r="G74" i="5" s="1"/>
  <c r="F75" i="5"/>
  <c r="I75" i="5" s="1"/>
  <c r="F76" i="5"/>
  <c r="I76" i="5" s="1"/>
  <c r="F77" i="5"/>
  <c r="K77" i="5" s="1"/>
  <c r="F78" i="5"/>
  <c r="I78" i="5" s="1"/>
  <c r="F79" i="5"/>
  <c r="K79" i="5" s="1"/>
  <c r="F80" i="5"/>
  <c r="G80" i="5" s="1"/>
  <c r="F64" i="5"/>
  <c r="G64" i="5" s="1"/>
  <c r="F65" i="5"/>
  <c r="G65" i="5" s="1"/>
  <c r="F66" i="5"/>
  <c r="G66" i="5" s="1"/>
  <c r="F67" i="5"/>
  <c r="G67" i="5" s="1"/>
  <c r="F68" i="5"/>
  <c r="G68" i="5" s="1"/>
  <c r="F69" i="5"/>
  <c r="K69" i="5" s="1"/>
  <c r="F70" i="5"/>
  <c r="I70" i="5" s="1"/>
  <c r="F71" i="5"/>
  <c r="I71" i="5" s="1"/>
  <c r="AF3" i="35"/>
  <c r="AF4" i="35"/>
  <c r="AF5" i="35"/>
  <c r="AF6" i="35"/>
  <c r="AF7" i="35"/>
  <c r="AF8" i="35"/>
  <c r="AF9" i="35"/>
  <c r="AF10" i="35"/>
  <c r="AF11" i="35"/>
  <c r="AF12" i="35"/>
  <c r="AF13" i="35"/>
  <c r="AF14" i="35"/>
  <c r="AF15" i="35"/>
  <c r="AF16" i="35"/>
  <c r="AF17" i="35"/>
  <c r="AF18" i="35"/>
  <c r="AF19" i="35"/>
  <c r="AF20" i="35"/>
  <c r="AF21" i="35"/>
  <c r="AF22" i="35"/>
  <c r="AF23" i="35"/>
  <c r="AF24" i="35"/>
  <c r="AF25" i="35"/>
  <c r="AF26" i="35"/>
  <c r="AF27" i="35"/>
  <c r="AF28" i="35"/>
  <c r="AF29" i="35"/>
  <c r="AF30" i="35"/>
  <c r="AF31" i="35"/>
  <c r="AF32" i="35"/>
  <c r="AF33" i="35"/>
  <c r="AF34" i="35"/>
  <c r="AF35" i="35"/>
  <c r="AF36" i="35"/>
  <c r="AF37" i="35"/>
  <c r="AF38" i="35"/>
  <c r="AF39" i="35"/>
  <c r="AF40" i="35"/>
  <c r="AF41" i="35"/>
  <c r="AF42" i="35"/>
  <c r="AF43" i="35"/>
  <c r="AF44" i="35"/>
  <c r="AF45" i="35"/>
  <c r="AF46" i="35"/>
  <c r="AF47" i="35"/>
  <c r="AF48" i="35"/>
  <c r="AF49" i="35"/>
  <c r="AF50" i="35"/>
  <c r="AF51" i="35"/>
  <c r="AF52" i="35"/>
  <c r="AF53" i="35"/>
  <c r="AF54" i="35"/>
  <c r="AF55" i="35"/>
  <c r="AF56" i="35"/>
  <c r="AF57" i="35"/>
  <c r="AF58" i="35"/>
  <c r="AF59" i="35"/>
  <c r="AF60" i="35"/>
  <c r="AF61" i="35"/>
  <c r="AF62" i="35"/>
  <c r="AF63" i="35"/>
  <c r="AF64" i="35"/>
  <c r="AF65" i="35"/>
  <c r="AF66" i="35"/>
  <c r="AF67" i="35"/>
  <c r="AF68" i="35"/>
  <c r="AF69" i="35"/>
  <c r="AF70" i="35"/>
  <c r="AF71" i="35"/>
  <c r="AF72" i="35"/>
  <c r="AF73" i="35"/>
  <c r="AF74" i="35"/>
  <c r="AF75" i="35"/>
  <c r="AF76" i="35"/>
  <c r="AF77" i="35"/>
  <c r="AF78" i="35"/>
  <c r="AF79" i="35"/>
  <c r="AF80" i="35"/>
  <c r="AF81" i="35"/>
  <c r="AF82" i="35"/>
  <c r="AF83" i="35"/>
  <c r="AF84" i="35"/>
  <c r="AF85" i="35"/>
  <c r="AF86" i="35"/>
  <c r="AF87" i="35"/>
  <c r="AF88" i="35"/>
  <c r="AF89" i="35"/>
  <c r="AF90" i="35"/>
  <c r="AF91" i="35"/>
  <c r="AF92" i="35"/>
  <c r="AF93" i="35"/>
  <c r="AF94" i="35"/>
  <c r="AF95" i="35"/>
  <c r="AF96" i="35"/>
  <c r="AF97" i="35"/>
  <c r="AF98" i="35"/>
  <c r="AF99" i="35"/>
  <c r="AF100" i="35"/>
  <c r="AF101" i="35"/>
  <c r="AF102" i="35"/>
  <c r="AF103" i="35"/>
  <c r="AF104" i="35"/>
  <c r="AF105" i="35"/>
  <c r="AF106" i="35"/>
  <c r="AF107" i="35"/>
  <c r="AF108" i="35"/>
  <c r="AF109" i="35"/>
  <c r="AF110" i="35"/>
  <c r="AF111" i="35"/>
  <c r="AF112" i="35"/>
  <c r="AF113" i="35"/>
  <c r="AF114" i="35"/>
  <c r="AF115" i="35"/>
  <c r="AF116" i="35"/>
  <c r="AF117" i="35"/>
  <c r="AF118" i="35"/>
  <c r="AF119" i="35"/>
  <c r="AF120" i="35"/>
  <c r="AF121" i="35"/>
  <c r="AF122" i="35"/>
  <c r="AF123" i="35"/>
  <c r="AF124" i="35"/>
  <c r="AF125" i="35"/>
  <c r="AF126" i="35"/>
  <c r="AF127" i="35"/>
  <c r="AF128" i="35"/>
  <c r="AF129" i="35"/>
  <c r="AF130" i="35"/>
  <c r="AF131" i="35"/>
  <c r="AF132" i="35"/>
  <c r="AF133" i="35"/>
  <c r="AF134" i="35"/>
  <c r="AF135" i="35"/>
  <c r="AF136" i="35"/>
  <c r="AF137" i="35"/>
  <c r="AF138" i="35"/>
  <c r="AF139" i="35"/>
  <c r="AF140" i="35"/>
  <c r="AF141" i="35"/>
  <c r="AF142" i="35"/>
  <c r="AF143" i="35"/>
  <c r="AF144" i="35"/>
  <c r="AF145" i="35"/>
  <c r="AF146" i="35"/>
  <c r="AF147" i="35"/>
  <c r="AF148" i="35"/>
  <c r="AF149" i="35"/>
  <c r="AF150" i="35"/>
  <c r="AF151" i="35"/>
  <c r="AF152" i="35"/>
  <c r="AF153" i="35"/>
  <c r="AF154" i="35"/>
  <c r="AF155" i="35"/>
  <c r="AF156" i="35"/>
  <c r="AF157" i="35"/>
  <c r="AF158" i="35"/>
  <c r="AF159" i="35"/>
  <c r="AF160" i="35"/>
  <c r="AF161" i="35"/>
  <c r="AF162" i="35"/>
  <c r="AF163" i="35"/>
  <c r="AF164" i="35"/>
  <c r="AF165" i="35"/>
  <c r="AF166" i="35"/>
  <c r="AF167" i="35"/>
  <c r="AF168" i="35"/>
  <c r="AF169" i="35"/>
  <c r="AF170" i="35"/>
  <c r="AF171" i="35"/>
  <c r="AF172" i="35"/>
  <c r="AF173" i="35"/>
  <c r="AF174" i="35"/>
  <c r="AF175" i="35"/>
  <c r="AF176" i="35"/>
  <c r="AF177" i="35"/>
  <c r="AF178" i="35"/>
  <c r="AF179" i="35"/>
  <c r="AF180" i="35"/>
  <c r="AF181" i="35"/>
  <c r="AF182" i="35"/>
  <c r="AF183" i="35"/>
  <c r="AF184" i="35"/>
  <c r="AF185" i="35"/>
  <c r="AF186" i="35"/>
  <c r="AF187" i="35"/>
  <c r="AF188" i="35"/>
  <c r="AF189" i="35"/>
  <c r="AF190" i="35"/>
  <c r="AF191" i="35"/>
  <c r="AF192" i="35"/>
  <c r="AF193" i="35"/>
  <c r="AF194" i="35"/>
  <c r="AF195" i="35"/>
  <c r="AF196" i="35"/>
  <c r="AF197" i="35"/>
  <c r="AF198" i="35"/>
  <c r="AF199" i="35"/>
  <c r="AF200" i="35"/>
  <c r="AF201" i="35"/>
  <c r="AF202" i="35"/>
  <c r="AF203" i="35"/>
  <c r="AF204" i="35"/>
  <c r="AF205" i="35"/>
  <c r="AF206" i="35"/>
  <c r="AF207" i="35"/>
  <c r="AF208" i="35"/>
  <c r="AF209" i="35"/>
  <c r="AF210" i="35"/>
  <c r="AF211" i="35"/>
  <c r="AF212" i="35"/>
  <c r="AF213" i="35"/>
  <c r="AF214" i="35"/>
  <c r="AF215" i="35"/>
  <c r="AF216" i="35"/>
  <c r="AF217" i="35"/>
  <c r="AF218" i="35"/>
  <c r="AF219" i="35"/>
  <c r="AF220" i="35"/>
  <c r="AF221" i="35"/>
  <c r="AF222" i="35"/>
  <c r="AF223" i="35"/>
  <c r="AF224" i="35"/>
  <c r="AF225" i="35"/>
  <c r="AF226" i="35"/>
  <c r="AF227" i="35"/>
  <c r="AF228" i="35"/>
  <c r="AF229" i="35"/>
  <c r="AF230" i="35"/>
  <c r="AF231" i="35"/>
  <c r="AF232" i="35"/>
  <c r="AF233" i="35"/>
  <c r="AF234" i="35"/>
  <c r="AF235" i="35"/>
  <c r="AF236" i="35"/>
  <c r="AF237" i="35"/>
  <c r="AF238" i="35"/>
  <c r="AF239" i="35"/>
  <c r="AF240" i="35"/>
  <c r="AF241" i="35"/>
  <c r="AF242" i="35"/>
  <c r="AF243" i="35"/>
  <c r="AF244" i="35"/>
  <c r="AF245" i="35"/>
  <c r="AF246" i="35"/>
  <c r="AF247" i="35"/>
  <c r="AF248" i="35"/>
  <c r="AF249" i="35"/>
  <c r="AF250" i="35"/>
  <c r="AF251" i="35"/>
  <c r="AF252" i="35"/>
  <c r="AF253" i="35"/>
  <c r="AF254" i="35"/>
  <c r="AF255" i="35"/>
  <c r="AF256" i="35"/>
  <c r="AF257" i="35"/>
  <c r="AF258" i="35"/>
  <c r="AF259" i="35"/>
  <c r="AF260" i="35"/>
  <c r="AF261" i="35"/>
  <c r="AF262" i="35"/>
  <c r="AF263" i="35"/>
  <c r="AF264" i="35"/>
  <c r="AF265" i="35"/>
  <c r="AF266" i="35"/>
  <c r="AF267" i="35"/>
  <c r="AF268" i="35"/>
  <c r="AF269" i="35"/>
  <c r="AF270" i="35"/>
  <c r="AF271" i="35"/>
  <c r="AF272" i="35"/>
  <c r="AF273" i="35"/>
  <c r="AF274" i="35"/>
  <c r="AF275" i="35"/>
  <c r="AF276" i="35"/>
  <c r="AF277" i="35"/>
  <c r="AF278" i="35"/>
  <c r="AF279" i="35"/>
  <c r="AF280" i="35"/>
  <c r="AF281" i="35"/>
  <c r="AF282" i="35"/>
  <c r="AF283" i="35"/>
  <c r="AF284" i="35"/>
  <c r="AF285" i="35"/>
  <c r="AF286" i="35"/>
  <c r="AF287" i="35"/>
  <c r="AF288" i="35"/>
  <c r="AF289" i="35"/>
  <c r="AF290" i="35"/>
  <c r="AF291" i="35"/>
  <c r="AF292" i="35"/>
  <c r="AF293" i="35"/>
  <c r="AF294" i="35"/>
  <c r="AF295" i="35"/>
  <c r="AF296" i="35"/>
  <c r="AF297" i="35"/>
  <c r="AF298" i="35"/>
  <c r="AF299" i="35"/>
  <c r="AF300" i="35"/>
  <c r="AF301" i="35"/>
  <c r="AF302" i="35"/>
  <c r="AF303" i="35"/>
  <c r="AF304" i="35"/>
  <c r="AF305" i="35"/>
  <c r="AF306" i="35"/>
  <c r="AF307" i="35"/>
  <c r="AF308" i="35"/>
  <c r="AF309" i="35"/>
  <c r="AF310" i="35"/>
  <c r="AF311" i="35"/>
  <c r="AF312" i="35"/>
  <c r="AF313" i="35"/>
  <c r="AF314" i="35"/>
  <c r="AF315" i="35"/>
  <c r="AF316" i="35"/>
  <c r="AF317" i="35"/>
  <c r="AF318" i="35"/>
  <c r="AF319" i="35"/>
  <c r="AF320" i="35"/>
  <c r="AF321" i="35"/>
  <c r="AF322" i="35"/>
  <c r="AF323" i="35"/>
  <c r="AF324" i="35"/>
  <c r="AF325" i="35"/>
  <c r="AF326" i="35"/>
  <c r="AF327" i="35"/>
  <c r="AF328" i="35"/>
  <c r="AF329" i="35"/>
  <c r="AF330" i="35"/>
  <c r="AF331" i="35"/>
  <c r="AF332" i="35"/>
  <c r="AF333" i="35"/>
  <c r="AF334" i="35"/>
  <c r="AF335" i="35"/>
  <c r="AF336" i="35"/>
  <c r="AF337" i="35"/>
  <c r="AF338" i="35"/>
  <c r="AF339" i="35"/>
  <c r="AF340" i="35"/>
  <c r="AF341" i="35"/>
  <c r="AF342" i="35"/>
  <c r="AF343" i="35"/>
  <c r="AF344" i="35"/>
  <c r="AF345" i="35"/>
  <c r="AF346" i="35"/>
  <c r="AF347" i="35"/>
  <c r="AF348" i="35"/>
  <c r="AF349" i="35"/>
  <c r="AF350" i="35"/>
  <c r="AF351" i="35"/>
  <c r="AF352" i="35"/>
  <c r="AF353" i="35"/>
  <c r="AF354" i="35"/>
  <c r="AF355" i="35"/>
  <c r="AF356" i="35"/>
  <c r="AF357" i="35"/>
  <c r="AF358" i="35"/>
  <c r="AF359" i="35"/>
  <c r="AF360" i="35"/>
  <c r="AF361" i="35"/>
  <c r="AF362" i="35"/>
  <c r="AF363" i="35"/>
  <c r="AF364" i="35"/>
  <c r="AF365" i="35"/>
  <c r="AF366" i="35"/>
  <c r="AF367" i="35"/>
  <c r="AF368" i="35"/>
  <c r="AF369" i="35"/>
  <c r="AF370" i="35"/>
  <c r="AF371" i="35"/>
  <c r="AF372" i="35"/>
  <c r="AF373" i="35"/>
  <c r="AF374" i="35"/>
  <c r="AF375" i="35"/>
  <c r="AF376" i="35"/>
  <c r="AF377" i="35"/>
  <c r="AF378" i="35"/>
  <c r="AF379" i="35"/>
  <c r="AF380" i="35"/>
  <c r="AF381" i="35"/>
  <c r="AF382" i="35"/>
  <c r="AF383" i="35"/>
  <c r="AF384" i="35"/>
  <c r="AF385" i="35"/>
  <c r="AF386" i="35"/>
  <c r="AF387" i="35"/>
  <c r="AF388" i="35"/>
  <c r="AF389" i="35"/>
  <c r="AF390" i="35"/>
  <c r="AF391" i="35"/>
  <c r="AF392" i="35"/>
  <c r="AF393" i="35"/>
  <c r="AF394" i="35"/>
  <c r="AF395" i="35"/>
  <c r="AF396" i="35"/>
  <c r="AF397" i="35"/>
  <c r="AF398" i="35"/>
  <c r="AF399" i="35"/>
  <c r="AF400" i="35"/>
  <c r="AF401" i="35"/>
  <c r="AF402" i="35"/>
  <c r="AF403" i="35"/>
  <c r="AF404" i="35"/>
  <c r="AF405" i="35"/>
  <c r="AF406" i="35"/>
  <c r="AF407" i="35"/>
  <c r="AF408" i="35"/>
  <c r="AF409" i="35"/>
  <c r="AF410" i="35"/>
  <c r="AF411" i="35"/>
  <c r="AF412" i="35"/>
  <c r="AF413" i="35"/>
  <c r="AF414" i="35"/>
  <c r="AF415" i="35"/>
  <c r="AF416" i="35"/>
  <c r="AF417" i="35"/>
  <c r="AF418" i="35"/>
  <c r="AF419" i="35"/>
  <c r="AF420" i="35"/>
  <c r="AF421" i="35"/>
  <c r="AF422" i="35"/>
  <c r="AF423" i="35"/>
  <c r="AF424" i="35"/>
  <c r="AF425" i="35"/>
  <c r="AF426" i="35"/>
  <c r="AF427" i="35"/>
  <c r="AF428" i="35"/>
  <c r="AF429" i="35"/>
  <c r="AF430" i="35"/>
  <c r="AF431" i="35"/>
  <c r="AF432" i="35"/>
  <c r="AF433" i="35"/>
  <c r="AF434" i="35"/>
  <c r="AF435" i="35"/>
  <c r="AF436" i="35"/>
  <c r="AF437" i="35"/>
  <c r="AF438" i="35"/>
  <c r="AF439" i="35"/>
  <c r="AF440" i="35"/>
  <c r="AF441" i="35"/>
  <c r="AF442" i="35"/>
  <c r="AF443" i="35"/>
  <c r="AF444" i="35"/>
  <c r="AF445" i="35"/>
  <c r="AF446" i="35"/>
  <c r="AF447" i="35"/>
  <c r="AF448" i="35"/>
  <c r="AF449" i="35"/>
  <c r="AF450" i="35"/>
  <c r="AF451" i="35"/>
  <c r="AF452" i="35"/>
  <c r="AF453" i="35"/>
  <c r="AF454" i="35"/>
  <c r="AF455" i="35"/>
  <c r="AF456" i="35"/>
  <c r="AF457" i="35"/>
  <c r="AF458" i="35"/>
  <c r="AF459" i="35"/>
  <c r="AF460" i="35"/>
  <c r="AF461" i="35"/>
  <c r="AF462" i="35"/>
  <c r="AF463" i="35"/>
  <c r="AF464" i="35"/>
  <c r="AF465" i="35"/>
  <c r="AF466" i="35"/>
  <c r="AF467" i="35"/>
  <c r="AF468" i="35"/>
  <c r="AF469" i="35"/>
  <c r="AF470" i="35"/>
  <c r="AF471" i="35"/>
  <c r="AF472" i="35"/>
  <c r="AF473" i="35"/>
  <c r="AF474" i="35"/>
  <c r="AF475" i="35"/>
  <c r="AF476" i="35"/>
  <c r="AF477" i="35"/>
  <c r="AF478" i="35"/>
  <c r="AF479" i="35"/>
  <c r="AF480" i="35"/>
  <c r="AF481" i="35"/>
  <c r="AF482" i="35"/>
  <c r="AF483" i="35"/>
  <c r="AF484" i="35"/>
  <c r="AF485" i="35"/>
  <c r="AF486" i="35"/>
  <c r="AF487" i="35"/>
  <c r="AF488" i="35"/>
  <c r="AF489" i="35"/>
  <c r="AF490" i="35"/>
  <c r="AF491" i="35"/>
  <c r="AF492" i="35"/>
  <c r="AF493" i="35"/>
  <c r="AF494" i="35"/>
  <c r="AF495" i="35"/>
  <c r="AF496" i="35"/>
  <c r="AF497" i="35"/>
  <c r="AF498" i="35"/>
  <c r="AF499" i="35"/>
  <c r="AF500" i="35"/>
  <c r="AF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8" i="35"/>
  <c r="M49" i="35"/>
  <c r="M50" i="35"/>
  <c r="M51" i="35"/>
  <c r="M52" i="35"/>
  <c r="M53" i="35"/>
  <c r="M54" i="35"/>
  <c r="M55" i="35"/>
  <c r="M56" i="35"/>
  <c r="M57" i="35"/>
  <c r="M58" i="35"/>
  <c r="M59" i="35"/>
  <c r="M60" i="35"/>
  <c r="M61" i="35"/>
  <c r="M62" i="35"/>
  <c r="M63" i="35"/>
  <c r="M64" i="35"/>
  <c r="M65" i="35"/>
  <c r="M66" i="35"/>
  <c r="M67" i="35"/>
  <c r="M68" i="35"/>
  <c r="M69" i="35"/>
  <c r="M70" i="35"/>
  <c r="M71" i="35"/>
  <c r="M72" i="35"/>
  <c r="M73" i="35"/>
  <c r="M74" i="35"/>
  <c r="M75" i="35"/>
  <c r="M76" i="35"/>
  <c r="M77" i="35"/>
  <c r="M78" i="35"/>
  <c r="M79" i="35"/>
  <c r="M80" i="35"/>
  <c r="M81" i="35"/>
  <c r="M82" i="35"/>
  <c r="M83" i="35"/>
  <c r="M84" i="35"/>
  <c r="M85" i="35"/>
  <c r="M86" i="35"/>
  <c r="M87" i="35"/>
  <c r="M88" i="35"/>
  <c r="M89" i="35"/>
  <c r="M90" i="35"/>
  <c r="M91" i="35"/>
  <c r="M92" i="35"/>
  <c r="M93" i="35"/>
  <c r="M94" i="35"/>
  <c r="M95" i="35"/>
  <c r="M96" i="35"/>
  <c r="M97" i="35"/>
  <c r="M98" i="35"/>
  <c r="M99" i="35"/>
  <c r="M100" i="35"/>
  <c r="M101" i="35"/>
  <c r="M102" i="35"/>
  <c r="M103" i="35"/>
  <c r="M104" i="35"/>
  <c r="M105" i="35"/>
  <c r="M106" i="35"/>
  <c r="M107" i="35"/>
  <c r="M108" i="35"/>
  <c r="M109" i="35"/>
  <c r="M110" i="35"/>
  <c r="M111" i="35"/>
  <c r="M112" i="35"/>
  <c r="M113" i="35"/>
  <c r="M114" i="35"/>
  <c r="M115" i="35"/>
  <c r="M116" i="35"/>
  <c r="M117" i="35"/>
  <c r="M118" i="35"/>
  <c r="M119" i="35"/>
  <c r="M120" i="35"/>
  <c r="M121" i="35"/>
  <c r="M122" i="35"/>
  <c r="M123" i="35"/>
  <c r="M124" i="35"/>
  <c r="M125" i="35"/>
  <c r="M126" i="35"/>
  <c r="M127" i="35"/>
  <c r="M128" i="35"/>
  <c r="M129" i="35"/>
  <c r="M130" i="35"/>
  <c r="M131" i="35"/>
  <c r="M132" i="35"/>
  <c r="M133" i="35"/>
  <c r="M134" i="35"/>
  <c r="M135" i="35"/>
  <c r="M136" i="35"/>
  <c r="M137" i="35"/>
  <c r="M138" i="35"/>
  <c r="M139" i="35"/>
  <c r="M140" i="35"/>
  <c r="M141" i="35"/>
  <c r="M142" i="35"/>
  <c r="M143" i="35"/>
  <c r="M144" i="35"/>
  <c r="M145" i="35"/>
  <c r="M146" i="35"/>
  <c r="M147" i="35"/>
  <c r="M148" i="35"/>
  <c r="M149" i="35"/>
  <c r="M150" i="35"/>
  <c r="M151" i="35"/>
  <c r="M152" i="35"/>
  <c r="M153" i="35"/>
  <c r="M154" i="35"/>
  <c r="M155" i="35"/>
  <c r="M156" i="35"/>
  <c r="M157" i="35"/>
  <c r="M158" i="35"/>
  <c r="M159" i="35"/>
  <c r="M160" i="35"/>
  <c r="M161" i="35"/>
  <c r="M162" i="35"/>
  <c r="M163" i="35"/>
  <c r="M164" i="35"/>
  <c r="M165" i="35"/>
  <c r="M166" i="35"/>
  <c r="M167" i="35"/>
  <c r="M168" i="35"/>
  <c r="M169" i="35"/>
  <c r="M170" i="35"/>
  <c r="M171" i="35"/>
  <c r="M172" i="35"/>
  <c r="M173" i="35"/>
  <c r="M174" i="35"/>
  <c r="M175" i="35"/>
  <c r="M176" i="35"/>
  <c r="M177" i="35"/>
  <c r="M178" i="35"/>
  <c r="M179" i="35"/>
  <c r="M180" i="35"/>
  <c r="M181" i="35"/>
  <c r="M182" i="35"/>
  <c r="M183" i="35"/>
  <c r="M184" i="35"/>
  <c r="M185" i="35"/>
  <c r="M186" i="35"/>
  <c r="M187" i="35"/>
  <c r="M188" i="35"/>
  <c r="M189" i="35"/>
  <c r="M190" i="35"/>
  <c r="M191" i="35"/>
  <c r="M192" i="35"/>
  <c r="M193" i="35"/>
  <c r="M194" i="35"/>
  <c r="M195" i="35"/>
  <c r="M196" i="35"/>
  <c r="M197" i="35"/>
  <c r="M198" i="35"/>
  <c r="M199" i="35"/>
  <c r="M200" i="35"/>
  <c r="M201" i="35"/>
  <c r="M202" i="35"/>
  <c r="M203" i="35"/>
  <c r="M204" i="35"/>
  <c r="M205" i="35"/>
  <c r="M206" i="35"/>
  <c r="M207" i="35"/>
  <c r="M208" i="35"/>
  <c r="M209" i="35"/>
  <c r="M210" i="35"/>
  <c r="M211" i="35"/>
  <c r="M212" i="35"/>
  <c r="M213" i="35"/>
  <c r="M214" i="35"/>
  <c r="M215" i="35"/>
  <c r="M216" i="35"/>
  <c r="M217" i="35"/>
  <c r="M218" i="35"/>
  <c r="M219" i="35"/>
  <c r="M220" i="35"/>
  <c r="M221" i="35"/>
  <c r="M222" i="35"/>
  <c r="M223" i="35"/>
  <c r="M224" i="35"/>
  <c r="M225" i="35"/>
  <c r="M226" i="35"/>
  <c r="M227" i="35"/>
  <c r="M228" i="35"/>
  <c r="M229" i="35"/>
  <c r="M230" i="35"/>
  <c r="M231" i="35"/>
  <c r="M232" i="35"/>
  <c r="M233" i="35"/>
  <c r="M234" i="35"/>
  <c r="M235" i="35"/>
  <c r="M236" i="35"/>
  <c r="M237" i="35"/>
  <c r="M238" i="35"/>
  <c r="M239" i="35"/>
  <c r="M240" i="35"/>
  <c r="M241" i="35"/>
  <c r="M242" i="35"/>
  <c r="M243" i="35"/>
  <c r="M244" i="35"/>
  <c r="M245" i="35"/>
  <c r="M246" i="35"/>
  <c r="M247" i="35"/>
  <c r="M248" i="35"/>
  <c r="M249" i="35"/>
  <c r="M250" i="35"/>
  <c r="M251" i="35"/>
  <c r="M252" i="35"/>
  <c r="M253" i="35"/>
  <c r="M254" i="35"/>
  <c r="M255" i="35"/>
  <c r="M256" i="35"/>
  <c r="M257" i="35"/>
  <c r="M258" i="35"/>
  <c r="M259" i="35"/>
  <c r="M260" i="35"/>
  <c r="M261" i="35"/>
  <c r="M262" i="35"/>
  <c r="M263" i="35"/>
  <c r="M264" i="35"/>
  <c r="M265" i="35"/>
  <c r="M266" i="35"/>
  <c r="M267" i="35"/>
  <c r="M268" i="35"/>
  <c r="M269" i="35"/>
  <c r="M270" i="35"/>
  <c r="M271" i="35"/>
  <c r="M272" i="35"/>
  <c r="M273" i="35"/>
  <c r="M274" i="35"/>
  <c r="M275" i="35"/>
  <c r="M276" i="35"/>
  <c r="M277" i="35"/>
  <c r="M278" i="35"/>
  <c r="M279" i="35"/>
  <c r="M280" i="35"/>
  <c r="M281" i="35"/>
  <c r="M282" i="35"/>
  <c r="M283" i="35"/>
  <c r="M284" i="35"/>
  <c r="M285" i="35"/>
  <c r="M286" i="35"/>
  <c r="M287" i="35"/>
  <c r="M288" i="35"/>
  <c r="M289" i="35"/>
  <c r="M290" i="35"/>
  <c r="M291" i="35"/>
  <c r="M292" i="35"/>
  <c r="M293" i="35"/>
  <c r="M294" i="35"/>
  <c r="M295" i="35"/>
  <c r="M296" i="35"/>
  <c r="M297" i="35"/>
  <c r="M298" i="35"/>
  <c r="M299" i="35"/>
  <c r="M300" i="35"/>
  <c r="M301" i="35"/>
  <c r="M302" i="35"/>
  <c r="M303" i="35"/>
  <c r="M304" i="35"/>
  <c r="M305" i="35"/>
  <c r="M306" i="35"/>
  <c r="M307" i="35"/>
  <c r="M308" i="35"/>
  <c r="M309" i="35"/>
  <c r="M310" i="35"/>
  <c r="M311" i="35"/>
  <c r="M312" i="35"/>
  <c r="M313" i="35"/>
  <c r="M314" i="35"/>
  <c r="M315" i="35"/>
  <c r="M316" i="35"/>
  <c r="M317" i="35"/>
  <c r="M318" i="35"/>
  <c r="M319" i="35"/>
  <c r="M320" i="35"/>
  <c r="M321" i="35"/>
  <c r="M322" i="35"/>
  <c r="M323" i="35"/>
  <c r="M324" i="35"/>
  <c r="M325" i="35"/>
  <c r="M326" i="35"/>
  <c r="M327" i="35"/>
  <c r="M328" i="35"/>
  <c r="M329" i="35"/>
  <c r="M330" i="35"/>
  <c r="M331" i="35"/>
  <c r="M332" i="35"/>
  <c r="M333" i="35"/>
  <c r="M334" i="35"/>
  <c r="M335" i="35"/>
  <c r="M336" i="35"/>
  <c r="M337" i="35"/>
  <c r="M338" i="35"/>
  <c r="M339" i="35"/>
  <c r="M340" i="35"/>
  <c r="M341" i="35"/>
  <c r="M342" i="35"/>
  <c r="M343" i="35"/>
  <c r="M344" i="35"/>
  <c r="M345" i="35"/>
  <c r="M346" i="35"/>
  <c r="M347" i="35"/>
  <c r="M348" i="35"/>
  <c r="M349" i="35"/>
  <c r="M350" i="35"/>
  <c r="M351" i="35"/>
  <c r="M352" i="35"/>
  <c r="M353" i="35"/>
  <c r="M354" i="35"/>
  <c r="M355" i="35"/>
  <c r="M356" i="35"/>
  <c r="M357" i="35"/>
  <c r="M358" i="35"/>
  <c r="M359" i="35"/>
  <c r="M360" i="35"/>
  <c r="M361" i="35"/>
  <c r="M362" i="35"/>
  <c r="M363" i="35"/>
  <c r="M364" i="35"/>
  <c r="M365" i="35"/>
  <c r="M366" i="35"/>
  <c r="M367" i="35"/>
  <c r="M368" i="35"/>
  <c r="M369" i="35"/>
  <c r="M370" i="35"/>
  <c r="M371" i="35"/>
  <c r="M372" i="35"/>
  <c r="M373" i="35"/>
  <c r="M374" i="35"/>
  <c r="M375" i="35"/>
  <c r="M376" i="35"/>
  <c r="M377" i="35"/>
  <c r="M378" i="35"/>
  <c r="M379" i="35"/>
  <c r="M380" i="35"/>
  <c r="M381" i="35"/>
  <c r="M382" i="35"/>
  <c r="M383" i="35"/>
  <c r="M384" i="35"/>
  <c r="M385" i="35"/>
  <c r="M386" i="35"/>
  <c r="M387" i="35"/>
  <c r="M388" i="35"/>
  <c r="M389" i="35"/>
  <c r="M390" i="35"/>
  <c r="M391" i="35"/>
  <c r="M392" i="35"/>
  <c r="M393" i="35"/>
  <c r="M394" i="35"/>
  <c r="M395" i="35"/>
  <c r="M396" i="35"/>
  <c r="M397" i="35"/>
  <c r="M398" i="35"/>
  <c r="M399" i="35"/>
  <c r="M400" i="35"/>
  <c r="M401" i="35"/>
  <c r="M402" i="35"/>
  <c r="M403" i="35"/>
  <c r="M404" i="35"/>
  <c r="M405" i="35"/>
  <c r="M406" i="35"/>
  <c r="M407" i="35"/>
  <c r="M408" i="35"/>
  <c r="M409" i="35"/>
  <c r="M410" i="35"/>
  <c r="M411" i="35"/>
  <c r="M412" i="35"/>
  <c r="M413" i="35"/>
  <c r="M414" i="35"/>
  <c r="M415" i="35"/>
  <c r="M416" i="35"/>
  <c r="M417" i="35"/>
  <c r="M418" i="35"/>
  <c r="M419" i="35"/>
  <c r="M420" i="35"/>
  <c r="M421" i="35"/>
  <c r="M422" i="35"/>
  <c r="M423" i="35"/>
  <c r="M424" i="35"/>
  <c r="M425" i="35"/>
  <c r="M426" i="35"/>
  <c r="M427" i="35"/>
  <c r="M428" i="35"/>
  <c r="M429" i="35"/>
  <c r="M430" i="35"/>
  <c r="M431" i="35"/>
  <c r="M432" i="35"/>
  <c r="M433" i="35"/>
  <c r="M434" i="35"/>
  <c r="M435" i="35"/>
  <c r="M436" i="35"/>
  <c r="M437" i="35"/>
  <c r="M438" i="35"/>
  <c r="M439" i="35"/>
  <c r="M440" i="35"/>
  <c r="M441" i="35"/>
  <c r="M442" i="35"/>
  <c r="M443" i="35"/>
  <c r="M444" i="35"/>
  <c r="M445" i="35"/>
  <c r="M446" i="35"/>
  <c r="M447" i="35"/>
  <c r="M448" i="35"/>
  <c r="M449" i="35"/>
  <c r="M450" i="35"/>
  <c r="M451" i="35"/>
  <c r="M452" i="35"/>
  <c r="M453" i="35"/>
  <c r="M454" i="35"/>
  <c r="M455" i="35"/>
  <c r="M456" i="35"/>
  <c r="M457" i="35"/>
  <c r="M458" i="35"/>
  <c r="M459" i="35"/>
  <c r="M460" i="35"/>
  <c r="M461" i="35"/>
  <c r="M462" i="35"/>
  <c r="M463" i="35"/>
  <c r="M464" i="35"/>
  <c r="M465" i="35"/>
  <c r="M466" i="35"/>
  <c r="M467" i="35"/>
  <c r="M468" i="35"/>
  <c r="M469" i="35"/>
  <c r="M470" i="35"/>
  <c r="M471" i="35"/>
  <c r="M472" i="35"/>
  <c r="M473" i="35"/>
  <c r="M474" i="35"/>
  <c r="M475" i="35"/>
  <c r="M476" i="35"/>
  <c r="M477" i="35"/>
  <c r="M478" i="35"/>
  <c r="M479" i="35"/>
  <c r="M480" i="35"/>
  <c r="M481" i="35"/>
  <c r="M482" i="35"/>
  <c r="M483" i="35"/>
  <c r="M484" i="35"/>
  <c r="M485" i="35"/>
  <c r="M486" i="35"/>
  <c r="M487" i="35"/>
  <c r="M488" i="35"/>
  <c r="M489" i="35"/>
  <c r="M490" i="35"/>
  <c r="M491" i="35"/>
  <c r="M492" i="35"/>
  <c r="M493" i="35"/>
  <c r="M494" i="35"/>
  <c r="M495" i="35"/>
  <c r="M496" i="35"/>
  <c r="M497" i="35"/>
  <c r="M498" i="35"/>
  <c r="M499" i="35"/>
  <c r="M500" i="35"/>
  <c r="M2" i="35"/>
  <c r="I3" i="16"/>
  <c r="I5"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F28" i="13"/>
  <c r="I28" i="13" s="1"/>
  <c r="C10" i="1"/>
  <c r="C16" i="1"/>
  <c r="C14" i="1"/>
  <c r="AC2" i="16"/>
  <c r="N2" i="16" s="1"/>
  <c r="F21" i="6"/>
  <c r="G21" i="6" s="1"/>
  <c r="H8" i="11"/>
  <c r="I8" i="11" s="1"/>
  <c r="J8" i="11"/>
  <c r="J9" i="11"/>
  <c r="J10" i="11"/>
  <c r="J11" i="11"/>
  <c r="J12" i="11"/>
  <c r="J13" i="11"/>
  <c r="J14" i="11"/>
  <c r="J15" i="11"/>
  <c r="J17" i="11"/>
  <c r="J18" i="11"/>
  <c r="J19" i="11"/>
  <c r="J20" i="11"/>
  <c r="J21" i="11"/>
  <c r="J22" i="11"/>
  <c r="J23" i="11"/>
  <c r="J24" i="11"/>
  <c r="J25" i="11"/>
  <c r="J26" i="11"/>
  <c r="H27" i="11"/>
  <c r="I27" i="11" s="1"/>
  <c r="J27" i="11"/>
  <c r="H28" i="11"/>
  <c r="I28" i="11" s="1"/>
  <c r="J28" i="11"/>
  <c r="H9" i="13"/>
  <c r="I9" i="13" s="1"/>
  <c r="H10" i="13"/>
  <c r="I10" i="13" s="1"/>
  <c r="H11" i="13"/>
  <c r="I11" i="13" s="1"/>
  <c r="H12" i="13"/>
  <c r="I12" i="13" s="1"/>
  <c r="H13" i="13"/>
  <c r="I13" i="13" s="1"/>
  <c r="H8" i="14"/>
  <c r="I8" i="14" s="1"/>
  <c r="J8" i="14"/>
  <c r="H9" i="14"/>
  <c r="I9" i="14" s="1"/>
  <c r="J9" i="14"/>
  <c r="H10" i="14"/>
  <c r="I10" i="14" s="1"/>
  <c r="J10" i="14"/>
  <c r="H11" i="14"/>
  <c r="I11" i="14" s="1"/>
  <c r="J11" i="14"/>
  <c r="H12" i="14"/>
  <c r="I12" i="14" s="1"/>
  <c r="J12" i="14"/>
  <c r="H13" i="14"/>
  <c r="I13" i="14" s="1"/>
  <c r="J13" i="14"/>
  <c r="F36" i="11"/>
  <c r="B11" i="11"/>
  <c r="F35" i="11"/>
  <c r="F37" i="11"/>
  <c r="F38" i="11"/>
  <c r="F39" i="11"/>
  <c r="F40" i="11"/>
  <c r="F41" i="11"/>
  <c r="F42" i="11"/>
  <c r="E36" i="10"/>
  <c r="B8" i="10"/>
  <c r="B9" i="10"/>
  <c r="B10" i="10"/>
  <c r="B11" i="10"/>
  <c r="B12" i="10"/>
  <c r="B13" i="10"/>
  <c r="B14" i="10"/>
  <c r="B15" i="10"/>
  <c r="B16" i="10"/>
  <c r="B17" i="10"/>
  <c r="B18" i="10"/>
  <c r="B19" i="10"/>
  <c r="B20" i="10"/>
  <c r="B21" i="10"/>
  <c r="B22" i="10"/>
  <c r="B23" i="10"/>
  <c r="B24" i="10"/>
  <c r="B25" i="10"/>
  <c r="B26" i="10"/>
  <c r="B27" i="10"/>
  <c r="B28" i="10"/>
  <c r="K28" i="10"/>
  <c r="N28" i="10"/>
  <c r="Q28" i="10" s="1"/>
  <c r="E35" i="10"/>
  <c r="E37" i="10"/>
  <c r="E38" i="10"/>
  <c r="E39" i="10"/>
  <c r="E40" i="10"/>
  <c r="E41" i="10"/>
  <c r="E42" i="10"/>
  <c r="H8" i="15"/>
  <c r="I8" i="15" s="1"/>
  <c r="J8" i="15"/>
  <c r="H9" i="15"/>
  <c r="I9" i="15" s="1"/>
  <c r="J9" i="15"/>
  <c r="H10" i="15"/>
  <c r="I10" i="15" s="1"/>
  <c r="J10" i="15"/>
  <c r="H11" i="15"/>
  <c r="I11" i="15" s="1"/>
  <c r="J11" i="15"/>
  <c r="H12" i="15"/>
  <c r="I12" i="15" s="1"/>
  <c r="J12" i="15"/>
  <c r="H13" i="15"/>
  <c r="I13" i="15" s="1"/>
  <c r="J13" i="15"/>
  <c r="H14" i="15"/>
  <c r="I14" i="15" s="1"/>
  <c r="J14" i="15"/>
  <c r="H15" i="15"/>
  <c r="I15" i="15" s="1"/>
  <c r="J15" i="15"/>
  <c r="H16" i="15"/>
  <c r="I16" i="15" s="1"/>
  <c r="I31" i="15" s="1"/>
  <c r="J16" i="15"/>
  <c r="AC3" i="16"/>
  <c r="J3" i="16"/>
  <c r="K3" i="16" s="1"/>
  <c r="N3" i="16"/>
  <c r="AC4" i="16"/>
  <c r="N4" i="16"/>
  <c r="AC5" i="16"/>
  <c r="J5" i="16"/>
  <c r="K5" i="16" s="1"/>
  <c r="N5" i="16"/>
  <c r="AC6" i="16"/>
  <c r="N6" i="16"/>
  <c r="AC7" i="16"/>
  <c r="N7" i="16"/>
  <c r="AC8" i="16"/>
  <c r="J8" i="16"/>
  <c r="K8" i="16" s="1"/>
  <c r="N8" i="16"/>
  <c r="AC9" i="16"/>
  <c r="J9" i="16"/>
  <c r="K9" i="16" s="1"/>
  <c r="N9" i="16"/>
  <c r="AC10" i="16"/>
  <c r="J10" i="16"/>
  <c r="K10" i="16" s="1"/>
  <c r="N10" i="16"/>
  <c r="AC11" i="16"/>
  <c r="J11" i="16"/>
  <c r="K11" i="16" s="1"/>
  <c r="N11" i="16"/>
  <c r="AC12" i="16"/>
  <c r="N12" i="16"/>
  <c r="AC13" i="16"/>
  <c r="N13" i="16"/>
  <c r="AC14" i="16"/>
  <c r="N14" i="16"/>
  <c r="AC15" i="16"/>
  <c r="N15" i="16"/>
  <c r="AC16" i="16"/>
  <c r="N16" i="16"/>
  <c r="AC17" i="16"/>
  <c r="N17" i="16"/>
  <c r="AC18" i="16"/>
  <c r="N18" i="16"/>
  <c r="AC19" i="16"/>
  <c r="J19" i="16"/>
  <c r="K19" i="16" s="1"/>
  <c r="N19" i="16"/>
  <c r="AC20" i="16"/>
  <c r="J20" i="16"/>
  <c r="K20" i="16" s="1"/>
  <c r="N20" i="16"/>
  <c r="AC21" i="16"/>
  <c r="N21" i="16"/>
  <c r="AC22" i="16"/>
  <c r="N22" i="16"/>
  <c r="AC23" i="16"/>
  <c r="N23" i="16"/>
  <c r="AC24" i="16"/>
  <c r="N24" i="16"/>
  <c r="AC25" i="16"/>
  <c r="N25" i="16"/>
  <c r="AC26" i="16"/>
  <c r="N26" i="16"/>
  <c r="AC27" i="16"/>
  <c r="N27" i="16"/>
  <c r="AC28" i="16"/>
  <c r="N28" i="16"/>
  <c r="AC29" i="16"/>
  <c r="N29" i="16"/>
  <c r="AC30" i="16"/>
  <c r="N30" i="16"/>
  <c r="AC31" i="16"/>
  <c r="N31" i="16"/>
  <c r="AC32" i="16"/>
  <c r="N32" i="16"/>
  <c r="AC33" i="16"/>
  <c r="N33" i="16"/>
  <c r="AC34" i="16"/>
  <c r="N34" i="16"/>
  <c r="AC35" i="16"/>
  <c r="N35" i="16"/>
  <c r="AC36" i="16"/>
  <c r="N36" i="16"/>
  <c r="AC37" i="16"/>
  <c r="N37" i="16"/>
  <c r="AC38" i="16"/>
  <c r="N38" i="16"/>
  <c r="AC39" i="16"/>
  <c r="N39" i="16"/>
  <c r="AC40" i="16"/>
  <c r="N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AC124" i="16"/>
  <c r="AC125" i="16"/>
  <c r="AC126" i="16"/>
  <c r="AC127" i="16"/>
  <c r="AC128" i="16"/>
  <c r="AC129" i="16"/>
  <c r="AC130" i="16"/>
  <c r="AC131" i="16"/>
  <c r="AC132" i="16"/>
  <c r="AC133" i="16"/>
  <c r="AC134" i="16"/>
  <c r="AC135" i="16"/>
  <c r="AC136" i="16"/>
  <c r="AC137" i="16"/>
  <c r="AC138" i="16"/>
  <c r="AC139" i="16"/>
  <c r="AC140" i="16"/>
  <c r="AC141" i="16"/>
  <c r="AC142" i="16"/>
  <c r="AC143" i="16"/>
  <c r="AC144" i="16"/>
  <c r="AC145" i="16"/>
  <c r="AC146" i="16"/>
  <c r="AC147" i="16"/>
  <c r="AC148" i="16"/>
  <c r="AC149" i="16"/>
  <c r="AC150" i="16"/>
  <c r="AC151" i="16"/>
  <c r="AC152" i="16"/>
  <c r="AC153" i="16"/>
  <c r="AC154" i="16"/>
  <c r="AC155" i="16"/>
  <c r="AC156" i="16"/>
  <c r="AC157" i="16"/>
  <c r="AC158" i="16"/>
  <c r="AC159" i="16"/>
  <c r="AC160" i="16"/>
  <c r="AC161" i="16"/>
  <c r="AC162" i="16"/>
  <c r="AC163" i="16"/>
  <c r="AC164" i="16"/>
  <c r="AC165" i="16"/>
  <c r="AC166" i="16"/>
  <c r="AC167" i="16"/>
  <c r="AC168" i="16"/>
  <c r="AC169" i="16"/>
  <c r="AC170" i="16"/>
  <c r="AC171" i="16"/>
  <c r="AC172" i="16"/>
  <c r="AC173" i="16"/>
  <c r="AC174" i="16"/>
  <c r="AC175" i="16"/>
  <c r="AC176" i="16"/>
  <c r="AC177" i="16"/>
  <c r="AC178" i="16"/>
  <c r="AC179" i="16"/>
  <c r="AC180" i="16"/>
  <c r="AC181" i="16"/>
  <c r="AC182" i="16"/>
  <c r="AC183" i="16"/>
  <c r="AC184" i="16"/>
  <c r="AC185" i="16"/>
  <c r="AC186" i="16"/>
  <c r="AC187" i="16"/>
  <c r="AC188" i="16"/>
  <c r="AC189" i="16"/>
  <c r="AC190" i="16"/>
  <c r="AC191" i="16"/>
  <c r="AC192" i="16"/>
  <c r="AC193" i="16"/>
  <c r="AC194" i="16"/>
  <c r="AC195" i="16"/>
  <c r="AC196" i="16"/>
  <c r="AC197" i="16"/>
  <c r="AC198" i="16"/>
  <c r="AC199" i="16"/>
  <c r="AC200" i="16"/>
  <c r="AC201" i="16"/>
  <c r="AC202" i="16"/>
  <c r="AC203" i="16"/>
  <c r="AC204" i="16"/>
  <c r="AC205" i="16"/>
  <c r="AC206" i="16"/>
  <c r="AC207" i="16"/>
  <c r="AC208" i="16"/>
  <c r="AC209" i="16"/>
  <c r="AC210" i="16"/>
  <c r="AC211" i="16"/>
  <c r="AC212" i="16"/>
  <c r="AC213" i="16"/>
  <c r="AC214" i="16"/>
  <c r="AC215" i="16"/>
  <c r="AC216" i="16"/>
  <c r="AC217" i="16"/>
  <c r="AC218" i="16"/>
  <c r="AC219" i="16"/>
  <c r="AC220" i="16"/>
  <c r="AC221" i="16"/>
  <c r="AC222" i="16"/>
  <c r="AC223" i="16"/>
  <c r="AC224" i="16"/>
  <c r="AC225" i="16"/>
  <c r="AC226" i="16"/>
  <c r="AC227" i="16"/>
  <c r="AC228" i="16"/>
  <c r="AC229" i="16"/>
  <c r="AC230" i="16"/>
  <c r="AC231" i="16"/>
  <c r="AC232" i="16"/>
  <c r="AC233" i="16"/>
  <c r="AC234" i="16"/>
  <c r="AC235" i="16"/>
  <c r="AC236" i="16"/>
  <c r="AC237" i="16"/>
  <c r="AC238" i="16"/>
  <c r="AC239" i="16"/>
  <c r="AC240" i="16"/>
  <c r="AC241" i="16"/>
  <c r="AC242" i="16"/>
  <c r="AE242" i="16"/>
  <c r="AC243" i="16"/>
  <c r="AE243" i="16"/>
  <c r="AC244" i="16"/>
  <c r="AE244" i="16"/>
  <c r="AC245" i="16"/>
  <c r="AE245" i="16"/>
  <c r="AC246" i="16"/>
  <c r="AE246" i="16"/>
  <c r="AC247" i="16"/>
  <c r="AE247" i="16"/>
  <c r="AC248" i="16"/>
  <c r="AE248" i="16"/>
  <c r="AC249" i="16"/>
  <c r="AE249" i="16"/>
  <c r="AC250" i="16"/>
  <c r="AE250" i="16"/>
  <c r="AC251" i="16"/>
  <c r="AE251" i="16"/>
  <c r="AC252" i="16"/>
  <c r="AE252" i="16"/>
  <c r="AC253" i="16"/>
  <c r="AE253" i="16"/>
  <c r="AC254" i="16"/>
  <c r="AE254" i="16"/>
  <c r="AC255" i="16"/>
  <c r="AE255" i="16"/>
  <c r="AC256" i="16"/>
  <c r="AE256" i="16"/>
  <c r="AC257" i="16"/>
  <c r="AE257" i="16"/>
  <c r="AC258" i="16"/>
  <c r="AE258" i="16"/>
  <c r="AC259" i="16"/>
  <c r="AE259" i="16"/>
  <c r="AC260" i="16"/>
  <c r="AE260" i="16"/>
  <c r="AC261" i="16"/>
  <c r="AE261" i="16"/>
  <c r="AC262" i="16"/>
  <c r="AE262" i="16"/>
  <c r="AC263" i="16"/>
  <c r="AE263" i="16"/>
  <c r="AC264" i="16"/>
  <c r="AE264" i="16"/>
  <c r="AC265" i="16"/>
  <c r="AE265" i="16"/>
  <c r="AC266" i="16"/>
  <c r="AE266" i="16"/>
  <c r="AC267" i="16"/>
  <c r="AE267" i="16"/>
  <c r="AC268" i="16"/>
  <c r="AE268" i="16"/>
  <c r="AC269" i="16"/>
  <c r="AE269" i="16"/>
  <c r="AC270" i="16"/>
  <c r="AE270" i="16"/>
  <c r="AC271" i="16"/>
  <c r="AE271" i="16"/>
  <c r="AC272" i="16"/>
  <c r="AE272" i="16"/>
  <c r="AC273" i="16"/>
  <c r="AE273" i="16"/>
  <c r="AC274" i="16"/>
  <c r="AE274" i="16"/>
  <c r="AC275" i="16"/>
  <c r="AE275" i="16"/>
  <c r="AC276" i="16"/>
  <c r="AE276" i="16"/>
  <c r="AC277" i="16"/>
  <c r="AE277" i="16"/>
  <c r="AC278" i="16"/>
  <c r="AE278" i="16"/>
  <c r="AC279" i="16"/>
  <c r="AE279" i="16"/>
  <c r="AC280" i="16"/>
  <c r="AE280" i="16"/>
  <c r="AC281" i="16"/>
  <c r="AE281" i="16"/>
  <c r="AC282" i="16"/>
  <c r="AE282" i="16"/>
  <c r="AC283" i="16"/>
  <c r="AE283" i="16"/>
  <c r="AC284" i="16"/>
  <c r="AE284" i="16"/>
  <c r="AC285" i="16"/>
  <c r="AE285" i="16"/>
  <c r="AC286" i="16"/>
  <c r="AE286" i="16"/>
  <c r="AC287" i="16"/>
  <c r="AE287" i="16"/>
  <c r="AC288" i="16"/>
  <c r="AE288" i="16"/>
  <c r="AC289" i="16"/>
  <c r="AE289" i="16"/>
  <c r="AC290" i="16"/>
  <c r="AE290" i="16"/>
  <c r="AC291" i="16"/>
  <c r="AE291" i="16"/>
  <c r="AC292" i="16"/>
  <c r="AE292" i="16"/>
  <c r="AC293" i="16"/>
  <c r="AE293" i="16"/>
  <c r="AC294" i="16"/>
  <c r="AE294" i="16"/>
  <c r="AC295" i="16"/>
  <c r="AE295" i="16"/>
  <c r="AC296" i="16"/>
  <c r="AE296" i="16"/>
  <c r="AC297" i="16"/>
  <c r="AE297" i="16"/>
  <c r="AC298" i="16"/>
  <c r="AE298" i="16"/>
  <c r="AC299" i="16"/>
  <c r="AE299" i="16"/>
  <c r="AC300" i="16"/>
  <c r="AE300" i="16"/>
  <c r="AC301" i="16"/>
  <c r="AE301" i="16"/>
  <c r="AC302" i="16"/>
  <c r="AE302" i="16"/>
  <c r="AC303" i="16"/>
  <c r="AE303" i="16"/>
  <c r="AC304" i="16"/>
  <c r="AE304" i="16"/>
  <c r="AC305" i="16"/>
  <c r="AE305" i="16"/>
  <c r="AC306" i="16"/>
  <c r="AE306" i="16"/>
  <c r="AC307" i="16"/>
  <c r="AE307" i="16"/>
  <c r="AC308" i="16"/>
  <c r="AE308" i="16"/>
  <c r="AC309" i="16"/>
  <c r="AE309" i="16"/>
  <c r="AC310" i="16"/>
  <c r="AE310" i="16"/>
  <c r="AC311" i="16"/>
  <c r="AE311" i="16"/>
  <c r="AC312" i="16"/>
  <c r="AE312" i="16"/>
  <c r="AC313" i="16"/>
  <c r="AE313" i="16"/>
  <c r="AC314" i="16"/>
  <c r="AE314" i="16"/>
  <c r="AC315" i="16"/>
  <c r="AE315" i="16"/>
  <c r="AC316" i="16"/>
  <c r="AE316" i="16"/>
  <c r="AC317" i="16"/>
  <c r="AE317" i="16"/>
  <c r="AC318" i="16"/>
  <c r="AE318" i="16"/>
  <c r="AC319" i="16"/>
  <c r="AE319" i="16"/>
  <c r="AC320" i="16"/>
  <c r="AE320" i="16"/>
  <c r="AC321" i="16"/>
  <c r="AE321" i="16"/>
  <c r="AC322" i="16"/>
  <c r="AE322" i="16"/>
  <c r="AC323" i="16"/>
  <c r="AE323" i="16"/>
  <c r="AC324" i="16"/>
  <c r="AE324" i="16"/>
  <c r="AC325" i="16"/>
  <c r="AE325" i="16"/>
  <c r="AC326" i="16"/>
  <c r="AE326" i="16"/>
  <c r="AC327" i="16"/>
  <c r="AE327" i="16"/>
  <c r="AC328" i="16"/>
  <c r="AE328" i="16"/>
  <c r="AC329" i="16"/>
  <c r="AE329" i="16"/>
  <c r="AC330" i="16"/>
  <c r="AE330" i="16"/>
  <c r="AC331" i="16"/>
  <c r="AE331" i="16"/>
  <c r="AC332" i="16"/>
  <c r="AE332" i="16"/>
  <c r="AC333" i="16"/>
  <c r="AE333" i="16"/>
  <c r="AC334" i="16"/>
  <c r="AE334" i="16"/>
  <c r="AC335" i="16"/>
  <c r="AE335" i="16"/>
  <c r="AC336" i="16"/>
  <c r="AE336" i="16"/>
  <c r="AC337" i="16"/>
  <c r="AE337" i="16"/>
  <c r="AC338" i="16"/>
  <c r="AE338" i="16"/>
  <c r="AC339" i="16"/>
  <c r="AE339" i="16"/>
  <c r="AC340" i="16"/>
  <c r="AE340" i="16"/>
  <c r="AC341" i="16"/>
  <c r="AE341" i="16"/>
  <c r="AC342" i="16"/>
  <c r="AE342" i="16"/>
  <c r="AC343" i="16"/>
  <c r="AE343" i="16"/>
  <c r="AC344" i="16"/>
  <c r="AE344" i="16"/>
  <c r="AC345" i="16"/>
  <c r="AE345" i="16"/>
  <c r="AC346" i="16"/>
  <c r="AE346" i="16"/>
  <c r="AC347" i="16"/>
  <c r="AE347" i="16"/>
  <c r="AC348" i="16"/>
  <c r="AE348" i="16"/>
  <c r="AC349" i="16"/>
  <c r="AE349" i="16"/>
  <c r="AC350" i="16"/>
  <c r="AE350" i="16"/>
  <c r="AC351" i="16"/>
  <c r="AE351" i="16"/>
  <c r="AC352" i="16"/>
  <c r="AE352" i="16"/>
  <c r="AC353" i="16"/>
  <c r="AE353" i="16"/>
  <c r="AC354" i="16"/>
  <c r="AE354" i="16"/>
  <c r="AC355" i="16"/>
  <c r="AE355" i="16"/>
  <c r="AC356" i="16"/>
  <c r="AE356" i="16"/>
  <c r="AC357" i="16"/>
  <c r="AE357" i="16"/>
  <c r="AC358" i="16"/>
  <c r="AE358" i="16"/>
  <c r="AC359" i="16"/>
  <c r="AE359" i="16"/>
  <c r="AC360" i="16"/>
  <c r="AE360" i="16"/>
  <c r="AC361" i="16"/>
  <c r="AE361" i="16"/>
  <c r="AC362" i="16"/>
  <c r="AE362" i="16"/>
  <c r="AC363" i="16"/>
  <c r="AE363" i="16"/>
  <c r="AC364" i="16"/>
  <c r="AE364" i="16"/>
  <c r="AC365" i="16"/>
  <c r="AE365" i="16"/>
  <c r="AC366" i="16"/>
  <c r="AE366" i="16"/>
  <c r="AC367" i="16"/>
  <c r="AE367" i="16"/>
  <c r="AC368" i="16"/>
  <c r="AE368" i="16"/>
  <c r="AC369" i="16"/>
  <c r="AE369" i="16"/>
  <c r="AC370" i="16"/>
  <c r="AE370" i="16"/>
  <c r="AC371" i="16"/>
  <c r="AE371" i="16"/>
  <c r="AC372" i="16"/>
  <c r="AE372" i="16"/>
  <c r="AC373" i="16"/>
  <c r="AE373" i="16"/>
  <c r="AC374" i="16"/>
  <c r="AE374" i="16"/>
  <c r="AC375" i="16"/>
  <c r="AE375" i="16"/>
  <c r="AC376" i="16"/>
  <c r="AE376" i="16"/>
  <c r="AC377" i="16"/>
  <c r="AE377" i="16"/>
  <c r="AC378" i="16"/>
  <c r="AE378" i="16"/>
  <c r="AC379" i="16"/>
  <c r="AE379" i="16"/>
  <c r="AC380" i="16"/>
  <c r="AE380" i="16"/>
  <c r="AC381" i="16"/>
  <c r="AE381" i="16"/>
  <c r="AC382" i="16"/>
  <c r="AE382" i="16"/>
  <c r="AC383" i="16"/>
  <c r="AE383" i="16"/>
  <c r="AC384" i="16"/>
  <c r="AE384" i="16"/>
  <c r="AC385" i="16"/>
  <c r="AE385" i="16"/>
  <c r="AC386" i="16"/>
  <c r="AE386" i="16"/>
  <c r="AC387" i="16"/>
  <c r="AE387" i="16"/>
  <c r="AC388" i="16"/>
  <c r="AE388" i="16"/>
  <c r="AC389" i="16"/>
  <c r="AE389" i="16"/>
  <c r="AC390" i="16"/>
  <c r="AE390" i="16"/>
  <c r="AC391" i="16"/>
  <c r="AE391" i="16"/>
  <c r="AC392" i="16"/>
  <c r="AE392" i="16"/>
  <c r="AC393" i="16"/>
  <c r="AE393" i="16"/>
  <c r="AC394" i="16"/>
  <c r="AE394" i="16"/>
  <c r="AC395" i="16"/>
  <c r="AE395" i="16"/>
  <c r="AC396" i="16"/>
  <c r="AE396" i="16"/>
  <c r="AC397" i="16"/>
  <c r="AE397" i="16"/>
  <c r="AC398" i="16"/>
  <c r="AE398" i="16"/>
  <c r="AC399" i="16"/>
  <c r="AE399" i="16"/>
  <c r="AC400" i="16"/>
  <c r="AE400" i="16"/>
  <c r="AC401" i="16"/>
  <c r="AE401" i="16"/>
  <c r="AC402" i="16"/>
  <c r="AE402" i="16"/>
  <c r="AC403" i="16"/>
  <c r="AE403" i="16"/>
  <c r="AC404" i="16"/>
  <c r="AE404" i="16"/>
  <c r="AC405" i="16"/>
  <c r="AE405" i="16"/>
  <c r="AC406" i="16"/>
  <c r="AE406" i="16"/>
  <c r="AC407" i="16"/>
  <c r="AE407" i="16"/>
  <c r="AC408" i="16"/>
  <c r="AE408" i="16"/>
  <c r="AC409" i="16"/>
  <c r="AE409" i="16"/>
  <c r="AC410" i="16"/>
  <c r="AE410" i="16"/>
  <c r="AC411" i="16"/>
  <c r="AE411" i="16"/>
  <c r="AC412" i="16"/>
  <c r="AE412" i="16"/>
  <c r="AC413" i="16"/>
  <c r="AE413" i="16"/>
  <c r="AC414" i="16"/>
  <c r="AE414" i="16"/>
  <c r="AC415" i="16"/>
  <c r="AE415" i="16"/>
  <c r="AC416" i="16"/>
  <c r="AE416" i="16"/>
  <c r="AC417" i="16"/>
  <c r="AE417" i="16"/>
  <c r="AC418" i="16"/>
  <c r="AE418" i="16"/>
  <c r="AC419" i="16"/>
  <c r="AE419" i="16"/>
  <c r="AC420" i="16"/>
  <c r="AE420" i="16"/>
  <c r="AC421" i="16"/>
  <c r="AE421" i="16"/>
  <c r="AC422" i="16"/>
  <c r="AE422" i="16"/>
  <c r="AC423" i="16"/>
  <c r="AE423" i="16"/>
  <c r="AC424" i="16"/>
  <c r="AE424" i="16"/>
  <c r="AC425" i="16"/>
  <c r="AE425" i="16"/>
  <c r="AC426" i="16"/>
  <c r="AE426" i="16"/>
  <c r="AC427" i="16"/>
  <c r="AE427" i="16"/>
  <c r="AC428" i="16"/>
  <c r="AE428" i="16"/>
  <c r="AC429" i="16"/>
  <c r="AE429" i="16"/>
  <c r="AC430" i="16"/>
  <c r="AE430" i="16"/>
  <c r="AC431" i="16"/>
  <c r="AE431" i="16"/>
  <c r="AC432" i="16"/>
  <c r="AE432" i="16"/>
  <c r="AC433" i="16"/>
  <c r="AE433" i="16"/>
  <c r="AC434" i="16"/>
  <c r="AE434" i="16"/>
  <c r="AC435" i="16"/>
  <c r="AE435" i="16"/>
  <c r="AC436" i="16"/>
  <c r="AE436" i="16"/>
  <c r="AC437" i="16"/>
  <c r="AE437" i="16"/>
  <c r="AC438" i="16"/>
  <c r="AE438" i="16"/>
  <c r="AC439" i="16"/>
  <c r="AE439" i="16"/>
  <c r="AC440" i="16"/>
  <c r="AE440" i="16"/>
  <c r="AC441" i="16"/>
  <c r="AE441" i="16"/>
  <c r="AC442" i="16"/>
  <c r="AE442" i="16"/>
  <c r="AC443" i="16"/>
  <c r="AE443" i="16"/>
  <c r="AC444" i="16"/>
  <c r="AE444" i="16"/>
  <c r="AC445" i="16"/>
  <c r="AE445" i="16"/>
  <c r="AC446" i="16"/>
  <c r="AE446" i="16"/>
  <c r="AC447" i="16"/>
  <c r="AE447" i="16"/>
  <c r="AC448" i="16"/>
  <c r="AE448" i="16"/>
  <c r="AC449" i="16"/>
  <c r="AE449" i="16"/>
  <c r="AC450" i="16"/>
  <c r="AE450" i="16"/>
  <c r="AC451" i="16"/>
  <c r="AE451" i="16"/>
  <c r="AC452" i="16"/>
  <c r="AE452" i="16"/>
  <c r="AC453" i="16"/>
  <c r="AE453" i="16"/>
  <c r="AC454" i="16"/>
  <c r="AE454" i="16"/>
  <c r="AC455" i="16"/>
  <c r="AE455" i="16"/>
  <c r="AC456" i="16"/>
  <c r="AE456" i="16"/>
  <c r="AC457" i="16"/>
  <c r="AE457" i="16"/>
  <c r="AC458" i="16"/>
  <c r="AE458" i="16"/>
  <c r="AC459" i="16"/>
  <c r="AE459" i="16"/>
  <c r="AC460" i="16"/>
  <c r="AE460" i="16"/>
  <c r="AC461" i="16"/>
  <c r="AE461" i="16"/>
  <c r="AC462" i="16"/>
  <c r="AE462" i="16"/>
  <c r="AC463" i="16"/>
  <c r="AE463" i="16"/>
  <c r="AC464" i="16"/>
  <c r="AE464" i="16"/>
  <c r="AC465" i="16"/>
  <c r="AE465" i="16"/>
  <c r="AC466" i="16"/>
  <c r="AE466" i="16"/>
  <c r="AC467" i="16"/>
  <c r="AE467" i="16"/>
  <c r="AC468" i="16"/>
  <c r="AE468" i="16"/>
  <c r="AC469" i="16"/>
  <c r="AE469" i="16"/>
  <c r="AC470" i="16"/>
  <c r="AE470" i="16"/>
  <c r="AC471" i="16"/>
  <c r="AE471" i="16"/>
  <c r="AC472" i="16"/>
  <c r="AE472" i="16"/>
  <c r="AC473" i="16"/>
  <c r="AE473" i="16"/>
  <c r="AC474" i="16"/>
  <c r="AE474" i="16"/>
  <c r="AC475" i="16"/>
  <c r="AE475" i="16"/>
  <c r="AC476" i="16"/>
  <c r="AE476" i="16"/>
  <c r="AC477" i="16"/>
  <c r="AE477" i="16"/>
  <c r="AC478" i="16"/>
  <c r="AE478" i="16"/>
  <c r="AC479" i="16"/>
  <c r="AE479" i="16"/>
  <c r="AC480" i="16"/>
  <c r="AE480" i="16"/>
  <c r="AC481" i="16"/>
  <c r="AE481" i="16"/>
  <c r="AC482" i="16"/>
  <c r="AE482" i="16"/>
  <c r="AC483" i="16"/>
  <c r="AE483" i="16"/>
  <c r="AC484" i="16"/>
  <c r="AE484" i="16"/>
  <c r="AC485" i="16"/>
  <c r="AE485" i="16"/>
  <c r="AC486" i="16"/>
  <c r="AE486" i="16"/>
  <c r="AC487" i="16"/>
  <c r="AE487" i="16"/>
  <c r="AC488" i="16"/>
  <c r="AE488" i="16"/>
  <c r="AC489" i="16"/>
  <c r="AE489" i="16"/>
  <c r="AC490" i="16"/>
  <c r="AE490" i="16"/>
  <c r="AC491" i="16"/>
  <c r="AE491" i="16"/>
  <c r="AC492" i="16"/>
  <c r="AE492" i="16"/>
  <c r="AC493" i="16"/>
  <c r="AE493" i="16"/>
  <c r="AC494" i="16"/>
  <c r="AE494" i="16"/>
  <c r="AC495" i="16"/>
  <c r="AE495" i="16"/>
  <c r="AC496" i="16"/>
  <c r="AE496" i="16"/>
  <c r="AC497" i="16"/>
  <c r="AE497" i="16"/>
  <c r="AC498" i="16"/>
  <c r="AE498" i="16"/>
  <c r="AC499" i="16"/>
  <c r="AE499" i="16"/>
  <c r="AC500" i="16"/>
  <c r="AE500" i="16"/>
  <c r="B2" i="3"/>
  <c r="B52" i="3" s="1"/>
  <c r="F63" i="5"/>
  <c r="G63" i="5" s="1"/>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J12" i="16"/>
  <c r="K12" i="16" s="1"/>
  <c r="J13" i="16"/>
  <c r="K13" i="16" s="1"/>
  <c r="J14" i="16"/>
  <c r="K14" i="16" s="1"/>
  <c r="J15" i="16"/>
  <c r="K15" i="16" s="1"/>
  <c r="J16" i="16"/>
  <c r="K16" i="16" s="1"/>
  <c r="J17" i="16"/>
  <c r="K17" i="16" s="1"/>
  <c r="J18" i="16"/>
  <c r="K18" i="16" s="1"/>
  <c r="J21" i="16"/>
  <c r="K21" i="16" s="1"/>
  <c r="J22" i="16"/>
  <c r="K22" i="16" s="1"/>
  <c r="J23" i="16"/>
  <c r="K23" i="16" s="1"/>
  <c r="J24" i="16"/>
  <c r="K24" i="16" s="1"/>
  <c r="J25" i="16"/>
  <c r="K25" i="16" s="1"/>
  <c r="J26" i="16"/>
  <c r="K26" i="16" s="1"/>
  <c r="J27" i="16"/>
  <c r="K27" i="16" s="1"/>
  <c r="J28" i="16"/>
  <c r="K28" i="16" s="1"/>
  <c r="J29" i="16"/>
  <c r="K29" i="16" s="1"/>
  <c r="J30" i="16"/>
  <c r="K30" i="16" s="1"/>
  <c r="J31" i="16"/>
  <c r="K31" i="16" s="1"/>
  <c r="J32" i="16"/>
  <c r="K32" i="16" s="1"/>
  <c r="J33" i="16"/>
  <c r="K33" i="16" s="1"/>
  <c r="J34" i="16"/>
  <c r="K34" i="16" s="1"/>
  <c r="J35" i="16"/>
  <c r="K35" i="16" s="1"/>
  <c r="J36" i="16"/>
  <c r="K36" i="16" s="1"/>
  <c r="J37" i="16"/>
  <c r="K37" i="16" s="1"/>
  <c r="J38" i="16"/>
  <c r="K38" i="16" s="1"/>
  <c r="J39" i="16"/>
  <c r="K39" i="16" s="1"/>
  <c r="J40" i="16"/>
  <c r="K40" i="16" s="1"/>
  <c r="J41" i="16"/>
  <c r="K41" i="16" s="1"/>
  <c r="J42" i="16"/>
  <c r="K42" i="16" s="1"/>
  <c r="J43" i="16"/>
  <c r="K43" i="16" s="1"/>
  <c r="J44" i="16"/>
  <c r="K44" i="16" s="1"/>
  <c r="J45" i="16"/>
  <c r="J46" i="16"/>
  <c r="K46" i="16" s="1"/>
  <c r="J47" i="16"/>
  <c r="K47" i="16" s="1"/>
  <c r="J48" i="16"/>
  <c r="K48" i="16" s="1"/>
  <c r="J49" i="16"/>
  <c r="K49" i="16" s="1"/>
  <c r="J50" i="16"/>
  <c r="K50" i="16" s="1"/>
  <c r="J51" i="16"/>
  <c r="K51" i="16" s="1"/>
  <c r="J52" i="16"/>
  <c r="K52" i="16" s="1"/>
  <c r="J53" i="16"/>
  <c r="K53" i="16" s="1"/>
  <c r="J54" i="16"/>
  <c r="K54" i="16" s="1"/>
  <c r="J55" i="16"/>
  <c r="K55" i="16" s="1"/>
  <c r="J56" i="16"/>
  <c r="K56" i="16" s="1"/>
  <c r="J57" i="16"/>
  <c r="K57" i="16" s="1"/>
  <c r="J58" i="16"/>
  <c r="J59" i="16"/>
  <c r="K59" i="16" s="1"/>
  <c r="J60" i="16"/>
  <c r="K60" i="16" s="1"/>
  <c r="J61" i="16"/>
  <c r="K61" i="16" s="1"/>
  <c r="J62" i="16"/>
  <c r="K62" i="16" s="1"/>
  <c r="J63" i="16"/>
  <c r="K63" i="16" s="1"/>
  <c r="J64" i="16"/>
  <c r="K64" i="16" s="1"/>
  <c r="J65" i="16"/>
  <c r="K65" i="16" s="1"/>
  <c r="J66" i="16"/>
  <c r="K66" i="16" s="1"/>
  <c r="J67" i="16"/>
  <c r="K67" i="16" s="1"/>
  <c r="J68" i="16"/>
  <c r="K68" i="16" s="1"/>
  <c r="J69" i="16"/>
  <c r="K69" i="16" s="1"/>
  <c r="J70" i="16"/>
  <c r="K70" i="16" s="1"/>
  <c r="J71" i="16"/>
  <c r="K71" i="16" s="1"/>
  <c r="J72" i="16"/>
  <c r="K72" i="16" s="1"/>
  <c r="J73" i="16"/>
  <c r="K73" i="16" s="1"/>
  <c r="J74" i="16"/>
  <c r="K74" i="16" s="1"/>
  <c r="J75" i="16"/>
  <c r="K75" i="16" s="1"/>
  <c r="J76" i="16"/>
  <c r="K76" i="16" s="1"/>
  <c r="J77" i="16"/>
  <c r="K77" i="16" s="1"/>
  <c r="J78" i="16"/>
  <c r="K78" i="16" s="1"/>
  <c r="J79" i="16"/>
  <c r="K79" i="16" s="1"/>
  <c r="J80" i="16"/>
  <c r="K80" i="16" s="1"/>
  <c r="J81" i="16"/>
  <c r="K81" i="16" s="1"/>
  <c r="J82" i="16"/>
  <c r="K82" i="16" s="1"/>
  <c r="J83" i="16"/>
  <c r="K83" i="16" s="1"/>
  <c r="J84" i="16"/>
  <c r="K84" i="16" s="1"/>
  <c r="J85" i="16"/>
  <c r="K85" i="16" s="1"/>
  <c r="J86" i="16"/>
  <c r="K86" i="16" s="1"/>
  <c r="J87" i="16"/>
  <c r="K87" i="16" s="1"/>
  <c r="J88" i="16"/>
  <c r="K88" i="16" s="1"/>
  <c r="J89" i="16"/>
  <c r="K89" i="16" s="1"/>
  <c r="J90" i="16"/>
  <c r="K90" i="16" s="1"/>
  <c r="J91" i="16"/>
  <c r="K91" i="16" s="1"/>
  <c r="J92" i="16"/>
  <c r="K92" i="16" s="1"/>
  <c r="J93" i="16"/>
  <c r="K93" i="16" s="1"/>
  <c r="J94" i="16"/>
  <c r="K94" i="16" s="1"/>
  <c r="J95" i="16"/>
  <c r="K95" i="16" s="1"/>
  <c r="J96" i="16"/>
  <c r="K96" i="16" s="1"/>
  <c r="J97" i="16"/>
  <c r="K97" i="16" s="1"/>
  <c r="J98" i="16"/>
  <c r="K98" i="16" s="1"/>
  <c r="J99" i="16"/>
  <c r="K99" i="16" s="1"/>
  <c r="J100" i="16"/>
  <c r="K100" i="16" s="1"/>
  <c r="J101" i="16"/>
  <c r="K101" i="16" s="1"/>
  <c r="J102" i="16"/>
  <c r="K102" i="16" s="1"/>
  <c r="J103" i="16"/>
  <c r="K103" i="16" s="1"/>
  <c r="J104" i="16"/>
  <c r="K104" i="16" s="1"/>
  <c r="J105" i="16"/>
  <c r="K105" i="16" s="1"/>
  <c r="J106" i="16"/>
  <c r="K106" i="16" s="1"/>
  <c r="J107" i="16"/>
  <c r="K107" i="16" s="1"/>
  <c r="J108" i="16"/>
  <c r="K108" i="16" s="1"/>
  <c r="J109" i="16"/>
  <c r="K109" i="16" s="1"/>
  <c r="J110" i="16"/>
  <c r="K110" i="16" s="1"/>
  <c r="J111" i="16"/>
  <c r="K111" i="16" s="1"/>
  <c r="J112" i="16"/>
  <c r="K112" i="16" s="1"/>
  <c r="J113" i="16"/>
  <c r="K113" i="16" s="1"/>
  <c r="J114" i="16"/>
  <c r="K114" i="16" s="1"/>
  <c r="J115" i="16"/>
  <c r="K115" i="16" s="1"/>
  <c r="J116" i="16"/>
  <c r="K116" i="16" s="1"/>
  <c r="J117" i="16"/>
  <c r="K117" i="16" s="1"/>
  <c r="J118" i="16"/>
  <c r="K118" i="16" s="1"/>
  <c r="J119" i="16"/>
  <c r="K119" i="16" s="1"/>
  <c r="J120" i="16"/>
  <c r="K120" i="16" s="1"/>
  <c r="J121" i="16"/>
  <c r="K121" i="16" s="1"/>
  <c r="J122" i="16"/>
  <c r="K122" i="16" s="1"/>
  <c r="J123" i="16"/>
  <c r="K123" i="16" s="1"/>
  <c r="J124" i="16"/>
  <c r="K124" i="16" s="1"/>
  <c r="J125" i="16"/>
  <c r="K125" i="16" s="1"/>
  <c r="J126" i="16"/>
  <c r="K126" i="16" s="1"/>
  <c r="J127" i="16"/>
  <c r="K127" i="16" s="1"/>
  <c r="J128" i="16"/>
  <c r="K128" i="16" s="1"/>
  <c r="J129" i="16"/>
  <c r="K129" i="16" s="1"/>
  <c r="J130" i="16"/>
  <c r="K130" i="16" s="1"/>
  <c r="J131" i="16"/>
  <c r="K131" i="16" s="1"/>
  <c r="J132" i="16"/>
  <c r="K132" i="16" s="1"/>
  <c r="J133" i="16"/>
  <c r="K133" i="16" s="1"/>
  <c r="J134" i="16"/>
  <c r="K134" i="16" s="1"/>
  <c r="J135" i="16"/>
  <c r="K135" i="16" s="1"/>
  <c r="J136" i="16"/>
  <c r="K136" i="16" s="1"/>
  <c r="J137" i="16"/>
  <c r="K137" i="16" s="1"/>
  <c r="J138" i="16"/>
  <c r="K138" i="16" s="1"/>
  <c r="J139" i="16"/>
  <c r="K139" i="16" s="1"/>
  <c r="J140" i="16"/>
  <c r="J141" i="16"/>
  <c r="J142" i="16"/>
  <c r="J143" i="16"/>
  <c r="K143" i="16"/>
  <c r="J144" i="16"/>
  <c r="K144" i="16"/>
  <c r="J145" i="16"/>
  <c r="J146" i="16"/>
  <c r="J147" i="16"/>
  <c r="K147" i="16"/>
  <c r="J148" i="16"/>
  <c r="J149" i="16"/>
  <c r="J150" i="16"/>
  <c r="J151" i="16"/>
  <c r="K151" i="16"/>
  <c r="J152" i="16"/>
  <c r="J153" i="16"/>
  <c r="J154" i="16"/>
  <c r="J155" i="16"/>
  <c r="K155" i="16"/>
  <c r="J156" i="16"/>
  <c r="J157" i="16"/>
  <c r="J158" i="16"/>
  <c r="J159" i="16"/>
  <c r="K159" i="16"/>
  <c r="J160" i="16"/>
  <c r="K160" i="16"/>
  <c r="J161" i="16"/>
  <c r="J162" i="16"/>
  <c r="J163" i="16"/>
  <c r="K163" i="16"/>
  <c r="J164" i="16"/>
  <c r="J165" i="16"/>
  <c r="J166" i="16"/>
  <c r="J167" i="16"/>
  <c r="K167" i="16"/>
  <c r="J168" i="16"/>
  <c r="J169" i="16"/>
  <c r="J170" i="16"/>
  <c r="J171" i="16"/>
  <c r="K171" i="16"/>
  <c r="J172" i="16"/>
  <c r="J173" i="16"/>
  <c r="J174" i="16"/>
  <c r="J175" i="16"/>
  <c r="K175" i="16"/>
  <c r="J176" i="16"/>
  <c r="K176" i="16"/>
  <c r="J177" i="16"/>
  <c r="J178" i="16"/>
  <c r="J179" i="16"/>
  <c r="K179" i="16"/>
  <c r="J180" i="16"/>
  <c r="J181" i="16"/>
  <c r="J182" i="16"/>
  <c r="J183" i="16"/>
  <c r="K183" i="16"/>
  <c r="J184" i="16"/>
  <c r="J185" i="16"/>
  <c r="J186" i="16"/>
  <c r="J187" i="16"/>
  <c r="K187" i="16"/>
  <c r="J188" i="16"/>
  <c r="J189" i="16"/>
  <c r="J190" i="16"/>
  <c r="J191" i="16"/>
  <c r="K191" i="16"/>
  <c r="J192" i="16"/>
  <c r="K192" i="16"/>
  <c r="J193" i="16"/>
  <c r="J194" i="16"/>
  <c r="J195" i="16"/>
  <c r="K195" i="16"/>
  <c r="J196" i="16"/>
  <c r="J197" i="16"/>
  <c r="J198" i="16"/>
  <c r="J199" i="16"/>
  <c r="K199" i="16"/>
  <c r="J200" i="16"/>
  <c r="J201" i="16"/>
  <c r="J202" i="16"/>
  <c r="J203" i="16"/>
  <c r="K203" i="16"/>
  <c r="J204" i="16"/>
  <c r="J205" i="16"/>
  <c r="J206" i="16"/>
  <c r="J207" i="16"/>
  <c r="K207" i="16"/>
  <c r="J208" i="16"/>
  <c r="J209" i="16"/>
  <c r="J210" i="16"/>
  <c r="J211" i="16"/>
  <c r="K211" i="16"/>
  <c r="J212" i="16"/>
  <c r="J213" i="16"/>
  <c r="J214" i="16"/>
  <c r="J215" i="16"/>
  <c r="K215" i="16"/>
  <c r="J216" i="16"/>
  <c r="J217" i="16"/>
  <c r="K217" i="16"/>
  <c r="J218" i="16"/>
  <c r="J219" i="16"/>
  <c r="K219" i="16"/>
  <c r="J220" i="16"/>
  <c r="J221" i="16"/>
  <c r="J222" i="16"/>
  <c r="J223" i="16"/>
  <c r="K223" i="16"/>
  <c r="J224" i="16"/>
  <c r="J225" i="16"/>
  <c r="J226" i="16"/>
  <c r="J227" i="16"/>
  <c r="K227" i="16"/>
  <c r="J228" i="16"/>
  <c r="J229" i="16"/>
  <c r="J230" i="16"/>
  <c r="K230" i="16"/>
  <c r="J231" i="16"/>
  <c r="K231" i="16"/>
  <c r="J232" i="16"/>
  <c r="J233" i="16"/>
  <c r="J234" i="16"/>
  <c r="J235" i="16"/>
  <c r="K235" i="16"/>
  <c r="J236" i="16"/>
  <c r="J237" i="16"/>
  <c r="J238" i="16"/>
  <c r="J239" i="16"/>
  <c r="K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F21" i="7"/>
  <c r="G21" i="7" s="1"/>
  <c r="F20" i="6"/>
  <c r="I20" i="6" s="1"/>
  <c r="F20" i="13"/>
  <c r="F20" i="14"/>
  <c r="G20" i="14" s="1"/>
  <c r="F30" i="15"/>
  <c r="G30" i="15" s="1"/>
  <c r="F40" i="14"/>
  <c r="G40" i="14" s="1"/>
  <c r="F27" i="14"/>
  <c r="G27" i="14" s="1"/>
  <c r="F27" i="13"/>
  <c r="K27" i="13" s="1"/>
  <c r="F28" i="7"/>
  <c r="K28" i="7" s="1"/>
  <c r="F27" i="6"/>
  <c r="I27" i="6" s="1"/>
  <c r="F21" i="13"/>
  <c r="G21" i="13" s="1"/>
  <c r="F22" i="13"/>
  <c r="F23" i="13"/>
  <c r="G23" i="13" s="1"/>
  <c r="F24" i="13"/>
  <c r="G24" i="13" s="1"/>
  <c r="F25" i="13"/>
  <c r="G25" i="13" s="1"/>
  <c r="F26" i="13"/>
  <c r="K26" i="13" s="1"/>
  <c r="F22" i="7"/>
  <c r="G22" i="7" s="1"/>
  <c r="F23" i="7"/>
  <c r="G23" i="7" s="1"/>
  <c r="F24" i="7"/>
  <c r="G24" i="7" s="1"/>
  <c r="F25" i="7"/>
  <c r="G25" i="7" s="1"/>
  <c r="F26" i="7"/>
  <c r="G26" i="7"/>
  <c r="F27" i="7"/>
  <c r="I27" i="7" s="1"/>
  <c r="F22" i="6"/>
  <c r="G22" i="6" s="1"/>
  <c r="F23" i="6"/>
  <c r="G23" i="6" s="1"/>
  <c r="F24" i="6"/>
  <c r="G24" i="6" s="1"/>
  <c r="F25" i="6"/>
  <c r="G25" i="6" s="1"/>
  <c r="F26" i="6"/>
  <c r="G26" i="6" s="1"/>
  <c r="K26" i="6"/>
  <c r="F23" i="15"/>
  <c r="G23" i="15" s="1"/>
  <c r="F24" i="15"/>
  <c r="G24" i="15" s="1"/>
  <c r="F25" i="15"/>
  <c r="G25" i="15" s="1"/>
  <c r="F26" i="15"/>
  <c r="G26" i="15" s="1"/>
  <c r="F27" i="15"/>
  <c r="G27" i="15" s="1"/>
  <c r="F28" i="15"/>
  <c r="G28" i="15" s="1"/>
  <c r="F29" i="15"/>
  <c r="G29" i="15" s="1"/>
  <c r="F21" i="14"/>
  <c r="G21" i="14" s="1"/>
  <c r="F22" i="14"/>
  <c r="G22" i="14" s="1"/>
  <c r="F23" i="14"/>
  <c r="G23" i="14" s="1"/>
  <c r="F24" i="14"/>
  <c r="G24" i="14"/>
  <c r="F25" i="14"/>
  <c r="G25" i="14" s="1"/>
  <c r="F26" i="14"/>
  <c r="I26" i="14" s="1"/>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N15" i="8"/>
  <c r="D6" i="9" s="1"/>
  <c r="D8" i="9" s="1"/>
  <c r="D10" i="9" s="1"/>
  <c r="K25" i="3" s="1"/>
  <c r="I26" i="6"/>
  <c r="G27" i="13"/>
  <c r="I26" i="13"/>
  <c r="G22" i="13"/>
  <c r="K234" i="16"/>
  <c r="K226" i="16"/>
  <c r="K218" i="16"/>
  <c r="K210" i="16"/>
  <c r="K202" i="16"/>
  <c r="K194" i="16"/>
  <c r="K186" i="16"/>
  <c r="K178" i="16"/>
  <c r="K170" i="16"/>
  <c r="K162" i="16"/>
  <c r="K154" i="16"/>
  <c r="K146" i="16"/>
  <c r="K58" i="16"/>
  <c r="K236" i="16"/>
  <c r="K228" i="16"/>
  <c r="K220" i="16"/>
  <c r="K212" i="16"/>
  <c r="K204" i="16"/>
  <c r="K196" i="16"/>
  <c r="K188" i="16"/>
  <c r="K180" i="16"/>
  <c r="K172" i="16"/>
  <c r="K164" i="16"/>
  <c r="K156" i="16"/>
  <c r="K148" i="16"/>
  <c r="K140" i="16"/>
  <c r="K238" i="16"/>
  <c r="K232" i="16"/>
  <c r="K222" i="16"/>
  <c r="K216" i="16"/>
  <c r="K206" i="16"/>
  <c r="K200" i="16"/>
  <c r="K190" i="16"/>
  <c r="K184" i="16"/>
  <c r="K174" i="16"/>
  <c r="K168" i="16"/>
  <c r="K158" i="16"/>
  <c r="K152" i="16"/>
  <c r="K142" i="16"/>
  <c r="K240" i="16"/>
  <c r="K224" i="16"/>
  <c r="K214" i="16"/>
  <c r="K208" i="16"/>
  <c r="K198" i="16"/>
  <c r="K182" i="16"/>
  <c r="K166" i="16"/>
  <c r="K150" i="16"/>
  <c r="K241" i="16"/>
  <c r="K237" i="16"/>
  <c r="K233" i="16"/>
  <c r="K229" i="16"/>
  <c r="K225" i="16"/>
  <c r="K221" i="16"/>
  <c r="K213" i="16"/>
  <c r="K209" i="16"/>
  <c r="K205" i="16"/>
  <c r="K201" i="16"/>
  <c r="K197" i="16"/>
  <c r="K193" i="16"/>
  <c r="K189" i="16"/>
  <c r="K185" i="16"/>
  <c r="K181" i="16"/>
  <c r="K177" i="16"/>
  <c r="K173" i="16"/>
  <c r="K169" i="16"/>
  <c r="K165" i="16"/>
  <c r="K161" i="16"/>
  <c r="K157" i="16"/>
  <c r="K153" i="16"/>
  <c r="K149" i="16"/>
  <c r="K145" i="16"/>
  <c r="K141" i="16"/>
  <c r="K45" i="16"/>
  <c r="AE148" i="16"/>
  <c r="AE236" i="16"/>
  <c r="AE188" i="16"/>
  <c r="AE140" i="16"/>
  <c r="AE144" i="16"/>
  <c r="AE231" i="16"/>
  <c r="AE166" i="16"/>
  <c r="AE194" i="16"/>
  <c r="AE240" i="16"/>
  <c r="AE164" i="16"/>
  <c r="AE214" i="16"/>
  <c r="AE173" i="16"/>
  <c r="AE224" i="16"/>
  <c r="AE146" i="16"/>
  <c r="AE220" i="16"/>
  <c r="AE204" i="16"/>
  <c r="AE195" i="16"/>
  <c r="AE156" i="16"/>
  <c r="AE186" i="16"/>
  <c r="AE152" i="16"/>
  <c r="AE170" i="16"/>
  <c r="AE218" i="16"/>
  <c r="AE184" i="16"/>
  <c r="AE216" i="16"/>
  <c r="AE189" i="16"/>
  <c r="AE143" i="16"/>
  <c r="AE191" i="16"/>
  <c r="AE239" i="16"/>
  <c r="AE206" i="16"/>
  <c r="AE238" i="16"/>
  <c r="AE45" i="16"/>
  <c r="AE154" i="16"/>
  <c r="AE174" i="16"/>
  <c r="AE190" i="16"/>
  <c r="AE223" i="16"/>
  <c r="AE233" i="16"/>
  <c r="AE225" i="16"/>
  <c r="AE221" i="16"/>
  <c r="AE227" i="16"/>
  <c r="AE160" i="16"/>
  <c r="AE222" i="16"/>
  <c r="AE198" i="16"/>
  <c r="AE155" i="16"/>
  <c r="AE207" i="16"/>
  <c r="AE161" i="16"/>
  <c r="AE177" i="16"/>
  <c r="AE141" i="16"/>
  <c r="AE151" i="16"/>
  <c r="AE203" i="16"/>
  <c r="AE157" i="16"/>
  <c r="AE168" i="16"/>
  <c r="AE205" i="16"/>
  <c r="AE192" i="16"/>
  <c r="AE199" i="16"/>
  <c r="AE153" i="16"/>
  <c r="AE169" i="16"/>
  <c r="AE185" i="16"/>
  <c r="AE147" i="16"/>
  <c r="AE179" i="16"/>
  <c r="AE201" i="16"/>
  <c r="AE197" i="16"/>
  <c r="AE211" i="16"/>
  <c r="AE145" i="16"/>
  <c r="AE176" i="16"/>
  <c r="AE208" i="16"/>
  <c r="AE163" i="16"/>
  <c r="AE181" i="16"/>
  <c r="AE219" i="16"/>
  <c r="AE226" i="16"/>
  <c r="AE210" i="16"/>
  <c r="AE165" i="16"/>
  <c r="AE58" i="16"/>
  <c r="AE149" i="16"/>
  <c r="AE213" i="16"/>
  <c r="AE215" i="16"/>
  <c r="AE159" i="16"/>
  <c r="AE200" i="16"/>
  <c r="AE241" i="16"/>
  <c r="AE212" i="16"/>
  <c r="AE232" i="16"/>
  <c r="AE209" i="16"/>
  <c r="AE178" i="16"/>
  <c r="AE228" i="16"/>
  <c r="AE172" i="16"/>
  <c r="AE229" i="16"/>
  <c r="AE171" i="16"/>
  <c r="AE187" i="16"/>
  <c r="AE237" i="16"/>
  <c r="AE150" i="16"/>
  <c r="AE202" i="16"/>
  <c r="AE182" i="16"/>
  <c r="AE235" i="16"/>
  <c r="AE183" i="16"/>
  <c r="AE158" i="16"/>
  <c r="AE167" i="16"/>
  <c r="AE180" i="16"/>
  <c r="AE196" i="16"/>
  <c r="AE142" i="16"/>
  <c r="AE193" i="16"/>
  <c r="AE162" i="16"/>
  <c r="AE234" i="16"/>
  <c r="AE175" i="16"/>
  <c r="AE217" i="16"/>
  <c r="AE230" i="16"/>
  <c r="G31" i="6"/>
  <c r="FG5" i="19"/>
  <c r="FH5" i="19"/>
  <c r="FI5" i="19"/>
  <c r="FJ5" i="19"/>
  <c r="FK5" i="19"/>
  <c r="FL5" i="19"/>
  <c r="FM5" i="19"/>
  <c r="FN5" i="19"/>
  <c r="FO5" i="19"/>
  <c r="FP5" i="19"/>
  <c r="FQ5" i="19"/>
  <c r="FR5" i="19"/>
  <c r="EP5" i="19"/>
  <c r="K30" i="7"/>
  <c r="I32" i="6"/>
  <c r="I27" i="13"/>
  <c r="J34" i="44"/>
  <c r="AC6" i="35"/>
  <c r="I37" i="7"/>
  <c r="I27" i="14"/>
  <c r="G35" i="15"/>
  <c r="I40" i="13"/>
  <c r="G36" i="44"/>
  <c r="G20" i="13"/>
  <c r="G37" i="40"/>
  <c r="G29" i="13"/>
  <c r="AC9" i="35"/>
  <c r="AC7" i="35"/>
  <c r="AC5" i="35"/>
  <c r="AC3" i="35"/>
  <c r="AC8" i="35"/>
  <c r="DZ5" i="19"/>
  <c r="EQ5" i="19"/>
  <c r="ER5" i="19"/>
  <c r="ES5" i="19"/>
  <c r="ET5" i="19"/>
  <c r="EU5" i="19"/>
  <c r="EV5" i="19"/>
  <c r="EW5" i="19"/>
  <c r="EX5" i="19"/>
  <c r="EY5" i="19"/>
  <c r="EZ5" i="19"/>
  <c r="FA5" i="19"/>
  <c r="FB5" i="19"/>
  <c r="EA5" i="19"/>
  <c r="EB5" i="19"/>
  <c r="EC5" i="19"/>
  <c r="ED5" i="19"/>
  <c r="EE5" i="19"/>
  <c r="EF5" i="19"/>
  <c r="EG5" i="19"/>
  <c r="EH5" i="19"/>
  <c r="EI5" i="19"/>
  <c r="EJ5" i="19"/>
  <c r="EK5" i="19"/>
  <c r="EL5" i="19"/>
  <c r="DJ5" i="19"/>
  <c r="DK5" i="19"/>
  <c r="DL5" i="19"/>
  <c r="DM5" i="19"/>
  <c r="DN5" i="19"/>
  <c r="DO5" i="19"/>
  <c r="DP5" i="19"/>
  <c r="DQ5" i="19"/>
  <c r="DR5" i="19"/>
  <c r="DS5" i="19"/>
  <c r="DT5" i="19"/>
  <c r="DU5" i="19"/>
  <c r="DV5" i="19"/>
  <c r="CT5" i="19"/>
  <c r="CU5" i="19"/>
  <c r="CV5" i="19"/>
  <c r="CW5" i="19"/>
  <c r="CX5" i="19"/>
  <c r="CY5" i="19"/>
  <c r="CZ5" i="19"/>
  <c r="DA5" i="19"/>
  <c r="DB5" i="19"/>
  <c r="DC5" i="19"/>
  <c r="DD5" i="19"/>
  <c r="DE5" i="19"/>
  <c r="DF5" i="19"/>
  <c r="M154" i="27" l="1"/>
  <c r="J154" i="27"/>
  <c r="I23" i="6"/>
  <c r="I21" i="6"/>
  <c r="K154" i="27"/>
  <c r="D21" i="49"/>
  <c r="D20" i="49"/>
  <c r="AC135" i="35"/>
  <c r="AK464" i="35"/>
  <c r="AK432" i="35"/>
  <c r="AK384" i="35"/>
  <c r="AK368" i="35"/>
  <c r="AK492" i="35"/>
  <c r="AK460" i="35"/>
  <c r="AK444" i="35"/>
  <c r="AK404" i="35"/>
  <c r="AK372" i="35"/>
  <c r="AK364" i="35"/>
  <c r="AK2" i="35"/>
  <c r="AK140" i="35"/>
  <c r="AK84" i="35"/>
  <c r="AC496" i="35"/>
  <c r="AE496" i="35" s="1"/>
  <c r="AH496" i="35" s="1"/>
  <c r="AI496" i="35" s="1"/>
  <c r="AC411" i="35"/>
  <c r="AE411" i="35" s="1"/>
  <c r="AH411" i="35" s="1"/>
  <c r="AI411" i="35" s="1"/>
  <c r="AC279" i="35"/>
  <c r="AE279" i="35" s="1"/>
  <c r="AH279" i="35" s="1"/>
  <c r="AI279" i="35" s="1"/>
  <c r="AC167" i="35"/>
  <c r="AE167" i="35" s="1"/>
  <c r="AH167" i="35" s="1"/>
  <c r="AC357" i="35"/>
  <c r="AC229" i="35"/>
  <c r="K80" i="5"/>
  <c r="D19" i="49"/>
  <c r="F19" i="49" s="1"/>
  <c r="H43" i="49" s="1"/>
  <c r="I43" i="49" s="1"/>
  <c r="I31" i="6"/>
  <c r="K34" i="13"/>
  <c r="G32" i="45"/>
  <c r="I24" i="6"/>
  <c r="G27" i="7"/>
  <c r="G28" i="13"/>
  <c r="I38" i="6"/>
  <c r="G35" i="6"/>
  <c r="K29" i="6"/>
  <c r="G37" i="14"/>
  <c r="I34" i="13"/>
  <c r="K34" i="6"/>
  <c r="K35" i="40"/>
  <c r="I23" i="7"/>
  <c r="G30" i="6"/>
  <c r="K31" i="40"/>
  <c r="I36" i="15"/>
  <c r="G27" i="6"/>
  <c r="G43" i="15"/>
  <c r="I37" i="6"/>
  <c r="K28" i="13"/>
  <c r="G36" i="7"/>
  <c r="G38" i="6"/>
  <c r="K34" i="14"/>
  <c r="K37" i="39"/>
  <c r="I36" i="14"/>
  <c r="K36" i="13"/>
  <c r="K27" i="40"/>
  <c r="G31" i="40"/>
  <c r="G39" i="40"/>
  <c r="I20" i="40"/>
  <c r="G28" i="45"/>
  <c r="K29" i="13"/>
  <c r="G32" i="7"/>
  <c r="K38" i="39"/>
  <c r="K33" i="6"/>
  <c r="I36" i="7"/>
  <c r="I40" i="14"/>
  <c r="K40" i="14"/>
  <c r="G72" i="5"/>
  <c r="G39" i="6"/>
  <c r="G34" i="39"/>
  <c r="I37" i="13"/>
  <c r="K39" i="40"/>
  <c r="I32" i="40"/>
  <c r="G35" i="40"/>
  <c r="G28" i="44"/>
  <c r="G36" i="45"/>
  <c r="AL465" i="16"/>
  <c r="AN465" i="16" s="1"/>
  <c r="K39" i="7"/>
  <c r="G28" i="7"/>
  <c r="G35" i="14"/>
  <c r="K35" i="13"/>
  <c r="K26" i="40"/>
  <c r="G34" i="40"/>
  <c r="I30" i="39"/>
  <c r="I21" i="7"/>
  <c r="K28" i="39"/>
  <c r="G33" i="14"/>
  <c r="K83" i="5"/>
  <c r="I33" i="13"/>
  <c r="K33" i="13"/>
  <c r="K39" i="14"/>
  <c r="K27" i="14"/>
  <c r="G37" i="7"/>
  <c r="I33" i="7"/>
  <c r="K29" i="7"/>
  <c r="I40" i="6"/>
  <c r="G37" i="6"/>
  <c r="I35" i="6"/>
  <c r="I28" i="6"/>
  <c r="I28" i="7"/>
  <c r="G26" i="13"/>
  <c r="G26" i="14"/>
  <c r="G36" i="6"/>
  <c r="K36" i="6"/>
  <c r="K40" i="39"/>
  <c r="K34" i="39"/>
  <c r="K37" i="13"/>
  <c r="I28" i="40"/>
  <c r="G32" i="15"/>
  <c r="G30" i="40"/>
  <c r="G38" i="40"/>
  <c r="I23" i="40"/>
  <c r="K39" i="15"/>
  <c r="G35" i="45"/>
  <c r="D116" i="27"/>
  <c r="O148" i="27"/>
  <c r="O150" i="27"/>
  <c r="I31" i="7"/>
  <c r="J37" i="45"/>
  <c r="K26" i="14"/>
  <c r="K40" i="15"/>
  <c r="I39" i="15"/>
  <c r="J33" i="45"/>
  <c r="I82" i="5"/>
  <c r="G35" i="7"/>
  <c r="G31" i="7"/>
  <c r="K40" i="6"/>
  <c r="I31" i="14"/>
  <c r="G28" i="39"/>
  <c r="G39" i="14"/>
  <c r="K38" i="40"/>
  <c r="I32" i="15"/>
  <c r="G28" i="40"/>
  <c r="J44" i="47"/>
  <c r="AL199" i="16"/>
  <c r="AN199" i="16" s="1"/>
  <c r="AK29" i="35"/>
  <c r="K75" i="5"/>
  <c r="K82" i="5"/>
  <c r="G78" i="5"/>
  <c r="I74" i="5"/>
  <c r="K71" i="5"/>
  <c r="G71" i="5"/>
  <c r="I80" i="5"/>
  <c r="I69" i="5"/>
  <c r="G70" i="5"/>
  <c r="K74" i="5"/>
  <c r="K70" i="5"/>
  <c r="J11" i="45"/>
  <c r="J24" i="45" s="1"/>
  <c r="AC465" i="35"/>
  <c r="AE465" i="35" s="1"/>
  <c r="AH465" i="35" s="1"/>
  <c r="AC225" i="35"/>
  <c r="AE225" i="35" s="1"/>
  <c r="AH225" i="35" s="1"/>
  <c r="AC209" i="35"/>
  <c r="AE209" i="35" s="1"/>
  <c r="AH209" i="35" s="1"/>
  <c r="AC37" i="35"/>
  <c r="N47" i="35"/>
  <c r="R47" i="35" s="1"/>
  <c r="S47" i="35" s="1"/>
  <c r="AD47" i="35" s="1"/>
  <c r="J19" i="47"/>
  <c r="J9" i="47"/>
  <c r="AC28" i="35"/>
  <c r="AC16" i="35"/>
  <c r="AK13" i="35"/>
  <c r="J8" i="44"/>
  <c r="J21" i="44" s="1"/>
  <c r="AD328" i="16"/>
  <c r="AF328" i="16" s="1"/>
  <c r="AD193" i="16"/>
  <c r="AC480" i="35"/>
  <c r="AE480" i="35" s="1"/>
  <c r="AH480" i="35" s="1"/>
  <c r="AC448" i="35"/>
  <c r="AE448" i="35" s="1"/>
  <c r="AH448" i="35" s="1"/>
  <c r="AI448" i="35" s="1"/>
  <c r="AC444" i="35"/>
  <c r="AE444" i="35" s="1"/>
  <c r="AH444" i="35" s="1"/>
  <c r="AC432" i="35"/>
  <c r="AE432" i="35" s="1"/>
  <c r="AH432" i="35" s="1"/>
  <c r="AI432" i="35" s="1"/>
  <c r="AC428" i="35"/>
  <c r="AE428" i="35" s="1"/>
  <c r="AH428" i="35" s="1"/>
  <c r="AC412" i="35"/>
  <c r="AE412" i="35" s="1"/>
  <c r="AH412" i="35" s="1"/>
  <c r="AI412" i="35" s="1"/>
  <c r="AC304" i="35"/>
  <c r="AE304" i="35" s="1"/>
  <c r="AH304" i="35" s="1"/>
  <c r="AI304" i="35" s="1"/>
  <c r="AC288" i="35"/>
  <c r="AE288" i="35" s="1"/>
  <c r="AH288" i="35" s="1"/>
  <c r="AI288" i="35" s="1"/>
  <c r="AC284" i="35"/>
  <c r="AE284" i="35" s="1"/>
  <c r="AH284" i="35" s="1"/>
  <c r="AI284" i="35" s="1"/>
  <c r="AC280" i="35"/>
  <c r="AE280" i="35" s="1"/>
  <c r="AH280" i="35" s="1"/>
  <c r="AC252" i="35"/>
  <c r="AE252" i="35" s="1"/>
  <c r="AH252" i="35" s="1"/>
  <c r="AI252" i="35" s="1"/>
  <c r="AC236" i="35"/>
  <c r="AE236" i="35" s="1"/>
  <c r="AH236" i="35" s="1"/>
  <c r="AC208" i="35"/>
  <c r="AE208" i="35" s="1"/>
  <c r="AH208" i="35" s="1"/>
  <c r="AC204" i="35"/>
  <c r="AE204" i="35" s="1"/>
  <c r="AH204" i="35" s="1"/>
  <c r="AI204" i="35" s="1"/>
  <c r="AC192" i="35"/>
  <c r="AE192" i="35" s="1"/>
  <c r="AH192" i="35" s="1"/>
  <c r="AI192" i="35" s="1"/>
  <c r="AC188" i="35"/>
  <c r="AC176" i="35"/>
  <c r="AE176" i="35" s="1"/>
  <c r="AH176" i="35" s="1"/>
  <c r="AI176" i="35" s="1"/>
  <c r="AC160" i="35"/>
  <c r="AE160" i="35" s="1"/>
  <c r="AH160" i="35" s="1"/>
  <c r="AI160" i="35" s="1"/>
  <c r="AC144" i="35"/>
  <c r="AE144" i="35" s="1"/>
  <c r="AH144" i="35" s="1"/>
  <c r="AI144" i="35" s="1"/>
  <c r="AC140" i="35"/>
  <c r="AE140" i="35" s="1"/>
  <c r="AH140" i="35" s="1"/>
  <c r="AI140" i="35" s="1"/>
  <c r="AC108" i="35"/>
  <c r="AE108" i="35" s="1"/>
  <c r="AH108" i="35" s="1"/>
  <c r="AC64" i="35"/>
  <c r="AC60" i="35"/>
  <c r="AC48" i="35"/>
  <c r="H21" i="49"/>
  <c r="J21" i="49" s="1"/>
  <c r="F21" i="49"/>
  <c r="H45" i="49" s="1"/>
  <c r="I45" i="49" s="1"/>
  <c r="H19" i="49"/>
  <c r="J19" i="49" s="1"/>
  <c r="F20" i="49"/>
  <c r="H44" i="49" s="1"/>
  <c r="I44" i="49" s="1"/>
  <c r="Q20" i="49"/>
  <c r="U20" i="49" s="1"/>
  <c r="W20" i="49" s="1"/>
  <c r="H20" i="49"/>
  <c r="J20" i="49" s="1"/>
  <c r="D14" i="49"/>
  <c r="H14" i="49" s="1"/>
  <c r="J14" i="49" s="1"/>
  <c r="D17" i="49"/>
  <c r="Q17" i="49" s="1"/>
  <c r="D10" i="49"/>
  <c r="D16" i="49"/>
  <c r="Q16" i="49" s="1"/>
  <c r="D12" i="49"/>
  <c r="F12" i="49" s="1"/>
  <c r="H36" i="49" s="1"/>
  <c r="I36" i="49" s="1"/>
  <c r="F18" i="49"/>
  <c r="H42" i="49" s="1"/>
  <c r="I42" i="49" s="1"/>
  <c r="D15" i="49"/>
  <c r="Q15" i="49" s="1"/>
  <c r="U15" i="49" s="1"/>
  <c r="W15" i="49" s="1"/>
  <c r="AC481" i="35"/>
  <c r="AC449" i="35"/>
  <c r="AE449" i="35" s="1"/>
  <c r="AH449" i="35" s="1"/>
  <c r="AI449" i="35" s="1"/>
  <c r="AC389" i="35"/>
  <c r="AC341" i="35"/>
  <c r="AE341" i="35" s="1"/>
  <c r="AH341" i="35" s="1"/>
  <c r="AI341" i="35" s="1"/>
  <c r="AC337" i="35"/>
  <c r="AE337" i="35" s="1"/>
  <c r="AH337" i="35" s="1"/>
  <c r="AI337" i="35" s="1"/>
  <c r="AC321" i="35"/>
  <c r="AE321" i="35" s="1"/>
  <c r="AH321" i="35" s="1"/>
  <c r="AC293" i="35"/>
  <c r="AC277" i="35"/>
  <c r="AE277" i="35" s="1"/>
  <c r="AH277" i="35" s="1"/>
  <c r="AI277" i="35" s="1"/>
  <c r="AC273" i="35"/>
  <c r="AC101" i="35"/>
  <c r="AE101" i="35" s="1"/>
  <c r="AH101" i="35" s="1"/>
  <c r="AC427" i="35"/>
  <c r="AC387" i="35"/>
  <c r="AE387" i="35" s="1"/>
  <c r="AH387" i="35" s="1"/>
  <c r="AI387" i="35" s="1"/>
  <c r="AC359" i="35"/>
  <c r="AE359" i="35" s="1"/>
  <c r="AH359" i="35" s="1"/>
  <c r="AI359" i="35" s="1"/>
  <c r="AC343" i="35"/>
  <c r="AE343" i="35" s="1"/>
  <c r="AH343" i="35" s="1"/>
  <c r="AI343" i="35" s="1"/>
  <c r="AC259" i="35"/>
  <c r="AE259" i="35" s="1"/>
  <c r="AH259" i="35" s="1"/>
  <c r="AC87" i="35"/>
  <c r="AE87" i="35" s="1"/>
  <c r="AH87" i="35" s="1"/>
  <c r="AI87" i="35" s="1"/>
  <c r="AC71" i="35"/>
  <c r="AE71" i="35" s="1"/>
  <c r="AH71" i="35" s="1"/>
  <c r="AI71" i="35" s="1"/>
  <c r="AC261" i="35"/>
  <c r="AE261" i="35" s="1"/>
  <c r="AH261" i="35" s="1"/>
  <c r="AI261" i="35" s="1"/>
  <c r="AC113" i="35"/>
  <c r="AC97" i="35"/>
  <c r="AE97" i="35" s="1"/>
  <c r="AH97" i="35" s="1"/>
  <c r="AI97" i="35" s="1"/>
  <c r="AC49" i="35"/>
  <c r="AK485" i="35"/>
  <c r="AK229" i="35"/>
  <c r="AK93" i="35"/>
  <c r="AK85" i="35"/>
  <c r="AK77" i="35"/>
  <c r="AC241" i="35"/>
  <c r="AE241" i="35" s="1"/>
  <c r="AH241" i="35" s="1"/>
  <c r="AC213" i="35"/>
  <c r="AE213" i="35" s="1"/>
  <c r="AH213" i="35" s="1"/>
  <c r="AI213" i="35" s="1"/>
  <c r="AC193" i="35"/>
  <c r="AE193" i="35" s="1"/>
  <c r="AH193" i="35" s="1"/>
  <c r="AI193" i="35" s="1"/>
  <c r="AC181" i="35"/>
  <c r="AE181" i="35" s="1"/>
  <c r="AH181" i="35" s="1"/>
  <c r="AC165" i="35"/>
  <c r="AE165" i="35" s="1"/>
  <c r="AH165" i="35" s="1"/>
  <c r="AC129" i="35"/>
  <c r="AE129" i="35" s="1"/>
  <c r="AH129" i="35" s="1"/>
  <c r="AI129" i="35" s="1"/>
  <c r="AC117" i="35"/>
  <c r="AE117" i="35" s="1"/>
  <c r="AH117" i="35" s="1"/>
  <c r="AK493" i="35"/>
  <c r="AK437" i="35"/>
  <c r="AK405" i="35"/>
  <c r="AK385" i="35"/>
  <c r="AK373" i="35"/>
  <c r="AK349" i="35"/>
  <c r="AK337" i="35"/>
  <c r="AK321" i="35"/>
  <c r="AK253" i="35"/>
  <c r="AK221" i="35"/>
  <c r="AK205" i="35"/>
  <c r="AK197" i="35"/>
  <c r="AK173" i="35"/>
  <c r="AC492" i="35"/>
  <c r="AC491" i="35"/>
  <c r="AE491" i="35" s="1"/>
  <c r="AH491" i="35" s="1"/>
  <c r="AI491" i="35" s="1"/>
  <c r="AC476" i="35"/>
  <c r="AE476" i="35" s="1"/>
  <c r="AH476" i="35" s="1"/>
  <c r="AI476" i="35" s="1"/>
  <c r="AC472" i="35"/>
  <c r="AE472" i="35" s="1"/>
  <c r="AH472" i="35" s="1"/>
  <c r="AI472" i="35" s="1"/>
  <c r="AC464" i="35"/>
  <c r="AE464" i="35" s="1"/>
  <c r="AH464" i="35" s="1"/>
  <c r="AI464" i="35" s="1"/>
  <c r="AC460" i="35"/>
  <c r="AE460" i="35" s="1"/>
  <c r="AH460" i="35" s="1"/>
  <c r="AI460" i="35" s="1"/>
  <c r="AC440" i="35"/>
  <c r="AE440" i="35" s="1"/>
  <c r="AH440" i="35" s="1"/>
  <c r="AI440" i="35" s="1"/>
  <c r="AC416" i="35"/>
  <c r="AE416" i="35" s="1"/>
  <c r="AH416" i="35" s="1"/>
  <c r="AI416" i="35" s="1"/>
  <c r="AC408" i="35"/>
  <c r="AE408" i="35" s="1"/>
  <c r="AH408" i="35" s="1"/>
  <c r="AI408" i="35" s="1"/>
  <c r="AC400" i="35"/>
  <c r="AE400" i="35" s="1"/>
  <c r="AH400" i="35" s="1"/>
  <c r="AI400" i="35" s="1"/>
  <c r="AC396" i="35"/>
  <c r="AE396" i="35" s="1"/>
  <c r="AH396" i="35" s="1"/>
  <c r="AI396" i="35" s="1"/>
  <c r="AC384" i="35"/>
  <c r="AE384" i="35" s="1"/>
  <c r="AH384" i="35" s="1"/>
  <c r="AC380" i="35"/>
  <c r="AE380" i="35" s="1"/>
  <c r="AH380" i="35" s="1"/>
  <c r="AI380" i="35" s="1"/>
  <c r="AC368" i="35"/>
  <c r="AE368" i="35" s="1"/>
  <c r="AH368" i="35" s="1"/>
  <c r="AI368" i="35" s="1"/>
  <c r="AC364" i="35"/>
  <c r="AE364" i="35" s="1"/>
  <c r="AH364" i="35" s="1"/>
  <c r="AI364" i="35" s="1"/>
  <c r="AC352" i="35"/>
  <c r="AE352" i="35" s="1"/>
  <c r="AH352" i="35" s="1"/>
  <c r="AI352" i="35" s="1"/>
  <c r="AC348" i="35"/>
  <c r="AE348" i="35" s="1"/>
  <c r="AH348" i="35" s="1"/>
  <c r="AI348" i="35" s="1"/>
  <c r="AC332" i="35"/>
  <c r="AE332" i="35" s="1"/>
  <c r="AH332" i="35" s="1"/>
  <c r="AC331" i="35"/>
  <c r="AE331" i="35" s="1"/>
  <c r="AH331" i="35" s="1"/>
  <c r="AI331" i="35" s="1"/>
  <c r="AC320" i="35"/>
  <c r="AE320" i="35" s="1"/>
  <c r="AH320" i="35" s="1"/>
  <c r="AI320" i="35" s="1"/>
  <c r="AC316" i="35"/>
  <c r="AC300" i="35"/>
  <c r="AE300" i="35" s="1"/>
  <c r="AH300" i="35" s="1"/>
  <c r="AI300" i="35" s="1"/>
  <c r="AC295" i="35"/>
  <c r="AE295" i="35" s="1"/>
  <c r="AH295" i="35" s="1"/>
  <c r="AI295" i="35" s="1"/>
  <c r="AC272" i="35"/>
  <c r="AE272" i="35" s="1"/>
  <c r="AH272" i="35" s="1"/>
  <c r="AC268" i="35"/>
  <c r="AE268" i="35" s="1"/>
  <c r="AH268" i="35" s="1"/>
  <c r="AI268" i="35" s="1"/>
  <c r="AC256" i="35"/>
  <c r="AE256" i="35" s="1"/>
  <c r="AH256" i="35" s="1"/>
  <c r="AC248" i="35"/>
  <c r="AE248" i="35" s="1"/>
  <c r="AH248" i="35" s="1"/>
  <c r="AI248" i="35" s="1"/>
  <c r="AC232" i="35"/>
  <c r="AE232" i="35" s="1"/>
  <c r="AH232" i="35" s="1"/>
  <c r="AI232" i="35" s="1"/>
  <c r="AC224" i="35"/>
  <c r="AC220" i="35"/>
  <c r="AE220" i="35" s="1"/>
  <c r="AH220" i="35" s="1"/>
  <c r="AI220" i="35" s="1"/>
  <c r="AC200" i="35"/>
  <c r="AE200" i="35" s="1"/>
  <c r="AH200" i="35" s="1"/>
  <c r="AI200" i="35" s="1"/>
  <c r="AC199" i="35"/>
  <c r="AE199" i="35" s="1"/>
  <c r="AH199" i="35" s="1"/>
  <c r="AI199" i="35" s="1"/>
  <c r="AC172" i="35"/>
  <c r="AE172" i="35" s="1"/>
  <c r="AH172" i="35" s="1"/>
  <c r="AC156" i="35"/>
  <c r="AE156" i="35" s="1"/>
  <c r="AH156" i="35" s="1"/>
  <c r="AI156" i="35" s="1"/>
  <c r="AC136" i="35"/>
  <c r="AE136" i="35" s="1"/>
  <c r="AH136" i="35" s="1"/>
  <c r="AC128" i="35"/>
  <c r="AE128" i="35" s="1"/>
  <c r="AH128" i="35" s="1"/>
  <c r="AC124" i="35"/>
  <c r="AE124" i="35" s="1"/>
  <c r="AH124" i="35" s="1"/>
  <c r="AI124" i="35" s="1"/>
  <c r="AC112" i="35"/>
  <c r="AE112" i="35" s="1"/>
  <c r="AH112" i="35" s="1"/>
  <c r="AC96" i="35"/>
  <c r="AE96" i="35" s="1"/>
  <c r="AH96" i="35" s="1"/>
  <c r="AI96" i="35" s="1"/>
  <c r="AC92" i="35"/>
  <c r="AE92" i="35" s="1"/>
  <c r="AH92" i="35" s="1"/>
  <c r="AI92" i="35" s="1"/>
  <c r="AC80" i="35"/>
  <c r="AE80" i="35" s="1"/>
  <c r="AH80" i="35" s="1"/>
  <c r="AC44" i="35"/>
  <c r="AK37" i="35"/>
  <c r="N8" i="35"/>
  <c r="R8" i="35" s="1"/>
  <c r="S8" i="35" s="1"/>
  <c r="AD8" i="35" s="1"/>
  <c r="AE8" i="35" s="1"/>
  <c r="AH8" i="35" s="1"/>
  <c r="AI8" i="35" s="1"/>
  <c r="I79" i="5"/>
  <c r="K78" i="5"/>
  <c r="I72" i="5"/>
  <c r="K76" i="5"/>
  <c r="I63" i="5"/>
  <c r="G76" i="5"/>
  <c r="G75" i="5"/>
  <c r="AD55" i="16"/>
  <c r="K13" i="39"/>
  <c r="AC471" i="35"/>
  <c r="AE471" i="35" s="1"/>
  <c r="AH471" i="35" s="1"/>
  <c r="AI471" i="35" s="1"/>
  <c r="AC283" i="35"/>
  <c r="AE283" i="35" s="1"/>
  <c r="AH283" i="35" s="1"/>
  <c r="AI283" i="35" s="1"/>
  <c r="AC235" i="35"/>
  <c r="AE235" i="35" s="1"/>
  <c r="AH235" i="35" s="1"/>
  <c r="AI235" i="35" s="1"/>
  <c r="AC155" i="35"/>
  <c r="AE155" i="35" s="1"/>
  <c r="AH155" i="35" s="1"/>
  <c r="AI155" i="35" s="1"/>
  <c r="AK32" i="35"/>
  <c r="AC32" i="35"/>
  <c r="J12" i="44"/>
  <c r="K14" i="7"/>
  <c r="K26" i="7" s="1"/>
  <c r="AD48" i="16"/>
  <c r="AC497" i="35"/>
  <c r="AC470" i="35"/>
  <c r="AE470" i="35" s="1"/>
  <c r="AH470" i="35" s="1"/>
  <c r="AI470" i="35" s="1"/>
  <c r="AC469" i="35"/>
  <c r="AE469" i="35" s="1"/>
  <c r="AH469" i="35" s="1"/>
  <c r="AI469" i="35" s="1"/>
  <c r="AC433" i="35"/>
  <c r="AE433" i="35" s="1"/>
  <c r="AH433" i="35" s="1"/>
  <c r="AI433" i="35" s="1"/>
  <c r="AC422" i="35"/>
  <c r="AE422" i="35" s="1"/>
  <c r="AH422" i="35" s="1"/>
  <c r="AI422" i="35" s="1"/>
  <c r="AC421" i="35"/>
  <c r="AE421" i="35" s="1"/>
  <c r="AH421" i="35" s="1"/>
  <c r="AI421" i="35" s="1"/>
  <c r="AC410" i="35"/>
  <c r="AE410" i="35" s="1"/>
  <c r="AH410" i="35" s="1"/>
  <c r="AI410" i="35" s="1"/>
  <c r="AC406" i="35"/>
  <c r="AE406" i="35" s="1"/>
  <c r="AH406" i="35" s="1"/>
  <c r="AI406" i="35" s="1"/>
  <c r="AC405" i="35"/>
  <c r="AE405" i="35" s="1"/>
  <c r="AH405" i="35" s="1"/>
  <c r="AC390" i="35"/>
  <c r="AE390" i="35" s="1"/>
  <c r="AH390" i="35" s="1"/>
  <c r="AC385" i="35"/>
  <c r="AE385" i="35" s="1"/>
  <c r="AC370" i="35"/>
  <c r="AE370" i="35" s="1"/>
  <c r="AH370" i="35" s="1"/>
  <c r="AI370" i="35" s="1"/>
  <c r="AC369" i="35"/>
  <c r="AE369" i="35" s="1"/>
  <c r="AH369" i="35" s="1"/>
  <c r="AI369" i="35" s="1"/>
  <c r="AC325" i="35"/>
  <c r="AE325" i="35" s="1"/>
  <c r="AH325" i="35" s="1"/>
  <c r="AI325" i="35" s="1"/>
  <c r="AC318" i="35"/>
  <c r="AE318" i="35" s="1"/>
  <c r="AH318" i="35" s="1"/>
  <c r="AI318" i="35" s="1"/>
  <c r="AC314" i="35"/>
  <c r="AE314" i="35" s="1"/>
  <c r="AH314" i="35" s="1"/>
  <c r="AI314" i="35" s="1"/>
  <c r="AC310" i="35"/>
  <c r="AE310" i="35" s="1"/>
  <c r="AH310" i="35" s="1"/>
  <c r="AI310" i="35" s="1"/>
  <c r="AC309" i="35"/>
  <c r="AE309" i="35" s="1"/>
  <c r="AH309" i="35" s="1"/>
  <c r="AC305" i="35"/>
  <c r="AE305" i="35" s="1"/>
  <c r="AH305" i="35" s="1"/>
  <c r="AI305" i="35" s="1"/>
  <c r="AC290" i="35"/>
  <c r="AE290" i="35" s="1"/>
  <c r="AH290" i="35" s="1"/>
  <c r="AI290" i="35" s="1"/>
  <c r="AC289" i="35"/>
  <c r="AE289" i="35" s="1"/>
  <c r="AH289" i="35" s="1"/>
  <c r="AC266" i="35"/>
  <c r="AE266" i="35" s="1"/>
  <c r="AH266" i="35" s="1"/>
  <c r="AI266" i="35" s="1"/>
  <c r="AC262" i="35"/>
  <c r="AE262" i="35" s="1"/>
  <c r="AH262" i="35" s="1"/>
  <c r="AI262" i="35" s="1"/>
  <c r="AC257" i="35"/>
  <c r="AE257" i="35" s="1"/>
  <c r="AH257" i="35" s="1"/>
  <c r="AI257" i="35" s="1"/>
  <c r="AC245" i="35"/>
  <c r="AE245" i="35" s="1"/>
  <c r="AH245" i="35" s="1"/>
  <c r="AI245" i="35" s="1"/>
  <c r="AC242" i="35"/>
  <c r="AE242" i="35" s="1"/>
  <c r="AH242" i="35" s="1"/>
  <c r="AC226" i="35"/>
  <c r="AE226" i="35" s="1"/>
  <c r="AH226" i="35" s="1"/>
  <c r="AI226" i="35" s="1"/>
  <c r="AC210" i="35"/>
  <c r="AE210" i="35" s="1"/>
  <c r="AH210" i="35" s="1"/>
  <c r="AI210" i="35" s="1"/>
  <c r="AC198" i="35"/>
  <c r="AE198" i="35" s="1"/>
  <c r="AH198" i="35" s="1"/>
  <c r="AC197" i="35"/>
  <c r="AE197" i="35" s="1"/>
  <c r="AH197" i="35" s="1"/>
  <c r="AC177" i="35"/>
  <c r="AE177" i="35" s="1"/>
  <c r="AH177" i="35" s="1"/>
  <c r="AI177" i="35" s="1"/>
  <c r="AC161" i="35"/>
  <c r="AE161" i="35" s="1"/>
  <c r="AH161" i="35" s="1"/>
  <c r="AI161" i="35" s="1"/>
  <c r="AC154" i="35"/>
  <c r="AE154" i="35" s="1"/>
  <c r="AH154" i="35" s="1"/>
  <c r="AI154" i="35" s="1"/>
  <c r="AC149" i="35"/>
  <c r="AE149" i="35" s="1"/>
  <c r="AH149" i="35" s="1"/>
  <c r="AI149" i="35" s="1"/>
  <c r="AC145" i="35"/>
  <c r="AE145" i="35" s="1"/>
  <c r="AH145" i="35" s="1"/>
  <c r="AI145" i="35" s="1"/>
  <c r="AC133" i="35"/>
  <c r="AE133" i="35" s="1"/>
  <c r="AH133" i="35" s="1"/>
  <c r="AI133" i="35" s="1"/>
  <c r="AC122" i="35"/>
  <c r="AE122" i="35" s="1"/>
  <c r="AH122" i="35" s="1"/>
  <c r="AI122" i="35" s="1"/>
  <c r="AC98" i="35"/>
  <c r="AE98" i="35" s="1"/>
  <c r="AH98" i="35" s="1"/>
  <c r="AI98" i="35" s="1"/>
  <c r="AC86" i="35"/>
  <c r="AE86" i="35" s="1"/>
  <c r="AH86" i="35" s="1"/>
  <c r="AI86" i="35" s="1"/>
  <c r="AC85" i="35"/>
  <c r="AE85" i="35" s="1"/>
  <c r="AH85" i="35" s="1"/>
  <c r="AI85" i="35" s="1"/>
  <c r="AC81" i="35"/>
  <c r="AE81" i="35" s="1"/>
  <c r="AH81" i="35" s="1"/>
  <c r="AI81" i="35" s="1"/>
  <c r="AC65" i="35"/>
  <c r="AE65" i="35" s="1"/>
  <c r="AH65" i="35" s="1"/>
  <c r="AI65" i="35" s="1"/>
  <c r="AC58" i="35"/>
  <c r="AC53" i="35"/>
  <c r="AC26" i="35"/>
  <c r="AC22" i="35"/>
  <c r="AC21" i="35"/>
  <c r="AC17" i="35"/>
  <c r="J11" i="44"/>
  <c r="J24" i="44" s="1"/>
  <c r="K12" i="6"/>
  <c r="K24" i="6" s="1"/>
  <c r="K10" i="5"/>
  <c r="K8" i="5"/>
  <c r="K63" i="5" s="1"/>
  <c r="K9" i="7"/>
  <c r="K21" i="7" s="1"/>
  <c r="O479" i="16"/>
  <c r="S479" i="16" s="1"/>
  <c r="O415" i="16"/>
  <c r="S415" i="16" s="1"/>
  <c r="O335" i="16"/>
  <c r="S335" i="16" s="1"/>
  <c r="O207" i="16"/>
  <c r="S207" i="16" s="1"/>
  <c r="O111" i="16"/>
  <c r="S111" i="16" s="1"/>
  <c r="T111" i="16" s="1"/>
  <c r="AE111" i="16" s="1"/>
  <c r="N146" i="35"/>
  <c r="R146" i="35" s="1"/>
  <c r="N74" i="35"/>
  <c r="R74" i="35" s="1"/>
  <c r="N26" i="35"/>
  <c r="R26" i="35" s="1"/>
  <c r="S26" i="35" s="1"/>
  <c r="AD26" i="35" s="1"/>
  <c r="AE26" i="35" s="1"/>
  <c r="AH26" i="35" s="1"/>
  <c r="AI26" i="35" s="1"/>
  <c r="AC20" i="35"/>
  <c r="AK138" i="35"/>
  <c r="AK130" i="35"/>
  <c r="AK50" i="35"/>
  <c r="AK18" i="35"/>
  <c r="AD416" i="16"/>
  <c r="J8" i="45"/>
  <c r="J21" i="45" s="1"/>
  <c r="K13" i="6"/>
  <c r="K25" i="6" s="1"/>
  <c r="AC477" i="35"/>
  <c r="AE477" i="35" s="1"/>
  <c r="AH477" i="35" s="1"/>
  <c r="AI477" i="35" s="1"/>
  <c r="AC445" i="35"/>
  <c r="AE445" i="35" s="1"/>
  <c r="AH445" i="35" s="1"/>
  <c r="AC441" i="35"/>
  <c r="AE441" i="35" s="1"/>
  <c r="AH441" i="35" s="1"/>
  <c r="AI441" i="35" s="1"/>
  <c r="AC397" i="35"/>
  <c r="AE397" i="35" s="1"/>
  <c r="AH397" i="35" s="1"/>
  <c r="AI397" i="35" s="1"/>
  <c r="AC333" i="35"/>
  <c r="AE333" i="35" s="1"/>
  <c r="AH333" i="35" s="1"/>
  <c r="AI333" i="35" s="1"/>
  <c r="AC285" i="35"/>
  <c r="AE285" i="35" s="1"/>
  <c r="AH285" i="35" s="1"/>
  <c r="AI285" i="35" s="1"/>
  <c r="AC269" i="35"/>
  <c r="AE269" i="35" s="1"/>
  <c r="AH269" i="35" s="1"/>
  <c r="AI269" i="35" s="1"/>
  <c r="AC253" i="35"/>
  <c r="AE253" i="35" s="1"/>
  <c r="AH253" i="35" s="1"/>
  <c r="AC237" i="35"/>
  <c r="AE237" i="35" s="1"/>
  <c r="AH237" i="35" s="1"/>
  <c r="AI237" i="35" s="1"/>
  <c r="AC221" i="35"/>
  <c r="AE221" i="35" s="1"/>
  <c r="AH221" i="35" s="1"/>
  <c r="AC205" i="35"/>
  <c r="AE205" i="35" s="1"/>
  <c r="AH205" i="35" s="1"/>
  <c r="AI205" i="35" s="1"/>
  <c r="AC189" i="35"/>
  <c r="AE189" i="35" s="1"/>
  <c r="AH189" i="35" s="1"/>
  <c r="AI189" i="35" s="1"/>
  <c r="AC173" i="35"/>
  <c r="AE173" i="35" s="1"/>
  <c r="AH173" i="35" s="1"/>
  <c r="AI173" i="35" s="1"/>
  <c r="AC157" i="35"/>
  <c r="AE157" i="35" s="1"/>
  <c r="AH157" i="35" s="1"/>
  <c r="AC141" i="35"/>
  <c r="AE141" i="35" s="1"/>
  <c r="AH141" i="35" s="1"/>
  <c r="AI141" i="35" s="1"/>
  <c r="AC125" i="35"/>
  <c r="AE125" i="35" s="1"/>
  <c r="AH125" i="35" s="1"/>
  <c r="AI125" i="35" s="1"/>
  <c r="AC93" i="35"/>
  <c r="AE93" i="35" s="1"/>
  <c r="AH93" i="35" s="1"/>
  <c r="AC84" i="35"/>
  <c r="AE84" i="35" s="1"/>
  <c r="AH84" i="35" s="1"/>
  <c r="AC77" i="35"/>
  <c r="AE77" i="35" s="1"/>
  <c r="AH77" i="35" s="1"/>
  <c r="AI77" i="35" s="1"/>
  <c r="AC68" i="35"/>
  <c r="AE68" i="35" s="1"/>
  <c r="AH68" i="35" s="1"/>
  <c r="AI68" i="35" s="1"/>
  <c r="AC61" i="35"/>
  <c r="AC45" i="35"/>
  <c r="AC29" i="35"/>
  <c r="AC13" i="35"/>
  <c r="J15" i="47"/>
  <c r="K14" i="39"/>
  <c r="K30" i="39" s="1"/>
  <c r="N57" i="35"/>
  <c r="R57" i="35" s="1"/>
  <c r="N49" i="35"/>
  <c r="R49" i="35" s="1"/>
  <c r="S49" i="35" s="1"/>
  <c r="AD49" i="35" s="1"/>
  <c r="N41" i="35"/>
  <c r="R41" i="35" s="1"/>
  <c r="S41" i="35" s="1"/>
  <c r="AD41" i="35" s="1"/>
  <c r="AE41" i="35" s="1"/>
  <c r="AH41" i="35" s="1"/>
  <c r="AI41" i="35" s="1"/>
  <c r="N33" i="35"/>
  <c r="R33" i="35" s="1"/>
  <c r="S33" i="35" s="1"/>
  <c r="AD33" i="35" s="1"/>
  <c r="N25" i="35"/>
  <c r="R25" i="35" s="1"/>
  <c r="S25" i="35" s="1"/>
  <c r="AD25" i="35" s="1"/>
  <c r="N17" i="35"/>
  <c r="R17" i="35" s="1"/>
  <c r="S17" i="35" s="1"/>
  <c r="AD17" i="35" s="1"/>
  <c r="N9" i="35"/>
  <c r="R9" i="35" s="1"/>
  <c r="S9" i="35" s="1"/>
  <c r="AD9" i="35" s="1"/>
  <c r="AE9" i="35" s="1"/>
  <c r="AH9" i="35" s="1"/>
  <c r="AI9" i="35" s="1"/>
  <c r="J13" i="44"/>
  <c r="J26" i="44" s="1"/>
  <c r="AC484" i="35"/>
  <c r="AE484" i="35" s="1"/>
  <c r="AH484" i="35" s="1"/>
  <c r="AI484" i="35" s="1"/>
  <c r="AC468" i="35"/>
  <c r="AE468" i="35" s="1"/>
  <c r="AH468" i="35" s="1"/>
  <c r="AI468" i="35" s="1"/>
  <c r="AC452" i="35"/>
  <c r="AE452" i="35" s="1"/>
  <c r="AH452" i="35" s="1"/>
  <c r="AI452" i="35" s="1"/>
  <c r="AC436" i="35"/>
  <c r="AE436" i="35" s="1"/>
  <c r="AH436" i="35" s="1"/>
  <c r="AI436" i="35" s="1"/>
  <c r="AC404" i="35"/>
  <c r="AE404" i="35" s="1"/>
  <c r="AH404" i="35" s="1"/>
  <c r="AI404" i="35" s="1"/>
  <c r="AC356" i="35"/>
  <c r="AE356" i="35" s="1"/>
  <c r="AH356" i="35" s="1"/>
  <c r="AI356" i="35" s="1"/>
  <c r="AC324" i="35"/>
  <c r="AE324" i="35" s="1"/>
  <c r="AH324" i="35" s="1"/>
  <c r="AI324" i="35" s="1"/>
  <c r="AC308" i="35"/>
  <c r="AE308" i="35" s="1"/>
  <c r="AH308" i="35" s="1"/>
  <c r="AI308" i="35" s="1"/>
  <c r="AC260" i="35"/>
  <c r="AE260" i="35" s="1"/>
  <c r="AH260" i="35" s="1"/>
  <c r="AI260" i="35" s="1"/>
  <c r="AC244" i="35"/>
  <c r="AE244" i="35" s="1"/>
  <c r="AH244" i="35" s="1"/>
  <c r="AI244" i="35" s="1"/>
  <c r="AC228" i="35"/>
  <c r="AE228" i="35" s="1"/>
  <c r="AH228" i="35" s="1"/>
  <c r="AC212" i="35"/>
  <c r="AE212" i="35" s="1"/>
  <c r="AH212" i="35" s="1"/>
  <c r="AC148" i="35"/>
  <c r="AC100" i="35"/>
  <c r="AE100" i="35" s="1"/>
  <c r="AH100" i="35" s="1"/>
  <c r="AI100" i="35" s="1"/>
  <c r="AK41" i="35"/>
  <c r="I95" i="48"/>
  <c r="J95" i="48" s="1"/>
  <c r="L95" i="48" s="1"/>
  <c r="L29" i="8"/>
  <c r="K27" i="6"/>
  <c r="K28" i="6"/>
  <c r="K44" i="39"/>
  <c r="G29" i="45"/>
  <c r="G44" i="39"/>
  <c r="G40" i="7"/>
  <c r="G32" i="14"/>
  <c r="G39" i="13"/>
  <c r="K29" i="40"/>
  <c r="K41" i="7"/>
  <c r="K73" i="5"/>
  <c r="K37" i="40"/>
  <c r="G81" i="5"/>
  <c r="I39" i="6"/>
  <c r="I35" i="14"/>
  <c r="K36" i="14"/>
  <c r="G29" i="14"/>
  <c r="K36" i="39"/>
  <c r="G37" i="39"/>
  <c r="K31" i="13"/>
  <c r="I35" i="13"/>
  <c r="K33" i="40"/>
  <c r="I36" i="40"/>
  <c r="G36" i="40"/>
  <c r="G26" i="40"/>
  <c r="G29" i="40"/>
  <c r="J30" i="44"/>
  <c r="K37" i="14"/>
  <c r="K32" i="6"/>
  <c r="I32" i="7"/>
  <c r="G34" i="6"/>
  <c r="K27" i="7"/>
  <c r="G33" i="7"/>
  <c r="I34" i="15"/>
  <c r="I29" i="7"/>
  <c r="G69" i="5"/>
  <c r="I77" i="5"/>
  <c r="G73" i="5"/>
  <c r="G83" i="5"/>
  <c r="I30" i="6"/>
  <c r="I40" i="7"/>
  <c r="I35" i="7"/>
  <c r="I32" i="14"/>
  <c r="K33" i="14"/>
  <c r="G40" i="39"/>
  <c r="G28" i="14"/>
  <c r="I39" i="13"/>
  <c r="I31" i="13"/>
  <c r="K34" i="40"/>
  <c r="I40" i="40"/>
  <c r="I40" i="15"/>
  <c r="I43" i="15"/>
  <c r="G27" i="40"/>
  <c r="G33" i="15"/>
  <c r="G35" i="44"/>
  <c r="G29" i="44"/>
  <c r="G34" i="45"/>
  <c r="I31" i="39"/>
  <c r="I25" i="6"/>
  <c r="F55" i="10"/>
  <c r="I47" i="11"/>
  <c r="G36" i="11"/>
  <c r="I81" i="5"/>
  <c r="G77" i="5"/>
  <c r="G79" i="5"/>
  <c r="K29" i="14"/>
  <c r="K30" i="40"/>
  <c r="G33" i="40"/>
  <c r="F37" i="10"/>
  <c r="G47" i="11"/>
  <c r="O152" i="27"/>
  <c r="I45" i="11"/>
  <c r="J25" i="44"/>
  <c r="I24" i="40"/>
  <c r="D135" i="27"/>
  <c r="I66" i="5"/>
  <c r="I24" i="7"/>
  <c r="F39" i="10"/>
  <c r="I27" i="39"/>
  <c r="I36" i="10"/>
  <c r="O151" i="27"/>
  <c r="O153" i="27"/>
  <c r="J42" i="47"/>
  <c r="K65" i="5"/>
  <c r="H36" i="10"/>
  <c r="G52" i="47"/>
  <c r="J51" i="47"/>
  <c r="H47" i="10"/>
  <c r="Q45" i="10"/>
  <c r="P47" i="10"/>
  <c r="M46" i="10"/>
  <c r="I45" i="10"/>
  <c r="H50" i="10"/>
  <c r="K42" i="11"/>
  <c r="H49" i="10"/>
  <c r="I25" i="39"/>
  <c r="G54" i="47"/>
  <c r="M54" i="10"/>
  <c r="I54" i="10"/>
  <c r="K47" i="11"/>
  <c r="H39" i="10"/>
  <c r="M47" i="10"/>
  <c r="K53" i="11"/>
  <c r="G35" i="11"/>
  <c r="I53" i="11"/>
  <c r="N49" i="10"/>
  <c r="K45" i="11"/>
  <c r="F49" i="10"/>
  <c r="F54" i="10"/>
  <c r="F43" i="10"/>
  <c r="I47" i="10"/>
  <c r="K52" i="11"/>
  <c r="H52" i="10"/>
  <c r="K54" i="11"/>
  <c r="I50" i="11"/>
  <c r="F48" i="10"/>
  <c r="P43" i="10"/>
  <c r="Q43" i="10"/>
  <c r="G51" i="11"/>
  <c r="Q53" i="10"/>
  <c r="F42" i="10"/>
  <c r="M51" i="10"/>
  <c r="N45" i="10"/>
  <c r="K50" i="11"/>
  <c r="J48" i="47"/>
  <c r="M52" i="10"/>
  <c r="G42" i="47"/>
  <c r="G38" i="47"/>
  <c r="G46" i="47"/>
  <c r="G51" i="47"/>
  <c r="G44" i="47"/>
  <c r="O111" i="27"/>
  <c r="G38" i="11"/>
  <c r="P52" i="10"/>
  <c r="H42" i="10"/>
  <c r="Q48" i="10"/>
  <c r="H40" i="10"/>
  <c r="M53" i="10"/>
  <c r="H35" i="10"/>
  <c r="G41" i="11"/>
  <c r="H46" i="10"/>
  <c r="H37" i="10"/>
  <c r="P46" i="10"/>
  <c r="G42" i="11"/>
  <c r="I52" i="10"/>
  <c r="F46" i="10"/>
  <c r="M55" i="10"/>
  <c r="I44" i="11"/>
  <c r="I40" i="10"/>
  <c r="I38" i="10"/>
  <c r="I49" i="10"/>
  <c r="Q55" i="10"/>
  <c r="H43" i="10"/>
  <c r="G49" i="11"/>
  <c r="I48" i="11"/>
  <c r="N51" i="10"/>
  <c r="I50" i="10"/>
  <c r="P51" i="10"/>
  <c r="M49" i="10"/>
  <c r="N52" i="10"/>
  <c r="H44" i="10"/>
  <c r="F40" i="10"/>
  <c r="F45" i="10"/>
  <c r="N48" i="10"/>
  <c r="G50" i="11"/>
  <c r="N42" i="10"/>
  <c r="G40" i="11"/>
  <c r="I52" i="11"/>
  <c r="Q46" i="10"/>
  <c r="G48" i="11"/>
  <c r="I42" i="10"/>
  <c r="J47" i="47"/>
  <c r="Q44" i="10"/>
  <c r="G48" i="47"/>
  <c r="G43" i="47"/>
  <c r="I64" i="5"/>
  <c r="Q54" i="10"/>
  <c r="F52" i="10"/>
  <c r="K51" i="11"/>
  <c r="Q49" i="10"/>
  <c r="P53" i="10"/>
  <c r="G46" i="11"/>
  <c r="I44" i="10"/>
  <c r="F50" i="10"/>
  <c r="I41" i="10"/>
  <c r="H45" i="10"/>
  <c r="I37" i="10"/>
  <c r="F35" i="10"/>
  <c r="P48" i="10"/>
  <c r="Q42" i="10"/>
  <c r="Q52" i="10"/>
  <c r="H41" i="10"/>
  <c r="P45" i="10"/>
  <c r="K49" i="11"/>
  <c r="I35" i="10"/>
  <c r="F38" i="10"/>
  <c r="H55" i="10"/>
  <c r="H54" i="10"/>
  <c r="I46" i="10"/>
  <c r="G54" i="11"/>
  <c r="K43" i="11"/>
  <c r="N54" i="10"/>
  <c r="I43" i="10"/>
  <c r="P54" i="10"/>
  <c r="M50" i="10"/>
  <c r="H51" i="10"/>
  <c r="Q47" i="10"/>
  <c r="I53" i="10"/>
  <c r="M48" i="10"/>
  <c r="P49" i="10"/>
  <c r="H53" i="10"/>
  <c r="K46" i="11"/>
  <c r="N55" i="10"/>
  <c r="G52" i="11"/>
  <c r="G37" i="47"/>
  <c r="G40" i="47"/>
  <c r="G53" i="47"/>
  <c r="G50" i="47"/>
  <c r="O115" i="27"/>
  <c r="M42" i="10"/>
  <c r="I42" i="11"/>
  <c r="G47" i="47"/>
  <c r="G41" i="47"/>
  <c r="E40" i="27"/>
  <c r="O102" i="27"/>
  <c r="P44" i="10"/>
  <c r="K44" i="11"/>
  <c r="H38" i="10"/>
  <c r="I55" i="10"/>
  <c r="H48" i="10"/>
  <c r="G45" i="11"/>
  <c r="M44" i="10"/>
  <c r="I43" i="11"/>
  <c r="I54" i="11"/>
  <c r="G37" i="11"/>
  <c r="F44" i="10"/>
  <c r="I51" i="10"/>
  <c r="Q51" i="10"/>
  <c r="F51" i="10"/>
  <c r="F41" i="10"/>
  <c r="G44" i="11"/>
  <c r="P50" i="10"/>
  <c r="K55" i="11"/>
  <c r="F53" i="10"/>
  <c r="N53" i="10"/>
  <c r="P55" i="10"/>
  <c r="P42" i="10"/>
  <c r="M43" i="10"/>
  <c r="F47" i="10"/>
  <c r="N43" i="10"/>
  <c r="M45" i="10"/>
  <c r="Q50" i="10"/>
  <c r="N50" i="10"/>
  <c r="I39" i="10"/>
  <c r="K48" i="11"/>
  <c r="I48" i="10"/>
  <c r="F36" i="10"/>
  <c r="I49" i="11"/>
  <c r="N47" i="10"/>
  <c r="G39" i="11"/>
  <c r="I51" i="11"/>
  <c r="N46" i="10"/>
  <c r="G43" i="11"/>
  <c r="N44" i="10"/>
  <c r="J55" i="47"/>
  <c r="G49" i="47"/>
  <c r="J46" i="47"/>
  <c r="O106" i="27"/>
  <c r="O113" i="27"/>
  <c r="G20" i="6"/>
  <c r="AC254" i="35"/>
  <c r="AE254" i="35" s="1"/>
  <c r="AH254" i="35" s="1"/>
  <c r="AI254" i="35" s="1"/>
  <c r="AC109" i="35"/>
  <c r="AE109" i="35" s="1"/>
  <c r="AH109" i="35" s="1"/>
  <c r="AI109" i="35" s="1"/>
  <c r="AC56" i="35"/>
  <c r="AC413" i="35"/>
  <c r="AE413" i="35" s="1"/>
  <c r="AH413" i="35" s="1"/>
  <c r="AI413" i="35" s="1"/>
  <c r="AC365" i="35"/>
  <c r="AE365" i="35" s="1"/>
  <c r="AH365" i="35" s="1"/>
  <c r="AL406" i="16"/>
  <c r="AN406" i="16" s="1"/>
  <c r="AC488" i="35"/>
  <c r="AE488" i="35" s="1"/>
  <c r="AH488" i="35" s="1"/>
  <c r="AI488" i="35" s="1"/>
  <c r="AL471" i="16"/>
  <c r="AN471" i="16" s="1"/>
  <c r="AC349" i="35"/>
  <c r="AE349" i="35" s="1"/>
  <c r="AH349" i="35" s="1"/>
  <c r="AI349" i="35" s="1"/>
  <c r="AC317" i="35"/>
  <c r="AE317" i="35" s="1"/>
  <c r="AH317" i="35" s="1"/>
  <c r="AI317" i="35" s="1"/>
  <c r="AC46" i="35"/>
  <c r="AC72" i="35"/>
  <c r="AE72" i="35" s="1"/>
  <c r="AH72" i="35" s="1"/>
  <c r="AI72" i="35" s="1"/>
  <c r="N12" i="35"/>
  <c r="R12" i="35" s="1"/>
  <c r="S12" i="35" s="1"/>
  <c r="AD12" i="35" s="1"/>
  <c r="AC78" i="35"/>
  <c r="AE78" i="35" s="1"/>
  <c r="AH78" i="35" s="1"/>
  <c r="AI78" i="35" s="1"/>
  <c r="AC323" i="35"/>
  <c r="AE323" i="35" s="1"/>
  <c r="AH323" i="35" s="1"/>
  <c r="AI323" i="35" s="1"/>
  <c r="N27" i="35"/>
  <c r="R27" i="35" s="1"/>
  <c r="S27" i="35" s="1"/>
  <c r="AD27" i="35" s="1"/>
  <c r="AC296" i="35"/>
  <c r="AE296" i="35" s="1"/>
  <c r="AH296" i="35" s="1"/>
  <c r="AI296" i="35" s="1"/>
  <c r="N59" i="35"/>
  <c r="R59" i="35" s="1"/>
  <c r="S59" i="35" s="1"/>
  <c r="AD59" i="35" s="1"/>
  <c r="N11" i="35"/>
  <c r="R11" i="35" s="1"/>
  <c r="S11" i="35" s="1"/>
  <c r="AD11" i="35" s="1"/>
  <c r="AE11" i="35" s="1"/>
  <c r="AH11" i="35" s="1"/>
  <c r="AI11" i="35" s="1"/>
  <c r="AD31" i="16"/>
  <c r="N346" i="35"/>
  <c r="R346" i="35" s="1"/>
  <c r="AC211" i="35"/>
  <c r="AE211" i="35" s="1"/>
  <c r="AH211" i="35" s="1"/>
  <c r="AI211" i="35" s="1"/>
  <c r="AC281" i="35"/>
  <c r="AE281" i="35" s="1"/>
  <c r="AH281" i="35" s="1"/>
  <c r="AI281" i="35" s="1"/>
  <c r="AC233" i="35"/>
  <c r="AE233" i="35" s="1"/>
  <c r="AH233" i="35" s="1"/>
  <c r="AI233" i="35" s="1"/>
  <c r="AC185" i="35"/>
  <c r="AE185" i="35" s="1"/>
  <c r="AH185" i="35" s="1"/>
  <c r="AI185" i="35" s="1"/>
  <c r="AC153" i="35"/>
  <c r="AE153" i="35" s="1"/>
  <c r="AH153" i="35" s="1"/>
  <c r="AC451" i="35"/>
  <c r="AE451" i="35" s="1"/>
  <c r="AH451" i="35" s="1"/>
  <c r="AC361" i="35"/>
  <c r="AE361" i="35" s="1"/>
  <c r="AH361" i="35" s="1"/>
  <c r="AI361" i="35" s="1"/>
  <c r="AC217" i="35"/>
  <c r="AE217" i="35" s="1"/>
  <c r="AH217" i="35" s="1"/>
  <c r="AI217" i="35" s="1"/>
  <c r="AC41" i="35"/>
  <c r="AC350" i="35"/>
  <c r="AE350" i="35" s="1"/>
  <c r="AH350" i="35" s="1"/>
  <c r="AC126" i="35"/>
  <c r="AE126" i="35" s="1"/>
  <c r="AH126" i="35" s="1"/>
  <c r="AC371" i="35"/>
  <c r="AE371" i="35" s="1"/>
  <c r="AH371" i="35" s="1"/>
  <c r="AI371" i="35" s="1"/>
  <c r="AC99" i="35"/>
  <c r="AE99" i="35" s="1"/>
  <c r="AH99" i="35" s="1"/>
  <c r="AC51" i="35"/>
  <c r="AE51" i="35" s="1"/>
  <c r="AH51" i="35" s="1"/>
  <c r="J14" i="44"/>
  <c r="J27" i="44" s="1"/>
  <c r="AC120" i="35"/>
  <c r="AE120" i="35" s="1"/>
  <c r="AH120" i="35" s="1"/>
  <c r="AI120" i="35" s="1"/>
  <c r="AC489" i="35"/>
  <c r="AE489" i="35" s="1"/>
  <c r="AH489" i="35" s="1"/>
  <c r="AI489" i="35" s="1"/>
  <c r="AC35" i="35"/>
  <c r="AK210" i="35"/>
  <c r="AK178" i="35"/>
  <c r="AK90" i="35"/>
  <c r="AC313" i="35"/>
  <c r="AE313" i="35" s="1"/>
  <c r="AH313" i="35" s="1"/>
  <c r="AI313" i="35" s="1"/>
  <c r="AC265" i="35"/>
  <c r="AE265" i="35" s="1"/>
  <c r="AH265" i="35" s="1"/>
  <c r="AC169" i="35"/>
  <c r="AE169" i="35" s="1"/>
  <c r="AH169" i="35" s="1"/>
  <c r="AI169" i="35" s="1"/>
  <c r="AC121" i="35"/>
  <c r="AE121" i="35" s="1"/>
  <c r="AH121" i="35" s="1"/>
  <c r="AC147" i="35"/>
  <c r="AE147" i="35" s="1"/>
  <c r="AH147" i="35" s="1"/>
  <c r="AI147" i="35" s="1"/>
  <c r="AC376" i="35"/>
  <c r="AE376" i="35" s="1"/>
  <c r="AH376" i="35" s="1"/>
  <c r="AI376" i="35" s="1"/>
  <c r="AC168" i="35"/>
  <c r="AE168" i="35" s="1"/>
  <c r="AH168" i="35" s="1"/>
  <c r="AL246" i="16"/>
  <c r="AN246" i="16" s="1"/>
  <c r="AC345" i="35"/>
  <c r="AE345" i="35" s="1"/>
  <c r="AH345" i="35" s="1"/>
  <c r="AC201" i="35"/>
  <c r="AE201" i="35" s="1"/>
  <c r="AH201" i="35" s="1"/>
  <c r="AC105" i="35"/>
  <c r="AE105" i="35" s="1"/>
  <c r="AH105" i="35" s="1"/>
  <c r="AI105" i="35" s="1"/>
  <c r="AC414" i="35"/>
  <c r="AE414" i="35" s="1"/>
  <c r="AH414" i="35" s="1"/>
  <c r="AI414" i="35" s="1"/>
  <c r="AC110" i="35"/>
  <c r="AE110" i="35" s="1"/>
  <c r="AH110" i="35" s="1"/>
  <c r="AI110" i="35" s="1"/>
  <c r="AC424" i="35"/>
  <c r="AE424" i="35" s="1"/>
  <c r="AH424" i="35" s="1"/>
  <c r="AI424" i="35" s="1"/>
  <c r="AC152" i="35"/>
  <c r="AE152" i="35" s="1"/>
  <c r="AH152" i="35" s="1"/>
  <c r="AI152" i="35" s="1"/>
  <c r="N115" i="35"/>
  <c r="R115" i="35" s="1"/>
  <c r="N35" i="35"/>
  <c r="R35" i="35" s="1"/>
  <c r="S35" i="35" s="1"/>
  <c r="AD35" i="35" s="1"/>
  <c r="N19" i="35"/>
  <c r="R19" i="35" s="1"/>
  <c r="S19" i="35" s="1"/>
  <c r="AD19" i="35" s="1"/>
  <c r="AC329" i="35"/>
  <c r="AE329" i="35" s="1"/>
  <c r="AH329" i="35" s="1"/>
  <c r="AI329" i="35" s="1"/>
  <c r="AC249" i="35"/>
  <c r="AE249" i="35" s="1"/>
  <c r="AH249" i="35" s="1"/>
  <c r="AI249" i="35" s="1"/>
  <c r="AC88" i="35"/>
  <c r="AE88" i="35" s="1"/>
  <c r="AH88" i="35" s="1"/>
  <c r="AI88" i="35" s="1"/>
  <c r="AC24" i="35"/>
  <c r="AD487" i="16"/>
  <c r="AC150" i="35"/>
  <c r="AE150" i="35" s="1"/>
  <c r="AH150" i="35" s="1"/>
  <c r="AI150" i="35" s="1"/>
  <c r="AC134" i="35"/>
  <c r="AE134" i="35" s="1"/>
  <c r="AH134" i="35" s="1"/>
  <c r="AI134" i="35" s="1"/>
  <c r="AC102" i="35"/>
  <c r="AE102" i="35" s="1"/>
  <c r="AH102" i="35" s="1"/>
  <c r="AI102" i="35" s="1"/>
  <c r="AC457" i="35"/>
  <c r="AE457" i="35" s="1"/>
  <c r="AH457" i="35" s="1"/>
  <c r="AC297" i="35"/>
  <c r="AE297" i="35" s="1"/>
  <c r="AH297" i="35" s="1"/>
  <c r="AC409" i="35"/>
  <c r="AE409" i="35" s="1"/>
  <c r="AH409" i="35" s="1"/>
  <c r="AI409" i="35" s="1"/>
  <c r="AC190" i="35"/>
  <c r="AE190" i="35" s="1"/>
  <c r="AH190" i="35" s="1"/>
  <c r="AI190" i="35" s="1"/>
  <c r="AC456" i="35"/>
  <c r="AE456" i="35" s="1"/>
  <c r="AH456" i="35" s="1"/>
  <c r="AI456" i="35" s="1"/>
  <c r="AC264" i="35"/>
  <c r="AE264" i="35" s="1"/>
  <c r="AH264" i="35" s="1"/>
  <c r="AI264" i="35" s="1"/>
  <c r="I121" i="48"/>
  <c r="J121" i="48" s="1"/>
  <c r="L121" i="48" s="1"/>
  <c r="AC137" i="35"/>
  <c r="AE137" i="35" s="1"/>
  <c r="AH137" i="35" s="1"/>
  <c r="AC57" i="35"/>
  <c r="AE57" i="35" s="1"/>
  <c r="AH57" i="35" s="1"/>
  <c r="AI57" i="35" s="1"/>
  <c r="AC425" i="35"/>
  <c r="AC377" i="35"/>
  <c r="AE377" i="35" s="1"/>
  <c r="AH377" i="35" s="1"/>
  <c r="AI377" i="35" s="1"/>
  <c r="AC89" i="35"/>
  <c r="AE89" i="35" s="1"/>
  <c r="AH89" i="35" s="1"/>
  <c r="AI89" i="35" s="1"/>
  <c r="AC494" i="35"/>
  <c r="AE494" i="35" s="1"/>
  <c r="AH494" i="35" s="1"/>
  <c r="AC14" i="35"/>
  <c r="AC307" i="35"/>
  <c r="AE307" i="35" s="1"/>
  <c r="AH307" i="35" s="1"/>
  <c r="AI307" i="35" s="1"/>
  <c r="K11" i="7"/>
  <c r="K23" i="7" s="1"/>
  <c r="AD474" i="16"/>
  <c r="AF474" i="16" s="1"/>
  <c r="O406" i="16"/>
  <c r="S406" i="16" s="1"/>
  <c r="AD437" i="16"/>
  <c r="AF437" i="16" s="1"/>
  <c r="AG437" i="16" s="1"/>
  <c r="AC270" i="35"/>
  <c r="AE270" i="35" s="1"/>
  <c r="AH270" i="35" s="1"/>
  <c r="AC355" i="35"/>
  <c r="AE355" i="35" s="1"/>
  <c r="AH355" i="35" s="1"/>
  <c r="AI355" i="35" s="1"/>
  <c r="AD199" i="16"/>
  <c r="AF199" i="16" s="1"/>
  <c r="AI199" i="16" s="1"/>
  <c r="AJ199" i="16" s="1"/>
  <c r="N45" i="35"/>
  <c r="R45" i="35" s="1"/>
  <c r="S45" i="35" s="1"/>
  <c r="AD45" i="35" s="1"/>
  <c r="N29" i="35"/>
  <c r="R29" i="35" s="1"/>
  <c r="S29" i="35" s="1"/>
  <c r="AD29" i="35" s="1"/>
  <c r="N13" i="35"/>
  <c r="R13" i="35" s="1"/>
  <c r="S13" i="35" s="1"/>
  <c r="AD13" i="35" s="1"/>
  <c r="AL139" i="16"/>
  <c r="AN139" i="16" s="1"/>
  <c r="AL123" i="16"/>
  <c r="AN123" i="16" s="1"/>
  <c r="AC142" i="35"/>
  <c r="AE142" i="35" s="1"/>
  <c r="AH142" i="35" s="1"/>
  <c r="AI142" i="35" s="1"/>
  <c r="AC94" i="35"/>
  <c r="AE94" i="35" s="1"/>
  <c r="AH94" i="35" s="1"/>
  <c r="AI94" i="35" s="1"/>
  <c r="O27" i="16"/>
  <c r="S27" i="16" s="1"/>
  <c r="T27" i="16" s="1"/>
  <c r="AE27" i="16" s="1"/>
  <c r="AL487" i="16"/>
  <c r="AN487" i="16" s="1"/>
  <c r="AL27" i="16"/>
  <c r="AN27" i="16" s="1"/>
  <c r="AC274" i="35"/>
  <c r="AE274" i="35" s="1"/>
  <c r="AH274" i="35" s="1"/>
  <c r="AI274" i="35" s="1"/>
  <c r="AC146" i="35"/>
  <c r="AE146" i="35" s="1"/>
  <c r="AH146" i="35" s="1"/>
  <c r="AI146" i="35" s="1"/>
  <c r="AC130" i="35"/>
  <c r="AE130" i="35" s="1"/>
  <c r="AH130" i="35" s="1"/>
  <c r="AC114" i="35"/>
  <c r="AE114" i="35" s="1"/>
  <c r="AH114" i="35" s="1"/>
  <c r="AI114" i="35" s="1"/>
  <c r="AC82" i="35"/>
  <c r="AE82" i="35" s="1"/>
  <c r="AH82" i="35" s="1"/>
  <c r="AC66" i="35"/>
  <c r="AC50" i="35"/>
  <c r="O491" i="16"/>
  <c r="S491" i="16" s="1"/>
  <c r="O427" i="16"/>
  <c r="S427" i="16" s="1"/>
  <c r="O363" i="16"/>
  <c r="S363" i="16" s="1"/>
  <c r="O315" i="16"/>
  <c r="S315" i="16" s="1"/>
  <c r="O251" i="16"/>
  <c r="S251" i="16" s="1"/>
  <c r="O187" i="16"/>
  <c r="S187" i="16" s="1"/>
  <c r="O123" i="16"/>
  <c r="S123" i="16" s="1"/>
  <c r="T123" i="16" s="1"/>
  <c r="AE123" i="16" s="1"/>
  <c r="O59" i="16"/>
  <c r="S59" i="16" s="1"/>
  <c r="T59" i="16" s="1"/>
  <c r="AE59" i="16" s="1"/>
  <c r="O7" i="16"/>
  <c r="S7" i="16" s="1"/>
  <c r="T7" i="16" s="1"/>
  <c r="AE7" i="16" s="1"/>
  <c r="AL107" i="16"/>
  <c r="AN107" i="16" s="1"/>
  <c r="AL71" i="16"/>
  <c r="AN71" i="16" s="1"/>
  <c r="O475" i="16"/>
  <c r="S475" i="16" s="1"/>
  <c r="O411" i="16"/>
  <c r="S411" i="16" s="1"/>
  <c r="O347" i="16"/>
  <c r="S347" i="16" s="1"/>
  <c r="O283" i="16"/>
  <c r="S283" i="16" s="1"/>
  <c r="O219" i="16"/>
  <c r="S219" i="16" s="1"/>
  <c r="O171" i="16"/>
  <c r="S171" i="16" s="1"/>
  <c r="O107" i="16"/>
  <c r="S107" i="16" s="1"/>
  <c r="T107" i="16" s="1"/>
  <c r="AE107" i="16" s="1"/>
  <c r="O43" i="16"/>
  <c r="S43" i="16" s="1"/>
  <c r="T43" i="16" s="1"/>
  <c r="AE43" i="16" s="1"/>
  <c r="O26" i="16"/>
  <c r="S26" i="16" s="1"/>
  <c r="T26" i="16" s="1"/>
  <c r="AE26" i="16" s="1"/>
  <c r="N37" i="35"/>
  <c r="R37" i="35" s="1"/>
  <c r="S37" i="35" s="1"/>
  <c r="AD37" i="35" s="1"/>
  <c r="N21" i="35"/>
  <c r="R21" i="35" s="1"/>
  <c r="S21" i="35" s="1"/>
  <c r="AD21" i="35" s="1"/>
  <c r="AL11" i="16"/>
  <c r="AN11" i="16" s="1"/>
  <c r="AC206" i="35"/>
  <c r="AE206" i="35" s="1"/>
  <c r="AH206" i="35" s="1"/>
  <c r="AI206" i="35" s="1"/>
  <c r="AD37" i="16"/>
  <c r="O443" i="16"/>
  <c r="S443" i="16" s="1"/>
  <c r="O331" i="16"/>
  <c r="S331" i="16" s="1"/>
  <c r="O267" i="16"/>
  <c r="S267" i="16" s="1"/>
  <c r="O203" i="16"/>
  <c r="S203" i="16" s="1"/>
  <c r="O139" i="16"/>
  <c r="S139" i="16" s="1"/>
  <c r="T139" i="16" s="1"/>
  <c r="AE139" i="16" s="1"/>
  <c r="O91" i="16"/>
  <c r="S91" i="16" s="1"/>
  <c r="T91" i="16" s="1"/>
  <c r="AE91" i="16" s="1"/>
  <c r="O11" i="16"/>
  <c r="S11" i="16" s="1"/>
  <c r="T11" i="16" s="1"/>
  <c r="AE11" i="16" s="1"/>
  <c r="N4" i="35"/>
  <c r="R4" i="35" s="1"/>
  <c r="S4" i="35" s="1"/>
  <c r="AD4" i="35" s="1"/>
  <c r="AE4" i="35" s="1"/>
  <c r="AH4" i="35" s="1"/>
  <c r="AI4" i="35" s="1"/>
  <c r="AL411" i="16"/>
  <c r="AN411" i="16" s="1"/>
  <c r="AK473" i="35"/>
  <c r="AK265" i="35"/>
  <c r="AK217" i="35"/>
  <c r="AK209" i="35"/>
  <c r="AK193" i="35"/>
  <c r="AK185" i="35"/>
  <c r="AK169" i="35"/>
  <c r="AK153" i="35"/>
  <c r="AK137" i="35"/>
  <c r="AK129" i="35"/>
  <c r="AK105" i="35"/>
  <c r="AK89" i="35"/>
  <c r="AK57" i="35"/>
  <c r="AK49" i="35"/>
  <c r="AK33" i="35"/>
  <c r="AC398" i="35"/>
  <c r="AE398" i="35" s="1"/>
  <c r="AH398" i="35" s="1"/>
  <c r="AI398" i="35" s="1"/>
  <c r="AC30" i="35"/>
  <c r="O379" i="16"/>
  <c r="S379" i="16" s="1"/>
  <c r="O299" i="16"/>
  <c r="S299" i="16" s="1"/>
  <c r="O235" i="16"/>
  <c r="S235" i="16" s="1"/>
  <c r="O155" i="16"/>
  <c r="S155" i="16" s="1"/>
  <c r="O75" i="16"/>
  <c r="S75" i="16" s="1"/>
  <c r="T75" i="16" s="1"/>
  <c r="AE75" i="16" s="1"/>
  <c r="AK269" i="35"/>
  <c r="AD318" i="16"/>
  <c r="AF318" i="16" s="1"/>
  <c r="AC182" i="35"/>
  <c r="AE182" i="35" s="1"/>
  <c r="AH182" i="35" s="1"/>
  <c r="AI182" i="35" s="1"/>
  <c r="AC70" i="35"/>
  <c r="AD147" i="16"/>
  <c r="AF147" i="16" s="1"/>
  <c r="O471" i="16"/>
  <c r="S471" i="16" s="1"/>
  <c r="O455" i="16"/>
  <c r="S455" i="16" s="1"/>
  <c r="O423" i="16"/>
  <c r="S423" i="16" s="1"/>
  <c r="O391" i="16"/>
  <c r="S391" i="16" s="1"/>
  <c r="O359" i="16"/>
  <c r="S359" i="16" s="1"/>
  <c r="O311" i="16"/>
  <c r="S311" i="16" s="1"/>
  <c r="O247" i="16"/>
  <c r="S247" i="16" s="1"/>
  <c r="O215" i="16"/>
  <c r="S215" i="16" s="1"/>
  <c r="O183" i="16"/>
  <c r="S183" i="16" s="1"/>
  <c r="O151" i="16"/>
  <c r="S151" i="16" s="1"/>
  <c r="O119" i="16"/>
  <c r="S119" i="16" s="1"/>
  <c r="T119" i="16" s="1"/>
  <c r="AE119" i="16" s="1"/>
  <c r="O87" i="16"/>
  <c r="S87" i="16" s="1"/>
  <c r="T87" i="16" s="1"/>
  <c r="AE87" i="16" s="1"/>
  <c r="O55" i="16"/>
  <c r="S55" i="16" s="1"/>
  <c r="T55" i="16" s="1"/>
  <c r="AE55" i="16" s="1"/>
  <c r="AD89" i="16"/>
  <c r="AK376" i="35"/>
  <c r="O487" i="16"/>
  <c r="S487" i="16" s="1"/>
  <c r="O439" i="16"/>
  <c r="S439" i="16" s="1"/>
  <c r="O407" i="16"/>
  <c r="S407" i="16" s="1"/>
  <c r="O375" i="16"/>
  <c r="S375" i="16" s="1"/>
  <c r="O343" i="16"/>
  <c r="S343" i="16" s="1"/>
  <c r="O231" i="16"/>
  <c r="S231" i="16" s="1"/>
  <c r="O199" i="16"/>
  <c r="O167" i="16"/>
  <c r="S167" i="16" s="1"/>
  <c r="O135" i="16"/>
  <c r="S135" i="16" s="1"/>
  <c r="T135" i="16" s="1"/>
  <c r="AE135" i="16" s="1"/>
  <c r="O103" i="16"/>
  <c r="S103" i="16" s="1"/>
  <c r="T103" i="16" s="1"/>
  <c r="AE103" i="16" s="1"/>
  <c r="O71" i="16"/>
  <c r="S71" i="16" s="1"/>
  <c r="T71" i="16" s="1"/>
  <c r="AE71" i="16" s="1"/>
  <c r="AD469" i="16"/>
  <c r="AF469" i="16" s="1"/>
  <c r="AD168" i="16"/>
  <c r="AF168" i="16" s="1"/>
  <c r="AG168" i="16" s="1"/>
  <c r="AL171" i="16"/>
  <c r="AN171" i="16" s="1"/>
  <c r="AL91" i="16"/>
  <c r="AN91" i="16" s="1"/>
  <c r="O263" i="16"/>
  <c r="S263" i="16" s="1"/>
  <c r="AC158" i="35"/>
  <c r="AE158" i="35" s="1"/>
  <c r="AH158" i="35" s="1"/>
  <c r="AI158" i="35" s="1"/>
  <c r="O295" i="16"/>
  <c r="S295" i="16" s="1"/>
  <c r="K16" i="39"/>
  <c r="K32" i="39" s="1"/>
  <c r="AD324" i="16"/>
  <c r="AF324" i="16" s="1"/>
  <c r="AD268" i="16"/>
  <c r="AF268" i="16" s="1"/>
  <c r="O39" i="16"/>
  <c r="S39" i="16" s="1"/>
  <c r="T39" i="16" s="1"/>
  <c r="AE39" i="16" s="1"/>
  <c r="O23" i="16"/>
  <c r="S23" i="16" s="1"/>
  <c r="T23" i="16" s="1"/>
  <c r="AE23" i="16" s="1"/>
  <c r="AL155" i="16"/>
  <c r="AN155" i="16" s="1"/>
  <c r="AC346" i="35"/>
  <c r="AE346" i="35" s="1"/>
  <c r="AH346" i="35" s="1"/>
  <c r="AI346" i="35" s="1"/>
  <c r="AC186" i="35"/>
  <c r="AE186" i="35" s="1"/>
  <c r="AH186" i="35" s="1"/>
  <c r="AC138" i="35"/>
  <c r="AE138" i="35" s="1"/>
  <c r="AH138" i="35" s="1"/>
  <c r="AC106" i="35"/>
  <c r="AE106" i="35" s="1"/>
  <c r="AH106" i="35" s="1"/>
  <c r="AI106" i="35" s="1"/>
  <c r="AC90" i="35"/>
  <c r="AE90" i="35" s="1"/>
  <c r="AH90" i="35" s="1"/>
  <c r="AI90" i="35" s="1"/>
  <c r="AC74" i="35"/>
  <c r="AE74" i="35" s="1"/>
  <c r="AH74" i="35" s="1"/>
  <c r="AI74" i="35" s="1"/>
  <c r="J16" i="48"/>
  <c r="L16" i="48" s="1"/>
  <c r="I32" i="39"/>
  <c r="AL247" i="16"/>
  <c r="AN247" i="16" s="1"/>
  <c r="AL75" i="16"/>
  <c r="AN75" i="16" s="1"/>
  <c r="AC388" i="35"/>
  <c r="AE388" i="35" s="1"/>
  <c r="AH388" i="35" s="1"/>
  <c r="E154" i="27"/>
  <c r="I154" i="27"/>
  <c r="L154" i="27"/>
  <c r="I135" i="27"/>
  <c r="K135" i="27"/>
  <c r="M135" i="27"/>
  <c r="G135" i="27"/>
  <c r="I116" i="27"/>
  <c r="O103" i="27"/>
  <c r="K116" i="27"/>
  <c r="C116" i="27"/>
  <c r="L116" i="27"/>
  <c r="M116" i="27"/>
  <c r="N116" i="27"/>
  <c r="J116" i="27"/>
  <c r="G116" i="27"/>
  <c r="E116" i="27"/>
  <c r="H116" i="27"/>
  <c r="H40" i="27"/>
  <c r="I40" i="27"/>
  <c r="O25" i="27"/>
  <c r="J40" i="27"/>
  <c r="K40" i="27"/>
  <c r="F40" i="27"/>
  <c r="G40" i="27"/>
  <c r="M40" i="27"/>
  <c r="N40" i="27"/>
  <c r="I21" i="27"/>
  <c r="H21" i="27"/>
  <c r="J21" i="27"/>
  <c r="M21" i="27"/>
  <c r="K21" i="27"/>
  <c r="N21" i="27"/>
  <c r="F21" i="27"/>
  <c r="D21" i="27"/>
  <c r="E21" i="27"/>
  <c r="C21" i="27"/>
  <c r="G21" i="27"/>
  <c r="AE273" i="35"/>
  <c r="AH273" i="35" s="1"/>
  <c r="AI273" i="35" s="1"/>
  <c r="AE316" i="35"/>
  <c r="AH316" i="35" s="1"/>
  <c r="AI316" i="35" s="1"/>
  <c r="H17" i="49"/>
  <c r="J17" i="49" s="1"/>
  <c r="F17" i="49"/>
  <c r="H41" i="49" s="1"/>
  <c r="I41" i="49" s="1"/>
  <c r="D11" i="49"/>
  <c r="Q21" i="49"/>
  <c r="O149" i="27"/>
  <c r="L40" i="27"/>
  <c r="L21" i="27"/>
  <c r="O20" i="27"/>
  <c r="O16" i="27"/>
  <c r="O17" i="27"/>
  <c r="O18" i="27"/>
  <c r="O6" i="27"/>
  <c r="H154" i="27"/>
  <c r="O11" i="27"/>
  <c r="O14" i="27"/>
  <c r="O107" i="27"/>
  <c r="O15" i="27"/>
  <c r="O10" i="27"/>
  <c r="O28" i="27"/>
  <c r="O147" i="27"/>
  <c r="O13" i="27"/>
  <c r="O7" i="27"/>
  <c r="O19" i="27"/>
  <c r="O110" i="27"/>
  <c r="O112" i="27"/>
  <c r="O114" i="27"/>
  <c r="O30" i="27"/>
  <c r="O31" i="27"/>
  <c r="O36" i="27"/>
  <c r="F116" i="27"/>
  <c r="O100" i="27"/>
  <c r="O8" i="27"/>
  <c r="O9" i="27"/>
  <c r="O26" i="27"/>
  <c r="O32" i="27"/>
  <c r="O33" i="27"/>
  <c r="O104" i="27"/>
  <c r="O108" i="27"/>
  <c r="O24" i="27"/>
  <c r="D154" i="27"/>
  <c r="D40" i="27"/>
  <c r="O5" i="27"/>
  <c r="O29" i="27"/>
  <c r="O27" i="27"/>
  <c r="O34" i="27"/>
  <c r="O35" i="27"/>
  <c r="O37" i="27"/>
  <c r="O38" i="27"/>
  <c r="O39" i="27"/>
  <c r="O105" i="27"/>
  <c r="O109" i="27"/>
  <c r="O122" i="27"/>
  <c r="O123" i="27"/>
  <c r="O124" i="27"/>
  <c r="O126" i="27"/>
  <c r="O130" i="27"/>
  <c r="O131" i="27"/>
  <c r="O132" i="27"/>
  <c r="O133" i="27"/>
  <c r="O134" i="27"/>
  <c r="O138" i="27"/>
  <c r="O141" i="27"/>
  <c r="C40" i="27"/>
  <c r="O12" i="27"/>
  <c r="O143" i="27"/>
  <c r="O144" i="27"/>
  <c r="O145" i="27"/>
  <c r="O146" i="27"/>
  <c r="O101" i="27"/>
  <c r="AC286" i="35"/>
  <c r="AE286" i="35" s="1"/>
  <c r="AH286" i="35" s="1"/>
  <c r="AI286" i="35" s="1"/>
  <c r="AC238" i="35"/>
  <c r="AE238" i="35" s="1"/>
  <c r="AH238" i="35" s="1"/>
  <c r="AI238" i="35" s="1"/>
  <c r="AD368" i="16"/>
  <c r="AF368" i="16" s="1"/>
  <c r="AI368" i="16" s="1"/>
  <c r="AJ368" i="16" s="1"/>
  <c r="AD154" i="16"/>
  <c r="AF154" i="16" s="1"/>
  <c r="AG154" i="16" s="1"/>
  <c r="AC474" i="35"/>
  <c r="AE474" i="35" s="1"/>
  <c r="AH474" i="35" s="1"/>
  <c r="AC402" i="35"/>
  <c r="AE402" i="35" s="1"/>
  <c r="AH402" i="35" s="1"/>
  <c r="AI402" i="35" s="1"/>
  <c r="AC394" i="35"/>
  <c r="AE394" i="35" s="1"/>
  <c r="AH394" i="35" s="1"/>
  <c r="AI394" i="35" s="1"/>
  <c r="AC378" i="35"/>
  <c r="AE378" i="35" s="1"/>
  <c r="AH378" i="35" s="1"/>
  <c r="AC366" i="35"/>
  <c r="AE366" i="35" s="1"/>
  <c r="AH366" i="35" s="1"/>
  <c r="AI366" i="35" s="1"/>
  <c r="AC354" i="35"/>
  <c r="AE354" i="35" s="1"/>
  <c r="AH354" i="35" s="1"/>
  <c r="AI354" i="35" s="1"/>
  <c r="AC342" i="35"/>
  <c r="AE342" i="35" s="1"/>
  <c r="AH342" i="35" s="1"/>
  <c r="AI342" i="35" s="1"/>
  <c r="AC330" i="35"/>
  <c r="AE330" i="35" s="1"/>
  <c r="AH330" i="35" s="1"/>
  <c r="AI330" i="35" s="1"/>
  <c r="AC298" i="35"/>
  <c r="AE298" i="35" s="1"/>
  <c r="AH298" i="35" s="1"/>
  <c r="AI298" i="35" s="1"/>
  <c r="AC282" i="35"/>
  <c r="AE282" i="35" s="1"/>
  <c r="AH282" i="35" s="1"/>
  <c r="AI282" i="35" s="1"/>
  <c r="AC278" i="35"/>
  <c r="AE278" i="35" s="1"/>
  <c r="AH278" i="35" s="1"/>
  <c r="AC250" i="35"/>
  <c r="AE250" i="35" s="1"/>
  <c r="AH250" i="35" s="1"/>
  <c r="AI250" i="35" s="1"/>
  <c r="AC234" i="35"/>
  <c r="AE234" i="35" s="1"/>
  <c r="AH234" i="35" s="1"/>
  <c r="AI234" i="35" s="1"/>
  <c r="AC214" i="35"/>
  <c r="AE214" i="35" s="1"/>
  <c r="AH214" i="35" s="1"/>
  <c r="AI214" i="35" s="1"/>
  <c r="AC461" i="35"/>
  <c r="AE461" i="35" s="1"/>
  <c r="AH461" i="35" s="1"/>
  <c r="AI461" i="35" s="1"/>
  <c r="AC437" i="35"/>
  <c r="AE437" i="35" s="1"/>
  <c r="AH437" i="35" s="1"/>
  <c r="AI437" i="35" s="1"/>
  <c r="AD346" i="16"/>
  <c r="AF346" i="16" s="1"/>
  <c r="AG346" i="16" s="1"/>
  <c r="N40" i="10"/>
  <c r="Q23" i="10"/>
  <c r="Q40" i="10" s="1"/>
  <c r="K9" i="11"/>
  <c r="AC499" i="35"/>
  <c r="AE499" i="35" s="1"/>
  <c r="AH499" i="35" s="1"/>
  <c r="AI499" i="35" s="1"/>
  <c r="AC487" i="35"/>
  <c r="AE487" i="35" s="1"/>
  <c r="AH487" i="35" s="1"/>
  <c r="AC483" i="35"/>
  <c r="AE483" i="35" s="1"/>
  <c r="AH483" i="35" s="1"/>
  <c r="AI483" i="35" s="1"/>
  <c r="AC475" i="35"/>
  <c r="AE475" i="35" s="1"/>
  <c r="AH475" i="35" s="1"/>
  <c r="AI475" i="35" s="1"/>
  <c r="AC467" i="35"/>
  <c r="AE467" i="35" s="1"/>
  <c r="AH467" i="35" s="1"/>
  <c r="AI467" i="35" s="1"/>
  <c r="AC466" i="35"/>
  <c r="AE466" i="35" s="1"/>
  <c r="AH466" i="35" s="1"/>
  <c r="AI466" i="35" s="1"/>
  <c r="AC459" i="35"/>
  <c r="AE459" i="35" s="1"/>
  <c r="AH459" i="35" s="1"/>
  <c r="AI459" i="35" s="1"/>
  <c r="AC455" i="35"/>
  <c r="AE455" i="35" s="1"/>
  <c r="AH455" i="35" s="1"/>
  <c r="AI455" i="35" s="1"/>
  <c r="AC443" i="35"/>
  <c r="AE443" i="35" s="1"/>
  <c r="AH443" i="35" s="1"/>
  <c r="AI443" i="35" s="1"/>
  <c r="AC439" i="35"/>
  <c r="AE439" i="35" s="1"/>
  <c r="AH439" i="35" s="1"/>
  <c r="AI439" i="35" s="1"/>
  <c r="AC435" i="35"/>
  <c r="AE435" i="35" s="1"/>
  <c r="AH435" i="35" s="1"/>
  <c r="AI435" i="35" s="1"/>
  <c r="AC423" i="35"/>
  <c r="AE423" i="35" s="1"/>
  <c r="AH423" i="35" s="1"/>
  <c r="AI423" i="35" s="1"/>
  <c r="AC419" i="35"/>
  <c r="AE419" i="35" s="1"/>
  <c r="AH419" i="35" s="1"/>
  <c r="AI419" i="35" s="1"/>
  <c r="AC418" i="35"/>
  <c r="AE418" i="35" s="1"/>
  <c r="AH418" i="35" s="1"/>
  <c r="AI418" i="35" s="1"/>
  <c r="AC407" i="35"/>
  <c r="AE407" i="35" s="1"/>
  <c r="AH407" i="35" s="1"/>
  <c r="AI407" i="35" s="1"/>
  <c r="AC403" i="35"/>
  <c r="AE403" i="35" s="1"/>
  <c r="AH403" i="35" s="1"/>
  <c r="AI403" i="35" s="1"/>
  <c r="AC395" i="35"/>
  <c r="AE395" i="35" s="1"/>
  <c r="AH395" i="35" s="1"/>
  <c r="AI395" i="35" s="1"/>
  <c r="AC391" i="35"/>
  <c r="AE391" i="35" s="1"/>
  <c r="AH391" i="35" s="1"/>
  <c r="AI391" i="35" s="1"/>
  <c r="AC386" i="35"/>
  <c r="AE386" i="35" s="1"/>
  <c r="AH386" i="35" s="1"/>
  <c r="AI386" i="35" s="1"/>
  <c r="AC375" i="35"/>
  <c r="AE375" i="35" s="1"/>
  <c r="AC374" i="35"/>
  <c r="AE374" i="35" s="1"/>
  <c r="AH374" i="35" s="1"/>
  <c r="AC363" i="35"/>
  <c r="AE363" i="35" s="1"/>
  <c r="AH363" i="35" s="1"/>
  <c r="AI363" i="35" s="1"/>
  <c r="AC362" i="35"/>
  <c r="AE362" i="35" s="1"/>
  <c r="AH362" i="35" s="1"/>
  <c r="AI362" i="35" s="1"/>
  <c r="AC358" i="35"/>
  <c r="AE358" i="35" s="1"/>
  <c r="AH358" i="35" s="1"/>
  <c r="AI358" i="35" s="1"/>
  <c r="AC347" i="35"/>
  <c r="AE347" i="35" s="1"/>
  <c r="AH347" i="35" s="1"/>
  <c r="AI347" i="35" s="1"/>
  <c r="AC339" i="35"/>
  <c r="AE339" i="35" s="1"/>
  <c r="AH339" i="35" s="1"/>
  <c r="AI339" i="35" s="1"/>
  <c r="AC338" i="35"/>
  <c r="AE338" i="35" s="1"/>
  <c r="AH338" i="35" s="1"/>
  <c r="AI338" i="35" s="1"/>
  <c r="AC334" i="35"/>
  <c r="AE334" i="35" s="1"/>
  <c r="AH334" i="35" s="1"/>
  <c r="AI334" i="35" s="1"/>
  <c r="AC327" i="35"/>
  <c r="AE327" i="35" s="1"/>
  <c r="AH327" i="35" s="1"/>
  <c r="AI327" i="35" s="1"/>
  <c r="AC322" i="35"/>
  <c r="AE322" i="35" s="1"/>
  <c r="AC315" i="35"/>
  <c r="AE315" i="35" s="1"/>
  <c r="AH315" i="35" s="1"/>
  <c r="AI315" i="35" s="1"/>
  <c r="AC311" i="35"/>
  <c r="AE311" i="35" s="1"/>
  <c r="AH311" i="35" s="1"/>
  <c r="AC306" i="35"/>
  <c r="AE306" i="35" s="1"/>
  <c r="AH306" i="35" s="1"/>
  <c r="AI306" i="35" s="1"/>
  <c r="AC299" i="35"/>
  <c r="AE299" i="35" s="1"/>
  <c r="AH299" i="35" s="1"/>
  <c r="AI299" i="35" s="1"/>
  <c r="AC291" i="35"/>
  <c r="AE291" i="35" s="1"/>
  <c r="AH291" i="35" s="1"/>
  <c r="AI291" i="35" s="1"/>
  <c r="AC275" i="35"/>
  <c r="AE275" i="35" s="1"/>
  <c r="AH275" i="35" s="1"/>
  <c r="AI275" i="35" s="1"/>
  <c r="AC267" i="35"/>
  <c r="AE267" i="35" s="1"/>
  <c r="AC263" i="35"/>
  <c r="AE263" i="35" s="1"/>
  <c r="AH263" i="35" s="1"/>
  <c r="AI263" i="35" s="1"/>
  <c r="AC258" i="35"/>
  <c r="AE258" i="35" s="1"/>
  <c r="AH258" i="35" s="1"/>
  <c r="AI258" i="35" s="1"/>
  <c r="AC251" i="35"/>
  <c r="AE251" i="35" s="1"/>
  <c r="AH251" i="35" s="1"/>
  <c r="AI251" i="35" s="1"/>
  <c r="AC247" i="35"/>
  <c r="AE247" i="35" s="1"/>
  <c r="AH247" i="35" s="1"/>
  <c r="AI247" i="35" s="1"/>
  <c r="AC246" i="35"/>
  <c r="AE246" i="35" s="1"/>
  <c r="AC243" i="35"/>
  <c r="AE243" i="35" s="1"/>
  <c r="AH243" i="35" s="1"/>
  <c r="AC231" i="35"/>
  <c r="AE231" i="35" s="1"/>
  <c r="AH231" i="35" s="1"/>
  <c r="AI231" i="35" s="1"/>
  <c r="AC227" i="35"/>
  <c r="AE227" i="35" s="1"/>
  <c r="AH227" i="35" s="1"/>
  <c r="AI227" i="35" s="1"/>
  <c r="AC219" i="35"/>
  <c r="AE219" i="35" s="1"/>
  <c r="AH219" i="35" s="1"/>
  <c r="AC215" i="35"/>
  <c r="AE215" i="35" s="1"/>
  <c r="AH215" i="35" s="1"/>
  <c r="AI215" i="35" s="1"/>
  <c r="AC203" i="35"/>
  <c r="AE203" i="35" s="1"/>
  <c r="AH203" i="35" s="1"/>
  <c r="AC195" i="35"/>
  <c r="AE195" i="35" s="1"/>
  <c r="AH195" i="35" s="1"/>
  <c r="AC187" i="35"/>
  <c r="AE187" i="35" s="1"/>
  <c r="AH187" i="35" s="1"/>
  <c r="AI187" i="35" s="1"/>
  <c r="AC179" i="35"/>
  <c r="AE179" i="35" s="1"/>
  <c r="AH179" i="35" s="1"/>
  <c r="AI179" i="35" s="1"/>
  <c r="AC178" i="35"/>
  <c r="AE178" i="35" s="1"/>
  <c r="AH178" i="35" s="1"/>
  <c r="AI178" i="35" s="1"/>
  <c r="AC62" i="35"/>
  <c r="AC42" i="35"/>
  <c r="AC18" i="35"/>
  <c r="J28" i="47"/>
  <c r="J9" i="44"/>
  <c r="J22" i="44" s="1"/>
  <c r="J13" i="45"/>
  <c r="J26" i="45" s="1"/>
  <c r="K27" i="11"/>
  <c r="K11" i="40"/>
  <c r="K23" i="40" s="1"/>
  <c r="K13" i="40"/>
  <c r="K25" i="40" s="1"/>
  <c r="AL500" i="16"/>
  <c r="AN500" i="16" s="1"/>
  <c r="AD422" i="16"/>
  <c r="AD340" i="16"/>
  <c r="AF340" i="16" s="1"/>
  <c r="AD374" i="16"/>
  <c r="AF374" i="16" s="1"/>
  <c r="AD286" i="16"/>
  <c r="AF286" i="16" s="1"/>
  <c r="AG286" i="16" s="1"/>
  <c r="AD272" i="16"/>
  <c r="AC453" i="35"/>
  <c r="AE453" i="35" s="1"/>
  <c r="AH453" i="35" s="1"/>
  <c r="AI453" i="35" s="1"/>
  <c r="K16" i="15"/>
  <c r="K31" i="15" s="1"/>
  <c r="K12" i="40"/>
  <c r="K24" i="40" s="1"/>
  <c r="AD470" i="16"/>
  <c r="AF470" i="16" s="1"/>
  <c r="AI470" i="16" s="1"/>
  <c r="O456" i="16"/>
  <c r="S456" i="16" s="1"/>
  <c r="AD398" i="16"/>
  <c r="AF398" i="16" s="1"/>
  <c r="AD388" i="16"/>
  <c r="AF388" i="16" s="1"/>
  <c r="AC462" i="35"/>
  <c r="AE462" i="35" s="1"/>
  <c r="AH462" i="35" s="1"/>
  <c r="AC454" i="35"/>
  <c r="AE454" i="35" s="1"/>
  <c r="AH454" i="35" s="1"/>
  <c r="AC438" i="35"/>
  <c r="AE438" i="35" s="1"/>
  <c r="AH438" i="35" s="1"/>
  <c r="AI438" i="35" s="1"/>
  <c r="AC430" i="35"/>
  <c r="AE430" i="35" s="1"/>
  <c r="AH430" i="35" s="1"/>
  <c r="AI430" i="35" s="1"/>
  <c r="AC326" i="35"/>
  <c r="AE326" i="35" s="1"/>
  <c r="AH326" i="35" s="1"/>
  <c r="AI326" i="35" s="1"/>
  <c r="AC230" i="35"/>
  <c r="AE230" i="35" s="1"/>
  <c r="AH230" i="35" s="1"/>
  <c r="AC218" i="35"/>
  <c r="AE218" i="35" s="1"/>
  <c r="AH218" i="35" s="1"/>
  <c r="AC171" i="35"/>
  <c r="AE171" i="35" s="1"/>
  <c r="AH171" i="35" s="1"/>
  <c r="AI171" i="35" s="1"/>
  <c r="AC163" i="35"/>
  <c r="AE163" i="35" s="1"/>
  <c r="AH163" i="35" s="1"/>
  <c r="AI163" i="35" s="1"/>
  <c r="AC151" i="35"/>
  <c r="AE151" i="35" s="1"/>
  <c r="AH151" i="35" s="1"/>
  <c r="AK139" i="35"/>
  <c r="AC131" i="35"/>
  <c r="AE131" i="35" s="1"/>
  <c r="AC123" i="35"/>
  <c r="AE123" i="35" s="1"/>
  <c r="AH123" i="35" s="1"/>
  <c r="AC119" i="35"/>
  <c r="AE119" i="35" s="1"/>
  <c r="AH119" i="35" s="1"/>
  <c r="AC103" i="35"/>
  <c r="AE103" i="35" s="1"/>
  <c r="AH103" i="35" s="1"/>
  <c r="AI103" i="35" s="1"/>
  <c r="AC91" i="35"/>
  <c r="AE91" i="35" s="1"/>
  <c r="AH91" i="35" s="1"/>
  <c r="AC83" i="35"/>
  <c r="AE83" i="35" s="1"/>
  <c r="AH83" i="35" s="1"/>
  <c r="AI83" i="35" s="1"/>
  <c r="AC75" i="35"/>
  <c r="AE75" i="35" s="1"/>
  <c r="AH75" i="35" s="1"/>
  <c r="AI75" i="35" s="1"/>
  <c r="AK71" i="35"/>
  <c r="AC67" i="35"/>
  <c r="AE67" i="35" s="1"/>
  <c r="AH67" i="35" s="1"/>
  <c r="AI67" i="35" s="1"/>
  <c r="AC59" i="35"/>
  <c r="AE59" i="35" s="1"/>
  <c r="AH59" i="35" s="1"/>
  <c r="AI59" i="35" s="1"/>
  <c r="AC55" i="35"/>
  <c r="AC43" i="35"/>
  <c r="AC39" i="35"/>
  <c r="AC27" i="35"/>
  <c r="AC23" i="35"/>
  <c r="AC19" i="35"/>
  <c r="J25" i="47"/>
  <c r="J23" i="47"/>
  <c r="J17" i="47"/>
  <c r="J10" i="44"/>
  <c r="J23" i="44" s="1"/>
  <c r="J10" i="45"/>
  <c r="J23" i="45" s="1"/>
  <c r="S81" i="48"/>
  <c r="W81" i="48" s="1"/>
  <c r="K11" i="6"/>
  <c r="K23" i="6" s="1"/>
  <c r="K9" i="6"/>
  <c r="K21" i="6" s="1"/>
  <c r="K11" i="5"/>
  <c r="K66" i="5" s="1"/>
  <c r="K9" i="5"/>
  <c r="K64" i="5" s="1"/>
  <c r="K12" i="7"/>
  <c r="K24" i="7" s="1"/>
  <c r="AD478" i="16"/>
  <c r="AF478" i="16" s="1"/>
  <c r="AG478" i="16" s="1"/>
  <c r="AD292" i="16"/>
  <c r="AF292" i="16" s="1"/>
  <c r="AE497" i="35"/>
  <c r="AH497" i="35" s="1"/>
  <c r="AI497" i="35" s="1"/>
  <c r="AD161" i="16"/>
  <c r="AF161" i="16" s="1"/>
  <c r="AG161" i="16" s="1"/>
  <c r="AD109" i="16"/>
  <c r="AK67" i="35"/>
  <c r="AL473" i="16"/>
  <c r="AN473" i="16" s="1"/>
  <c r="AD373" i="16"/>
  <c r="AF373" i="16" s="1"/>
  <c r="AI373" i="16" s="1"/>
  <c r="AJ373" i="16" s="1"/>
  <c r="O19" i="16"/>
  <c r="S19" i="16" s="1"/>
  <c r="T19" i="16" s="1"/>
  <c r="AE19" i="16" s="1"/>
  <c r="J94" i="48"/>
  <c r="L94" i="48" s="1"/>
  <c r="AC139" i="35"/>
  <c r="AE139" i="35" s="1"/>
  <c r="AH139" i="35" s="1"/>
  <c r="O425" i="16"/>
  <c r="S425" i="16" s="1"/>
  <c r="O377" i="16"/>
  <c r="S377" i="16" s="1"/>
  <c r="O369" i="16"/>
  <c r="S369" i="16" s="1"/>
  <c r="O297" i="16"/>
  <c r="S297" i="16" s="1"/>
  <c r="O233" i="16"/>
  <c r="S233" i="16" s="1"/>
  <c r="AD18" i="16"/>
  <c r="AD16" i="16"/>
  <c r="K11" i="13"/>
  <c r="K23" i="13" s="1"/>
  <c r="AD192" i="16"/>
  <c r="AF192" i="16" s="1"/>
  <c r="AD172" i="16"/>
  <c r="AF172" i="16" s="1"/>
  <c r="AG172" i="16" s="1"/>
  <c r="AD104" i="16"/>
  <c r="I69" i="48"/>
  <c r="I70" i="48" s="1"/>
  <c r="J70" i="48" s="1"/>
  <c r="L70" i="48" s="1"/>
  <c r="O132" i="16"/>
  <c r="S132" i="16" s="1"/>
  <c r="T132" i="16" s="1"/>
  <c r="AE132" i="16" s="1"/>
  <c r="AD472" i="16"/>
  <c r="AF472" i="16" s="1"/>
  <c r="AD364" i="16"/>
  <c r="AF364" i="16" s="1"/>
  <c r="AD330" i="16"/>
  <c r="AF330" i="16" s="1"/>
  <c r="AD32" i="16"/>
  <c r="AK483" i="35"/>
  <c r="AK419" i="35"/>
  <c r="AK355" i="35"/>
  <c r="AK323" i="35"/>
  <c r="AK307" i="35"/>
  <c r="AK299" i="35"/>
  <c r="AK275" i="35"/>
  <c r="AK259" i="35"/>
  <c r="AK243" i="35"/>
  <c r="AK227" i="35"/>
  <c r="AK211" i="35"/>
  <c r="AK199" i="35"/>
  <c r="AK179" i="35"/>
  <c r="AK131" i="35"/>
  <c r="AK99" i="35"/>
  <c r="AK95" i="35"/>
  <c r="AK35" i="35"/>
  <c r="AK19" i="35"/>
  <c r="AC490" i="35"/>
  <c r="AE490" i="35" s="1"/>
  <c r="AH490" i="35" s="1"/>
  <c r="AI490" i="35" s="1"/>
  <c r="AC486" i="35"/>
  <c r="AE486" i="35" s="1"/>
  <c r="AH486" i="35" s="1"/>
  <c r="AI486" i="35" s="1"/>
  <c r="AC485" i="35"/>
  <c r="AE485" i="35" s="1"/>
  <c r="AH485" i="35" s="1"/>
  <c r="AI485" i="35" s="1"/>
  <c r="AC482" i="35"/>
  <c r="AE482" i="35" s="1"/>
  <c r="AH482" i="35" s="1"/>
  <c r="AI482" i="35" s="1"/>
  <c r="AC478" i="35"/>
  <c r="AE478" i="35" s="1"/>
  <c r="AH478" i="35" s="1"/>
  <c r="AI478" i="35" s="1"/>
  <c r="AC458" i="35"/>
  <c r="AE458" i="35" s="1"/>
  <c r="AH458" i="35" s="1"/>
  <c r="AI458" i="35" s="1"/>
  <c r="AC450" i="35"/>
  <c r="AE450" i="35" s="1"/>
  <c r="AC446" i="35"/>
  <c r="AE446" i="35" s="1"/>
  <c r="AH446" i="35" s="1"/>
  <c r="AI446" i="35" s="1"/>
  <c r="AC442" i="35"/>
  <c r="AE442" i="35" s="1"/>
  <c r="AH442" i="35" s="1"/>
  <c r="AI442" i="35" s="1"/>
  <c r="AC426" i="35"/>
  <c r="AE426" i="35" s="1"/>
  <c r="AH426" i="35" s="1"/>
  <c r="AI426" i="35" s="1"/>
  <c r="AC393" i="35"/>
  <c r="AE393" i="35" s="1"/>
  <c r="AH393" i="35" s="1"/>
  <c r="AI393" i="35" s="1"/>
  <c r="AC382" i="35"/>
  <c r="AE382" i="35" s="1"/>
  <c r="AH382" i="35" s="1"/>
  <c r="AI382" i="35" s="1"/>
  <c r="AC294" i="35"/>
  <c r="AE294" i="35" s="1"/>
  <c r="AH294" i="35" s="1"/>
  <c r="AC222" i="35"/>
  <c r="AE222" i="35" s="1"/>
  <c r="AH222" i="35" s="1"/>
  <c r="AI222" i="35" s="1"/>
  <c r="AC381" i="35"/>
  <c r="AE381" i="35" s="1"/>
  <c r="AH381" i="35" s="1"/>
  <c r="AI381" i="35" s="1"/>
  <c r="AC473" i="35"/>
  <c r="AE473" i="35" s="1"/>
  <c r="AH473" i="35" s="1"/>
  <c r="AI473" i="35" s="1"/>
  <c r="AC429" i="35"/>
  <c r="AE429" i="35" s="1"/>
  <c r="AH429" i="35" s="1"/>
  <c r="AI429" i="35" s="1"/>
  <c r="AC202" i="35"/>
  <c r="AE202" i="35" s="1"/>
  <c r="AH202" i="35" s="1"/>
  <c r="AC194" i="35"/>
  <c r="AE194" i="35" s="1"/>
  <c r="AH194" i="35" s="1"/>
  <c r="AI194" i="35" s="1"/>
  <c r="AC174" i="35"/>
  <c r="AE174" i="35" s="1"/>
  <c r="AH174" i="35" s="1"/>
  <c r="AC166" i="35"/>
  <c r="AE166" i="35" s="1"/>
  <c r="AC38" i="35"/>
  <c r="O400" i="16"/>
  <c r="S400" i="16" s="1"/>
  <c r="O360" i="16"/>
  <c r="S360" i="16" s="1"/>
  <c r="AD440" i="16"/>
  <c r="AF440" i="16" s="1"/>
  <c r="AG440" i="16" s="1"/>
  <c r="AD424" i="16"/>
  <c r="AF424" i="16" s="1"/>
  <c r="AG424" i="16" s="1"/>
  <c r="AD234" i="16"/>
  <c r="AF234" i="16" s="1"/>
  <c r="AG234" i="16" s="1"/>
  <c r="AD230" i="16"/>
  <c r="AF230" i="16" s="1"/>
  <c r="AD218" i="16"/>
  <c r="AF218" i="16" s="1"/>
  <c r="AD102" i="16"/>
  <c r="AL451" i="16"/>
  <c r="AN451" i="16" s="1"/>
  <c r="AD436" i="16"/>
  <c r="AF436" i="16" s="1"/>
  <c r="AG436" i="16" s="1"/>
  <c r="AL409" i="16"/>
  <c r="AN409" i="16" s="1"/>
  <c r="AD314" i="16"/>
  <c r="AF314" i="16" s="1"/>
  <c r="AG314" i="16" s="1"/>
  <c r="AD106" i="16"/>
  <c r="AL18" i="16"/>
  <c r="AN18" i="16" s="1"/>
  <c r="AC417" i="35"/>
  <c r="AE417" i="35" s="1"/>
  <c r="AK170" i="35"/>
  <c r="AK106" i="35"/>
  <c r="AD220" i="16"/>
  <c r="AF220" i="16" s="1"/>
  <c r="AD196" i="16"/>
  <c r="AF196" i="16" s="1"/>
  <c r="AI196" i="16" s="1"/>
  <c r="AJ196" i="16" s="1"/>
  <c r="AD25" i="16"/>
  <c r="AD430" i="16"/>
  <c r="AF430" i="16" s="1"/>
  <c r="AL425" i="16"/>
  <c r="AN425" i="16" s="1"/>
  <c r="AL420" i="16"/>
  <c r="AN420" i="16" s="1"/>
  <c r="AL388" i="16"/>
  <c r="AN388" i="16" s="1"/>
  <c r="AD242" i="16"/>
  <c r="AF242" i="16" s="1"/>
  <c r="AG242" i="16" s="1"/>
  <c r="AL225" i="16"/>
  <c r="AN225" i="16" s="1"/>
  <c r="AD72" i="16"/>
  <c r="AD68" i="16"/>
  <c r="K9" i="13"/>
  <c r="K21" i="13" s="1"/>
  <c r="AC170" i="35"/>
  <c r="AE170" i="35" s="1"/>
  <c r="AH170" i="35" s="1"/>
  <c r="O482" i="16"/>
  <c r="S482" i="16" s="1"/>
  <c r="O446" i="16"/>
  <c r="S446" i="16" s="1"/>
  <c r="O294" i="16"/>
  <c r="S294" i="16" s="1"/>
  <c r="O174" i="16"/>
  <c r="S174" i="16" s="1"/>
  <c r="O158" i="16"/>
  <c r="S158" i="16" s="1"/>
  <c r="AC33" i="35"/>
  <c r="J24" i="47"/>
  <c r="J22" i="47"/>
  <c r="J20" i="47"/>
  <c r="J18" i="47"/>
  <c r="J16" i="47"/>
  <c r="AL462" i="16"/>
  <c r="AN462" i="16" s="1"/>
  <c r="K13" i="13"/>
  <c r="K25" i="13" s="1"/>
  <c r="AL362" i="16"/>
  <c r="AN362" i="16" s="1"/>
  <c r="AL126" i="16"/>
  <c r="AN126" i="16" s="1"/>
  <c r="AK410" i="35"/>
  <c r="AK282" i="35"/>
  <c r="AK266" i="35"/>
  <c r="AK250" i="35"/>
  <c r="AK234" i="35"/>
  <c r="AK202" i="35"/>
  <c r="AK186" i="35"/>
  <c r="AK154" i="35"/>
  <c r="AK146" i="35"/>
  <c r="AK122" i="35"/>
  <c r="AK82" i="35"/>
  <c r="AK74" i="35"/>
  <c r="AK66" i="35"/>
  <c r="AC372" i="35"/>
  <c r="AE372" i="35" s="1"/>
  <c r="AH372" i="35" s="1"/>
  <c r="AI372" i="35" s="1"/>
  <c r="AC340" i="35"/>
  <c r="AE340" i="35" s="1"/>
  <c r="AH340" i="35" s="1"/>
  <c r="AI340" i="35" s="1"/>
  <c r="J14" i="47"/>
  <c r="J12" i="47"/>
  <c r="J10" i="47"/>
  <c r="K23" i="11"/>
  <c r="M38" i="10"/>
  <c r="Q35" i="10"/>
  <c r="O137" i="16"/>
  <c r="S137" i="16" s="1"/>
  <c r="T137" i="16" s="1"/>
  <c r="AE137" i="16" s="1"/>
  <c r="O83" i="16"/>
  <c r="S83" i="16" s="1"/>
  <c r="T83" i="16" s="1"/>
  <c r="AE83" i="16" s="1"/>
  <c r="AC276" i="35"/>
  <c r="AE276" i="35" s="1"/>
  <c r="AH276" i="35" s="1"/>
  <c r="AI276" i="35" s="1"/>
  <c r="AL242" i="16"/>
  <c r="AN242" i="16" s="1"/>
  <c r="M39" i="10"/>
  <c r="AD420" i="16"/>
  <c r="AF420" i="16" s="1"/>
  <c r="AG420" i="16" s="1"/>
  <c r="M40" i="10"/>
  <c r="J8" i="47"/>
  <c r="J27" i="47"/>
  <c r="O89" i="16"/>
  <c r="S89" i="16" s="1"/>
  <c r="T89" i="16" s="1"/>
  <c r="AE89" i="16" s="1"/>
  <c r="N441" i="35"/>
  <c r="R441" i="35" s="1"/>
  <c r="N433" i="35"/>
  <c r="R433" i="35" s="1"/>
  <c r="N421" i="35"/>
  <c r="R421" i="35" s="1"/>
  <c r="N387" i="35"/>
  <c r="R387" i="35" s="1"/>
  <c r="N241" i="35"/>
  <c r="R241" i="35" s="1"/>
  <c r="AD462" i="16"/>
  <c r="AF462" i="16" s="1"/>
  <c r="AG462" i="16" s="1"/>
  <c r="K10" i="15"/>
  <c r="K25" i="15" s="1"/>
  <c r="I35" i="11"/>
  <c r="O25" i="16"/>
  <c r="S25" i="16" s="1"/>
  <c r="T25" i="16" s="1"/>
  <c r="AE25" i="16" s="1"/>
  <c r="AK433" i="35"/>
  <c r="O265" i="16"/>
  <c r="S265" i="16" s="1"/>
  <c r="O169" i="16"/>
  <c r="S169" i="16" s="1"/>
  <c r="AD227" i="16"/>
  <c r="AF227" i="16" s="1"/>
  <c r="AG227" i="16" s="1"/>
  <c r="AD179" i="16"/>
  <c r="AF179" i="16" s="1"/>
  <c r="AD12" i="16"/>
  <c r="AD7" i="16"/>
  <c r="K25" i="11"/>
  <c r="N380" i="35"/>
  <c r="R380" i="35" s="1"/>
  <c r="N372" i="35"/>
  <c r="R372" i="35" s="1"/>
  <c r="K8" i="40"/>
  <c r="K20" i="40" s="1"/>
  <c r="AD362" i="16"/>
  <c r="AF362" i="16" s="1"/>
  <c r="O467" i="16"/>
  <c r="S467" i="16" s="1"/>
  <c r="O435" i="16"/>
  <c r="S435" i="16" s="1"/>
  <c r="AD217" i="16"/>
  <c r="AF217" i="16" s="1"/>
  <c r="AD145" i="16"/>
  <c r="AF145" i="16" s="1"/>
  <c r="AG145" i="16" s="1"/>
  <c r="AD85" i="16"/>
  <c r="AD42" i="16"/>
  <c r="AD6" i="16"/>
  <c r="N362" i="35"/>
  <c r="R362" i="35" s="1"/>
  <c r="N282" i="35"/>
  <c r="R282" i="35" s="1"/>
  <c r="O472" i="16"/>
  <c r="S472" i="16" s="1"/>
  <c r="O280" i="16"/>
  <c r="S280" i="16" s="1"/>
  <c r="AD500" i="16"/>
  <c r="AF500" i="16" s="1"/>
  <c r="AI500" i="16" s="1"/>
  <c r="AJ500" i="16" s="1"/>
  <c r="AD356" i="16"/>
  <c r="AF356" i="16" s="1"/>
  <c r="AD278" i="16"/>
  <c r="AF278" i="16" s="1"/>
  <c r="AD246" i="16"/>
  <c r="AF246" i="16" s="1"/>
  <c r="AG246" i="16" s="1"/>
  <c r="AD146" i="16"/>
  <c r="AF146" i="16" s="1"/>
  <c r="AI146" i="16" s="1"/>
  <c r="AJ146" i="16" s="1"/>
  <c r="AD130" i="16"/>
  <c r="AD126" i="16"/>
  <c r="AD98" i="16"/>
  <c r="AD66" i="16"/>
  <c r="Q41" i="10"/>
  <c r="AC401" i="35"/>
  <c r="AE401" i="35" s="1"/>
  <c r="AH401" i="35" s="1"/>
  <c r="N189" i="35"/>
  <c r="R189" i="35" s="1"/>
  <c r="J26" i="47"/>
  <c r="K11" i="39"/>
  <c r="K27" i="39" s="1"/>
  <c r="I21" i="13"/>
  <c r="AD465" i="16"/>
  <c r="AF465" i="16" s="1"/>
  <c r="M41" i="10"/>
  <c r="M36" i="10"/>
  <c r="O306" i="16"/>
  <c r="S306" i="16" s="1"/>
  <c r="O226" i="16"/>
  <c r="S226" i="16" s="1"/>
  <c r="O206" i="16"/>
  <c r="S206" i="16" s="1"/>
  <c r="O50" i="16"/>
  <c r="S50" i="16" s="1"/>
  <c r="T50" i="16" s="1"/>
  <c r="AE50" i="16" s="1"/>
  <c r="AD493" i="16"/>
  <c r="AF493" i="16" s="1"/>
  <c r="AD369" i="16"/>
  <c r="AF369" i="16" s="1"/>
  <c r="AD353" i="16"/>
  <c r="AF353" i="16" s="1"/>
  <c r="AD273" i="16"/>
  <c r="AF273" i="16" s="1"/>
  <c r="AG273" i="16" s="1"/>
  <c r="AD240" i="16"/>
  <c r="AF240" i="16" s="1"/>
  <c r="AD156" i="16"/>
  <c r="AF156" i="16" s="1"/>
  <c r="AD128" i="16"/>
  <c r="AD124" i="16"/>
  <c r="AD116" i="16"/>
  <c r="AD112" i="16"/>
  <c r="AL3" i="16"/>
  <c r="AN3" i="16" s="1"/>
  <c r="AL2" i="16"/>
  <c r="AN2" i="16" s="1"/>
  <c r="M30" i="10"/>
  <c r="N420" i="35"/>
  <c r="R420" i="35" s="1"/>
  <c r="N290" i="35"/>
  <c r="R290" i="35" s="1"/>
  <c r="N140" i="35"/>
  <c r="R140" i="35" s="1"/>
  <c r="N32" i="35"/>
  <c r="R32" i="35" s="1"/>
  <c r="S32" i="35" s="1"/>
  <c r="AD32" i="35" s="1"/>
  <c r="AC196" i="35"/>
  <c r="AE196" i="35" s="1"/>
  <c r="AH196" i="35" s="1"/>
  <c r="AC180" i="35"/>
  <c r="AE180" i="35" s="1"/>
  <c r="AH180" i="35" s="1"/>
  <c r="AC164" i="35"/>
  <c r="AE164" i="35" s="1"/>
  <c r="AH164" i="35" s="1"/>
  <c r="AI164" i="35" s="1"/>
  <c r="AC132" i="35"/>
  <c r="AE132" i="35" s="1"/>
  <c r="AH132" i="35" s="1"/>
  <c r="AI132" i="35" s="1"/>
  <c r="AC116" i="35"/>
  <c r="AE116" i="35" s="1"/>
  <c r="AH116" i="35" s="1"/>
  <c r="AI116" i="35" s="1"/>
  <c r="AC52" i="35"/>
  <c r="AC36" i="35"/>
  <c r="AL356" i="16"/>
  <c r="AN356" i="16" s="1"/>
  <c r="O256" i="16"/>
  <c r="S256" i="16" s="1"/>
  <c r="AL244" i="16"/>
  <c r="AN244" i="16" s="1"/>
  <c r="AL196" i="16"/>
  <c r="AN196" i="16" s="1"/>
  <c r="AL168" i="16"/>
  <c r="AN168" i="16" s="1"/>
  <c r="AL92" i="16"/>
  <c r="AN92" i="16" s="1"/>
  <c r="AL48" i="16"/>
  <c r="AN48" i="16" s="1"/>
  <c r="AE427" i="35"/>
  <c r="AH427" i="35" s="1"/>
  <c r="AI427" i="35" s="1"/>
  <c r="S199" i="16"/>
  <c r="AE148" i="35"/>
  <c r="AH148" i="35" s="1"/>
  <c r="Q12" i="49"/>
  <c r="H12" i="49"/>
  <c r="J12" i="49" s="1"/>
  <c r="H13" i="49"/>
  <c r="J13" i="49" s="1"/>
  <c r="Q13" i="49"/>
  <c r="AE113" i="35"/>
  <c r="AH113" i="35" s="1"/>
  <c r="AI113" i="35" s="1"/>
  <c r="AE135" i="35"/>
  <c r="AH135" i="35" s="1"/>
  <c r="AE481" i="35"/>
  <c r="AH481" i="35" s="1"/>
  <c r="AE492" i="35"/>
  <c r="AH492" i="35" s="1"/>
  <c r="AI492" i="35" s="1"/>
  <c r="C27" i="20"/>
  <c r="Q10" i="49"/>
  <c r="U10" i="49" s="1"/>
  <c r="W10" i="49" s="1"/>
  <c r="H10" i="49"/>
  <c r="J10" i="49" s="1"/>
  <c r="O119" i="27"/>
  <c r="C135" i="27"/>
  <c r="G39" i="39"/>
  <c r="G36" i="39"/>
  <c r="I24" i="39"/>
  <c r="O121" i="27"/>
  <c r="H135" i="27"/>
  <c r="L135" i="27"/>
  <c r="O129" i="27"/>
  <c r="K29" i="39"/>
  <c r="I43" i="39"/>
  <c r="K39" i="39"/>
  <c r="E135" i="27"/>
  <c r="O127" i="27"/>
  <c r="O128" i="27"/>
  <c r="K15" i="39"/>
  <c r="K31" i="39" s="1"/>
  <c r="G43" i="39"/>
  <c r="G38" i="39"/>
  <c r="N135" i="27"/>
  <c r="O125" i="27"/>
  <c r="J135" i="27"/>
  <c r="I55" i="11"/>
  <c r="G53" i="11"/>
  <c r="G55" i="11"/>
  <c r="C49" i="27"/>
  <c r="I46" i="11"/>
  <c r="N265" i="35"/>
  <c r="R265" i="35" s="1"/>
  <c r="N245" i="35"/>
  <c r="R245" i="35" s="1"/>
  <c r="N229" i="35"/>
  <c r="R229" i="35" s="1"/>
  <c r="N181" i="35"/>
  <c r="R181" i="35" s="1"/>
  <c r="N165" i="35"/>
  <c r="R165" i="35" s="1"/>
  <c r="N133" i="35"/>
  <c r="R133" i="35" s="1"/>
  <c r="N7" i="35"/>
  <c r="R7" i="35" s="1"/>
  <c r="S7" i="35" s="1"/>
  <c r="AD7" i="35" s="1"/>
  <c r="AE7" i="35" s="1"/>
  <c r="AH7" i="35" s="1"/>
  <c r="AI7" i="35" s="1"/>
  <c r="N99" i="35"/>
  <c r="R99" i="35" s="1"/>
  <c r="N147" i="35"/>
  <c r="R147" i="35" s="1"/>
  <c r="N131" i="35"/>
  <c r="R131" i="35" s="1"/>
  <c r="N84" i="35"/>
  <c r="R84" i="35" s="1"/>
  <c r="N5" i="35"/>
  <c r="R5" i="35" s="1"/>
  <c r="S5" i="35" s="1"/>
  <c r="AD5" i="35" s="1"/>
  <c r="AE5" i="35" s="1"/>
  <c r="AH5" i="35" s="1"/>
  <c r="AI5" i="35" s="1"/>
  <c r="N179" i="35"/>
  <c r="R179" i="35" s="1"/>
  <c r="N193" i="35"/>
  <c r="R193" i="35" s="1"/>
  <c r="N177" i="35"/>
  <c r="R177" i="35" s="1"/>
  <c r="N161" i="35"/>
  <c r="R161" i="35" s="1"/>
  <c r="N145" i="35"/>
  <c r="R145" i="35" s="1"/>
  <c r="N114" i="35"/>
  <c r="R114" i="35" s="1"/>
  <c r="N98" i="35"/>
  <c r="R98" i="35" s="1"/>
  <c r="N82" i="35"/>
  <c r="R82" i="35" s="1"/>
  <c r="N66" i="35"/>
  <c r="R66" i="35" s="1"/>
  <c r="N50" i="35"/>
  <c r="R50" i="35" s="1"/>
  <c r="S50" i="35" s="1"/>
  <c r="AD50" i="35" s="1"/>
  <c r="N34" i="35"/>
  <c r="R34" i="35" s="1"/>
  <c r="S34" i="35" s="1"/>
  <c r="AD34" i="35" s="1"/>
  <c r="N18" i="35"/>
  <c r="R18" i="35" s="1"/>
  <c r="S18" i="35" s="1"/>
  <c r="AD18" i="35" s="1"/>
  <c r="N3" i="35"/>
  <c r="R3" i="35" s="1"/>
  <c r="S3" i="35" s="1"/>
  <c r="AD3" i="35" s="1"/>
  <c r="AE3" i="35" s="1"/>
  <c r="AH3" i="35" s="1"/>
  <c r="N191" i="35"/>
  <c r="R191" i="35" s="1"/>
  <c r="N143" i="35"/>
  <c r="R143" i="35" s="1"/>
  <c r="N96" i="35"/>
  <c r="R96" i="35" s="1"/>
  <c r="O95" i="27"/>
  <c r="N253" i="35"/>
  <c r="R253" i="35" s="1"/>
  <c r="N221" i="35"/>
  <c r="R221" i="35" s="1"/>
  <c r="N173" i="35"/>
  <c r="R173" i="35" s="1"/>
  <c r="N157" i="35"/>
  <c r="R157" i="35" s="1"/>
  <c r="N141" i="35"/>
  <c r="R141" i="35" s="1"/>
  <c r="N235" i="35"/>
  <c r="R235" i="35" s="1"/>
  <c r="N187" i="35"/>
  <c r="R187" i="35" s="1"/>
  <c r="N171" i="35"/>
  <c r="R171" i="35" s="1"/>
  <c r="N155" i="35"/>
  <c r="R155" i="35" s="1"/>
  <c r="N139" i="35"/>
  <c r="R139" i="35" s="1"/>
  <c r="N76" i="35"/>
  <c r="R76" i="35" s="1"/>
  <c r="N233" i="35"/>
  <c r="R233" i="35" s="1"/>
  <c r="N169" i="35"/>
  <c r="R169" i="35" s="1"/>
  <c r="N137" i="35"/>
  <c r="R137" i="35" s="1"/>
  <c r="N122" i="35"/>
  <c r="R122" i="35" s="1"/>
  <c r="N106" i="35"/>
  <c r="R106" i="35" s="1"/>
  <c r="N90" i="35"/>
  <c r="R90" i="35" s="1"/>
  <c r="N250" i="35"/>
  <c r="R250" i="35" s="1"/>
  <c r="N167" i="35"/>
  <c r="R167" i="35" s="1"/>
  <c r="AK398" i="35"/>
  <c r="AK334" i="35"/>
  <c r="AK318" i="35"/>
  <c r="AK182" i="35"/>
  <c r="AK158" i="35"/>
  <c r="AK94" i="35"/>
  <c r="AK30" i="35"/>
  <c r="AK427" i="35"/>
  <c r="AK331" i="35"/>
  <c r="AK267" i="35"/>
  <c r="AK235" i="35"/>
  <c r="O91" i="27"/>
  <c r="N404" i="35"/>
  <c r="R404" i="35" s="1"/>
  <c r="N352" i="35"/>
  <c r="R352" i="35" s="1"/>
  <c r="N276" i="35"/>
  <c r="R276" i="35" s="1"/>
  <c r="N129" i="35"/>
  <c r="R129" i="35" s="1"/>
  <c r="N125" i="35"/>
  <c r="R125" i="35" s="1"/>
  <c r="N117" i="35"/>
  <c r="R117" i="35" s="1"/>
  <c r="N113" i="35"/>
  <c r="R113" i="35" s="1"/>
  <c r="N105" i="35"/>
  <c r="R105" i="35" s="1"/>
  <c r="N97" i="35"/>
  <c r="R97" i="35" s="1"/>
  <c r="N89" i="35"/>
  <c r="R89" i="35" s="1"/>
  <c r="N85" i="35"/>
  <c r="R85" i="35" s="1"/>
  <c r="N81" i="35"/>
  <c r="R81" i="35" s="1"/>
  <c r="N77" i="35"/>
  <c r="R77" i="35" s="1"/>
  <c r="N69" i="35"/>
  <c r="R69" i="35" s="1"/>
  <c r="S69" i="35" s="1"/>
  <c r="AD69" i="35" s="1"/>
  <c r="N65" i="35"/>
  <c r="R65" i="35" s="1"/>
  <c r="N322" i="35"/>
  <c r="R322" i="35" s="1"/>
  <c r="N274" i="35"/>
  <c r="R274" i="35" s="1"/>
  <c r="N266" i="35"/>
  <c r="R266" i="35" s="1"/>
  <c r="N254" i="35"/>
  <c r="R254" i="35" s="1"/>
  <c r="N202" i="35"/>
  <c r="R202" i="35" s="1"/>
  <c r="N194" i="35"/>
  <c r="R194" i="35" s="1"/>
  <c r="N186" i="35"/>
  <c r="R186" i="35" s="1"/>
  <c r="N178" i="35"/>
  <c r="R178" i="35" s="1"/>
  <c r="N170" i="35"/>
  <c r="R170" i="35" s="1"/>
  <c r="N162" i="35"/>
  <c r="R162" i="35" s="1"/>
  <c r="N154" i="35"/>
  <c r="R154" i="35" s="1"/>
  <c r="N138" i="35"/>
  <c r="R138" i="35" s="1"/>
  <c r="N119" i="35"/>
  <c r="R119" i="35" s="1"/>
  <c r="N107" i="35"/>
  <c r="R107" i="35" s="1"/>
  <c r="N103" i="35"/>
  <c r="R103" i="35" s="1"/>
  <c r="N83" i="35"/>
  <c r="R83" i="35" s="1"/>
  <c r="N79" i="35"/>
  <c r="R79" i="35" s="1"/>
  <c r="N75" i="35"/>
  <c r="R75" i="35" s="1"/>
  <c r="N71" i="35"/>
  <c r="R71" i="35" s="1"/>
  <c r="N67" i="35"/>
  <c r="R67" i="35" s="1"/>
  <c r="O40" i="3"/>
  <c r="K39" i="3" s="1"/>
  <c r="J14" i="45"/>
  <c r="J27" i="45" s="1"/>
  <c r="G31" i="45"/>
  <c r="G40" i="45" s="1"/>
  <c r="G42" i="15"/>
  <c r="G37" i="15"/>
  <c r="C154" i="27"/>
  <c r="O142" i="27"/>
  <c r="K34" i="15"/>
  <c r="I37" i="15"/>
  <c r="G41" i="15"/>
  <c r="F154" i="27"/>
  <c r="I28" i="15"/>
  <c r="I42" i="15"/>
  <c r="G38" i="15"/>
  <c r="I33" i="15"/>
  <c r="K41" i="15"/>
  <c r="I38" i="15"/>
  <c r="O139" i="27"/>
  <c r="O140" i="27"/>
  <c r="I29" i="15"/>
  <c r="I27" i="15"/>
  <c r="I25" i="15"/>
  <c r="K14" i="15"/>
  <c r="K29" i="15" s="1"/>
  <c r="I15" i="40"/>
  <c r="G30" i="13"/>
  <c r="I22" i="13"/>
  <c r="K38" i="13"/>
  <c r="I36" i="13"/>
  <c r="I25" i="13"/>
  <c r="I38" i="13"/>
  <c r="K32" i="13"/>
  <c r="I32" i="13"/>
  <c r="O120" i="27"/>
  <c r="I29" i="39"/>
  <c r="K41" i="39"/>
  <c r="F135" i="27"/>
  <c r="G35" i="39"/>
  <c r="I35" i="39"/>
  <c r="G42" i="39"/>
  <c r="I26" i="39"/>
  <c r="J45" i="47"/>
  <c r="J43" i="47"/>
  <c r="J52" i="47"/>
  <c r="G45" i="47"/>
  <c r="G36" i="47"/>
  <c r="J50" i="47"/>
  <c r="G35" i="47"/>
  <c r="J49" i="47"/>
  <c r="G55" i="47"/>
  <c r="J54" i="47"/>
  <c r="G39" i="47"/>
  <c r="J53" i="47"/>
  <c r="E43" i="27"/>
  <c r="H43" i="27"/>
  <c r="K43" i="27"/>
  <c r="D44" i="27"/>
  <c r="H44" i="27"/>
  <c r="L44" i="27"/>
  <c r="E45" i="27"/>
  <c r="I45" i="27"/>
  <c r="M45" i="27"/>
  <c r="F46" i="27"/>
  <c r="J46" i="27"/>
  <c r="N46" i="27"/>
  <c r="G47" i="27"/>
  <c r="K47" i="27"/>
  <c r="N47" i="27"/>
  <c r="G48" i="27"/>
  <c r="K48" i="27"/>
  <c r="D49" i="27"/>
  <c r="H49" i="27"/>
  <c r="L49" i="27"/>
  <c r="E50" i="27"/>
  <c r="I50" i="27"/>
  <c r="M50" i="27"/>
  <c r="E51" i="27"/>
  <c r="I51" i="27"/>
  <c r="D52" i="27"/>
  <c r="H52" i="27"/>
  <c r="L52" i="27"/>
  <c r="D53" i="27"/>
  <c r="H53" i="27"/>
  <c r="L53" i="27"/>
  <c r="C54" i="27"/>
  <c r="G54" i="27"/>
  <c r="K54" i="27"/>
  <c r="C55" i="27"/>
  <c r="G55" i="27"/>
  <c r="K55" i="27"/>
  <c r="N55" i="27"/>
  <c r="F56" i="27"/>
  <c r="J56" i="27"/>
  <c r="N56" i="27"/>
  <c r="F57" i="27"/>
  <c r="J57" i="27"/>
  <c r="M57" i="27"/>
  <c r="E58" i="27"/>
  <c r="I58" i="27"/>
  <c r="M58" i="27"/>
  <c r="C46" i="27"/>
  <c r="C50" i="27"/>
  <c r="F43" i="27"/>
  <c r="L43" i="27"/>
  <c r="E44" i="27"/>
  <c r="I44" i="27"/>
  <c r="M44" i="27"/>
  <c r="F45" i="27"/>
  <c r="J45" i="27"/>
  <c r="N45" i="27"/>
  <c r="G46" i="27"/>
  <c r="K46" i="27"/>
  <c r="D47" i="27"/>
  <c r="H47" i="27"/>
  <c r="L47" i="27"/>
  <c r="D48" i="27"/>
  <c r="H48" i="27"/>
  <c r="L48" i="27"/>
  <c r="E49" i="27"/>
  <c r="I49" i="27"/>
  <c r="M49" i="27"/>
  <c r="F50" i="27"/>
  <c r="J50" i="27"/>
  <c r="N50" i="27"/>
  <c r="F51" i="27"/>
  <c r="J51" i="27"/>
  <c r="M51" i="27"/>
  <c r="E52" i="27"/>
  <c r="I52" i="27"/>
  <c r="M52" i="27"/>
  <c r="E53" i="27"/>
  <c r="I53" i="27"/>
  <c r="D54" i="27"/>
  <c r="H54" i="27"/>
  <c r="L54" i="27"/>
  <c r="D55" i="27"/>
  <c r="H55" i="27"/>
  <c r="L55" i="27"/>
  <c r="C56" i="27"/>
  <c r="G56" i="27"/>
  <c r="K56" i="27"/>
  <c r="C57" i="27"/>
  <c r="G57" i="27"/>
  <c r="K57" i="27"/>
  <c r="N57" i="27"/>
  <c r="F58" i="27"/>
  <c r="J58" i="27"/>
  <c r="N58" i="27"/>
  <c r="C47" i="27"/>
  <c r="C43" i="27"/>
  <c r="G43" i="27"/>
  <c r="I43" i="27"/>
  <c r="M43" i="27"/>
  <c r="F44" i="27"/>
  <c r="J44" i="27"/>
  <c r="N44" i="27"/>
  <c r="G45" i="27"/>
  <c r="K45" i="27"/>
  <c r="D46" i="27"/>
  <c r="H46" i="27"/>
  <c r="L46" i="27"/>
  <c r="E47" i="27"/>
  <c r="I47" i="27"/>
  <c r="E48" i="27"/>
  <c r="I48" i="27"/>
  <c r="M48" i="27"/>
  <c r="F49" i="27"/>
  <c r="J49" i="27"/>
  <c r="N49" i="27"/>
  <c r="G50" i="27"/>
  <c r="K50" i="27"/>
  <c r="C51" i="27"/>
  <c r="G51" i="27"/>
  <c r="K51" i="27"/>
  <c r="N51" i="27"/>
  <c r="F52" i="27"/>
  <c r="J52" i="27"/>
  <c r="N52" i="27"/>
  <c r="F53" i="27"/>
  <c r="J53" i="27"/>
  <c r="M53" i="27"/>
  <c r="E54" i="27"/>
  <c r="I54" i="27"/>
  <c r="M54" i="27"/>
  <c r="E55" i="27"/>
  <c r="I55" i="27"/>
  <c r="D56" i="27"/>
  <c r="H56" i="27"/>
  <c r="L56" i="27"/>
  <c r="D57" i="27"/>
  <c r="H57" i="27"/>
  <c r="L57" i="27"/>
  <c r="C58" i="27"/>
  <c r="G58" i="27"/>
  <c r="K58" i="27"/>
  <c r="C44" i="27"/>
  <c r="C48" i="27"/>
  <c r="D43" i="27"/>
  <c r="J43" i="27"/>
  <c r="N43" i="27"/>
  <c r="G44" i="27"/>
  <c r="K44" i="27"/>
  <c r="D45" i="27"/>
  <c r="H45" i="27"/>
  <c r="L45" i="27"/>
  <c r="E46" i="27"/>
  <c r="I46" i="27"/>
  <c r="M46" i="27"/>
  <c r="F47" i="27"/>
  <c r="J47" i="27"/>
  <c r="M47" i="27"/>
  <c r="F48" i="27"/>
  <c r="J48" i="27"/>
  <c r="N48" i="27"/>
  <c r="G49" i="27"/>
  <c r="K49" i="27"/>
  <c r="D50" i="27"/>
  <c r="H50" i="27"/>
  <c r="L50" i="27"/>
  <c r="D51" i="27"/>
  <c r="H51" i="27"/>
  <c r="L51" i="27"/>
  <c r="C52" i="27"/>
  <c r="G52" i="27"/>
  <c r="K52" i="27"/>
  <c r="C53" i="27"/>
  <c r="G53" i="27"/>
  <c r="K53" i="27"/>
  <c r="N53" i="27"/>
  <c r="F54" i="27"/>
  <c r="J54" i="27"/>
  <c r="N54" i="27"/>
  <c r="F55" i="27"/>
  <c r="J55" i="27"/>
  <c r="M55" i="27"/>
  <c r="E56" i="27"/>
  <c r="I56" i="27"/>
  <c r="M56" i="27"/>
  <c r="E57" i="27"/>
  <c r="I57" i="27"/>
  <c r="D58" i="27"/>
  <c r="H58" i="27"/>
  <c r="L58" i="27"/>
  <c r="C45" i="27"/>
  <c r="I22" i="14"/>
  <c r="I20" i="14"/>
  <c r="G31" i="14"/>
  <c r="I21" i="14"/>
  <c r="I41" i="7"/>
  <c r="I26" i="7"/>
  <c r="I39" i="7"/>
  <c r="N299" i="35"/>
  <c r="R299" i="35" s="1"/>
  <c r="N220" i="35"/>
  <c r="R220" i="35" s="1"/>
  <c r="N212" i="35"/>
  <c r="R212" i="35" s="1"/>
  <c r="N492" i="35"/>
  <c r="R492" i="35" s="1"/>
  <c r="AK380" i="35"/>
  <c r="AK412" i="35"/>
  <c r="N385" i="35"/>
  <c r="R385" i="35" s="1"/>
  <c r="N277" i="35"/>
  <c r="R277" i="35" s="1"/>
  <c r="N273" i="35"/>
  <c r="R273" i="35" s="1"/>
  <c r="N269" i="35"/>
  <c r="R269" i="35" s="1"/>
  <c r="N261" i="35"/>
  <c r="R261" i="35" s="1"/>
  <c r="N242" i="35"/>
  <c r="R242" i="35" s="1"/>
  <c r="N234" i="35"/>
  <c r="R234" i="35" s="1"/>
  <c r="N222" i="35"/>
  <c r="R222" i="35" s="1"/>
  <c r="N210" i="35"/>
  <c r="R210" i="35" s="1"/>
  <c r="AC292" i="35"/>
  <c r="AE292" i="35" s="1"/>
  <c r="AH292" i="35" s="1"/>
  <c r="AI292" i="35" s="1"/>
  <c r="N484" i="35"/>
  <c r="R484" i="35" s="1"/>
  <c r="N373" i="35"/>
  <c r="R373" i="35" s="1"/>
  <c r="N307" i="35"/>
  <c r="R307" i="35" s="1"/>
  <c r="N300" i="35"/>
  <c r="R300" i="35" s="1"/>
  <c r="N225" i="35"/>
  <c r="R225" i="35" s="1"/>
  <c r="N217" i="35"/>
  <c r="R217" i="35" s="1"/>
  <c r="N209" i="35"/>
  <c r="R209" i="35" s="1"/>
  <c r="N205" i="35"/>
  <c r="R205" i="35" s="1"/>
  <c r="N197" i="35"/>
  <c r="R197" i="35" s="1"/>
  <c r="N291" i="35"/>
  <c r="R291" i="35" s="1"/>
  <c r="N283" i="35"/>
  <c r="R283" i="35" s="1"/>
  <c r="AK387" i="35"/>
  <c r="N437" i="35"/>
  <c r="R437" i="35" s="1"/>
  <c r="N493" i="35"/>
  <c r="R493" i="35" s="1"/>
  <c r="N381" i="35"/>
  <c r="R381" i="35" s="1"/>
  <c r="N365" i="35"/>
  <c r="R365" i="35" s="1"/>
  <c r="N349" i="35"/>
  <c r="R349" i="35" s="1"/>
  <c r="N345" i="35"/>
  <c r="R345" i="35" s="1"/>
  <c r="N341" i="35"/>
  <c r="R341" i="35" s="1"/>
  <c r="N337" i="35"/>
  <c r="R337" i="35" s="1"/>
  <c r="N333" i="35"/>
  <c r="R333" i="35" s="1"/>
  <c r="N325" i="35"/>
  <c r="R325" i="35" s="1"/>
  <c r="N309" i="35"/>
  <c r="R309" i="35" s="1"/>
  <c r="N306" i="35"/>
  <c r="R306" i="35" s="1"/>
  <c r="N298" i="35"/>
  <c r="R298" i="35" s="1"/>
  <c r="N215" i="35"/>
  <c r="R215" i="35" s="1"/>
  <c r="N211" i="35"/>
  <c r="R211" i="35" s="1"/>
  <c r="N207" i="35"/>
  <c r="R207" i="35" s="1"/>
  <c r="N482" i="35"/>
  <c r="R482" i="35" s="1"/>
  <c r="N464" i="35"/>
  <c r="R464" i="35" s="1"/>
  <c r="N436" i="35"/>
  <c r="R436" i="35" s="1"/>
  <c r="N432" i="35"/>
  <c r="R432" i="35" s="1"/>
  <c r="N412" i="35"/>
  <c r="R412" i="35" s="1"/>
  <c r="N396" i="35"/>
  <c r="R396" i="35" s="1"/>
  <c r="N388" i="35"/>
  <c r="R388" i="35" s="1"/>
  <c r="N386" i="35"/>
  <c r="R386" i="35" s="1"/>
  <c r="N444" i="35"/>
  <c r="R444" i="35" s="1"/>
  <c r="N410" i="35"/>
  <c r="R410" i="35" s="1"/>
  <c r="N400" i="35"/>
  <c r="R400" i="35" s="1"/>
  <c r="N434" i="35"/>
  <c r="R434" i="35" s="1"/>
  <c r="N378" i="35"/>
  <c r="R378" i="35" s="1"/>
  <c r="N354" i="35"/>
  <c r="R354" i="35" s="1"/>
  <c r="N338" i="35"/>
  <c r="R338" i="35" s="1"/>
  <c r="N314" i="35"/>
  <c r="R314" i="35" s="1"/>
  <c r="N264" i="35"/>
  <c r="R264" i="35" s="1"/>
  <c r="N237" i="35"/>
  <c r="R237" i="35" s="1"/>
  <c r="N491" i="35"/>
  <c r="R491" i="35" s="1"/>
  <c r="N401" i="35"/>
  <c r="R401" i="35" s="1"/>
  <c r="N393" i="35"/>
  <c r="R393" i="35" s="1"/>
  <c r="N315" i="35"/>
  <c r="R315" i="35" s="1"/>
  <c r="N219" i="35"/>
  <c r="R219" i="35" s="1"/>
  <c r="N379" i="35"/>
  <c r="R379" i="35" s="1"/>
  <c r="N460" i="35"/>
  <c r="R460" i="35" s="1"/>
  <c r="N440" i="35"/>
  <c r="R440" i="35" s="1"/>
  <c r="N364" i="35"/>
  <c r="R364" i="35" s="1"/>
  <c r="N301" i="35"/>
  <c r="R301" i="35" s="1"/>
  <c r="N293" i="35"/>
  <c r="R293" i="35" s="1"/>
  <c r="N289" i="35"/>
  <c r="R289" i="35" s="1"/>
  <c r="N285" i="35"/>
  <c r="R285" i="35" s="1"/>
  <c r="N243" i="35"/>
  <c r="R243" i="35" s="1"/>
  <c r="N231" i="35"/>
  <c r="R231" i="35" s="1"/>
  <c r="N91" i="35"/>
  <c r="R91" i="35" s="1"/>
  <c r="N51" i="35"/>
  <c r="R51" i="35" s="1"/>
  <c r="N43" i="35"/>
  <c r="R43" i="35" s="1"/>
  <c r="S43" i="35" s="1"/>
  <c r="AD43" i="35" s="1"/>
  <c r="AC498" i="35"/>
  <c r="AE498" i="35" s="1"/>
  <c r="AH498" i="35" s="1"/>
  <c r="AC34" i="35"/>
  <c r="AC500" i="35"/>
  <c r="AE500" i="35" s="1"/>
  <c r="AH500" i="35" s="1"/>
  <c r="AI500" i="35" s="1"/>
  <c r="AK484" i="35"/>
  <c r="AK436" i="35"/>
  <c r="AC420" i="35"/>
  <c r="AE420" i="35" s="1"/>
  <c r="AH420" i="35" s="1"/>
  <c r="AC191" i="35"/>
  <c r="AE191" i="35" s="1"/>
  <c r="AH191" i="35" s="1"/>
  <c r="AI191" i="35" s="1"/>
  <c r="O17" i="48"/>
  <c r="Q17" i="48" s="1"/>
  <c r="I17" i="48"/>
  <c r="J17" i="48" s="1"/>
  <c r="L17" i="48" s="1"/>
  <c r="O3" i="16"/>
  <c r="S3" i="16" s="1"/>
  <c r="T3" i="16" s="1"/>
  <c r="AE3" i="16" s="1"/>
  <c r="O40" i="16"/>
  <c r="S40" i="16" s="1"/>
  <c r="T40" i="16" s="1"/>
  <c r="AE40" i="16" s="1"/>
  <c r="O24" i="16"/>
  <c r="S24" i="16" s="1"/>
  <c r="T24" i="16" s="1"/>
  <c r="AE24" i="16" s="1"/>
  <c r="O392" i="16"/>
  <c r="S392" i="16" s="1"/>
  <c r="O212" i="16"/>
  <c r="S212" i="16" s="1"/>
  <c r="O144" i="16"/>
  <c r="S144" i="16" s="1"/>
  <c r="AL494" i="16"/>
  <c r="AN494" i="16" s="1"/>
  <c r="O473" i="16"/>
  <c r="S473" i="16" s="1"/>
  <c r="O468" i="16"/>
  <c r="S468" i="16" s="1"/>
  <c r="AD442" i="16"/>
  <c r="AF442" i="16" s="1"/>
  <c r="AG442" i="16" s="1"/>
  <c r="AD426" i="16"/>
  <c r="AF426" i="16" s="1"/>
  <c r="AG426" i="16" s="1"/>
  <c r="AD410" i="16"/>
  <c r="AF410" i="16" s="1"/>
  <c r="AG410" i="16" s="1"/>
  <c r="AD399" i="16"/>
  <c r="AF399" i="16" s="1"/>
  <c r="AI399" i="16" s="1"/>
  <c r="AJ399" i="16" s="1"/>
  <c r="AD380" i="16"/>
  <c r="AF380" i="16" s="1"/>
  <c r="AD377" i="16"/>
  <c r="AF377" i="16" s="1"/>
  <c r="AD372" i="16"/>
  <c r="AF372" i="16" s="1"/>
  <c r="AG372" i="16" s="1"/>
  <c r="O340" i="16"/>
  <c r="S340" i="16" s="1"/>
  <c r="O318" i="16"/>
  <c r="S318" i="16" s="1"/>
  <c r="O217" i="16"/>
  <c r="S217" i="16" s="1"/>
  <c r="O208" i="16"/>
  <c r="S208" i="16" s="1"/>
  <c r="AD174" i="16"/>
  <c r="AF174" i="16" s="1"/>
  <c r="AD88" i="16"/>
  <c r="AD84" i="16"/>
  <c r="AD78" i="16"/>
  <c r="AD58" i="16"/>
  <c r="AF58" i="16" s="1"/>
  <c r="AD53" i="16"/>
  <c r="AD47" i="16"/>
  <c r="AD492" i="16"/>
  <c r="AF492" i="16" s="1"/>
  <c r="AD489" i="16"/>
  <c r="AF489" i="16" s="1"/>
  <c r="AI489" i="16" s="1"/>
  <c r="AJ489" i="16" s="1"/>
  <c r="AD484" i="16"/>
  <c r="AF484" i="16" s="1"/>
  <c r="AG484" i="16" s="1"/>
  <c r="AD418" i="16"/>
  <c r="AF418" i="16" s="1"/>
  <c r="O416" i="16"/>
  <c r="S416" i="16" s="1"/>
  <c r="AD413" i="16"/>
  <c r="AF413" i="16" s="1"/>
  <c r="AI413" i="16" s="1"/>
  <c r="AJ413" i="16" s="1"/>
  <c r="AD391" i="16"/>
  <c r="AF391" i="16" s="1"/>
  <c r="AG391" i="16" s="1"/>
  <c r="O370" i="16"/>
  <c r="S370" i="16" s="1"/>
  <c r="O260" i="16"/>
  <c r="S260" i="16" s="1"/>
  <c r="O168" i="16"/>
  <c r="S168" i="16" s="1"/>
  <c r="AD162" i="16"/>
  <c r="AF162" i="16" s="1"/>
  <c r="O160" i="16"/>
  <c r="S160" i="16" s="1"/>
  <c r="AD157" i="16"/>
  <c r="AF157" i="16" s="1"/>
  <c r="O67" i="16"/>
  <c r="S67" i="16" s="1"/>
  <c r="T67" i="16" s="1"/>
  <c r="AE67" i="16" s="1"/>
  <c r="AD43" i="16"/>
  <c r="AD35" i="16"/>
  <c r="AD22" i="16"/>
  <c r="O20" i="16"/>
  <c r="S20" i="16" s="1"/>
  <c r="T20" i="16" s="1"/>
  <c r="AE20" i="16" s="1"/>
  <c r="AD19" i="16"/>
  <c r="O9" i="16"/>
  <c r="S9" i="16" s="1"/>
  <c r="T9" i="16" s="1"/>
  <c r="AE9" i="16" s="1"/>
  <c r="AD471" i="16"/>
  <c r="AF471" i="16" s="1"/>
  <c r="AG471" i="16" s="1"/>
  <c r="AD438" i="16"/>
  <c r="AF438" i="16" s="1"/>
  <c r="AG438" i="16" s="1"/>
  <c r="AD435" i="16"/>
  <c r="AF435" i="16" s="1"/>
  <c r="AG435" i="16" s="1"/>
  <c r="AD406" i="16"/>
  <c r="AF406" i="16" s="1"/>
  <c r="AG406" i="16" s="1"/>
  <c r="AD379" i="16"/>
  <c r="AF379" i="16" s="1"/>
  <c r="AD370" i="16"/>
  <c r="AF370" i="16" s="1"/>
  <c r="AI370" i="16" s="1"/>
  <c r="AJ370" i="16" s="1"/>
  <c r="AD252" i="16"/>
  <c r="AF252" i="16" s="1"/>
  <c r="AG252" i="16" s="1"/>
  <c r="AD178" i="16"/>
  <c r="AF178" i="16" s="1"/>
  <c r="AG178" i="16" s="1"/>
  <c r="AD127" i="16"/>
  <c r="O99" i="16"/>
  <c r="S99" i="16" s="1"/>
  <c r="T99" i="16" s="1"/>
  <c r="AE99" i="16" s="1"/>
  <c r="AD56" i="16"/>
  <c r="O10" i="16"/>
  <c r="S10" i="16" s="1"/>
  <c r="T10" i="16" s="1"/>
  <c r="AE10" i="16" s="1"/>
  <c r="AD4" i="16"/>
  <c r="O483" i="16"/>
  <c r="S483" i="16" s="1"/>
  <c r="AD482" i="16"/>
  <c r="AF482" i="16" s="1"/>
  <c r="AG482" i="16" s="1"/>
  <c r="AD458" i="16"/>
  <c r="AF458" i="16" s="1"/>
  <c r="AD455" i="16"/>
  <c r="AF455" i="16" s="1"/>
  <c r="AG455" i="16" s="1"/>
  <c r="AD452" i="16"/>
  <c r="AF452" i="16" s="1"/>
  <c r="AG452" i="16" s="1"/>
  <c r="AD446" i="16"/>
  <c r="AF446" i="16" s="1"/>
  <c r="AG446" i="16" s="1"/>
  <c r="AD428" i="16"/>
  <c r="AF428" i="16" s="1"/>
  <c r="AD425" i="16"/>
  <c r="AF425" i="16" s="1"/>
  <c r="AD417" i="16"/>
  <c r="AF417" i="16" s="1"/>
  <c r="AD414" i="16"/>
  <c r="AF414" i="16" s="1"/>
  <c r="AI414" i="16" s="1"/>
  <c r="AJ414" i="16" s="1"/>
  <c r="AD396" i="16"/>
  <c r="O393" i="16"/>
  <c r="S393" i="16" s="1"/>
  <c r="AD390" i="16"/>
  <c r="AF390" i="16" s="1"/>
  <c r="AG390" i="16" s="1"/>
  <c r="AD387" i="16"/>
  <c r="AF387" i="16" s="1"/>
  <c r="O258" i="16"/>
  <c r="S258" i="16" s="1"/>
  <c r="AD62" i="16"/>
  <c r="AD26" i="16"/>
  <c r="AD15" i="16"/>
  <c r="AE66" i="35"/>
  <c r="AH66" i="35" s="1"/>
  <c r="AI66" i="35" s="1"/>
  <c r="O2" i="16"/>
  <c r="F14" i="49"/>
  <c r="H38" i="49" s="1"/>
  <c r="I38" i="49" s="1"/>
  <c r="S20" i="49"/>
  <c r="U44" i="49" s="1"/>
  <c r="V44" i="49" s="1"/>
  <c r="Q14" i="49"/>
  <c r="U14" i="49" s="1"/>
  <c r="W14" i="49" s="1"/>
  <c r="S18" i="49"/>
  <c r="U42" i="49" s="1"/>
  <c r="V42" i="49" s="1"/>
  <c r="H18" i="49"/>
  <c r="J18" i="49" s="1"/>
  <c r="R2" i="16"/>
  <c r="K13" i="3"/>
  <c r="AE425" i="35"/>
  <c r="AH425" i="35" s="1"/>
  <c r="AI425" i="35" s="1"/>
  <c r="O364" i="16"/>
  <c r="S364" i="16" s="1"/>
  <c r="O348" i="16"/>
  <c r="S348" i="16" s="1"/>
  <c r="O300" i="16"/>
  <c r="S300" i="16" s="1"/>
  <c r="O284" i="16"/>
  <c r="S284" i="16" s="1"/>
  <c r="O236" i="16"/>
  <c r="S236" i="16" s="1"/>
  <c r="O188" i="16"/>
  <c r="S188" i="16" s="1"/>
  <c r="O172" i="16"/>
  <c r="S172" i="16" s="1"/>
  <c r="AL156" i="16"/>
  <c r="AN156" i="16" s="1"/>
  <c r="AL76" i="16"/>
  <c r="AN76" i="16" s="1"/>
  <c r="AL12" i="16"/>
  <c r="AN12" i="16" s="1"/>
  <c r="AD456" i="16"/>
  <c r="AF456" i="16" s="1"/>
  <c r="AD400" i="16"/>
  <c r="AF400" i="16" s="1"/>
  <c r="O240" i="16"/>
  <c r="S240" i="16" s="1"/>
  <c r="AD215" i="16"/>
  <c r="AF215" i="16" s="1"/>
  <c r="AD209" i="16"/>
  <c r="AF209" i="16" s="1"/>
  <c r="AG209" i="16" s="1"/>
  <c r="AD185" i="16"/>
  <c r="AF185" i="16" s="1"/>
  <c r="O153" i="16"/>
  <c r="S153" i="16" s="1"/>
  <c r="AD91" i="16"/>
  <c r="O46" i="16"/>
  <c r="S46" i="16" s="1"/>
  <c r="T46" i="16" s="1"/>
  <c r="AE46" i="16" s="1"/>
  <c r="N468" i="35"/>
  <c r="R468" i="35" s="1"/>
  <c r="AK420" i="35"/>
  <c r="N348" i="35"/>
  <c r="R348" i="35" s="1"/>
  <c r="N340" i="35"/>
  <c r="R340" i="35" s="1"/>
  <c r="N332" i="35"/>
  <c r="R332" i="35" s="1"/>
  <c r="AD302" i="16"/>
  <c r="AF302" i="16" s="1"/>
  <c r="AG302" i="16" s="1"/>
  <c r="AK4" i="35"/>
  <c r="AC360" i="35"/>
  <c r="AE360" i="35" s="1"/>
  <c r="AH360" i="35" s="1"/>
  <c r="AC328" i="35"/>
  <c r="AE328" i="35" s="1"/>
  <c r="AH328" i="35" s="1"/>
  <c r="AC184" i="35"/>
  <c r="AE184" i="35" s="1"/>
  <c r="AH184" i="35" s="1"/>
  <c r="AI184" i="35" s="1"/>
  <c r="AC40" i="35"/>
  <c r="I23" i="13"/>
  <c r="O424" i="16"/>
  <c r="S424" i="16" s="1"/>
  <c r="N41" i="10"/>
  <c r="AD202" i="16"/>
  <c r="AF202" i="16" s="1"/>
  <c r="AG202" i="16" s="1"/>
  <c r="AD123" i="16"/>
  <c r="AF123" i="16" s="1"/>
  <c r="AG123" i="16" s="1"/>
  <c r="N267" i="35"/>
  <c r="R267" i="35" s="1"/>
  <c r="N36" i="10"/>
  <c r="M35" i="10"/>
  <c r="O466" i="16"/>
  <c r="S466" i="16" s="1"/>
  <c r="O448" i="16"/>
  <c r="S448" i="16" s="1"/>
  <c r="O404" i="16"/>
  <c r="S404" i="16" s="1"/>
  <c r="O307" i="16"/>
  <c r="S307" i="16" s="1"/>
  <c r="AD264" i="16"/>
  <c r="AF264" i="16" s="1"/>
  <c r="AD251" i="16"/>
  <c r="AF251" i="16" s="1"/>
  <c r="AI251" i="16" s="1"/>
  <c r="AJ251" i="16" s="1"/>
  <c r="O232" i="16"/>
  <c r="S232" i="16" s="1"/>
  <c r="AD226" i="16"/>
  <c r="AF226" i="16" s="1"/>
  <c r="O213" i="16"/>
  <c r="S213" i="16" s="1"/>
  <c r="O201" i="16"/>
  <c r="S201" i="16" s="1"/>
  <c r="AD195" i="16"/>
  <c r="AF195" i="16" s="1"/>
  <c r="AI195" i="16" s="1"/>
  <c r="AJ195" i="16" s="1"/>
  <c r="O114" i="16"/>
  <c r="S114" i="16" s="1"/>
  <c r="T114" i="16" s="1"/>
  <c r="AE114" i="16" s="1"/>
  <c r="O57" i="16"/>
  <c r="S57" i="16" s="1"/>
  <c r="T57" i="16" s="1"/>
  <c r="AE57" i="16" s="1"/>
  <c r="N466" i="35"/>
  <c r="R466" i="35" s="1"/>
  <c r="N450" i="35"/>
  <c r="R450" i="35" s="1"/>
  <c r="N426" i="35"/>
  <c r="R426" i="35" s="1"/>
  <c r="N330" i="35"/>
  <c r="R330" i="35" s="1"/>
  <c r="N35" i="10"/>
  <c r="AL154" i="16"/>
  <c r="AN154" i="16" s="1"/>
  <c r="M37" i="10"/>
  <c r="AD308" i="16"/>
  <c r="AF308" i="16" s="1"/>
  <c r="AI308" i="16" s="1"/>
  <c r="K13" i="14"/>
  <c r="K25" i="14" s="1"/>
  <c r="N2" i="35"/>
  <c r="R2" i="35" s="1"/>
  <c r="S2" i="35" s="1"/>
  <c r="AD2" i="35" s="1"/>
  <c r="AE2" i="35" s="1"/>
  <c r="AH2" i="35" s="1"/>
  <c r="N405" i="35"/>
  <c r="R405" i="35" s="1"/>
  <c r="AD392" i="16"/>
  <c r="AF392" i="16" s="1"/>
  <c r="AI392" i="16" s="1"/>
  <c r="AJ392" i="16" s="1"/>
  <c r="O275" i="16"/>
  <c r="S275" i="16" s="1"/>
  <c r="O250" i="16"/>
  <c r="S250" i="16" s="1"/>
  <c r="AD244" i="16"/>
  <c r="AF244" i="16" s="1"/>
  <c r="AG244" i="16" s="1"/>
  <c r="O126" i="16"/>
  <c r="S126" i="16" s="1"/>
  <c r="T126" i="16" s="1"/>
  <c r="AE126" i="16" s="1"/>
  <c r="AD120" i="16"/>
  <c r="AD82" i="16"/>
  <c r="N305" i="35"/>
  <c r="R305" i="35" s="1"/>
  <c r="N201" i="35"/>
  <c r="R201" i="35" s="1"/>
  <c r="N153" i="35"/>
  <c r="R153" i="35" s="1"/>
  <c r="N355" i="35"/>
  <c r="R355" i="35" s="1"/>
  <c r="O388" i="16"/>
  <c r="S388" i="16" s="1"/>
  <c r="AK51" i="35"/>
  <c r="N339" i="35"/>
  <c r="R339" i="35" s="1"/>
  <c r="O108" i="16"/>
  <c r="S108" i="16" s="1"/>
  <c r="T108" i="16" s="1"/>
  <c r="AE108" i="16" s="1"/>
  <c r="K8" i="39"/>
  <c r="K24" i="39" s="1"/>
  <c r="K9" i="40"/>
  <c r="K21" i="40" s="1"/>
  <c r="AD262" i="16"/>
  <c r="AF262" i="16" s="1"/>
  <c r="N496" i="35"/>
  <c r="R496" i="35" s="1"/>
  <c r="N488" i="35"/>
  <c r="R488" i="35" s="1"/>
  <c r="N416" i="35"/>
  <c r="R416" i="35" s="1"/>
  <c r="N384" i="35"/>
  <c r="R384" i="35" s="1"/>
  <c r="N376" i="35"/>
  <c r="R376" i="35" s="1"/>
  <c r="N360" i="35"/>
  <c r="R360" i="35" s="1"/>
  <c r="K11" i="14"/>
  <c r="K23" i="14" s="1"/>
  <c r="N369" i="35"/>
  <c r="R369" i="35" s="1"/>
  <c r="N353" i="35"/>
  <c r="R353" i="35" s="1"/>
  <c r="N38" i="10"/>
  <c r="I18" i="15"/>
  <c r="AD148" i="16"/>
  <c r="AF148" i="16" s="1"/>
  <c r="AI148" i="16" s="1"/>
  <c r="AJ148" i="16" s="1"/>
  <c r="AD464" i="16"/>
  <c r="AF464" i="16" s="1"/>
  <c r="AI464" i="16" s="1"/>
  <c r="AJ464" i="16" s="1"/>
  <c r="AD384" i="16"/>
  <c r="AF384" i="16" s="1"/>
  <c r="O371" i="16"/>
  <c r="S371" i="16" s="1"/>
  <c r="AD255" i="16"/>
  <c r="AF255" i="16" s="1"/>
  <c r="AG255" i="16" s="1"/>
  <c r="AD224" i="16"/>
  <c r="AF224" i="16" s="1"/>
  <c r="AG224" i="16" s="1"/>
  <c r="AD205" i="16"/>
  <c r="AF205" i="16" s="1"/>
  <c r="AD187" i="16"/>
  <c r="AF187" i="16" s="1"/>
  <c r="O432" i="16"/>
  <c r="S432" i="16" s="1"/>
  <c r="AD100" i="16"/>
  <c r="K12" i="15"/>
  <c r="K27" i="15" s="1"/>
  <c r="P8" i="10"/>
  <c r="P30" i="10" s="1"/>
  <c r="Q39" i="10"/>
  <c r="AD408" i="16"/>
  <c r="AF408" i="16" s="1"/>
  <c r="AI408" i="16" s="1"/>
  <c r="AJ408" i="16" s="1"/>
  <c r="O304" i="16"/>
  <c r="S304" i="16" s="1"/>
  <c r="O279" i="16"/>
  <c r="S279" i="16" s="1"/>
  <c r="O186" i="16"/>
  <c r="S186" i="16" s="1"/>
  <c r="AD105" i="16"/>
  <c r="O41" i="16"/>
  <c r="S41" i="16" s="1"/>
  <c r="T41" i="16" s="1"/>
  <c r="AE41" i="16" s="1"/>
  <c r="N494" i="35"/>
  <c r="R494" i="35" s="1"/>
  <c r="N430" i="35"/>
  <c r="R430" i="35" s="1"/>
  <c r="N382" i="35"/>
  <c r="R382" i="35" s="1"/>
  <c r="AC495" i="35"/>
  <c r="AE495" i="35" s="1"/>
  <c r="AH495" i="35" s="1"/>
  <c r="AC479" i="35"/>
  <c r="AE479" i="35" s="1"/>
  <c r="AH479" i="35" s="1"/>
  <c r="AI479" i="35" s="1"/>
  <c r="AC447" i="35"/>
  <c r="AE447" i="35" s="1"/>
  <c r="AH447" i="35" s="1"/>
  <c r="AI447" i="35" s="1"/>
  <c r="AC431" i="35"/>
  <c r="AE431" i="35" s="1"/>
  <c r="AH431" i="35" s="1"/>
  <c r="AI431" i="35" s="1"/>
  <c r="AC415" i="35"/>
  <c r="AE415" i="35" s="1"/>
  <c r="AH415" i="35" s="1"/>
  <c r="AC383" i="35"/>
  <c r="AE383" i="35" s="1"/>
  <c r="AH383" i="35" s="1"/>
  <c r="AI383" i="35" s="1"/>
  <c r="AC367" i="35"/>
  <c r="AE367" i="35" s="1"/>
  <c r="AH367" i="35" s="1"/>
  <c r="AI367" i="35" s="1"/>
  <c r="AC351" i="35"/>
  <c r="AE351" i="35" s="1"/>
  <c r="AH351" i="35" s="1"/>
  <c r="AI351" i="35" s="1"/>
  <c r="AC335" i="35"/>
  <c r="AE335" i="35" s="1"/>
  <c r="AH335" i="35" s="1"/>
  <c r="AC319" i="35"/>
  <c r="AE319" i="35" s="1"/>
  <c r="AH319" i="35" s="1"/>
  <c r="AC303" i="35"/>
  <c r="AE303" i="35" s="1"/>
  <c r="AH303" i="35" s="1"/>
  <c r="AI303" i="35" s="1"/>
  <c r="AC287" i="35"/>
  <c r="AE287" i="35" s="1"/>
  <c r="AH287" i="35" s="1"/>
  <c r="AI287" i="35" s="1"/>
  <c r="AC271" i="35"/>
  <c r="AE271" i="35" s="1"/>
  <c r="AH271" i="35" s="1"/>
  <c r="AI271" i="35" s="1"/>
  <c r="AC255" i="35"/>
  <c r="AE255" i="35" s="1"/>
  <c r="AH255" i="35" s="1"/>
  <c r="AI255" i="35" s="1"/>
  <c r="AC239" i="35"/>
  <c r="AE239" i="35" s="1"/>
  <c r="AH239" i="35" s="1"/>
  <c r="AC223" i="35"/>
  <c r="AE223" i="35" s="1"/>
  <c r="AH223" i="35" s="1"/>
  <c r="AI223" i="35" s="1"/>
  <c r="AC175" i="35"/>
  <c r="AE175" i="35" s="1"/>
  <c r="AH175" i="35" s="1"/>
  <c r="AI175" i="35" s="1"/>
  <c r="AC159" i="35"/>
  <c r="AE159" i="35" s="1"/>
  <c r="AH159" i="35" s="1"/>
  <c r="AI159" i="35" s="1"/>
  <c r="AC143" i="35"/>
  <c r="AE143" i="35" s="1"/>
  <c r="AH143" i="35" s="1"/>
  <c r="AC127" i="35"/>
  <c r="AE127" i="35" s="1"/>
  <c r="AH127" i="35" s="1"/>
  <c r="AI127" i="35" s="1"/>
  <c r="AC95" i="35"/>
  <c r="AE95" i="35" s="1"/>
  <c r="AH95" i="35" s="1"/>
  <c r="AI95" i="35" s="1"/>
  <c r="AC79" i="35"/>
  <c r="AE79" i="35" s="1"/>
  <c r="AH79" i="35" s="1"/>
  <c r="AI79" i="35" s="1"/>
  <c r="AC63" i="35"/>
  <c r="AC47" i="35"/>
  <c r="AC31" i="35"/>
  <c r="AC15" i="35"/>
  <c r="N30" i="10"/>
  <c r="O462" i="16"/>
  <c r="S462" i="16" s="1"/>
  <c r="O419" i="16"/>
  <c r="S419" i="16" s="1"/>
  <c r="AD266" i="16"/>
  <c r="AF266" i="16" s="1"/>
  <c r="AI266" i="16" s="1"/>
  <c r="AJ266" i="16" s="1"/>
  <c r="AD228" i="16"/>
  <c r="AF228" i="16" s="1"/>
  <c r="AD129" i="16"/>
  <c r="O110" i="16"/>
  <c r="S110" i="16" s="1"/>
  <c r="T110" i="16" s="1"/>
  <c r="AE110" i="16" s="1"/>
  <c r="N411" i="35"/>
  <c r="R411" i="35" s="1"/>
  <c r="P38" i="10"/>
  <c r="P37" i="10"/>
  <c r="P36" i="10"/>
  <c r="Q37" i="10"/>
  <c r="P41" i="10"/>
  <c r="P40" i="10"/>
  <c r="P39" i="10"/>
  <c r="K10" i="11"/>
  <c r="K26" i="11"/>
  <c r="O498" i="16"/>
  <c r="S498" i="16" s="1"/>
  <c r="O436" i="16"/>
  <c r="S436" i="16" s="1"/>
  <c r="O430" i="16"/>
  <c r="S430" i="16" s="1"/>
  <c r="O350" i="16"/>
  <c r="S350" i="16" s="1"/>
  <c r="AD296" i="16"/>
  <c r="AF296" i="16" s="1"/>
  <c r="AI296" i="16" s="1"/>
  <c r="AJ296" i="16" s="1"/>
  <c r="AD283" i="16"/>
  <c r="AF283" i="16" s="1"/>
  <c r="AI283" i="16" s="1"/>
  <c r="AJ283" i="16" s="1"/>
  <c r="AD214" i="16"/>
  <c r="AF214" i="16" s="1"/>
  <c r="AI214" i="16" s="1"/>
  <c r="AD190" i="16"/>
  <c r="AF190" i="16" s="1"/>
  <c r="O184" i="16"/>
  <c r="S184" i="16" s="1"/>
  <c r="O140" i="16"/>
  <c r="S140" i="16" s="1"/>
  <c r="O121" i="16"/>
  <c r="S121" i="16" s="1"/>
  <c r="T121" i="16" s="1"/>
  <c r="AE121" i="16" s="1"/>
  <c r="AD115" i="16"/>
  <c r="AD90" i="16"/>
  <c r="AD77" i="16"/>
  <c r="O64" i="16"/>
  <c r="S64" i="16" s="1"/>
  <c r="T64" i="16" s="1"/>
  <c r="AE64" i="16" s="1"/>
  <c r="N308" i="35"/>
  <c r="R308" i="35" s="1"/>
  <c r="N268" i="35"/>
  <c r="R268" i="35" s="1"/>
  <c r="N252" i="35"/>
  <c r="R252" i="35" s="1"/>
  <c r="N236" i="35"/>
  <c r="R236" i="35" s="1"/>
  <c r="N188" i="35"/>
  <c r="R188" i="35" s="1"/>
  <c r="N164" i="35"/>
  <c r="R164" i="35" s="1"/>
  <c r="N124" i="35"/>
  <c r="R124" i="35" s="1"/>
  <c r="N108" i="35"/>
  <c r="R108" i="35" s="1"/>
  <c r="N92" i="35"/>
  <c r="R92" i="35" s="1"/>
  <c r="N28" i="35"/>
  <c r="R28" i="35" s="1"/>
  <c r="S28" i="35" s="1"/>
  <c r="AD28" i="35" s="1"/>
  <c r="N20" i="35"/>
  <c r="R20" i="35" s="1"/>
  <c r="S20" i="35" s="1"/>
  <c r="AD20" i="35" s="1"/>
  <c r="K15" i="15"/>
  <c r="K30" i="15" s="1"/>
  <c r="Q17" i="10"/>
  <c r="Q38" i="10" s="1"/>
  <c r="K11" i="11"/>
  <c r="AD498" i="16"/>
  <c r="AF498" i="16" s="1"/>
  <c r="AI498" i="16" s="1"/>
  <c r="AJ498" i="16" s="1"/>
  <c r="AD485" i="16"/>
  <c r="AF485" i="16" s="1"/>
  <c r="AI485" i="16" s="1"/>
  <c r="AJ485" i="16" s="1"/>
  <c r="AD473" i="16"/>
  <c r="AF473" i="16" s="1"/>
  <c r="AG473" i="16" s="1"/>
  <c r="O460" i="16"/>
  <c r="S460" i="16" s="1"/>
  <c r="O380" i="16"/>
  <c r="S380" i="16" s="1"/>
  <c r="O368" i="16"/>
  <c r="S368" i="16" s="1"/>
  <c r="O362" i="16"/>
  <c r="S362" i="16" s="1"/>
  <c r="O344" i="16"/>
  <c r="S344" i="16" s="1"/>
  <c r="O332" i="16"/>
  <c r="S332" i="16" s="1"/>
  <c r="O270" i="16"/>
  <c r="S270" i="16" s="1"/>
  <c r="AD258" i="16"/>
  <c r="AF258" i="16" s="1"/>
  <c r="AI258" i="16" s="1"/>
  <c r="AJ258" i="16" s="1"/>
  <c r="AD245" i="16"/>
  <c r="AF245" i="16" s="1"/>
  <c r="AD208" i="16"/>
  <c r="AF208" i="16" s="1"/>
  <c r="AD184" i="16"/>
  <c r="AF184" i="16" s="1"/>
  <c r="AI184" i="16" s="1"/>
  <c r="AJ184" i="16" s="1"/>
  <c r="O164" i="16"/>
  <c r="S164" i="16" s="1"/>
  <c r="AD140" i="16"/>
  <c r="AF140" i="16" s="1"/>
  <c r="AD121" i="16"/>
  <c r="AD96" i="16"/>
  <c r="O51" i="16"/>
  <c r="S51" i="16" s="1"/>
  <c r="T51" i="16" s="1"/>
  <c r="AE51" i="16" s="1"/>
  <c r="O32" i="16"/>
  <c r="S32" i="16" s="1"/>
  <c r="T32" i="16" s="1"/>
  <c r="AE32" i="16" s="1"/>
  <c r="K12" i="11"/>
  <c r="O386" i="16"/>
  <c r="S386" i="16" s="1"/>
  <c r="AD344" i="16"/>
  <c r="AF344" i="16" s="1"/>
  <c r="AD332" i="16"/>
  <c r="AF332" i="16" s="1"/>
  <c r="AG332" i="16" s="1"/>
  <c r="AD282" i="16"/>
  <c r="AF282" i="16" s="1"/>
  <c r="AD177" i="16"/>
  <c r="AF177" i="16" s="1"/>
  <c r="AD158" i="16"/>
  <c r="AF158" i="16" s="1"/>
  <c r="AD108" i="16"/>
  <c r="O76" i="16"/>
  <c r="S76" i="16" s="1"/>
  <c r="T76" i="16" s="1"/>
  <c r="AE76" i="16" s="1"/>
  <c r="AD38" i="16"/>
  <c r="N499" i="35"/>
  <c r="R499" i="35" s="1"/>
  <c r="N483" i="35"/>
  <c r="R483" i="35" s="1"/>
  <c r="N475" i="35"/>
  <c r="R475" i="35" s="1"/>
  <c r="N443" i="35"/>
  <c r="R443" i="35" s="1"/>
  <c r="N419" i="35"/>
  <c r="R419" i="35" s="1"/>
  <c r="N371" i="35"/>
  <c r="R371" i="35" s="1"/>
  <c r="N347" i="35"/>
  <c r="R347" i="35" s="1"/>
  <c r="N331" i="35"/>
  <c r="R331" i="35" s="1"/>
  <c r="N275" i="35"/>
  <c r="R275" i="35" s="1"/>
  <c r="N259" i="35"/>
  <c r="R259" i="35" s="1"/>
  <c r="N251" i="35"/>
  <c r="R251" i="35" s="1"/>
  <c r="N227" i="35"/>
  <c r="R227" i="35" s="1"/>
  <c r="N195" i="35"/>
  <c r="R195" i="35" s="1"/>
  <c r="N123" i="35"/>
  <c r="R123" i="35" s="1"/>
  <c r="AC493" i="35"/>
  <c r="AE493" i="35" s="1"/>
  <c r="AH493" i="35" s="1"/>
  <c r="AI493" i="35" s="1"/>
  <c r="AK201" i="35"/>
  <c r="K13" i="11"/>
  <c r="AD466" i="16"/>
  <c r="AF466" i="16" s="1"/>
  <c r="AG466" i="16" s="1"/>
  <c r="AD454" i="16"/>
  <c r="AF454" i="16" s="1"/>
  <c r="AD448" i="16"/>
  <c r="AF448" i="16" s="1"/>
  <c r="AI448" i="16" s="1"/>
  <c r="AJ448" i="16" s="1"/>
  <c r="O410" i="16"/>
  <c r="S410" i="16" s="1"/>
  <c r="AD404" i="16"/>
  <c r="AF404" i="16" s="1"/>
  <c r="AI404" i="16" s="1"/>
  <c r="AJ404" i="16" s="1"/>
  <c r="O355" i="16"/>
  <c r="S355" i="16" s="1"/>
  <c r="AD338" i="16"/>
  <c r="AF338" i="16" s="1"/>
  <c r="AI338" i="16" s="1"/>
  <c r="AJ338" i="16" s="1"/>
  <c r="O313" i="16"/>
  <c r="S313" i="16" s="1"/>
  <c r="AD307" i="16"/>
  <c r="AF307" i="16" s="1"/>
  <c r="O288" i="16"/>
  <c r="S288" i="16" s="1"/>
  <c r="O244" i="16"/>
  <c r="S244" i="16" s="1"/>
  <c r="O238" i="16"/>
  <c r="S238" i="16" s="1"/>
  <c r="AD232" i="16"/>
  <c r="AF232" i="16" s="1"/>
  <c r="AD213" i="16"/>
  <c r="AF213" i="16" s="1"/>
  <c r="AD189" i="16"/>
  <c r="AF189" i="16" s="1"/>
  <c r="AD170" i="16"/>
  <c r="AF170" i="16" s="1"/>
  <c r="AG170" i="16" s="1"/>
  <c r="AD139" i="16"/>
  <c r="O120" i="16"/>
  <c r="S120" i="16" s="1"/>
  <c r="T120" i="16" s="1"/>
  <c r="AE120" i="16" s="1"/>
  <c r="AD114" i="16"/>
  <c r="O82" i="16"/>
  <c r="S82" i="16" s="1"/>
  <c r="T82" i="16" s="1"/>
  <c r="AE82" i="16" s="1"/>
  <c r="AD76" i="16"/>
  <c r="AD69" i="16"/>
  <c r="AD63" i="16"/>
  <c r="AD57" i="16"/>
  <c r="O12" i="16"/>
  <c r="S12" i="16" s="1"/>
  <c r="T12" i="16" s="1"/>
  <c r="AE12" i="16" s="1"/>
  <c r="J12" i="45"/>
  <c r="J25" i="45" s="1"/>
  <c r="O486" i="16"/>
  <c r="S486" i="16" s="1"/>
  <c r="O470" i="16"/>
  <c r="S470" i="16" s="1"/>
  <c r="O438" i="16"/>
  <c r="S438" i="16" s="1"/>
  <c r="O422" i="16"/>
  <c r="S422" i="16" s="1"/>
  <c r="O390" i="16"/>
  <c r="S390" i="16" s="1"/>
  <c r="O326" i="16"/>
  <c r="S326" i="16" s="1"/>
  <c r="O278" i="16"/>
  <c r="S278" i="16" s="1"/>
  <c r="O214" i="16"/>
  <c r="S214" i="16" s="1"/>
  <c r="O102" i="16"/>
  <c r="S102" i="16" s="1"/>
  <c r="T102" i="16" s="1"/>
  <c r="AE102" i="16" s="1"/>
  <c r="O86" i="16"/>
  <c r="S86" i="16" s="1"/>
  <c r="T86" i="16" s="1"/>
  <c r="AE86" i="16" s="1"/>
  <c r="O38" i="16"/>
  <c r="S38" i="16" s="1"/>
  <c r="T38" i="16" s="1"/>
  <c r="AE38" i="16" s="1"/>
  <c r="O22" i="16"/>
  <c r="S22" i="16" s="1"/>
  <c r="T22" i="16" s="1"/>
  <c r="AE22" i="16" s="1"/>
  <c r="K14" i="11"/>
  <c r="O367" i="16"/>
  <c r="S367" i="16" s="1"/>
  <c r="O361" i="16"/>
  <c r="S361" i="16" s="1"/>
  <c r="AD349" i="16"/>
  <c r="AF349" i="16" s="1"/>
  <c r="AD343" i="16"/>
  <c r="AF343" i="16" s="1"/>
  <c r="AG343" i="16" s="1"/>
  <c r="AD331" i="16"/>
  <c r="AF331" i="16" s="1"/>
  <c r="AG331" i="16" s="1"/>
  <c r="AD313" i="16"/>
  <c r="AF313" i="16" s="1"/>
  <c r="AD294" i="16"/>
  <c r="AF294" i="16" s="1"/>
  <c r="O281" i="16"/>
  <c r="S281" i="16" s="1"/>
  <c r="O194" i="16"/>
  <c r="S194" i="16" s="1"/>
  <c r="O176" i="16"/>
  <c r="S176" i="16" s="1"/>
  <c r="AD132" i="16"/>
  <c r="AD44" i="16"/>
  <c r="O18" i="16"/>
  <c r="S18" i="16" s="1"/>
  <c r="T18" i="16" s="1"/>
  <c r="AE18" i="16" s="1"/>
  <c r="N258" i="35"/>
  <c r="R258" i="35" s="1"/>
  <c r="N226" i="35"/>
  <c r="R226" i="35" s="1"/>
  <c r="N130" i="35"/>
  <c r="R130" i="35" s="1"/>
  <c r="O441" i="16"/>
  <c r="S441" i="16" s="1"/>
  <c r="K13" i="15"/>
  <c r="K28" i="15" s="1"/>
  <c r="Q11" i="10"/>
  <c r="Q36" i="10" s="1"/>
  <c r="K15" i="11"/>
  <c r="O496" i="16"/>
  <c r="S496" i="16" s="1"/>
  <c r="AD490" i="16"/>
  <c r="AF490" i="16" s="1"/>
  <c r="AG490" i="16" s="1"/>
  <c r="AD447" i="16"/>
  <c r="AF447" i="16" s="1"/>
  <c r="AG447" i="16" s="1"/>
  <c r="AD441" i="16"/>
  <c r="AF441" i="16" s="1"/>
  <c r="AG441" i="16" s="1"/>
  <c r="O428" i="16"/>
  <c r="S428" i="16" s="1"/>
  <c r="AD385" i="16"/>
  <c r="AF385" i="16" s="1"/>
  <c r="AD361" i="16"/>
  <c r="AF361" i="16" s="1"/>
  <c r="AG361" i="16" s="1"/>
  <c r="AD300" i="16"/>
  <c r="AF300" i="16" s="1"/>
  <c r="AD250" i="16"/>
  <c r="AF250" i="16" s="1"/>
  <c r="AG250" i="16" s="1"/>
  <c r="AD231" i="16"/>
  <c r="AF231" i="16" s="1"/>
  <c r="AD225" i="16"/>
  <c r="AF225" i="16" s="1"/>
  <c r="AI225" i="16" s="1"/>
  <c r="AJ225" i="16" s="1"/>
  <c r="O200" i="16"/>
  <c r="S200" i="16" s="1"/>
  <c r="AD194" i="16"/>
  <c r="AF194" i="16" s="1"/>
  <c r="AG194" i="16" s="1"/>
  <c r="AD182" i="16"/>
  <c r="AF182" i="16" s="1"/>
  <c r="AI182" i="16" s="1"/>
  <c r="AD176" i="16"/>
  <c r="AF176" i="16" s="1"/>
  <c r="O100" i="16"/>
  <c r="S100" i="16" s="1"/>
  <c r="T100" i="16" s="1"/>
  <c r="AE100" i="16" s="1"/>
  <c r="O94" i="16"/>
  <c r="S94" i="16" s="1"/>
  <c r="T94" i="16" s="1"/>
  <c r="AE94" i="16" s="1"/>
  <c r="O88" i="16"/>
  <c r="S88" i="16" s="1"/>
  <c r="T88" i="16" s="1"/>
  <c r="AE88" i="16" s="1"/>
  <c r="AD75" i="16"/>
  <c r="O62" i="16"/>
  <c r="S62" i="16" s="1"/>
  <c r="T62" i="16" s="1"/>
  <c r="AE62" i="16" s="1"/>
  <c r="O56" i="16"/>
  <c r="S56" i="16" s="1"/>
  <c r="T56" i="16" s="1"/>
  <c r="AE56" i="16" s="1"/>
  <c r="AD50" i="16"/>
  <c r="O434" i="16"/>
  <c r="S434" i="16" s="1"/>
  <c r="O409" i="16"/>
  <c r="S409" i="16" s="1"/>
  <c r="O378" i="16"/>
  <c r="S378" i="16" s="1"/>
  <c r="O354" i="16"/>
  <c r="S354" i="16" s="1"/>
  <c r="O330" i="16"/>
  <c r="S330" i="16" s="1"/>
  <c r="O324" i="16"/>
  <c r="S324" i="16" s="1"/>
  <c r="O312" i="16"/>
  <c r="S312" i="16" s="1"/>
  <c r="AD287" i="16"/>
  <c r="AF287" i="16" s="1"/>
  <c r="O268" i="16"/>
  <c r="S268" i="16" s="1"/>
  <c r="O243" i="16"/>
  <c r="S243" i="16" s="1"/>
  <c r="AD212" i="16"/>
  <c r="AF212" i="16" s="1"/>
  <c r="AD206" i="16"/>
  <c r="AF206" i="16" s="1"/>
  <c r="AD200" i="16"/>
  <c r="AF200" i="16" s="1"/>
  <c r="AG200" i="16" s="1"/>
  <c r="O156" i="16"/>
  <c r="S156" i="16" s="1"/>
  <c r="AD150" i="16"/>
  <c r="AF150" i="16" s="1"/>
  <c r="AG150" i="16" s="1"/>
  <c r="AD144" i="16"/>
  <c r="AF144" i="16" s="1"/>
  <c r="AG144" i="16" s="1"/>
  <c r="O131" i="16"/>
  <c r="S131" i="16" s="1"/>
  <c r="T131" i="16" s="1"/>
  <c r="AE131" i="16" s="1"/>
  <c r="AD119" i="16"/>
  <c r="AD81" i="16"/>
  <c r="O30" i="16"/>
  <c r="S30" i="16" s="1"/>
  <c r="T30" i="16" s="1"/>
  <c r="AE30" i="16" s="1"/>
  <c r="N497" i="35"/>
  <c r="R497" i="35" s="1"/>
  <c r="N473" i="35"/>
  <c r="R473" i="35" s="1"/>
  <c r="N457" i="35"/>
  <c r="R457" i="35" s="1"/>
  <c r="N425" i="35"/>
  <c r="R425" i="35" s="1"/>
  <c r="N417" i="35"/>
  <c r="R417" i="35" s="1"/>
  <c r="N409" i="35"/>
  <c r="R409" i="35" s="1"/>
  <c r="N361" i="35"/>
  <c r="R361" i="35" s="1"/>
  <c r="N321" i="35"/>
  <c r="R321" i="35" s="1"/>
  <c r="N257" i="35"/>
  <c r="R257" i="35" s="1"/>
  <c r="N73" i="35"/>
  <c r="R73" i="35" s="1"/>
  <c r="K8" i="11"/>
  <c r="K17" i="11"/>
  <c r="O489" i="16"/>
  <c r="S489" i="16" s="1"/>
  <c r="AD483" i="16"/>
  <c r="AF483" i="16" s="1"/>
  <c r="AG483" i="16" s="1"/>
  <c r="O464" i="16"/>
  <c r="S464" i="16" s="1"/>
  <c r="O458" i="16"/>
  <c r="S458" i="16" s="1"/>
  <c r="O440" i="16"/>
  <c r="S440" i="16" s="1"/>
  <c r="AD434" i="16"/>
  <c r="AF434" i="16" s="1"/>
  <c r="AD421" i="16"/>
  <c r="AF421" i="16" s="1"/>
  <c r="AI421" i="16" s="1"/>
  <c r="AJ421" i="16" s="1"/>
  <c r="AD409" i="16"/>
  <c r="AF409" i="16" s="1"/>
  <c r="AG409" i="16" s="1"/>
  <c r="O396" i="16"/>
  <c r="S396" i="16" s="1"/>
  <c r="AD378" i="16"/>
  <c r="AF378" i="16" s="1"/>
  <c r="O366" i="16"/>
  <c r="S366" i="16" s="1"/>
  <c r="AD354" i="16"/>
  <c r="AF354" i="16" s="1"/>
  <c r="AG354" i="16" s="1"/>
  <c r="AD348" i="16"/>
  <c r="AF348" i="16" s="1"/>
  <c r="AI348" i="16" s="1"/>
  <c r="AJ348" i="16" s="1"/>
  <c r="AD342" i="16"/>
  <c r="AF342" i="16" s="1"/>
  <c r="O336" i="16"/>
  <c r="S336" i="16" s="1"/>
  <c r="AD312" i="16"/>
  <c r="AF312" i="16" s="1"/>
  <c r="O274" i="16"/>
  <c r="S274" i="16" s="1"/>
  <c r="O249" i="16"/>
  <c r="S249" i="16" s="1"/>
  <c r="O224" i="16"/>
  <c r="S224" i="16" s="1"/>
  <c r="AD181" i="16"/>
  <c r="AF181" i="16" s="1"/>
  <c r="AG181" i="16" s="1"/>
  <c r="O162" i="16"/>
  <c r="S162" i="16" s="1"/>
  <c r="AD125" i="16"/>
  <c r="O112" i="16"/>
  <c r="S112" i="16" s="1"/>
  <c r="T112" i="16" s="1"/>
  <c r="AE112" i="16" s="1"/>
  <c r="AD74" i="16"/>
  <c r="AD36" i="16"/>
  <c r="AD30" i="16"/>
  <c r="AD17" i="16"/>
  <c r="K18" i="11"/>
  <c r="O476" i="16"/>
  <c r="S476" i="16" s="1"/>
  <c r="AD366" i="16"/>
  <c r="AF366" i="16" s="1"/>
  <c r="AI366" i="16" s="1"/>
  <c r="AJ366" i="16" s="1"/>
  <c r="AD360" i="16"/>
  <c r="AF360" i="16" s="1"/>
  <c r="AI360" i="16" s="1"/>
  <c r="AJ360" i="16" s="1"/>
  <c r="O292" i="16"/>
  <c r="S292" i="16" s="1"/>
  <c r="AD280" i="16"/>
  <c r="AF280" i="16" s="1"/>
  <c r="AD274" i="16"/>
  <c r="AF274" i="16" s="1"/>
  <c r="O211" i="16"/>
  <c r="S211" i="16" s="1"/>
  <c r="AD87" i="16"/>
  <c r="O80" i="16"/>
  <c r="S80" i="16" s="1"/>
  <c r="T80" i="16" s="1"/>
  <c r="AE80" i="16" s="1"/>
  <c r="AD23" i="16"/>
  <c r="N344" i="35"/>
  <c r="R344" i="35" s="1"/>
  <c r="N336" i="35"/>
  <c r="R336" i="35" s="1"/>
  <c r="N304" i="35"/>
  <c r="R304" i="35" s="1"/>
  <c r="N288" i="35"/>
  <c r="R288" i="35" s="1"/>
  <c r="N256" i="35"/>
  <c r="R256" i="35" s="1"/>
  <c r="N240" i="35"/>
  <c r="R240" i="35" s="1"/>
  <c r="N224" i="35"/>
  <c r="R224" i="35" s="1"/>
  <c r="N208" i="35"/>
  <c r="R208" i="35" s="1"/>
  <c r="N176" i="35"/>
  <c r="R176" i="35" s="1"/>
  <c r="N112" i="35"/>
  <c r="R112" i="35" s="1"/>
  <c r="N104" i="35"/>
  <c r="R104" i="35" s="1"/>
  <c r="N80" i="35"/>
  <c r="R80" i="35" s="1"/>
  <c r="N48" i="35"/>
  <c r="R48" i="35" s="1"/>
  <c r="S48" i="35" s="1"/>
  <c r="AD48" i="35" s="1"/>
  <c r="AL212" i="16"/>
  <c r="AN212" i="16" s="1"/>
  <c r="N39" i="10"/>
  <c r="K11" i="15"/>
  <c r="K26" i="15" s="1"/>
  <c r="AD476" i="16"/>
  <c r="AF476" i="16" s="1"/>
  <c r="AD433" i="16"/>
  <c r="AF433" i="16" s="1"/>
  <c r="AG433" i="16" s="1"/>
  <c r="O420" i="16"/>
  <c r="S420" i="16" s="1"/>
  <c r="O414" i="16"/>
  <c r="S414" i="16" s="1"/>
  <c r="O408" i="16"/>
  <c r="S408" i="16" s="1"/>
  <c r="AD402" i="16"/>
  <c r="AF402" i="16" s="1"/>
  <c r="AD347" i="16"/>
  <c r="AF347" i="16" s="1"/>
  <c r="O341" i="16"/>
  <c r="S341" i="16" s="1"/>
  <c r="O329" i="16"/>
  <c r="S329" i="16" s="1"/>
  <c r="O323" i="16"/>
  <c r="S323" i="16" s="1"/>
  <c r="AD317" i="16"/>
  <c r="AF317" i="16" s="1"/>
  <c r="AD311" i="16"/>
  <c r="AF311" i="16" s="1"/>
  <c r="AG311" i="16" s="1"/>
  <c r="O242" i="16"/>
  <c r="S242" i="16" s="1"/>
  <c r="AD236" i="16"/>
  <c r="AF236" i="16" s="1"/>
  <c r="AD211" i="16"/>
  <c r="AF211" i="16" s="1"/>
  <c r="AG211" i="16" s="1"/>
  <c r="O192" i="16"/>
  <c r="S192" i="16" s="1"/>
  <c r="AD155" i="16"/>
  <c r="AF155" i="16" s="1"/>
  <c r="O130" i="16"/>
  <c r="S130" i="16" s="1"/>
  <c r="T130" i="16" s="1"/>
  <c r="AE130" i="16" s="1"/>
  <c r="AD118" i="16"/>
  <c r="O105" i="16"/>
  <c r="S105" i="16" s="1"/>
  <c r="T105" i="16" s="1"/>
  <c r="AE105" i="16" s="1"/>
  <c r="AD93" i="16"/>
  <c r="AD80" i="16"/>
  <c r="AD67" i="16"/>
  <c r="O48" i="16"/>
  <c r="S48" i="16" s="1"/>
  <c r="T48" i="16" s="1"/>
  <c r="AE48" i="16" s="1"/>
  <c r="O35" i="16"/>
  <c r="S35" i="16" s="1"/>
  <c r="T35" i="16" s="1"/>
  <c r="AE35" i="16" s="1"/>
  <c r="AD29" i="16"/>
  <c r="O16" i="16"/>
  <c r="S16" i="16" s="1"/>
  <c r="T16" i="16" s="1"/>
  <c r="AE16" i="16" s="1"/>
  <c r="AD10" i="16"/>
  <c r="O500" i="16"/>
  <c r="S500" i="16" s="1"/>
  <c r="O494" i="16"/>
  <c r="S494" i="16" s="1"/>
  <c r="O457" i="16"/>
  <c r="S457" i="16" s="1"/>
  <c r="O451" i="16"/>
  <c r="S451" i="16" s="1"/>
  <c r="O204" i="16"/>
  <c r="S204" i="16" s="1"/>
  <c r="AD180" i="16"/>
  <c r="AF180" i="16" s="1"/>
  <c r="AI180" i="16" s="1"/>
  <c r="AJ180" i="16" s="1"/>
  <c r="O148" i="16"/>
  <c r="S148" i="16" s="1"/>
  <c r="O142" i="16"/>
  <c r="S142" i="16" s="1"/>
  <c r="O136" i="16"/>
  <c r="S136" i="16" s="1"/>
  <c r="T136" i="16" s="1"/>
  <c r="AE136" i="16" s="1"/>
  <c r="AD111" i="16"/>
  <c r="AD73" i="16"/>
  <c r="O60" i="16"/>
  <c r="S60" i="16" s="1"/>
  <c r="T60" i="16" s="1"/>
  <c r="AE60" i="16" s="1"/>
  <c r="AD54" i="16"/>
  <c r="N495" i="35"/>
  <c r="R495" i="35" s="1"/>
  <c r="N487" i="35"/>
  <c r="R487" i="35" s="1"/>
  <c r="N479" i="35"/>
  <c r="R479" i="35" s="1"/>
  <c r="N463" i="35"/>
  <c r="R463" i="35" s="1"/>
  <c r="N447" i="35"/>
  <c r="R447" i="35" s="1"/>
  <c r="N439" i="35"/>
  <c r="R439" i="35" s="1"/>
  <c r="N431" i="35"/>
  <c r="R431" i="35" s="1"/>
  <c r="N423" i="35"/>
  <c r="R423" i="35" s="1"/>
  <c r="N375" i="35"/>
  <c r="R375" i="35" s="1"/>
  <c r="N367" i="35"/>
  <c r="R367" i="35" s="1"/>
  <c r="N351" i="35"/>
  <c r="R351" i="35" s="1"/>
  <c r="N343" i="35"/>
  <c r="R343" i="35" s="1"/>
  <c r="N295" i="35"/>
  <c r="R295" i="35" s="1"/>
  <c r="N279" i="35"/>
  <c r="R279" i="35" s="1"/>
  <c r="N263" i="35"/>
  <c r="R263" i="35" s="1"/>
  <c r="N239" i="35"/>
  <c r="R239" i="35" s="1"/>
  <c r="N199" i="35"/>
  <c r="R199" i="35" s="1"/>
  <c r="N183" i="35"/>
  <c r="R183" i="35" s="1"/>
  <c r="N175" i="35"/>
  <c r="R175" i="35" s="1"/>
  <c r="N159" i="35"/>
  <c r="R159" i="35" s="1"/>
  <c r="N151" i="35"/>
  <c r="R151" i="35" s="1"/>
  <c r="N127" i="35"/>
  <c r="R127" i="35" s="1"/>
  <c r="N111" i="35"/>
  <c r="R111" i="35" s="1"/>
  <c r="N95" i="35"/>
  <c r="R95" i="35" s="1"/>
  <c r="N87" i="35"/>
  <c r="R87" i="35" s="1"/>
  <c r="N55" i="35"/>
  <c r="R55" i="35" s="1"/>
  <c r="S55" i="35" s="1"/>
  <c r="AD55" i="35" s="1"/>
  <c r="N39" i="35"/>
  <c r="R39" i="35" s="1"/>
  <c r="S39" i="35" s="1"/>
  <c r="AD39" i="35" s="1"/>
  <c r="N31" i="35"/>
  <c r="R31" i="35" s="1"/>
  <c r="S31" i="35" s="1"/>
  <c r="AD31" i="35" s="1"/>
  <c r="N23" i="35"/>
  <c r="R23" i="35" s="1"/>
  <c r="S23" i="35" s="1"/>
  <c r="AD23" i="35" s="1"/>
  <c r="AC373" i="35"/>
  <c r="AE373" i="35" s="1"/>
  <c r="AH373" i="35" s="1"/>
  <c r="AI373" i="35" s="1"/>
  <c r="O495" i="16"/>
  <c r="S495" i="16" s="1"/>
  <c r="O431" i="16"/>
  <c r="S431" i="16" s="1"/>
  <c r="O399" i="16"/>
  <c r="S399" i="16" s="1"/>
  <c r="O271" i="16"/>
  <c r="S271" i="16" s="1"/>
  <c r="O239" i="16"/>
  <c r="S239" i="16" s="1"/>
  <c r="O63" i="16"/>
  <c r="S63" i="16" s="1"/>
  <c r="T63" i="16" s="1"/>
  <c r="AE63" i="16" s="1"/>
  <c r="N37" i="10"/>
  <c r="K21" i="11"/>
  <c r="AD494" i="16"/>
  <c r="AF494" i="16" s="1"/>
  <c r="AD488" i="16"/>
  <c r="AF488" i="16" s="1"/>
  <c r="AI488" i="16" s="1"/>
  <c r="AJ488" i="16" s="1"/>
  <c r="AD451" i="16"/>
  <c r="AF451" i="16" s="1"/>
  <c r="AD401" i="16"/>
  <c r="AF401" i="16" s="1"/>
  <c r="AI401" i="16" s="1"/>
  <c r="AJ401" i="16" s="1"/>
  <c r="O352" i="16"/>
  <c r="S352" i="16" s="1"/>
  <c r="O316" i="16"/>
  <c r="S316" i="16" s="1"/>
  <c r="O291" i="16"/>
  <c r="S291" i="16" s="1"/>
  <c r="AD279" i="16"/>
  <c r="AF279" i="16" s="1"/>
  <c r="O266" i="16"/>
  <c r="S266" i="16" s="1"/>
  <c r="AD260" i="16"/>
  <c r="AF260" i="16" s="1"/>
  <c r="O216" i="16"/>
  <c r="S216" i="16" s="1"/>
  <c r="O210" i="16"/>
  <c r="S210" i="16" s="1"/>
  <c r="AD204" i="16"/>
  <c r="AF204" i="16" s="1"/>
  <c r="AD167" i="16"/>
  <c r="AF167" i="16" s="1"/>
  <c r="O154" i="16"/>
  <c r="S154" i="16" s="1"/>
  <c r="AD142" i="16"/>
  <c r="AF142" i="16" s="1"/>
  <c r="AD136" i="16"/>
  <c r="AD117" i="16"/>
  <c r="O98" i="16"/>
  <c r="S98" i="16" s="1"/>
  <c r="T98" i="16" s="1"/>
  <c r="AE98" i="16" s="1"/>
  <c r="O92" i="16"/>
  <c r="S92" i="16" s="1"/>
  <c r="T92" i="16" s="1"/>
  <c r="AE92" i="16" s="1"/>
  <c r="AD79" i="16"/>
  <c r="O66" i="16"/>
  <c r="S66" i="16" s="1"/>
  <c r="T66" i="16" s="1"/>
  <c r="AE66" i="16" s="1"/>
  <c r="AD60" i="16"/>
  <c r="AD3" i="16"/>
  <c r="K22" i="11"/>
  <c r="O382" i="16"/>
  <c r="S382" i="16" s="1"/>
  <c r="AD358" i="16"/>
  <c r="AF358" i="16" s="1"/>
  <c r="AD352" i="16"/>
  <c r="AF352" i="16" s="1"/>
  <c r="AG352" i="16" s="1"/>
  <c r="O328" i="16"/>
  <c r="S328" i="16" s="1"/>
  <c r="O322" i="16"/>
  <c r="S322" i="16" s="1"/>
  <c r="AD316" i="16"/>
  <c r="AF316" i="16" s="1"/>
  <c r="O222" i="16"/>
  <c r="S222" i="16" s="1"/>
  <c r="AD216" i="16"/>
  <c r="AF216" i="16" s="1"/>
  <c r="AD210" i="16"/>
  <c r="AF210" i="16" s="1"/>
  <c r="AD92" i="16"/>
  <c r="O34" i="16"/>
  <c r="S34" i="16" s="1"/>
  <c r="T34" i="16" s="1"/>
  <c r="AE34" i="16" s="1"/>
  <c r="AD28" i="16"/>
  <c r="AD21" i="16"/>
  <c r="N310" i="35"/>
  <c r="R310" i="35" s="1"/>
  <c r="N286" i="35"/>
  <c r="R286" i="35" s="1"/>
  <c r="N278" i="35"/>
  <c r="R278" i="35" s="1"/>
  <c r="N270" i="35"/>
  <c r="R270" i="35" s="1"/>
  <c r="N238" i="35"/>
  <c r="R238" i="35" s="1"/>
  <c r="N214" i="35"/>
  <c r="R214" i="35" s="1"/>
  <c r="N206" i="35"/>
  <c r="R206" i="35" s="1"/>
  <c r="N198" i="35"/>
  <c r="R198" i="35" s="1"/>
  <c r="N190" i="35"/>
  <c r="R190" i="35" s="1"/>
  <c r="N174" i="35"/>
  <c r="R174" i="35" s="1"/>
  <c r="N166" i="35"/>
  <c r="R166" i="35" s="1"/>
  <c r="N118" i="35"/>
  <c r="R118" i="35" s="1"/>
  <c r="N86" i="35"/>
  <c r="R86" i="35" s="1"/>
  <c r="N62" i="35"/>
  <c r="R62" i="35" s="1"/>
  <c r="S62" i="35" s="1"/>
  <c r="AD62" i="35" s="1"/>
  <c r="N38" i="35"/>
  <c r="R38" i="35" s="1"/>
  <c r="S38" i="35" s="1"/>
  <c r="AD38" i="35" s="1"/>
  <c r="N6" i="35"/>
  <c r="R6" i="35" s="1"/>
  <c r="S6" i="35" s="1"/>
  <c r="AD6" i="35" s="1"/>
  <c r="AE6" i="35" s="1"/>
  <c r="AH6" i="35" s="1"/>
  <c r="AI6" i="35" s="1"/>
  <c r="J21" i="47"/>
  <c r="J13" i="47"/>
  <c r="J36" i="47" s="1"/>
  <c r="J9" i="45"/>
  <c r="J22" i="45" s="1"/>
  <c r="O493" i="16"/>
  <c r="S493" i="16" s="1"/>
  <c r="O125" i="16"/>
  <c r="S125" i="16" s="1"/>
  <c r="T125" i="16" s="1"/>
  <c r="AE125" i="16" s="1"/>
  <c r="K8" i="6"/>
  <c r="K20" i="6" s="1"/>
  <c r="O334" i="16"/>
  <c r="S334" i="16" s="1"/>
  <c r="O499" i="16"/>
  <c r="S499" i="16" s="1"/>
  <c r="O474" i="16"/>
  <c r="S474" i="16" s="1"/>
  <c r="AD444" i="16"/>
  <c r="AF444" i="16" s="1"/>
  <c r="AD419" i="16"/>
  <c r="AF419" i="16" s="1"/>
  <c r="AD382" i="16"/>
  <c r="AF382" i="16" s="1"/>
  <c r="AD322" i="16"/>
  <c r="AF322" i="16" s="1"/>
  <c r="AD309" i="16"/>
  <c r="AF309" i="16" s="1"/>
  <c r="O259" i="16"/>
  <c r="S259" i="16" s="1"/>
  <c r="AD247" i="16"/>
  <c r="AF247" i="16" s="1"/>
  <c r="AD222" i="16"/>
  <c r="AF222" i="16" s="1"/>
  <c r="AG222" i="16" s="1"/>
  <c r="AD203" i="16"/>
  <c r="AF203" i="16" s="1"/>
  <c r="AD191" i="16"/>
  <c r="AF191" i="16" s="1"/>
  <c r="AG191" i="16" s="1"/>
  <c r="O185" i="16"/>
  <c r="S185" i="16" s="1"/>
  <c r="AD166" i="16"/>
  <c r="AF166" i="16" s="1"/>
  <c r="O147" i="16"/>
  <c r="S147" i="16" s="1"/>
  <c r="AD135" i="16"/>
  <c r="AD110" i="16"/>
  <c r="O78" i="16"/>
  <c r="S78" i="16" s="1"/>
  <c r="T78" i="16" s="1"/>
  <c r="AE78" i="16" s="1"/>
  <c r="AD499" i="16"/>
  <c r="AF499" i="16" s="1"/>
  <c r="AI499" i="16" s="1"/>
  <c r="AJ499" i="16" s="1"/>
  <c r="O480" i="16"/>
  <c r="S480" i="16" s="1"/>
  <c r="O345" i="16"/>
  <c r="S345" i="16" s="1"/>
  <c r="O290" i="16"/>
  <c r="S290" i="16" s="1"/>
  <c r="AD284" i="16"/>
  <c r="AF284" i="16" s="1"/>
  <c r="O227" i="16"/>
  <c r="S227" i="16" s="1"/>
  <c r="O196" i="16"/>
  <c r="S196" i="16" s="1"/>
  <c r="AD65" i="16"/>
  <c r="O52" i="16"/>
  <c r="S52" i="16" s="1"/>
  <c r="T52" i="16" s="1"/>
  <c r="AE52" i="16" s="1"/>
  <c r="O14" i="16"/>
  <c r="S14" i="16" s="1"/>
  <c r="T14" i="16" s="1"/>
  <c r="AE14" i="16" s="1"/>
  <c r="O8" i="16"/>
  <c r="S8" i="16" s="1"/>
  <c r="T8" i="16" s="1"/>
  <c r="AE8" i="16" s="1"/>
  <c r="N477" i="35"/>
  <c r="R477" i="35" s="1"/>
  <c r="N453" i="35"/>
  <c r="R453" i="35" s="1"/>
  <c r="N445" i="35"/>
  <c r="R445" i="35" s="1"/>
  <c r="N397" i="35"/>
  <c r="R397" i="35" s="1"/>
  <c r="N317" i="35"/>
  <c r="R317" i="35" s="1"/>
  <c r="N213" i="35"/>
  <c r="R213" i="35" s="1"/>
  <c r="N109" i="35"/>
  <c r="R109" i="35" s="1"/>
  <c r="N101" i="35"/>
  <c r="R101" i="35" s="1"/>
  <c r="N93" i="35"/>
  <c r="R93" i="35" s="1"/>
  <c r="N61" i="35"/>
  <c r="R61" i="35" s="1"/>
  <c r="S61" i="35" s="1"/>
  <c r="AD61" i="35" s="1"/>
  <c r="N53" i="35"/>
  <c r="R53" i="35" s="1"/>
  <c r="S53" i="35" s="1"/>
  <c r="AD53" i="35" s="1"/>
  <c r="O492" i="16"/>
  <c r="S492" i="16" s="1"/>
  <c r="AD480" i="16"/>
  <c r="AF480" i="16" s="1"/>
  <c r="AD461" i="16"/>
  <c r="AF461" i="16" s="1"/>
  <c r="AG461" i="16" s="1"/>
  <c r="O418" i="16"/>
  <c r="S418" i="16" s="1"/>
  <c r="AD412" i="16"/>
  <c r="AF412" i="16" s="1"/>
  <c r="O387" i="16"/>
  <c r="S387" i="16" s="1"/>
  <c r="AD363" i="16"/>
  <c r="AF363" i="16" s="1"/>
  <c r="AI363" i="16" s="1"/>
  <c r="AJ363" i="16" s="1"/>
  <c r="O339" i="16"/>
  <c r="S339" i="16" s="1"/>
  <c r="AD333" i="16"/>
  <c r="AF333" i="16" s="1"/>
  <c r="O302" i="16"/>
  <c r="S302" i="16" s="1"/>
  <c r="O296" i="16"/>
  <c r="S296" i="16" s="1"/>
  <c r="AD290" i="16"/>
  <c r="AF290" i="16" s="1"/>
  <c r="AG290" i="16" s="1"/>
  <c r="O252" i="16"/>
  <c r="S252" i="16" s="1"/>
  <c r="AD221" i="16"/>
  <c r="AF221" i="16" s="1"/>
  <c r="AI221" i="16" s="1"/>
  <c r="AJ221" i="16" s="1"/>
  <c r="O202" i="16"/>
  <c r="S202" i="16" s="1"/>
  <c r="O190" i="16"/>
  <c r="S190" i="16" s="1"/>
  <c r="O178" i="16"/>
  <c r="S178" i="16" s="1"/>
  <c r="AD165" i="16"/>
  <c r="AF165" i="16" s="1"/>
  <c r="AG165" i="16" s="1"/>
  <c r="AD159" i="16"/>
  <c r="AF159" i="16" s="1"/>
  <c r="AG159" i="16" s="1"/>
  <c r="AD134" i="16"/>
  <c r="O115" i="16"/>
  <c r="S115" i="16" s="1"/>
  <c r="T115" i="16" s="1"/>
  <c r="AE115" i="16" s="1"/>
  <c r="AD103" i="16"/>
  <c r="AD71" i="16"/>
  <c r="O58" i="16"/>
  <c r="S58" i="16" s="1"/>
  <c r="AD52" i="16"/>
  <c r="AD46" i="16"/>
  <c r="AD20" i="16"/>
  <c r="AD14" i="16"/>
  <c r="AF14" i="16" s="1"/>
  <c r="O42" i="16"/>
  <c r="S42" i="16" s="1"/>
  <c r="T42" i="16" s="1"/>
  <c r="AE42" i="16" s="1"/>
  <c r="AK167" i="35"/>
  <c r="AK151" i="35"/>
  <c r="AK103" i="35"/>
  <c r="AK87" i="35"/>
  <c r="AK39" i="35"/>
  <c r="AL469" i="16"/>
  <c r="AN469" i="16" s="1"/>
  <c r="I30" i="15"/>
  <c r="O395" i="16"/>
  <c r="S395" i="16" s="1"/>
  <c r="I26" i="15"/>
  <c r="AL119" i="16"/>
  <c r="AN119" i="16" s="1"/>
  <c r="AL227" i="16"/>
  <c r="AN227" i="16" s="1"/>
  <c r="AL43" i="16"/>
  <c r="AN43" i="16" s="1"/>
  <c r="AK305" i="35"/>
  <c r="AD2" i="16"/>
  <c r="O485" i="16"/>
  <c r="S485" i="16" s="1"/>
  <c r="AL485" i="16"/>
  <c r="AN485" i="16" s="1"/>
  <c r="O453" i="16"/>
  <c r="S453" i="16" s="1"/>
  <c r="O421" i="16"/>
  <c r="S421" i="16" s="1"/>
  <c r="O405" i="16"/>
  <c r="S405" i="16" s="1"/>
  <c r="O389" i="16"/>
  <c r="S389" i="16" s="1"/>
  <c r="O373" i="16"/>
  <c r="S373" i="16" s="1"/>
  <c r="AL373" i="16"/>
  <c r="AN373" i="16" s="1"/>
  <c r="O357" i="16"/>
  <c r="S357" i="16" s="1"/>
  <c r="O325" i="16"/>
  <c r="S325" i="16" s="1"/>
  <c r="O293" i="16"/>
  <c r="S293" i="16" s="1"/>
  <c r="O277" i="16"/>
  <c r="S277" i="16" s="1"/>
  <c r="O261" i="16"/>
  <c r="S261" i="16" s="1"/>
  <c r="O245" i="16"/>
  <c r="S245" i="16" s="1"/>
  <c r="O229" i="16"/>
  <c r="S229" i="16" s="1"/>
  <c r="O197" i="16"/>
  <c r="S197" i="16" s="1"/>
  <c r="O181" i="16"/>
  <c r="S181" i="16" s="1"/>
  <c r="O165" i="16"/>
  <c r="S165" i="16" s="1"/>
  <c r="O149" i="16"/>
  <c r="S149" i="16" s="1"/>
  <c r="O133" i="16"/>
  <c r="S133" i="16" s="1"/>
  <c r="T133" i="16" s="1"/>
  <c r="AE133" i="16" s="1"/>
  <c r="O117" i="16"/>
  <c r="S117" i="16" s="1"/>
  <c r="T117" i="16" s="1"/>
  <c r="AE117" i="16" s="1"/>
  <c r="O101" i="16"/>
  <c r="S101" i="16" s="1"/>
  <c r="T101" i="16" s="1"/>
  <c r="AE101" i="16" s="1"/>
  <c r="O85" i="16"/>
  <c r="S85" i="16" s="1"/>
  <c r="T85" i="16" s="1"/>
  <c r="AE85" i="16" s="1"/>
  <c r="AL85" i="16"/>
  <c r="AN85" i="16" s="1"/>
  <c r="O69" i="16"/>
  <c r="S69" i="16" s="1"/>
  <c r="T69" i="16" s="1"/>
  <c r="AE69" i="16" s="1"/>
  <c r="O53" i="16"/>
  <c r="S53" i="16" s="1"/>
  <c r="T53" i="16" s="1"/>
  <c r="AE53" i="16" s="1"/>
  <c r="O37" i="16"/>
  <c r="S37" i="16" s="1"/>
  <c r="T37" i="16" s="1"/>
  <c r="AE37" i="16" s="1"/>
  <c r="AL37" i="16"/>
  <c r="AN37" i="16" s="1"/>
  <c r="O21" i="16"/>
  <c r="S21" i="16" s="1"/>
  <c r="T21" i="16" s="1"/>
  <c r="AE21" i="16" s="1"/>
  <c r="O5" i="16"/>
  <c r="S5" i="16" s="1"/>
  <c r="T5" i="16" s="1"/>
  <c r="AE5" i="16" s="1"/>
  <c r="AD11" i="16"/>
  <c r="AK327" i="35"/>
  <c r="AK247" i="35"/>
  <c r="AK231" i="35"/>
  <c r="AK215" i="35"/>
  <c r="AK119" i="35"/>
  <c r="AK7" i="35"/>
  <c r="O254" i="16"/>
  <c r="S254" i="16" s="1"/>
  <c r="AL489" i="16"/>
  <c r="AN489" i="16" s="1"/>
  <c r="AL437" i="16"/>
  <c r="AN437" i="16" s="1"/>
  <c r="O484" i="16"/>
  <c r="S484" i="16" s="1"/>
  <c r="AL283" i="16"/>
  <c r="AN283" i="16" s="1"/>
  <c r="AL188" i="16"/>
  <c r="AN188" i="16" s="1"/>
  <c r="AL21" i="16"/>
  <c r="AN21" i="16" s="1"/>
  <c r="AK463" i="35"/>
  <c r="AK399" i="35"/>
  <c r="AK111" i="35"/>
  <c r="S55" i="48"/>
  <c r="W55" i="48" s="1"/>
  <c r="S107" i="48"/>
  <c r="W107" i="48" s="1"/>
  <c r="S133" i="48"/>
  <c r="W133" i="48" s="1"/>
  <c r="I147" i="48"/>
  <c r="I148" i="48" s="1"/>
  <c r="J148" i="48" s="1"/>
  <c r="L148" i="48" s="1"/>
  <c r="S159" i="48"/>
  <c r="W159" i="48" s="1"/>
  <c r="I16" i="7"/>
  <c r="I36" i="11"/>
  <c r="O477" i="16"/>
  <c r="S477" i="16" s="1"/>
  <c r="O445" i="16"/>
  <c r="S445" i="16" s="1"/>
  <c r="O429" i="16"/>
  <c r="S429" i="16" s="1"/>
  <c r="AL413" i="16"/>
  <c r="AN413" i="16" s="1"/>
  <c r="O413" i="16"/>
  <c r="S413" i="16" s="1"/>
  <c r="O381" i="16"/>
  <c r="S381" i="16" s="1"/>
  <c r="O333" i="16"/>
  <c r="S333" i="16" s="1"/>
  <c r="O317" i="16"/>
  <c r="S317" i="16" s="1"/>
  <c r="O301" i="16"/>
  <c r="S301" i="16" s="1"/>
  <c r="O285" i="16"/>
  <c r="S285" i="16" s="1"/>
  <c r="O269" i="16"/>
  <c r="S269" i="16" s="1"/>
  <c r="O253" i="16"/>
  <c r="S253" i="16" s="1"/>
  <c r="O237" i="16"/>
  <c r="S237" i="16" s="1"/>
  <c r="O221" i="16"/>
  <c r="S221" i="16" s="1"/>
  <c r="O205" i="16"/>
  <c r="S205" i="16" s="1"/>
  <c r="O173" i="16"/>
  <c r="S173" i="16" s="1"/>
  <c r="O157" i="16"/>
  <c r="S157" i="16" s="1"/>
  <c r="O109" i="16"/>
  <c r="S109" i="16" s="1"/>
  <c r="T109" i="16" s="1"/>
  <c r="AE109" i="16" s="1"/>
  <c r="O77" i="16"/>
  <c r="S77" i="16" s="1"/>
  <c r="T77" i="16" s="1"/>
  <c r="AE77" i="16" s="1"/>
  <c r="O61" i="16"/>
  <c r="S61" i="16" s="1"/>
  <c r="T61" i="16" s="1"/>
  <c r="AE61" i="16" s="1"/>
  <c r="O45" i="16"/>
  <c r="S45" i="16" s="1"/>
  <c r="AL29" i="16"/>
  <c r="AN29" i="16" s="1"/>
  <c r="O29" i="16"/>
  <c r="S29" i="16" s="1"/>
  <c r="T29" i="16" s="1"/>
  <c r="AE29" i="16" s="1"/>
  <c r="O13" i="16"/>
  <c r="S13" i="16" s="1"/>
  <c r="T13" i="16" s="1"/>
  <c r="AE13" i="16" s="1"/>
  <c r="N374" i="35"/>
  <c r="R374" i="35" s="1"/>
  <c r="N398" i="35"/>
  <c r="R398" i="35" s="1"/>
  <c r="O68" i="16"/>
  <c r="S68" i="16" s="1"/>
  <c r="T68" i="16" s="1"/>
  <c r="AE68" i="16" s="1"/>
  <c r="N14" i="35"/>
  <c r="R14" i="35" s="1"/>
  <c r="S14" i="35" s="1"/>
  <c r="AD14" i="35" s="1"/>
  <c r="AK174" i="35"/>
  <c r="AK495" i="35"/>
  <c r="N462" i="35"/>
  <c r="R462" i="35" s="1"/>
  <c r="AK238" i="35"/>
  <c r="K10" i="39"/>
  <c r="K26" i="39" s="1"/>
  <c r="N126" i="35"/>
  <c r="R126" i="35" s="1"/>
  <c r="AK47" i="35"/>
  <c r="N78" i="35"/>
  <c r="R78" i="35" s="1"/>
  <c r="AL104" i="16"/>
  <c r="AN104" i="16" s="1"/>
  <c r="AC111" i="35"/>
  <c r="AE111" i="35" s="1"/>
  <c r="AH111" i="35" s="1"/>
  <c r="O349" i="16"/>
  <c r="S349" i="16" s="1"/>
  <c r="O141" i="16"/>
  <c r="S141" i="16" s="1"/>
  <c r="AK110" i="35"/>
  <c r="AK175" i="35"/>
  <c r="N110" i="35"/>
  <c r="R110" i="35" s="1"/>
  <c r="N486" i="35"/>
  <c r="R486" i="35" s="1"/>
  <c r="AK486" i="35"/>
  <c r="AK143" i="35"/>
  <c r="N390" i="35"/>
  <c r="R390" i="35" s="1"/>
  <c r="AL279" i="16"/>
  <c r="AN279" i="16" s="1"/>
  <c r="AL135" i="16"/>
  <c r="AN135" i="16" s="1"/>
  <c r="O452" i="16"/>
  <c r="S452" i="16" s="1"/>
  <c r="N30" i="35"/>
  <c r="R30" i="35" s="1"/>
  <c r="S30" i="35" s="1"/>
  <c r="AD30" i="35" s="1"/>
  <c r="AE30" i="35" s="1"/>
  <c r="AH30" i="35" s="1"/>
  <c r="AC463" i="35"/>
  <c r="AE463" i="35" s="1"/>
  <c r="AH463" i="35" s="1"/>
  <c r="AI463" i="35" s="1"/>
  <c r="N414" i="35"/>
  <c r="R414" i="35" s="1"/>
  <c r="N158" i="35"/>
  <c r="R158" i="35" s="1"/>
  <c r="AL68" i="16"/>
  <c r="AN68" i="16" s="1"/>
  <c r="O93" i="16"/>
  <c r="S93" i="16" s="1"/>
  <c r="T93" i="16" s="1"/>
  <c r="AE93" i="16" s="1"/>
  <c r="AL391" i="16"/>
  <c r="AN391" i="16" s="1"/>
  <c r="AK126" i="35"/>
  <c r="AL288" i="16"/>
  <c r="AN288" i="16" s="1"/>
  <c r="AE293" i="35"/>
  <c r="AH293" i="35" s="1"/>
  <c r="N358" i="35"/>
  <c r="R358" i="35" s="1"/>
  <c r="AK78" i="35"/>
  <c r="AL332" i="16"/>
  <c r="AN332" i="16" s="1"/>
  <c r="AC399" i="35"/>
  <c r="AE399" i="35" s="1"/>
  <c r="AH399" i="35" s="1"/>
  <c r="AK127" i="35"/>
  <c r="O189" i="16"/>
  <c r="S189" i="16" s="1"/>
  <c r="AL308" i="16"/>
  <c r="AN308" i="16" s="1"/>
  <c r="J42" i="48"/>
  <c r="L42" i="48" s="1"/>
  <c r="N302" i="35"/>
  <c r="R302" i="35" s="1"/>
  <c r="O346" i="16"/>
  <c r="S346" i="16" s="1"/>
  <c r="AK14" i="35"/>
  <c r="N94" i="35"/>
  <c r="R94" i="35" s="1"/>
  <c r="AL361" i="16"/>
  <c r="AN361" i="16" s="1"/>
  <c r="N318" i="35"/>
  <c r="R318" i="35" s="1"/>
  <c r="K9" i="39"/>
  <c r="AL220" i="16"/>
  <c r="AN220" i="16" s="1"/>
  <c r="AL484" i="16"/>
  <c r="AN484" i="16" s="1"/>
  <c r="AE229" i="35"/>
  <c r="AH229" i="35" s="1"/>
  <c r="AI229" i="35" s="1"/>
  <c r="K13" i="7"/>
  <c r="K25" i="7" s="1"/>
  <c r="I25" i="7"/>
  <c r="AK79" i="35"/>
  <c r="AK63" i="35"/>
  <c r="AK198" i="35"/>
  <c r="N334" i="35"/>
  <c r="R334" i="35" s="1"/>
  <c r="O384" i="16"/>
  <c r="S384" i="16" s="1"/>
  <c r="O282" i="16"/>
  <c r="S282" i="16" s="1"/>
  <c r="O234" i="16"/>
  <c r="S234" i="16" s="1"/>
  <c r="AL234" i="16"/>
  <c r="AN234" i="16" s="1"/>
  <c r="O218" i="16"/>
  <c r="S218" i="16" s="1"/>
  <c r="O138" i="16"/>
  <c r="S138" i="16" s="1"/>
  <c r="T138" i="16" s="1"/>
  <c r="AE138" i="16" s="1"/>
  <c r="O122" i="16"/>
  <c r="S122" i="16" s="1"/>
  <c r="T122" i="16" s="1"/>
  <c r="AE122" i="16" s="1"/>
  <c r="O90" i="16"/>
  <c r="S90" i="16" s="1"/>
  <c r="T90" i="16" s="1"/>
  <c r="AE90" i="16" s="1"/>
  <c r="O74" i="16"/>
  <c r="S74" i="16" s="1"/>
  <c r="T74" i="16" s="1"/>
  <c r="AE74" i="16" s="1"/>
  <c r="AK60" i="35"/>
  <c r="AK251" i="35"/>
  <c r="AK219" i="35"/>
  <c r="O220" i="16"/>
  <c r="S220" i="16" s="1"/>
  <c r="AL251" i="16"/>
  <c r="AN251" i="16" s="1"/>
  <c r="I25" i="14"/>
  <c r="O394" i="16"/>
  <c r="S394" i="16" s="1"/>
  <c r="I37" i="11"/>
  <c r="K20" i="11"/>
  <c r="I39" i="11"/>
  <c r="K10" i="6"/>
  <c r="K22" i="6" s="1"/>
  <c r="I15" i="6"/>
  <c r="I22" i="6"/>
  <c r="AL245" i="16"/>
  <c r="AN245" i="16" s="1"/>
  <c r="AL440" i="16"/>
  <c r="AN440" i="16" s="1"/>
  <c r="O276" i="16"/>
  <c r="S276" i="16" s="1"/>
  <c r="AK23" i="35"/>
  <c r="AK159" i="35"/>
  <c r="AK311" i="35"/>
  <c r="AL16" i="16"/>
  <c r="AN16" i="16" s="1"/>
  <c r="AL482" i="16"/>
  <c r="AN482" i="16" s="1"/>
  <c r="AL57" i="16"/>
  <c r="AN57" i="16" s="1"/>
  <c r="N327" i="35"/>
  <c r="R327" i="35" s="1"/>
  <c r="N247" i="35"/>
  <c r="R247" i="35" s="1"/>
  <c r="N399" i="35"/>
  <c r="R399" i="35" s="1"/>
  <c r="K10" i="13"/>
  <c r="K22" i="13" s="1"/>
  <c r="O128" i="16"/>
  <c r="S128" i="16" s="1"/>
  <c r="T128" i="16" s="1"/>
  <c r="AE128" i="16" s="1"/>
  <c r="K9" i="14"/>
  <c r="K21" i="14" s="1"/>
  <c r="O286" i="16"/>
  <c r="S286" i="16" s="1"/>
  <c r="O104" i="16"/>
  <c r="S104" i="16" s="1"/>
  <c r="T104" i="16" s="1"/>
  <c r="AE104" i="16" s="1"/>
  <c r="N63" i="35"/>
  <c r="R63" i="35" s="1"/>
  <c r="S63" i="35" s="1"/>
  <c r="AD63" i="35" s="1"/>
  <c r="O152" i="16"/>
  <c r="S152" i="16" s="1"/>
  <c r="AD107" i="16"/>
  <c r="N311" i="35"/>
  <c r="R311" i="35" s="1"/>
  <c r="AD188" i="16"/>
  <c r="AF188" i="16" s="1"/>
  <c r="N323" i="35"/>
  <c r="R323" i="35" s="1"/>
  <c r="AK343" i="35"/>
  <c r="AD288" i="16"/>
  <c r="AF288" i="16" s="1"/>
  <c r="AI288" i="16" s="1"/>
  <c r="AJ288" i="16" s="1"/>
  <c r="AK191" i="35"/>
  <c r="AL55" i="16"/>
  <c r="AN55" i="16" s="1"/>
  <c r="AL19" i="16"/>
  <c r="AN19" i="16" s="1"/>
  <c r="AL7" i="16"/>
  <c r="AN7" i="16" s="1"/>
  <c r="AD27" i="16"/>
  <c r="AK31" i="35"/>
  <c r="AL179" i="16"/>
  <c r="AN179" i="16" s="1"/>
  <c r="AL36" i="16"/>
  <c r="AN36" i="16" s="1"/>
  <c r="AK203" i="35"/>
  <c r="AD411" i="16"/>
  <c r="AF411" i="16" s="1"/>
  <c r="K8" i="14"/>
  <c r="K20" i="14" s="1"/>
  <c r="AK279" i="35"/>
  <c r="AL478" i="16"/>
  <c r="AN478" i="16" s="1"/>
  <c r="AK447" i="35"/>
  <c r="AK263" i="35"/>
  <c r="AL87" i="16"/>
  <c r="AN87" i="16" s="1"/>
  <c r="AK295" i="35"/>
  <c r="AL195" i="16"/>
  <c r="AN195" i="16" s="1"/>
  <c r="AL178" i="16"/>
  <c r="AN178" i="16" s="1"/>
  <c r="O116" i="16"/>
  <c r="S116" i="16" s="1"/>
  <c r="T116" i="16" s="1"/>
  <c r="AE116" i="16" s="1"/>
  <c r="O84" i="16"/>
  <c r="S84" i="16" s="1"/>
  <c r="T84" i="16" s="1"/>
  <c r="AE84" i="16" s="1"/>
  <c r="N489" i="35"/>
  <c r="R489" i="35" s="1"/>
  <c r="AL483" i="16"/>
  <c r="AN483" i="16" s="1"/>
  <c r="AL379" i="16"/>
  <c r="AN379" i="16" s="1"/>
  <c r="O308" i="16"/>
  <c r="S308" i="16" s="1"/>
  <c r="AL441" i="16"/>
  <c r="AN441" i="16" s="1"/>
  <c r="AL158" i="16"/>
  <c r="AN158" i="16" s="1"/>
  <c r="O195" i="16"/>
  <c r="S195" i="16" s="1"/>
  <c r="O179" i="16"/>
  <c r="S179" i="16" s="1"/>
  <c r="AL499" i="16"/>
  <c r="AN499" i="16" s="1"/>
  <c r="AL240" i="16"/>
  <c r="AN240" i="16" s="1"/>
  <c r="O403" i="16"/>
  <c r="S403" i="16" s="1"/>
  <c r="AL184" i="16"/>
  <c r="AN184" i="16" s="1"/>
  <c r="O72" i="16"/>
  <c r="S72" i="16" s="1"/>
  <c r="T72" i="16" s="1"/>
  <c r="AE72" i="16" s="1"/>
  <c r="O36" i="16"/>
  <c r="S36" i="16" s="1"/>
  <c r="T36" i="16" s="1"/>
  <c r="AE36" i="16" s="1"/>
  <c r="AL210" i="16"/>
  <c r="AN210" i="16" s="1"/>
  <c r="AL204" i="16"/>
  <c r="AN204" i="16" s="1"/>
  <c r="AL80" i="16"/>
  <c r="AN80" i="16" s="1"/>
  <c r="AL44" i="16"/>
  <c r="AN44" i="16" s="1"/>
  <c r="AL197" i="16"/>
  <c r="AN197" i="16" s="1"/>
  <c r="I15" i="13"/>
  <c r="O412" i="16"/>
  <c r="S412" i="16" s="1"/>
  <c r="AL414" i="16"/>
  <c r="AN414" i="16" s="1"/>
  <c r="AL77" i="16"/>
  <c r="AN77" i="16" s="1"/>
  <c r="AL313" i="16"/>
  <c r="AN313" i="16" s="1"/>
  <c r="AL366" i="16"/>
  <c r="AN366" i="16" s="1"/>
  <c r="AF487" i="16"/>
  <c r="AG487" i="16" s="1"/>
  <c r="I23" i="14"/>
  <c r="AD197" i="16"/>
  <c r="AF197" i="16" s="1"/>
  <c r="AC353" i="35"/>
  <c r="AE353" i="35" s="1"/>
  <c r="AH353" i="35" s="1"/>
  <c r="AK353" i="35"/>
  <c r="N455" i="35"/>
  <c r="R455" i="35" s="1"/>
  <c r="N116" i="35"/>
  <c r="R116" i="35" s="1"/>
  <c r="AL116" i="16"/>
  <c r="AN116" i="16" s="1"/>
  <c r="AL286" i="16"/>
  <c r="AN286" i="16" s="1"/>
  <c r="AL238" i="16"/>
  <c r="AN238" i="16" s="1"/>
  <c r="I67" i="5"/>
  <c r="K12" i="5"/>
  <c r="N402" i="35"/>
  <c r="R402" i="35" s="1"/>
  <c r="N408" i="35"/>
  <c r="R408" i="35" s="1"/>
  <c r="N296" i="35"/>
  <c r="R296" i="35" s="1"/>
  <c r="N216" i="35"/>
  <c r="R216" i="35" s="1"/>
  <c r="N192" i="35"/>
  <c r="R192" i="35" s="1"/>
  <c r="N120" i="35"/>
  <c r="R120" i="35" s="1"/>
  <c r="N88" i="35"/>
  <c r="R88" i="35" s="1"/>
  <c r="AK383" i="35"/>
  <c r="N383" i="35"/>
  <c r="R383" i="35" s="1"/>
  <c r="N446" i="35"/>
  <c r="R446" i="35" s="1"/>
  <c r="AK446" i="35"/>
  <c r="AK469" i="35"/>
  <c r="N469" i="35"/>
  <c r="R469" i="35" s="1"/>
  <c r="N500" i="35"/>
  <c r="R500" i="35" s="1"/>
  <c r="AK500" i="35"/>
  <c r="AK68" i="35"/>
  <c r="N68" i="35"/>
  <c r="R68" i="35" s="1"/>
  <c r="N44" i="35"/>
  <c r="R44" i="35" s="1"/>
  <c r="S44" i="35" s="1"/>
  <c r="AD44" i="35" s="1"/>
  <c r="I41" i="11"/>
  <c r="K28" i="11"/>
  <c r="AK303" i="35"/>
  <c r="N303" i="35"/>
  <c r="R303" i="35" s="1"/>
  <c r="N168" i="35"/>
  <c r="R168" i="35" s="1"/>
  <c r="O497" i="16"/>
  <c r="S497" i="16" s="1"/>
  <c r="O481" i="16"/>
  <c r="S481" i="16" s="1"/>
  <c r="O465" i="16"/>
  <c r="S465" i="16" s="1"/>
  <c r="O433" i="16"/>
  <c r="S433" i="16" s="1"/>
  <c r="O401" i="16"/>
  <c r="S401" i="16" s="1"/>
  <c r="AL385" i="16"/>
  <c r="AN385" i="16" s="1"/>
  <c r="O385" i="16"/>
  <c r="S385" i="16" s="1"/>
  <c r="O353" i="16"/>
  <c r="S353" i="16" s="1"/>
  <c r="AL353" i="16"/>
  <c r="AN353" i="16" s="1"/>
  <c r="O337" i="16"/>
  <c r="S337" i="16" s="1"/>
  <c r="O321" i="16"/>
  <c r="S321" i="16" s="1"/>
  <c r="O305" i="16"/>
  <c r="S305" i="16" s="1"/>
  <c r="O289" i="16"/>
  <c r="S289" i="16" s="1"/>
  <c r="O273" i="16"/>
  <c r="S273" i="16" s="1"/>
  <c r="O257" i="16"/>
  <c r="S257" i="16" s="1"/>
  <c r="O241" i="16"/>
  <c r="S241" i="16" s="1"/>
  <c r="O209" i="16"/>
  <c r="S209" i="16" s="1"/>
  <c r="O193" i="16"/>
  <c r="S193" i="16" s="1"/>
  <c r="AL193" i="16"/>
  <c r="AN193" i="16" s="1"/>
  <c r="O177" i="16"/>
  <c r="S177" i="16" s="1"/>
  <c r="O161" i="16"/>
  <c r="S161" i="16" s="1"/>
  <c r="O145" i="16"/>
  <c r="S145" i="16" s="1"/>
  <c r="AL145" i="16"/>
  <c r="AN145" i="16" s="1"/>
  <c r="O129" i="16"/>
  <c r="S129" i="16" s="1"/>
  <c r="T129" i="16" s="1"/>
  <c r="AE129" i="16" s="1"/>
  <c r="O113" i="16"/>
  <c r="S113" i="16" s="1"/>
  <c r="T113" i="16" s="1"/>
  <c r="AE113" i="16" s="1"/>
  <c r="O97" i="16"/>
  <c r="S97" i="16" s="1"/>
  <c r="T97" i="16" s="1"/>
  <c r="AE97" i="16" s="1"/>
  <c r="O81" i="16"/>
  <c r="S81" i="16" s="1"/>
  <c r="T81" i="16" s="1"/>
  <c r="AE81" i="16" s="1"/>
  <c r="O65" i="16"/>
  <c r="S65" i="16" s="1"/>
  <c r="T65" i="16" s="1"/>
  <c r="AE65" i="16" s="1"/>
  <c r="O49" i="16"/>
  <c r="S49" i="16" s="1"/>
  <c r="T49" i="16" s="1"/>
  <c r="AE49" i="16" s="1"/>
  <c r="O33" i="16"/>
  <c r="S33" i="16" s="1"/>
  <c r="T33" i="16" s="1"/>
  <c r="AE33" i="16" s="1"/>
  <c r="O17" i="16"/>
  <c r="S17" i="16" s="1"/>
  <c r="T17" i="16" s="1"/>
  <c r="AE17" i="16" s="1"/>
  <c r="AL17" i="16"/>
  <c r="AN17" i="16" s="1"/>
  <c r="N342" i="35"/>
  <c r="R342" i="35" s="1"/>
  <c r="AK342" i="35"/>
  <c r="K19" i="11"/>
  <c r="I38" i="11"/>
  <c r="I30" i="11"/>
  <c r="N498" i="35"/>
  <c r="R498" i="35" s="1"/>
  <c r="N459" i="35"/>
  <c r="R459" i="35" s="1"/>
  <c r="AK459" i="35"/>
  <c r="N389" i="35"/>
  <c r="R389" i="35" s="1"/>
  <c r="N294" i="35"/>
  <c r="R294" i="35" s="1"/>
  <c r="N262" i="35"/>
  <c r="R262" i="35" s="1"/>
  <c r="N451" i="35"/>
  <c r="R451" i="35" s="1"/>
  <c r="AK451" i="35"/>
  <c r="N442" i="35"/>
  <c r="R442" i="35" s="1"/>
  <c r="N395" i="35"/>
  <c r="R395" i="35" s="1"/>
  <c r="N228" i="35"/>
  <c r="R228" i="35" s="1"/>
  <c r="N480" i="35"/>
  <c r="R480" i="35" s="1"/>
  <c r="N204" i="35"/>
  <c r="R204" i="35" s="1"/>
  <c r="N70" i="35"/>
  <c r="R70" i="35" s="1"/>
  <c r="S70" i="35" s="1"/>
  <c r="AD70" i="35" s="1"/>
  <c r="N22" i="35"/>
  <c r="R22" i="35" s="1"/>
  <c r="S22" i="35" s="1"/>
  <c r="AD22" i="35" s="1"/>
  <c r="AD171" i="16"/>
  <c r="AF171" i="16" s="1"/>
  <c r="AK195" i="35"/>
  <c r="AL211" i="16"/>
  <c r="AN211" i="16" s="1"/>
  <c r="AL84" i="16"/>
  <c r="AN84" i="16" s="1"/>
  <c r="AL125" i="16"/>
  <c r="AN125" i="16" s="1"/>
  <c r="AL170" i="16"/>
  <c r="AN170" i="16" s="1"/>
  <c r="O327" i="16"/>
  <c r="S327" i="16" s="1"/>
  <c r="K10" i="14"/>
  <c r="K22" i="14" s="1"/>
  <c r="O459" i="16"/>
  <c r="S459" i="16" s="1"/>
  <c r="O442" i="16"/>
  <c r="S442" i="16" s="1"/>
  <c r="O298" i="16"/>
  <c r="S298" i="16" s="1"/>
  <c r="AE389" i="35"/>
  <c r="AH389" i="35" s="1"/>
  <c r="AI389" i="35" s="1"/>
  <c r="AL50" i="16"/>
  <c r="AN50" i="16" s="1"/>
  <c r="AL177" i="16"/>
  <c r="AN177" i="16" s="1"/>
  <c r="AK109" i="35"/>
  <c r="AL337" i="16"/>
  <c r="AN337" i="16" s="1"/>
  <c r="AL67" i="16"/>
  <c r="AN67" i="16" s="1"/>
  <c r="O44" i="16"/>
  <c r="S44" i="16" s="1"/>
  <c r="T44" i="16" s="1"/>
  <c r="AE44" i="16" s="1"/>
  <c r="N203" i="35"/>
  <c r="R203" i="35" s="1"/>
  <c r="AK101" i="35"/>
  <c r="AL132" i="16"/>
  <c r="AN132" i="16" s="1"/>
  <c r="AL218" i="16"/>
  <c r="AN218" i="16" s="1"/>
  <c r="F10" i="49"/>
  <c r="H34" i="49" s="1"/>
  <c r="I34" i="49" s="1"/>
  <c r="B2" i="30"/>
  <c r="B3" i="33" s="1"/>
  <c r="N435" i="35"/>
  <c r="R435" i="35" s="1"/>
  <c r="N280" i="35"/>
  <c r="R280" i="35" s="1"/>
  <c r="N326" i="35"/>
  <c r="R326" i="35" s="1"/>
  <c r="AK326" i="35"/>
  <c r="N248" i="35"/>
  <c r="R248" i="35" s="1"/>
  <c r="AK471" i="35"/>
  <c r="N471" i="35"/>
  <c r="R471" i="35" s="1"/>
  <c r="N357" i="35"/>
  <c r="R357" i="35" s="1"/>
  <c r="AK357" i="35"/>
  <c r="N271" i="35"/>
  <c r="R271" i="35" s="1"/>
  <c r="AK52" i="35"/>
  <c r="N52" i="35"/>
  <c r="R52" i="35" s="1"/>
  <c r="S52" i="35" s="1"/>
  <c r="AD52" i="35" s="1"/>
  <c r="AC302" i="35"/>
  <c r="AE302" i="35" s="1"/>
  <c r="AK302" i="35"/>
  <c r="N478" i="35"/>
  <c r="R478" i="35" s="1"/>
  <c r="AK478" i="35"/>
  <c r="N448" i="35"/>
  <c r="R448" i="35" s="1"/>
  <c r="AK448" i="35"/>
  <c r="N36" i="35"/>
  <c r="R36" i="35" s="1"/>
  <c r="S36" i="35" s="1"/>
  <c r="AD36" i="35" s="1"/>
  <c r="AK36" i="35"/>
  <c r="AK316" i="35"/>
  <c r="N316" i="35"/>
  <c r="R316" i="35" s="1"/>
  <c r="AK152" i="35"/>
  <c r="N152" i="35"/>
  <c r="R152" i="35" s="1"/>
  <c r="N136" i="35"/>
  <c r="R136" i="35" s="1"/>
  <c r="N128" i="35"/>
  <c r="R128" i="35" s="1"/>
  <c r="N461" i="35"/>
  <c r="R461" i="35" s="1"/>
  <c r="N454" i="35"/>
  <c r="R454" i="35" s="1"/>
  <c r="AL5" i="16"/>
  <c r="AN5" i="16" s="1"/>
  <c r="AD5" i="16"/>
  <c r="AK476" i="35"/>
  <c r="N476" i="35"/>
  <c r="R476" i="35" s="1"/>
  <c r="N284" i="35"/>
  <c r="R284" i="35" s="1"/>
  <c r="AK42" i="35"/>
  <c r="N42" i="35"/>
  <c r="R42" i="35" s="1"/>
  <c r="S42" i="35" s="1"/>
  <c r="AD42" i="35" s="1"/>
  <c r="AK377" i="35"/>
  <c r="N377" i="35"/>
  <c r="R377" i="35" s="1"/>
  <c r="N244" i="35"/>
  <c r="R244" i="35" s="1"/>
  <c r="AK244" i="35"/>
  <c r="N72" i="35"/>
  <c r="R72" i="35" s="1"/>
  <c r="N490" i="35"/>
  <c r="R490" i="35" s="1"/>
  <c r="AK422" i="35"/>
  <c r="N422" i="35"/>
  <c r="R422" i="35" s="1"/>
  <c r="N134" i="35"/>
  <c r="R134" i="35" s="1"/>
  <c r="AK452" i="35"/>
  <c r="N452" i="35"/>
  <c r="R452" i="35" s="1"/>
  <c r="N406" i="35"/>
  <c r="R406" i="35" s="1"/>
  <c r="N391" i="35"/>
  <c r="R391" i="35" s="1"/>
  <c r="AK329" i="35"/>
  <c r="N329" i="35"/>
  <c r="R329" i="35" s="1"/>
  <c r="N297" i="35"/>
  <c r="R297" i="35" s="1"/>
  <c r="N102" i="35"/>
  <c r="R102" i="35" s="1"/>
  <c r="N24" i="35"/>
  <c r="R24" i="35" s="1"/>
  <c r="S24" i="35" s="1"/>
  <c r="AD24" i="35" s="1"/>
  <c r="N328" i="35"/>
  <c r="R328" i="35" s="1"/>
  <c r="N312" i="35"/>
  <c r="R312" i="35" s="1"/>
  <c r="N16" i="35"/>
  <c r="R16" i="35" s="1"/>
  <c r="S16" i="35" s="1"/>
  <c r="AD16" i="35" s="1"/>
  <c r="N428" i="35"/>
  <c r="R428" i="35" s="1"/>
  <c r="AK148" i="35"/>
  <c r="N148" i="35"/>
  <c r="R148" i="35" s="1"/>
  <c r="AL316" i="16"/>
  <c r="AN316" i="16" s="1"/>
  <c r="AL258" i="16"/>
  <c r="AN258" i="16" s="1"/>
  <c r="AE188" i="35"/>
  <c r="AH188" i="35" s="1"/>
  <c r="AI188" i="35" s="1"/>
  <c r="AK26" i="35"/>
  <c r="AL32" i="16"/>
  <c r="AN32" i="16" s="1"/>
  <c r="AK271" i="35"/>
  <c r="AL480" i="16"/>
  <c r="AN480" i="16" s="1"/>
  <c r="AK177" i="35"/>
  <c r="AL370" i="16"/>
  <c r="AN370" i="16" s="1"/>
  <c r="AL307" i="16"/>
  <c r="AN307" i="16" s="1"/>
  <c r="AL284" i="16"/>
  <c r="AN284" i="16" s="1"/>
  <c r="AL174" i="16"/>
  <c r="AN174" i="16" s="1"/>
  <c r="AL260" i="16"/>
  <c r="AN260" i="16" s="1"/>
  <c r="AL93" i="16"/>
  <c r="AN93" i="16" s="1"/>
  <c r="AL340" i="16"/>
  <c r="AN340" i="16" s="1"/>
  <c r="AL46" i="16"/>
  <c r="AN46" i="16" s="1"/>
  <c r="AK116" i="35"/>
  <c r="AE357" i="35"/>
  <c r="AH357" i="35" s="1"/>
  <c r="K8" i="13"/>
  <c r="K20" i="13" s="1"/>
  <c r="I20" i="13"/>
  <c r="O488" i="16"/>
  <c r="S488" i="16" s="1"/>
  <c r="O73" i="16"/>
  <c r="S73" i="16" s="1"/>
  <c r="T73" i="16" s="1"/>
  <c r="AE73" i="16" s="1"/>
  <c r="N427" i="35"/>
  <c r="R427" i="35" s="1"/>
  <c r="N368" i="35"/>
  <c r="R368" i="35" s="1"/>
  <c r="AK163" i="35"/>
  <c r="N163" i="35"/>
  <c r="R163" i="35" s="1"/>
  <c r="N255" i="35"/>
  <c r="R255" i="35" s="1"/>
  <c r="N232" i="35"/>
  <c r="R232" i="35" s="1"/>
  <c r="I24" i="15"/>
  <c r="K9" i="15"/>
  <c r="K24" i="15" s="1"/>
  <c r="O124" i="16"/>
  <c r="S124" i="16" s="1"/>
  <c r="T124" i="16" s="1"/>
  <c r="AE124" i="16" s="1"/>
  <c r="O118" i="16"/>
  <c r="S118" i="16" s="1"/>
  <c r="T118" i="16" s="1"/>
  <c r="AE118" i="16" s="1"/>
  <c r="AD113" i="16"/>
  <c r="AL113" i="16"/>
  <c r="AN113" i="16" s="1"/>
  <c r="AK359" i="35"/>
  <c r="N359" i="35"/>
  <c r="R359" i="35" s="1"/>
  <c r="N132" i="35"/>
  <c r="R132" i="35" s="1"/>
  <c r="AK132" i="35"/>
  <c r="N64" i="35"/>
  <c r="R64" i="35" s="1"/>
  <c r="S64" i="35" s="1"/>
  <c r="AD64" i="35" s="1"/>
  <c r="AK64" i="35"/>
  <c r="AK56" i="35"/>
  <c r="N56" i="35"/>
  <c r="R56" i="35" s="1"/>
  <c r="S56" i="35" s="1"/>
  <c r="AD56" i="35" s="1"/>
  <c r="AL141" i="16"/>
  <c r="AN141" i="16" s="1"/>
  <c r="AD141" i="16"/>
  <c r="AF141" i="16" s="1"/>
  <c r="N403" i="35"/>
  <c r="R403" i="35" s="1"/>
  <c r="N292" i="35"/>
  <c r="R292" i="35" s="1"/>
  <c r="AK292" i="35"/>
  <c r="AK392" i="35"/>
  <c r="AC392" i="35"/>
  <c r="AE392" i="35" s="1"/>
  <c r="AH392" i="35" s="1"/>
  <c r="AI392" i="35" s="1"/>
  <c r="O320" i="16"/>
  <c r="S320" i="16" s="1"/>
  <c r="O314" i="16"/>
  <c r="S314" i="16" s="1"/>
  <c r="AD297" i="16"/>
  <c r="AF297" i="16" s="1"/>
  <c r="AL297" i="16"/>
  <c r="AN297" i="16" s="1"/>
  <c r="O146" i="16"/>
  <c r="S146" i="16" s="1"/>
  <c r="AK474" i="35"/>
  <c r="N474" i="35"/>
  <c r="R474" i="35" s="1"/>
  <c r="N467" i="35"/>
  <c r="R467" i="35" s="1"/>
  <c r="AK366" i="35"/>
  <c r="N366" i="35"/>
  <c r="R366" i="35" s="1"/>
  <c r="AK335" i="35"/>
  <c r="N335" i="35"/>
  <c r="R335" i="35" s="1"/>
  <c r="AK313" i="35"/>
  <c r="N313" i="35"/>
  <c r="R313" i="35" s="1"/>
  <c r="N246" i="35"/>
  <c r="R246" i="35" s="1"/>
  <c r="N223" i="35"/>
  <c r="R223" i="35" s="1"/>
  <c r="AK223" i="35"/>
  <c r="N200" i="35"/>
  <c r="R200" i="35" s="1"/>
  <c r="AK200" i="35"/>
  <c r="O342" i="16"/>
  <c r="S342" i="16" s="1"/>
  <c r="O163" i="16"/>
  <c r="S163" i="16" s="1"/>
  <c r="AL152" i="16"/>
  <c r="AN152" i="16" s="1"/>
  <c r="AD152" i="16"/>
  <c r="AF152" i="16" s="1"/>
  <c r="AK350" i="35"/>
  <c r="N350" i="35"/>
  <c r="R350" i="35" s="1"/>
  <c r="N320" i="35"/>
  <c r="R320" i="35" s="1"/>
  <c r="AK320" i="35"/>
  <c r="AK291" i="35"/>
  <c r="N230" i="35"/>
  <c r="R230" i="35" s="1"/>
  <c r="N184" i="35"/>
  <c r="R184" i="35" s="1"/>
  <c r="N40" i="35"/>
  <c r="R40" i="35" s="1"/>
  <c r="S40" i="35" s="1"/>
  <c r="AD40" i="35" s="1"/>
  <c r="AK40" i="35"/>
  <c r="N10" i="35"/>
  <c r="R10" i="35" s="1"/>
  <c r="S10" i="35" s="1"/>
  <c r="AD10" i="35" s="1"/>
  <c r="AE10" i="35" s="1"/>
  <c r="AH10" i="35" s="1"/>
  <c r="AK10" i="35"/>
  <c r="AK216" i="35"/>
  <c r="AC216" i="35"/>
  <c r="AE216" i="35" s="1"/>
  <c r="AH216" i="35" s="1"/>
  <c r="AI216" i="35" s="1"/>
  <c r="AC207" i="35"/>
  <c r="AE207" i="35" s="1"/>
  <c r="AH207" i="35" s="1"/>
  <c r="AI207" i="35" s="1"/>
  <c r="AK207" i="35"/>
  <c r="AL394" i="16"/>
  <c r="AN394" i="16" s="1"/>
  <c r="AD394" i="16"/>
  <c r="AF394" i="16" s="1"/>
  <c r="O365" i="16"/>
  <c r="S365" i="16" s="1"/>
  <c r="N160" i="35"/>
  <c r="R160" i="35" s="1"/>
  <c r="AK100" i="35"/>
  <c r="N100" i="35"/>
  <c r="R100" i="35" s="1"/>
  <c r="N54" i="35"/>
  <c r="R54" i="35" s="1"/>
  <c r="S54" i="35" s="1"/>
  <c r="AD54" i="35" s="1"/>
  <c r="O376" i="16"/>
  <c r="S376" i="16" s="1"/>
  <c r="AK394" i="35"/>
  <c r="N394" i="35"/>
  <c r="R394" i="35" s="1"/>
  <c r="N319" i="35"/>
  <c r="R319" i="35" s="1"/>
  <c r="AK319" i="35"/>
  <c r="AK260" i="35"/>
  <c r="N260" i="35"/>
  <c r="R260" i="35" s="1"/>
  <c r="N46" i="35"/>
  <c r="R46" i="35" s="1"/>
  <c r="S46" i="35" s="1"/>
  <c r="AD46" i="35" s="1"/>
  <c r="AK46" i="35"/>
  <c r="O374" i="16"/>
  <c r="S374" i="16" s="1"/>
  <c r="O358" i="16"/>
  <c r="S358" i="16" s="1"/>
  <c r="O310" i="16"/>
  <c r="S310" i="16" s="1"/>
  <c r="O262" i="16"/>
  <c r="S262" i="16" s="1"/>
  <c r="O246" i="16"/>
  <c r="S246" i="16" s="1"/>
  <c r="O230" i="16"/>
  <c r="S230" i="16" s="1"/>
  <c r="O198" i="16"/>
  <c r="S198" i="16" s="1"/>
  <c r="O182" i="16"/>
  <c r="S182" i="16" s="1"/>
  <c r="O166" i="16"/>
  <c r="S166" i="16" s="1"/>
  <c r="O150" i="16"/>
  <c r="S150" i="16" s="1"/>
  <c r="O134" i="16"/>
  <c r="S134" i="16" s="1"/>
  <c r="T134" i="16" s="1"/>
  <c r="AE134" i="16" s="1"/>
  <c r="O70" i="16"/>
  <c r="S70" i="16" s="1"/>
  <c r="T70" i="16" s="1"/>
  <c r="AE70" i="16" s="1"/>
  <c r="O54" i="16"/>
  <c r="S54" i="16" s="1"/>
  <c r="T54" i="16" s="1"/>
  <c r="AE54" i="16" s="1"/>
  <c r="AL6" i="16"/>
  <c r="AN6" i="16" s="1"/>
  <c r="O6" i="16"/>
  <c r="S6" i="16" s="1"/>
  <c r="T6" i="16" s="1"/>
  <c r="AE6" i="16" s="1"/>
  <c r="N144" i="35"/>
  <c r="R144" i="35" s="1"/>
  <c r="AC162" i="35"/>
  <c r="AE162" i="35" s="1"/>
  <c r="AH162" i="35" s="1"/>
  <c r="O398" i="16"/>
  <c r="S398" i="16" s="1"/>
  <c r="N356" i="35"/>
  <c r="R356" i="35" s="1"/>
  <c r="N182" i="35"/>
  <c r="R182" i="35" s="1"/>
  <c r="N121" i="35"/>
  <c r="R121" i="35" s="1"/>
  <c r="AK121" i="35"/>
  <c r="O478" i="16"/>
  <c r="S478" i="16" s="1"/>
  <c r="O225" i="16"/>
  <c r="S225" i="16" s="1"/>
  <c r="N429" i="35"/>
  <c r="R429" i="35" s="1"/>
  <c r="AK407" i="35"/>
  <c r="N407" i="35"/>
  <c r="R407" i="35" s="1"/>
  <c r="AK363" i="35"/>
  <c r="N363" i="35"/>
  <c r="R363" i="35" s="1"/>
  <c r="N281" i="35"/>
  <c r="R281" i="35" s="1"/>
  <c r="AK281" i="35"/>
  <c r="N60" i="35"/>
  <c r="R60" i="35" s="1"/>
  <c r="S60" i="35" s="1"/>
  <c r="AD60" i="35" s="1"/>
  <c r="I17" i="39"/>
  <c r="I33" i="39" s="1"/>
  <c r="K17" i="39"/>
  <c r="K33" i="39" s="1"/>
  <c r="N392" i="35"/>
  <c r="R392" i="35" s="1"/>
  <c r="N370" i="35"/>
  <c r="R370" i="35" s="1"/>
  <c r="N150" i="35"/>
  <c r="R150" i="35" s="1"/>
  <c r="N135" i="35"/>
  <c r="R135" i="35" s="1"/>
  <c r="AK135" i="35"/>
  <c r="AK15" i="35"/>
  <c r="N15" i="35"/>
  <c r="R15" i="35" s="1"/>
  <c r="S15" i="35" s="1"/>
  <c r="AD15" i="35" s="1"/>
  <c r="AK239" i="35"/>
  <c r="O437" i="16"/>
  <c r="S437" i="16" s="1"/>
  <c r="AL432" i="16"/>
  <c r="AN432" i="16" s="1"/>
  <c r="AD432" i="16"/>
  <c r="AF432" i="16" s="1"/>
  <c r="O426" i="16"/>
  <c r="S426" i="16" s="1"/>
  <c r="AK196" i="35"/>
  <c r="N196" i="35"/>
  <c r="R196" i="35" s="1"/>
  <c r="AK142" i="35"/>
  <c r="N142" i="35"/>
  <c r="R142" i="35" s="1"/>
  <c r="O454" i="16"/>
  <c r="S454" i="16" s="1"/>
  <c r="AL34" i="16"/>
  <c r="AN34" i="16" s="1"/>
  <c r="AD34" i="16"/>
  <c r="AL28" i="16"/>
  <c r="AN28" i="16" s="1"/>
  <c r="O28" i="16"/>
  <c r="S28" i="16" s="1"/>
  <c r="T28" i="16" s="1"/>
  <c r="AE28" i="16" s="1"/>
  <c r="N324" i="35"/>
  <c r="R324" i="35" s="1"/>
  <c r="AK287" i="35"/>
  <c r="N287" i="35"/>
  <c r="R287" i="35" s="1"/>
  <c r="N272" i="35"/>
  <c r="R272" i="35" s="1"/>
  <c r="AK249" i="35"/>
  <c r="N249" i="35"/>
  <c r="R249" i="35" s="1"/>
  <c r="N180" i="35"/>
  <c r="R180" i="35" s="1"/>
  <c r="AK180" i="35"/>
  <c r="N172" i="35"/>
  <c r="R172" i="35" s="1"/>
  <c r="N149" i="35"/>
  <c r="R149" i="35" s="1"/>
  <c r="AK25" i="35"/>
  <c r="AC25" i="35"/>
  <c r="N218" i="35"/>
  <c r="R218" i="35" s="1"/>
  <c r="N156" i="35"/>
  <c r="R156" i="35" s="1"/>
  <c r="AK58" i="35"/>
  <c r="N58" i="35"/>
  <c r="R58" i="35" s="1"/>
  <c r="S58" i="35" s="1"/>
  <c r="AD58" i="35" s="1"/>
  <c r="AK184" i="35"/>
  <c r="AL310" i="16"/>
  <c r="AN310" i="16" s="1"/>
  <c r="AL198" i="16"/>
  <c r="AN198" i="16" s="1"/>
  <c r="AL86" i="16"/>
  <c r="AN86" i="16" s="1"/>
  <c r="AD86" i="16"/>
  <c r="AL272" i="16"/>
  <c r="AN272" i="16" s="1"/>
  <c r="O450" i="16"/>
  <c r="S450" i="16" s="1"/>
  <c r="AL282" i="16"/>
  <c r="AN282" i="16" s="1"/>
  <c r="O338" i="16"/>
  <c r="S338" i="16" s="1"/>
  <c r="AL214" i="16"/>
  <c r="AN214" i="16" s="1"/>
  <c r="AL35" i="16"/>
  <c r="AN35" i="16" s="1"/>
  <c r="O272" i="16"/>
  <c r="S272" i="16" s="1"/>
  <c r="AL398" i="16"/>
  <c r="AN398" i="16" s="1"/>
  <c r="AL124" i="16"/>
  <c r="AN124" i="16" s="1"/>
  <c r="AL73" i="16"/>
  <c r="AN73" i="16" s="1"/>
  <c r="AK220" i="35"/>
  <c r="AD238" i="16"/>
  <c r="AF238" i="16" s="1"/>
  <c r="AL134" i="16"/>
  <c r="AN134" i="16" s="1"/>
  <c r="AL112" i="16"/>
  <c r="AN112" i="16" s="1"/>
  <c r="AD198" i="16"/>
  <c r="AF198" i="16" s="1"/>
  <c r="AL106" i="16"/>
  <c r="AN106" i="16" s="1"/>
  <c r="AL72" i="16"/>
  <c r="AN72" i="16" s="1"/>
  <c r="N185" i="35"/>
  <c r="R185" i="35" s="1"/>
  <c r="AL419" i="16"/>
  <c r="AN419" i="16" s="1"/>
  <c r="AL128" i="16"/>
  <c r="AN128" i="16" s="1"/>
  <c r="AL83" i="16"/>
  <c r="AN83" i="16" s="1"/>
  <c r="AL66" i="16"/>
  <c r="AN66" i="16" s="1"/>
  <c r="O170" i="16"/>
  <c r="S170" i="16" s="1"/>
  <c r="AL352" i="16"/>
  <c r="AN352" i="16" s="1"/>
  <c r="AL26" i="16"/>
  <c r="AN26" i="16" s="1"/>
  <c r="AD310" i="16"/>
  <c r="AF310" i="16" s="1"/>
  <c r="AG310" i="16" s="1"/>
  <c r="AL54" i="16"/>
  <c r="AN54" i="16" s="1"/>
  <c r="AE224" i="35"/>
  <c r="AH224" i="35" s="1"/>
  <c r="AI224" i="35" s="1"/>
  <c r="AL142" i="16"/>
  <c r="AN142" i="16" s="1"/>
  <c r="AL65" i="16"/>
  <c r="O461" i="16"/>
  <c r="S461" i="16" s="1"/>
  <c r="AL114" i="16"/>
  <c r="AN114" i="16" s="1"/>
  <c r="AF422" i="16"/>
  <c r="AL389" i="16"/>
  <c r="AN389" i="16" s="1"/>
  <c r="AD389" i="16"/>
  <c r="AF389" i="16" s="1"/>
  <c r="N470" i="35"/>
  <c r="R470" i="35" s="1"/>
  <c r="N424" i="35"/>
  <c r="R424" i="35" s="1"/>
  <c r="AK424" i="35"/>
  <c r="AK456" i="35"/>
  <c r="N456" i="35"/>
  <c r="R456" i="35" s="1"/>
  <c r="N418" i="35"/>
  <c r="R418" i="35" s="1"/>
  <c r="AL460" i="16"/>
  <c r="AN460" i="16" s="1"/>
  <c r="AD460" i="16"/>
  <c r="AF460" i="16" s="1"/>
  <c r="AD169" i="16"/>
  <c r="AF169" i="16" s="1"/>
  <c r="AL169" i="16"/>
  <c r="AN169" i="16" s="1"/>
  <c r="AK481" i="35"/>
  <c r="N481" i="35"/>
  <c r="R481" i="35" s="1"/>
  <c r="I24" i="14"/>
  <c r="K12" i="14"/>
  <c r="I15" i="14"/>
  <c r="N449" i="35"/>
  <c r="R449" i="35" s="1"/>
  <c r="AL95" i="16"/>
  <c r="AN95" i="16" s="1"/>
  <c r="AD95" i="16"/>
  <c r="AL235" i="16"/>
  <c r="AN235" i="16" s="1"/>
  <c r="AD235" i="16"/>
  <c r="AF235" i="16" s="1"/>
  <c r="N415" i="35"/>
  <c r="R415" i="35" s="1"/>
  <c r="AK415" i="35"/>
  <c r="AL94" i="16"/>
  <c r="AN94" i="16" s="1"/>
  <c r="AD94" i="16"/>
  <c r="AL49" i="16"/>
  <c r="AN49" i="16" s="1"/>
  <c r="AD49" i="16"/>
  <c r="N485" i="35"/>
  <c r="R485" i="35" s="1"/>
  <c r="AK472" i="35"/>
  <c r="N472" i="35"/>
  <c r="R472" i="35" s="1"/>
  <c r="AK440" i="35"/>
  <c r="J68" i="48"/>
  <c r="L68" i="48" s="1"/>
  <c r="AL334" i="16"/>
  <c r="AN334" i="16" s="1"/>
  <c r="AD334" i="16"/>
  <c r="AF334" i="16" s="1"/>
  <c r="J146" i="48"/>
  <c r="L146" i="48" s="1"/>
  <c r="J120" i="48"/>
  <c r="L120" i="48" s="1"/>
  <c r="AD306" i="16"/>
  <c r="AF306" i="16" s="1"/>
  <c r="AL306" i="16"/>
  <c r="AN306" i="16" s="1"/>
  <c r="AL70" i="16"/>
  <c r="AN70" i="16" s="1"/>
  <c r="AD70" i="16"/>
  <c r="N465" i="35"/>
  <c r="R465" i="35" s="1"/>
  <c r="AK465" i="35"/>
  <c r="N413" i="35"/>
  <c r="R413" i="35" s="1"/>
  <c r="AK413" i="35"/>
  <c r="N458" i="35"/>
  <c r="R458" i="35" s="1"/>
  <c r="AD64" i="16"/>
  <c r="AL64" i="16"/>
  <c r="AN64" i="16" s="1"/>
  <c r="N438" i="35"/>
  <c r="R438" i="35" s="1"/>
  <c r="AL436" i="16"/>
  <c r="AN436" i="16" s="1"/>
  <c r="AL382" i="16"/>
  <c r="AN382" i="16" s="1"/>
  <c r="AL360" i="16"/>
  <c r="AN360" i="16" s="1"/>
  <c r="AL294" i="16"/>
  <c r="AN294" i="16" s="1"/>
  <c r="AL222" i="16"/>
  <c r="AN222" i="16" s="1"/>
  <c r="AL205" i="16"/>
  <c r="AN205" i="16" s="1"/>
  <c r="AL100" i="16"/>
  <c r="AN100" i="16" s="1"/>
  <c r="AL62" i="16"/>
  <c r="AN62" i="16" s="1"/>
  <c r="AL51" i="16"/>
  <c r="AN51" i="16" s="1"/>
  <c r="AL314" i="16"/>
  <c r="AN314" i="16" s="1"/>
  <c r="AL232" i="16"/>
  <c r="AN232" i="16" s="1"/>
  <c r="I40" i="11"/>
  <c r="AL176" i="16"/>
  <c r="AN176" i="16" s="1"/>
  <c r="AL445" i="16"/>
  <c r="AN445" i="16" s="1"/>
  <c r="AL341" i="16"/>
  <c r="AN341" i="16" s="1"/>
  <c r="AL330" i="16"/>
  <c r="AN330" i="16" s="1"/>
  <c r="AL292" i="16"/>
  <c r="AN292" i="16" s="1"/>
  <c r="AK97" i="35"/>
  <c r="AL324" i="16"/>
  <c r="AN324" i="16" s="1"/>
  <c r="AL302" i="16"/>
  <c r="AN302" i="16" s="1"/>
  <c r="AL280" i="16"/>
  <c r="AN280" i="16" s="1"/>
  <c r="AL208" i="16"/>
  <c r="AN208" i="16" s="1"/>
  <c r="AL202" i="16"/>
  <c r="AN202" i="16" s="1"/>
  <c r="AL147" i="16"/>
  <c r="AN147" i="16" s="1"/>
  <c r="AL53" i="16"/>
  <c r="AN53" i="16" s="1"/>
  <c r="AL42" i="16"/>
  <c r="AN42" i="16" s="1"/>
  <c r="AL476" i="16"/>
  <c r="AN476" i="16" s="1"/>
  <c r="AL470" i="16"/>
  <c r="AN470" i="16" s="1"/>
  <c r="AL416" i="16"/>
  <c r="AN416" i="16" s="1"/>
  <c r="AL410" i="16"/>
  <c r="AN410" i="16" s="1"/>
  <c r="AL328" i="16"/>
  <c r="AN328" i="16" s="1"/>
  <c r="AL317" i="16"/>
  <c r="AN317" i="16" s="1"/>
  <c r="AL290" i="16"/>
  <c r="AN290" i="16" s="1"/>
  <c r="AL268" i="16"/>
  <c r="AN268" i="16" s="1"/>
  <c r="AL157" i="16"/>
  <c r="AN157" i="16" s="1"/>
  <c r="AL118" i="16"/>
  <c r="AN118" i="16" s="1"/>
  <c r="AL30" i="16"/>
  <c r="AN30" i="16" s="1"/>
  <c r="AK408" i="35"/>
  <c r="AL498" i="16"/>
  <c r="AN498" i="16" s="1"/>
  <c r="AL448" i="16"/>
  <c r="AN448" i="16" s="1"/>
  <c r="AL426" i="16"/>
  <c r="AN426" i="16" s="1"/>
  <c r="AL333" i="16"/>
  <c r="AN333" i="16" s="1"/>
  <c r="AL278" i="16"/>
  <c r="AN278" i="16" s="1"/>
  <c r="AL217" i="16"/>
  <c r="AN217" i="16" s="1"/>
  <c r="AK497" i="35"/>
  <c r="AK477" i="35"/>
  <c r="AK461" i="35"/>
  <c r="AK457" i="35"/>
  <c r="AK453" i="35"/>
  <c r="AK449" i="35"/>
  <c r="AK445" i="35"/>
  <c r="AK441" i="35"/>
  <c r="AK346" i="35"/>
  <c r="AK338" i="35"/>
  <c r="AK330" i="35"/>
  <c r="AK322" i="35"/>
  <c r="AK314" i="35"/>
  <c r="AK310" i="35"/>
  <c r="AK306" i="35"/>
  <c r="AK80" i="35"/>
  <c r="AK72" i="35"/>
  <c r="O82" i="27"/>
  <c r="O86" i="27"/>
  <c r="O90" i="27"/>
  <c r="O92" i="27"/>
  <c r="O93" i="27"/>
  <c r="O94" i="27"/>
  <c r="O96" i="27"/>
  <c r="AK298" i="35"/>
  <c r="AK294" i="35"/>
  <c r="AK290" i="35"/>
  <c r="AK286" i="35"/>
  <c r="AK278" i="35"/>
  <c r="AK274" i="35"/>
  <c r="AK270" i="35"/>
  <c r="AK262" i="35"/>
  <c r="AK258" i="35"/>
  <c r="AK254" i="35"/>
  <c r="AK246" i="35"/>
  <c r="AK242" i="35"/>
  <c r="AK230" i="35"/>
  <c r="AK226" i="35"/>
  <c r="AK222" i="35"/>
  <c r="AK171" i="35"/>
  <c r="AK155" i="35"/>
  <c r="AK147" i="35"/>
  <c r="AK429" i="35"/>
  <c r="AK425" i="35"/>
  <c r="AK421" i="35"/>
  <c r="AK417" i="35"/>
  <c r="AK409" i="35"/>
  <c r="AK123" i="35"/>
  <c r="AK48" i="35"/>
  <c r="AK44" i="35"/>
  <c r="AL111" i="16"/>
  <c r="AN111" i="16" s="1"/>
  <c r="AK401" i="35"/>
  <c r="AK397" i="35"/>
  <c r="AK393" i="35"/>
  <c r="AK389" i="35"/>
  <c r="AK381" i="35"/>
  <c r="AK369" i="35"/>
  <c r="AK365" i="35"/>
  <c r="AK361" i="35"/>
  <c r="AK214" i="35"/>
  <c r="AK206" i="35"/>
  <c r="AK194" i="35"/>
  <c r="AK190" i="35"/>
  <c r="AK91" i="35"/>
  <c r="AK83" i="35"/>
  <c r="AK28" i="35"/>
  <c r="AK24" i="35"/>
  <c r="AK20" i="35"/>
  <c r="AK16" i="35"/>
  <c r="AK496" i="35"/>
  <c r="AK488" i="35"/>
  <c r="AK480" i="35"/>
  <c r="AK468" i="35"/>
  <c r="AK345" i="35"/>
  <c r="AK341" i="35"/>
  <c r="AK333" i="35"/>
  <c r="AK325" i="35"/>
  <c r="AK317" i="35"/>
  <c r="AK309" i="35"/>
  <c r="AK75" i="35"/>
  <c r="AK289" i="35"/>
  <c r="AK277" i="35"/>
  <c r="AK273" i="35"/>
  <c r="AK261" i="35"/>
  <c r="AK257" i="35"/>
  <c r="AK245" i="35"/>
  <c r="AK241" i="35"/>
  <c r="AK237" i="35"/>
  <c r="AK233" i="35"/>
  <c r="AK225" i="35"/>
  <c r="AK166" i="35"/>
  <c r="AK162" i="35"/>
  <c r="AK150" i="35"/>
  <c r="AK428" i="35"/>
  <c r="AK114" i="35"/>
  <c r="AK102" i="35"/>
  <c r="AK98" i="35"/>
  <c r="AK59" i="35"/>
  <c r="AK55" i="35"/>
  <c r="AK43" i="35"/>
  <c r="I43" i="48"/>
  <c r="I44" i="48" s="1"/>
  <c r="J44" i="48" s="1"/>
  <c r="L44" i="48" s="1"/>
  <c r="AK499" i="35"/>
  <c r="AK400" i="35"/>
  <c r="AK396" i="35"/>
  <c r="AK388" i="35"/>
  <c r="AK360" i="35"/>
  <c r="AK356" i="35"/>
  <c r="AK213" i="35"/>
  <c r="AK189" i="35"/>
  <c r="AK86" i="35"/>
  <c r="AK27" i="35"/>
  <c r="AK11" i="35"/>
  <c r="AK491" i="35"/>
  <c r="AK487" i="35"/>
  <c r="AK479" i="35"/>
  <c r="AK475" i="35"/>
  <c r="AK467" i="35"/>
  <c r="AK455" i="35"/>
  <c r="AK443" i="35"/>
  <c r="AK352" i="35"/>
  <c r="AK332" i="35"/>
  <c r="AK324" i="35"/>
  <c r="AK308" i="35"/>
  <c r="AK304" i="35"/>
  <c r="AK181" i="35"/>
  <c r="AK70" i="35"/>
  <c r="AK439" i="35"/>
  <c r="AK435" i="35"/>
  <c r="AK300" i="35"/>
  <c r="AK296" i="35"/>
  <c r="AK288" i="35"/>
  <c r="AK284" i="35"/>
  <c r="AK280" i="35"/>
  <c r="AK276" i="35"/>
  <c r="AK272" i="35"/>
  <c r="AK268" i="35"/>
  <c r="AK264" i="35"/>
  <c r="AK256" i="35"/>
  <c r="AK252" i="35"/>
  <c r="AK248" i="35"/>
  <c r="AK236" i="35"/>
  <c r="AK232" i="35"/>
  <c r="AK228" i="35"/>
  <c r="AK224" i="35"/>
  <c r="AK165" i="35"/>
  <c r="AK157" i="35"/>
  <c r="AK145" i="35"/>
  <c r="AK141" i="35"/>
  <c r="AK62" i="35"/>
  <c r="AK431" i="35"/>
  <c r="AK423" i="35"/>
  <c r="AK411" i="35"/>
  <c r="AK125" i="35"/>
  <c r="AK117" i="35"/>
  <c r="AK113" i="35"/>
  <c r="AK498" i="35"/>
  <c r="AK403" i="35"/>
  <c r="AK395" i="35"/>
  <c r="AK391" i="35"/>
  <c r="AK375" i="35"/>
  <c r="AK371" i="35"/>
  <c r="AK367" i="35"/>
  <c r="AK212" i="35"/>
  <c r="AK208" i="35"/>
  <c r="AK204" i="35"/>
  <c r="AK192" i="35"/>
  <c r="AK188" i="35"/>
  <c r="AK38" i="35"/>
  <c r="AK34" i="35"/>
  <c r="AK22" i="35"/>
  <c r="AK6" i="35"/>
  <c r="AK494" i="35"/>
  <c r="AK490" i="35"/>
  <c r="AK482" i="35"/>
  <c r="AK470" i="35"/>
  <c r="AK466" i="35"/>
  <c r="AK462" i="35"/>
  <c r="AK458" i="35"/>
  <c r="AK454" i="35"/>
  <c r="AK450" i="35"/>
  <c r="AK442" i="35"/>
  <c r="AK351" i="35"/>
  <c r="AK347" i="35"/>
  <c r="AK339" i="35"/>
  <c r="AK315" i="35"/>
  <c r="AK81" i="35"/>
  <c r="AK438" i="35"/>
  <c r="AK283" i="35"/>
  <c r="AK255" i="35"/>
  <c r="AK176" i="35"/>
  <c r="AK172" i="35"/>
  <c r="AK168" i="35"/>
  <c r="AK164" i="35"/>
  <c r="AK144" i="35"/>
  <c r="AK65" i="35"/>
  <c r="AK430" i="35"/>
  <c r="AK426" i="35"/>
  <c r="AK418" i="35"/>
  <c r="AK414" i="35"/>
  <c r="AK136" i="35"/>
  <c r="AK128" i="35"/>
  <c r="AK124" i="35"/>
  <c r="AK120" i="35"/>
  <c r="AK112" i="35"/>
  <c r="AK108" i="35"/>
  <c r="AK53" i="35"/>
  <c r="AK45" i="35"/>
  <c r="S29" i="48"/>
  <c r="W29" i="48" s="1"/>
  <c r="AK406" i="35"/>
  <c r="AK402" i="35"/>
  <c r="AK386" i="35"/>
  <c r="AK382" i="35"/>
  <c r="AK378" i="35"/>
  <c r="AK374" i="35"/>
  <c r="AK370" i="35"/>
  <c r="AK362" i="35"/>
  <c r="AK358" i="35"/>
  <c r="AK354" i="35"/>
  <c r="AK187" i="35"/>
  <c r="AK88" i="35"/>
  <c r="AK21" i="35"/>
  <c r="AK17" i="35"/>
  <c r="AK5" i="35"/>
  <c r="AL301" i="16"/>
  <c r="AN301" i="16" s="1"/>
  <c r="AD301" i="16"/>
  <c r="AF301" i="16" s="1"/>
  <c r="O372" i="16"/>
  <c r="S372" i="16" s="1"/>
  <c r="AK218" i="35"/>
  <c r="AK115" i="35"/>
  <c r="AC115" i="35"/>
  <c r="AE115" i="35" s="1"/>
  <c r="AH115" i="35" s="1"/>
  <c r="AC107" i="35"/>
  <c r="AE107" i="35" s="1"/>
  <c r="AH107" i="35" s="1"/>
  <c r="AI107" i="35" s="1"/>
  <c r="AK107" i="35"/>
  <c r="O463" i="16"/>
  <c r="S463" i="16" s="1"/>
  <c r="O447" i="16"/>
  <c r="S447" i="16" s="1"/>
  <c r="O383" i="16"/>
  <c r="S383" i="16" s="1"/>
  <c r="O351" i="16"/>
  <c r="S351" i="16" s="1"/>
  <c r="O319" i="16"/>
  <c r="S319" i="16" s="1"/>
  <c r="O303" i="16"/>
  <c r="S303" i="16" s="1"/>
  <c r="O287" i="16"/>
  <c r="S287" i="16" s="1"/>
  <c r="O255" i="16"/>
  <c r="S255" i="16" s="1"/>
  <c r="O223" i="16"/>
  <c r="S223" i="16" s="1"/>
  <c r="O175" i="16"/>
  <c r="S175" i="16" s="1"/>
  <c r="O159" i="16"/>
  <c r="S159" i="16" s="1"/>
  <c r="O143" i="16"/>
  <c r="S143" i="16" s="1"/>
  <c r="O95" i="16"/>
  <c r="S95" i="16" s="1"/>
  <c r="T95" i="16" s="1"/>
  <c r="AE95" i="16" s="1"/>
  <c r="O79" i="16"/>
  <c r="S79" i="16" s="1"/>
  <c r="T79" i="16" s="1"/>
  <c r="AE79" i="16" s="1"/>
  <c r="AL47" i="16"/>
  <c r="AN47" i="16" s="1"/>
  <c r="O47" i="16"/>
  <c r="S47" i="16" s="1"/>
  <c r="T47" i="16" s="1"/>
  <c r="AE47" i="16" s="1"/>
  <c r="O31" i="16"/>
  <c r="S31" i="16" s="1"/>
  <c r="T31" i="16" s="1"/>
  <c r="AE31" i="16" s="1"/>
  <c r="AL15" i="16"/>
  <c r="AN15" i="16" s="1"/>
  <c r="O15" i="16"/>
  <c r="S15" i="16" s="1"/>
  <c r="T15" i="16" s="1"/>
  <c r="AE15" i="16" s="1"/>
  <c r="AD350" i="16"/>
  <c r="AF350" i="16" s="1"/>
  <c r="AL350" i="16"/>
  <c r="AN350" i="16" s="1"/>
  <c r="AC12" i="35"/>
  <c r="AK12" i="35"/>
  <c r="O469" i="16"/>
  <c r="S469" i="16" s="1"/>
  <c r="O228" i="16"/>
  <c r="S228" i="16" s="1"/>
  <c r="O106" i="16"/>
  <c r="S106" i="16" s="1"/>
  <c r="T106" i="16" s="1"/>
  <c r="AE106" i="16" s="1"/>
  <c r="K68" i="5"/>
  <c r="I68" i="5"/>
  <c r="AL486" i="16"/>
  <c r="AN486" i="16" s="1"/>
  <c r="AD486" i="16"/>
  <c r="AF486" i="16" s="1"/>
  <c r="AL256" i="16"/>
  <c r="AN256" i="16" s="1"/>
  <c r="AD256" i="16"/>
  <c r="AF256" i="16" s="1"/>
  <c r="AK297" i="35"/>
  <c r="K8" i="15"/>
  <c r="K23" i="15" s="1"/>
  <c r="I23" i="15"/>
  <c r="AD371" i="16"/>
  <c r="AF371" i="16" s="1"/>
  <c r="AL371" i="16"/>
  <c r="AN371" i="16" s="1"/>
  <c r="AL122" i="16"/>
  <c r="AN122" i="16" s="1"/>
  <c r="AD122" i="16"/>
  <c r="AD40" i="16"/>
  <c r="AL40" i="16"/>
  <c r="AN40" i="16" s="1"/>
  <c r="AK416" i="35"/>
  <c r="AK134" i="35"/>
  <c r="AK118" i="35"/>
  <c r="AC118" i="35"/>
  <c r="AE118" i="35" s="1"/>
  <c r="AH118" i="35" s="1"/>
  <c r="AL497" i="16"/>
  <c r="AN497" i="16" s="1"/>
  <c r="AD497" i="16"/>
  <c r="AF497" i="16" s="1"/>
  <c r="O397" i="16"/>
  <c r="S397" i="16" s="1"/>
  <c r="AL392" i="16"/>
  <c r="AN392" i="16" s="1"/>
  <c r="AD315" i="16"/>
  <c r="AF315" i="16" s="1"/>
  <c r="AL315" i="16"/>
  <c r="AN315" i="16" s="1"/>
  <c r="AL233" i="16"/>
  <c r="AN233" i="16" s="1"/>
  <c r="AD233" i="16"/>
  <c r="AF233" i="16" s="1"/>
  <c r="AL468" i="16"/>
  <c r="AN468" i="16" s="1"/>
  <c r="AD468" i="16"/>
  <c r="AF468" i="16" s="1"/>
  <c r="AL376" i="16"/>
  <c r="AN376" i="16" s="1"/>
  <c r="AD376" i="16"/>
  <c r="AF376" i="16" s="1"/>
  <c r="AG376" i="16" s="1"/>
  <c r="AL326" i="16"/>
  <c r="AN326" i="16" s="1"/>
  <c r="AD326" i="16"/>
  <c r="AF326" i="16" s="1"/>
  <c r="AL138" i="16"/>
  <c r="AN138" i="16" s="1"/>
  <c r="AD138" i="16"/>
  <c r="AD39" i="16"/>
  <c r="AL39" i="16"/>
  <c r="AN39" i="16" s="1"/>
  <c r="AK348" i="35"/>
  <c r="AK340" i="35"/>
  <c r="AC336" i="35"/>
  <c r="AE336" i="35" s="1"/>
  <c r="AH336" i="35" s="1"/>
  <c r="AK336" i="35"/>
  <c r="AK312" i="35"/>
  <c r="AC312" i="35"/>
  <c r="AE312" i="35" s="1"/>
  <c r="AH312" i="35" s="1"/>
  <c r="AI312" i="35" s="1"/>
  <c r="AF193" i="16"/>
  <c r="AG193" i="16" s="1"/>
  <c r="O402" i="16"/>
  <c r="S402" i="16" s="1"/>
  <c r="AL304" i="16"/>
  <c r="AN304" i="16" s="1"/>
  <c r="AD304" i="16"/>
  <c r="AF304" i="16" s="1"/>
  <c r="AL293" i="16"/>
  <c r="AN293" i="16" s="1"/>
  <c r="AD293" i="16"/>
  <c r="AF293" i="16" s="1"/>
  <c r="AL61" i="16"/>
  <c r="AN61" i="16" s="1"/>
  <c r="AD61" i="16"/>
  <c r="AC240" i="35"/>
  <c r="AE240" i="35" s="1"/>
  <c r="AH240" i="35" s="1"/>
  <c r="AK240" i="35"/>
  <c r="AK161" i="35"/>
  <c r="AK149" i="35"/>
  <c r="K10" i="7"/>
  <c r="I22" i="7"/>
  <c r="O96" i="16"/>
  <c r="S96" i="16" s="1"/>
  <c r="T96" i="16" s="1"/>
  <c r="AE96" i="16" s="1"/>
  <c r="AL298" i="16"/>
  <c r="AN298" i="16" s="1"/>
  <c r="AD298" i="16"/>
  <c r="AF298" i="16" s="1"/>
  <c r="AL276" i="16"/>
  <c r="AN276" i="16" s="1"/>
  <c r="AD276" i="16"/>
  <c r="AF276" i="16" s="1"/>
  <c r="AL254" i="16"/>
  <c r="AN254" i="16" s="1"/>
  <c r="AD254" i="16"/>
  <c r="AF254" i="16" s="1"/>
  <c r="O248" i="16"/>
  <c r="S248" i="16" s="1"/>
  <c r="AL243" i="16"/>
  <c r="AN243" i="16" s="1"/>
  <c r="AD243" i="16"/>
  <c r="AF243" i="16" s="1"/>
  <c r="AG243" i="16" s="1"/>
  <c r="AL160" i="16"/>
  <c r="AN160" i="16" s="1"/>
  <c r="AD160" i="16"/>
  <c r="AF160" i="16" s="1"/>
  <c r="AK133" i="35"/>
  <c r="AC54" i="35"/>
  <c r="AK54" i="35"/>
  <c r="AL386" i="16"/>
  <c r="AN386" i="16" s="1"/>
  <c r="AD386" i="16"/>
  <c r="AF386" i="16" s="1"/>
  <c r="AL336" i="16"/>
  <c r="AN336" i="16" s="1"/>
  <c r="AD336" i="16"/>
  <c r="AF336" i="16" s="1"/>
  <c r="AD303" i="16"/>
  <c r="AF303" i="16" s="1"/>
  <c r="AG303" i="16" s="1"/>
  <c r="AL303" i="16"/>
  <c r="AN303" i="16" s="1"/>
  <c r="AL137" i="16"/>
  <c r="AN137" i="16" s="1"/>
  <c r="AD137" i="16"/>
  <c r="AF137" i="16" s="1"/>
  <c r="AG137" i="16" s="1"/>
  <c r="AK379" i="35"/>
  <c r="AC379" i="35"/>
  <c r="AE379" i="35" s="1"/>
  <c r="AH379" i="35" s="1"/>
  <c r="AI379" i="35" s="1"/>
  <c r="AD423" i="16"/>
  <c r="AF423" i="16" s="1"/>
  <c r="AL270" i="16"/>
  <c r="AN270" i="16" s="1"/>
  <c r="AD270" i="16"/>
  <c r="AF270" i="16" s="1"/>
  <c r="AL264" i="16"/>
  <c r="AN264" i="16" s="1"/>
  <c r="O264" i="16"/>
  <c r="S264" i="16" s="1"/>
  <c r="AL259" i="16"/>
  <c r="AN259" i="16" s="1"/>
  <c r="AD259" i="16"/>
  <c r="AF259" i="16" s="1"/>
  <c r="O4" i="16"/>
  <c r="S4" i="16" s="1"/>
  <c r="T4" i="16" s="1"/>
  <c r="AE4" i="16" s="1"/>
  <c r="AK73" i="35"/>
  <c r="AC73" i="35"/>
  <c r="AE73" i="35" s="1"/>
  <c r="AH73" i="35" s="1"/>
  <c r="AK69" i="35"/>
  <c r="AC69" i="35"/>
  <c r="AE69" i="35" s="1"/>
  <c r="AH69" i="35" s="1"/>
  <c r="AI69" i="35" s="1"/>
  <c r="AL450" i="16"/>
  <c r="AN450" i="16" s="1"/>
  <c r="AD450" i="16"/>
  <c r="AF450" i="16" s="1"/>
  <c r="AL175" i="16"/>
  <c r="AN175" i="16" s="1"/>
  <c r="AD175" i="16"/>
  <c r="AF175" i="16" s="1"/>
  <c r="AK434" i="35"/>
  <c r="AC434" i="35"/>
  <c r="AE434" i="35" s="1"/>
  <c r="AH434" i="35" s="1"/>
  <c r="AI434" i="35" s="1"/>
  <c r="AK160" i="35"/>
  <c r="AK156" i="35"/>
  <c r="AK61" i="35"/>
  <c r="AL444" i="16"/>
  <c r="AN444" i="16" s="1"/>
  <c r="O444" i="16"/>
  <c r="S444" i="16" s="1"/>
  <c r="AL219" i="16"/>
  <c r="AN219" i="16" s="1"/>
  <c r="AD219" i="16"/>
  <c r="AF219" i="16" s="1"/>
  <c r="AL186" i="16"/>
  <c r="AN186" i="16" s="1"/>
  <c r="AD186" i="16"/>
  <c r="AF186" i="16" s="1"/>
  <c r="O180" i="16"/>
  <c r="S180" i="16" s="1"/>
  <c r="AL164" i="16"/>
  <c r="AN164" i="16" s="1"/>
  <c r="AD164" i="16"/>
  <c r="AF164" i="16" s="1"/>
  <c r="AL9" i="16"/>
  <c r="AN9" i="16" s="1"/>
  <c r="AD9" i="16"/>
  <c r="AK104" i="35"/>
  <c r="AC104" i="35"/>
  <c r="AE104" i="35" s="1"/>
  <c r="AH104" i="35" s="1"/>
  <c r="AI104" i="35" s="1"/>
  <c r="O449" i="16"/>
  <c r="S449" i="16" s="1"/>
  <c r="AL351" i="16"/>
  <c r="AN351" i="16" s="1"/>
  <c r="AD351" i="16"/>
  <c r="AF351" i="16" s="1"/>
  <c r="AL291" i="16"/>
  <c r="AN291" i="16" s="1"/>
  <c r="AD291" i="16"/>
  <c r="AF291" i="16" s="1"/>
  <c r="O191" i="16"/>
  <c r="S191" i="16" s="1"/>
  <c r="AL97" i="16"/>
  <c r="AN97" i="16" s="1"/>
  <c r="AD97" i="16"/>
  <c r="AK390" i="35"/>
  <c r="O356" i="16"/>
  <c r="S356" i="16" s="1"/>
  <c r="AL241" i="16"/>
  <c r="AN241" i="16" s="1"/>
  <c r="AD241" i="16"/>
  <c r="AF241" i="16" s="1"/>
  <c r="AL207" i="16"/>
  <c r="AN207" i="16" s="1"/>
  <c r="AD207" i="16"/>
  <c r="AF207" i="16" s="1"/>
  <c r="AG207" i="16" s="1"/>
  <c r="AK489" i="35"/>
  <c r="AC183" i="35"/>
  <c r="AE183" i="35" s="1"/>
  <c r="AH183" i="35" s="1"/>
  <c r="AK183" i="35"/>
  <c r="AK76" i="35"/>
  <c r="AC76" i="35"/>
  <c r="AE76" i="35" s="1"/>
  <c r="AH76" i="35" s="1"/>
  <c r="AF416" i="16"/>
  <c r="AL418" i="16"/>
  <c r="AN418" i="16" s="1"/>
  <c r="AL402" i="16"/>
  <c r="AN402" i="16" s="1"/>
  <c r="AL377" i="16"/>
  <c r="AN377" i="16" s="1"/>
  <c r="AL346" i="16"/>
  <c r="AN346" i="16" s="1"/>
  <c r="AL180" i="16"/>
  <c r="AN180" i="16" s="1"/>
  <c r="AL148" i="16"/>
  <c r="AN148" i="16" s="1"/>
  <c r="AL13" i="16"/>
  <c r="AN13" i="16" s="1"/>
  <c r="AL438" i="16"/>
  <c r="AN438" i="16" s="1"/>
  <c r="AL428" i="16"/>
  <c r="AN428" i="16" s="1"/>
  <c r="AL81" i="16"/>
  <c r="AN81" i="16" s="1"/>
  <c r="L78" i="27"/>
  <c r="AL274" i="16"/>
  <c r="AN274" i="16" s="1"/>
  <c r="AL190" i="16"/>
  <c r="AN190" i="16" s="1"/>
  <c r="AL200" i="16"/>
  <c r="AN200" i="16" s="1"/>
  <c r="O73" i="27"/>
  <c r="O87" i="27"/>
  <c r="O69" i="27"/>
  <c r="AL452" i="16"/>
  <c r="AN452" i="16" s="1"/>
  <c r="AL442" i="16"/>
  <c r="AN442" i="16" s="1"/>
  <c r="AL318" i="16"/>
  <c r="AN318" i="16" s="1"/>
  <c r="AL273" i="16"/>
  <c r="AN273" i="16" s="1"/>
  <c r="AL226" i="16"/>
  <c r="AN226" i="16" s="1"/>
  <c r="AL194" i="16"/>
  <c r="AN194" i="16" s="1"/>
  <c r="AL189" i="16"/>
  <c r="AN189" i="16" s="1"/>
  <c r="AL90" i="16"/>
  <c r="AN90" i="16" s="1"/>
  <c r="AL74" i="16"/>
  <c r="AN74" i="16" s="1"/>
  <c r="AL447" i="16"/>
  <c r="AN447" i="16" s="1"/>
  <c r="AL472" i="16"/>
  <c r="AN472" i="16" s="1"/>
  <c r="AL380" i="16"/>
  <c r="AN380" i="16" s="1"/>
  <c r="AL338" i="16"/>
  <c r="AN338" i="16" s="1"/>
  <c r="AL172" i="16"/>
  <c r="AN172" i="16" s="1"/>
  <c r="AL79" i="16"/>
  <c r="AN79" i="16" s="1"/>
  <c r="AL10" i="16"/>
  <c r="AN10" i="16" s="1"/>
  <c r="N78" i="27"/>
  <c r="O77" i="27"/>
  <c r="O66" i="27"/>
  <c r="O70" i="27"/>
  <c r="AL488" i="16"/>
  <c r="AN488" i="16" s="1"/>
  <c r="AL446" i="16"/>
  <c r="AN446" i="16" s="1"/>
  <c r="AL435" i="16"/>
  <c r="AN435" i="16" s="1"/>
  <c r="AL374" i="16"/>
  <c r="AN374" i="16" s="1"/>
  <c r="AL364" i="16"/>
  <c r="AN364" i="16" s="1"/>
  <c r="AL250" i="16"/>
  <c r="AN250" i="16" s="1"/>
  <c r="AL230" i="16"/>
  <c r="AN230" i="16" s="1"/>
  <c r="AL166" i="16"/>
  <c r="AN166" i="16" s="1"/>
  <c r="AL140" i="16"/>
  <c r="AN140" i="16" s="1"/>
  <c r="AL129" i="16"/>
  <c r="AN129" i="16" s="1"/>
  <c r="AL52" i="16"/>
  <c r="AN52" i="16" s="1"/>
  <c r="AL31" i="16"/>
  <c r="AN31" i="16" s="1"/>
  <c r="AL493" i="16"/>
  <c r="AN493" i="16" s="1"/>
  <c r="AL466" i="16"/>
  <c r="AN466" i="16" s="1"/>
  <c r="AL456" i="16"/>
  <c r="AN456" i="16" s="1"/>
  <c r="AL430" i="16"/>
  <c r="AN430" i="16" s="1"/>
  <c r="AL348" i="16"/>
  <c r="AN348" i="16" s="1"/>
  <c r="AL342" i="16"/>
  <c r="AN342" i="16" s="1"/>
  <c r="AL287" i="16"/>
  <c r="AN287" i="16" s="1"/>
  <c r="AL20" i="16"/>
  <c r="AN20" i="16" s="1"/>
  <c r="AL434" i="16"/>
  <c r="AN434" i="16" s="1"/>
  <c r="AL255" i="16"/>
  <c r="AN255" i="16" s="1"/>
  <c r="AL224" i="16"/>
  <c r="AN224" i="16" s="1"/>
  <c r="AL25" i="16"/>
  <c r="AN25" i="16" s="1"/>
  <c r="AL378" i="16"/>
  <c r="AN378" i="16" s="1"/>
  <c r="AL229" i="16"/>
  <c r="AN229" i="16" s="1"/>
  <c r="AL165" i="16"/>
  <c r="AN165" i="16" s="1"/>
  <c r="AL14" i="16"/>
  <c r="AN14" i="16" s="1"/>
  <c r="AL492" i="16"/>
  <c r="AN492" i="16" s="1"/>
  <c r="AL408" i="16"/>
  <c r="AN408" i="16" s="1"/>
  <c r="AD143" i="16"/>
  <c r="AF143" i="16" s="1"/>
  <c r="O127" i="16"/>
  <c r="S127" i="16" s="1"/>
  <c r="T127" i="16" s="1"/>
  <c r="AE127" i="16" s="1"/>
  <c r="AD24" i="16"/>
  <c r="AL24" i="16"/>
  <c r="AN24" i="16" s="1"/>
  <c r="AL8" i="16"/>
  <c r="AN8" i="16" s="1"/>
  <c r="AD8" i="16"/>
  <c r="AK344" i="35"/>
  <c r="AC344" i="35"/>
  <c r="AE344" i="35" s="1"/>
  <c r="AH344" i="35" s="1"/>
  <c r="AI344" i="35" s="1"/>
  <c r="AK328" i="35"/>
  <c r="AK301" i="35"/>
  <c r="AC301" i="35"/>
  <c r="AE301" i="35" s="1"/>
  <c r="AH301" i="35" s="1"/>
  <c r="AI301" i="35" s="1"/>
  <c r="AK293" i="35"/>
  <c r="AK285" i="35"/>
  <c r="AK96" i="35"/>
  <c r="AK92" i="35"/>
  <c r="AK8" i="35"/>
  <c r="I65" i="5"/>
  <c r="I58" i="5"/>
  <c r="AL320" i="16"/>
  <c r="AN320" i="16" s="1"/>
  <c r="AD320" i="16"/>
  <c r="AF320" i="16" s="1"/>
  <c r="O309" i="16"/>
  <c r="S309" i="16" s="1"/>
  <c r="AL305" i="16"/>
  <c r="AN305" i="16" s="1"/>
  <c r="AD305" i="16"/>
  <c r="AF305" i="16" s="1"/>
  <c r="AL248" i="16"/>
  <c r="AN248" i="16" s="1"/>
  <c r="AD248" i="16"/>
  <c r="AF248" i="16" s="1"/>
  <c r="I22" i="40"/>
  <c r="K10" i="40"/>
  <c r="K22" i="40" s="1"/>
  <c r="AL496" i="16"/>
  <c r="AN496" i="16" s="1"/>
  <c r="AD496" i="16"/>
  <c r="AF496" i="16" s="1"/>
  <c r="O490" i="16"/>
  <c r="S490" i="16" s="1"/>
  <c r="O417" i="16"/>
  <c r="S417" i="16" s="1"/>
  <c r="K12" i="13"/>
  <c r="K24" i="13" s="1"/>
  <c r="I24" i="13"/>
  <c r="AL427" i="16"/>
  <c r="AN427" i="16" s="1"/>
  <c r="AD427" i="16"/>
  <c r="AF427" i="16" s="1"/>
  <c r="AL325" i="16"/>
  <c r="AN325" i="16" s="1"/>
  <c r="AD325" i="16"/>
  <c r="AF325" i="16" s="1"/>
  <c r="AL285" i="16"/>
  <c r="AN285" i="16" s="1"/>
  <c r="AD285" i="16"/>
  <c r="AF285" i="16" s="1"/>
  <c r="AL101" i="16"/>
  <c r="AN101" i="16" s="1"/>
  <c r="AD101" i="16"/>
  <c r="AL479" i="16"/>
  <c r="AN479" i="16" s="1"/>
  <c r="AD479" i="16"/>
  <c r="AF479" i="16" s="1"/>
  <c r="AL463" i="16"/>
  <c r="AN463" i="16" s="1"/>
  <c r="AD463" i="16"/>
  <c r="AF463" i="16" s="1"/>
  <c r="AL269" i="16"/>
  <c r="AN269" i="16" s="1"/>
  <c r="AD269" i="16"/>
  <c r="AF269" i="16" s="1"/>
  <c r="AD263" i="16"/>
  <c r="AF263" i="16" s="1"/>
  <c r="AL263" i="16"/>
  <c r="AN263" i="16" s="1"/>
  <c r="AL201" i="16"/>
  <c r="AN201" i="16" s="1"/>
  <c r="AD201" i="16"/>
  <c r="AF201" i="16" s="1"/>
  <c r="AL45" i="16"/>
  <c r="AN45" i="16" s="1"/>
  <c r="AD45" i="16"/>
  <c r="AF45" i="16" s="1"/>
  <c r="O72" i="27"/>
  <c r="AL421" i="16"/>
  <c r="AN421" i="16" s="1"/>
  <c r="AL319" i="16"/>
  <c r="AN319" i="16" s="1"/>
  <c r="AD319" i="16"/>
  <c r="AF319" i="16" s="1"/>
  <c r="AL381" i="16"/>
  <c r="AN381" i="16" s="1"/>
  <c r="AD381" i="16"/>
  <c r="AF381" i="16" s="1"/>
  <c r="AG381" i="16" s="1"/>
  <c r="AL339" i="16"/>
  <c r="AN339" i="16" s="1"/>
  <c r="AD339" i="16"/>
  <c r="AF339" i="16" s="1"/>
  <c r="AL431" i="16"/>
  <c r="AN431" i="16" s="1"/>
  <c r="AD431" i="16"/>
  <c r="AF431" i="16" s="1"/>
  <c r="AL257" i="16"/>
  <c r="AN257" i="16" s="1"/>
  <c r="AD257" i="16"/>
  <c r="AF257" i="16" s="1"/>
  <c r="AL163" i="16"/>
  <c r="AN163" i="16" s="1"/>
  <c r="AD163" i="16"/>
  <c r="AF163" i="16" s="1"/>
  <c r="AL131" i="16"/>
  <c r="AN131" i="16" s="1"/>
  <c r="AD131" i="16"/>
  <c r="AF272" i="16"/>
  <c r="AL375" i="16"/>
  <c r="AN375" i="16" s="1"/>
  <c r="AD375" i="16"/>
  <c r="AF375" i="16" s="1"/>
  <c r="AL365" i="16"/>
  <c r="AN365" i="16" s="1"/>
  <c r="AD365" i="16"/>
  <c r="AF365" i="16" s="1"/>
  <c r="AL173" i="16"/>
  <c r="AN173" i="16" s="1"/>
  <c r="AD173" i="16"/>
  <c r="AF173" i="16" s="1"/>
  <c r="AD59" i="16"/>
  <c r="AL59" i="16"/>
  <c r="AL399" i="16"/>
  <c r="AN399" i="16" s="1"/>
  <c r="AL477" i="16"/>
  <c r="AN477" i="16" s="1"/>
  <c r="AD477" i="16"/>
  <c r="AF477" i="16" s="1"/>
  <c r="AL236" i="16"/>
  <c r="AN236" i="16" s="1"/>
  <c r="AL151" i="16"/>
  <c r="AN151" i="16" s="1"/>
  <c r="AD151" i="16"/>
  <c r="AF151" i="16" s="1"/>
  <c r="K24" i="11"/>
  <c r="AL261" i="16"/>
  <c r="AN261" i="16" s="1"/>
  <c r="AD261" i="16"/>
  <c r="AF261" i="16" s="1"/>
  <c r="AL63" i="16"/>
  <c r="AN63" i="16" s="1"/>
  <c r="AL213" i="16"/>
  <c r="AN213" i="16" s="1"/>
  <c r="AL429" i="16"/>
  <c r="AN429" i="16" s="1"/>
  <c r="AD429" i="16"/>
  <c r="AF429" i="16" s="1"/>
  <c r="AL393" i="16"/>
  <c r="AN393" i="16" s="1"/>
  <c r="AD393" i="16"/>
  <c r="AF393" i="16" s="1"/>
  <c r="AL357" i="16"/>
  <c r="AN357" i="16" s="1"/>
  <c r="AD357" i="16"/>
  <c r="AF357" i="16" s="1"/>
  <c r="AL271" i="16"/>
  <c r="AN271" i="16" s="1"/>
  <c r="AD271" i="16"/>
  <c r="AF271" i="16" s="1"/>
  <c r="AG271" i="16" s="1"/>
  <c r="AL475" i="16"/>
  <c r="AN475" i="16" s="1"/>
  <c r="AD475" i="16"/>
  <c r="AF475" i="16" s="1"/>
  <c r="AL331" i="16"/>
  <c r="AN331" i="16" s="1"/>
  <c r="AL321" i="16"/>
  <c r="AN321" i="16" s="1"/>
  <c r="AD321" i="16"/>
  <c r="AF321" i="16" s="1"/>
  <c r="AL265" i="16"/>
  <c r="AN265" i="16" s="1"/>
  <c r="AD265" i="16"/>
  <c r="AF265" i="16" s="1"/>
  <c r="AL249" i="16"/>
  <c r="AN249" i="16" s="1"/>
  <c r="AD249" i="16"/>
  <c r="AF249" i="16" s="1"/>
  <c r="AL41" i="16"/>
  <c r="AN41" i="16" s="1"/>
  <c r="AD41" i="16"/>
  <c r="AL449" i="16"/>
  <c r="AN449" i="16" s="1"/>
  <c r="AD449" i="16"/>
  <c r="AF449" i="16" s="1"/>
  <c r="AL407" i="16"/>
  <c r="AN407" i="16" s="1"/>
  <c r="AD407" i="16"/>
  <c r="AF407" i="16" s="1"/>
  <c r="AF396" i="16"/>
  <c r="AL459" i="16"/>
  <c r="AN459" i="16" s="1"/>
  <c r="AD459" i="16"/>
  <c r="AF459" i="16" s="1"/>
  <c r="AL397" i="16"/>
  <c r="AN397" i="16" s="1"/>
  <c r="AD397" i="16"/>
  <c r="AF397" i="16" s="1"/>
  <c r="AL367" i="16"/>
  <c r="AN367" i="16" s="1"/>
  <c r="AD367" i="16"/>
  <c r="AF367" i="16" s="1"/>
  <c r="AL275" i="16"/>
  <c r="AN275" i="16" s="1"/>
  <c r="AD275" i="16"/>
  <c r="AF275" i="16" s="1"/>
  <c r="AG275" i="16" s="1"/>
  <c r="AL239" i="16"/>
  <c r="AN239" i="16" s="1"/>
  <c r="AD239" i="16"/>
  <c r="AF239" i="16" s="1"/>
  <c r="AL424" i="16"/>
  <c r="AN424" i="16" s="1"/>
  <c r="AL216" i="16"/>
  <c r="AN216" i="16" s="1"/>
  <c r="AL183" i="16"/>
  <c r="AN183" i="16" s="1"/>
  <c r="AL102" i="16"/>
  <c r="AN102" i="16" s="1"/>
  <c r="AL120" i="16"/>
  <c r="J78" i="27"/>
  <c r="O64" i="27"/>
  <c r="AD341" i="16"/>
  <c r="AF341" i="16" s="1"/>
  <c r="AL347" i="16"/>
  <c r="AN347" i="16" s="1"/>
  <c r="AL311" i="16"/>
  <c r="AN311" i="16" s="1"/>
  <c r="AL187" i="16"/>
  <c r="AN187" i="16" s="1"/>
  <c r="AL167" i="16"/>
  <c r="AN167" i="16" s="1"/>
  <c r="AL88" i="16"/>
  <c r="AN88" i="16" s="1"/>
  <c r="AL23" i="16"/>
  <c r="AN23" i="16" s="1"/>
  <c r="O68" i="27"/>
  <c r="AL474" i="16"/>
  <c r="AN474" i="16" s="1"/>
  <c r="AL423" i="16"/>
  <c r="AN423" i="16" s="1"/>
  <c r="AL400" i="16"/>
  <c r="AN400" i="16" s="1"/>
  <c r="AL396" i="16"/>
  <c r="AN396" i="16" s="1"/>
  <c r="AL387" i="16"/>
  <c r="AN387" i="16" s="1"/>
  <c r="AL369" i="16"/>
  <c r="AN369" i="16" s="1"/>
  <c r="AL206" i="16"/>
  <c r="AN206" i="16" s="1"/>
  <c r="AL192" i="16"/>
  <c r="AN192" i="16" s="1"/>
  <c r="AL182" i="16"/>
  <c r="AN182" i="16" s="1"/>
  <c r="AL162" i="16"/>
  <c r="AN162" i="16" s="1"/>
  <c r="AL110" i="16"/>
  <c r="AN110" i="16" s="1"/>
  <c r="AL105" i="16"/>
  <c r="AN105" i="16" s="1"/>
  <c r="AL56" i="16"/>
  <c r="AN56" i="16" s="1"/>
  <c r="AL38" i="16"/>
  <c r="AN38" i="16" s="1"/>
  <c r="O88" i="27"/>
  <c r="AL455" i="16"/>
  <c r="AN455" i="16" s="1"/>
  <c r="AL404" i="16"/>
  <c r="AN404" i="16" s="1"/>
  <c r="AL215" i="16"/>
  <c r="AN215" i="16" s="1"/>
  <c r="O76" i="27"/>
  <c r="O63" i="27"/>
  <c r="O67" i="27"/>
  <c r="AL464" i="16"/>
  <c r="AN464" i="16" s="1"/>
  <c r="AL454" i="16"/>
  <c r="AN454" i="16" s="1"/>
  <c r="AL422" i="16"/>
  <c r="AN422" i="16" s="1"/>
  <c r="AL368" i="16"/>
  <c r="AN368" i="16" s="1"/>
  <c r="AL354" i="16"/>
  <c r="AN354" i="16" s="1"/>
  <c r="AL161" i="16"/>
  <c r="AN161" i="16" s="1"/>
  <c r="AL96" i="16"/>
  <c r="AN96" i="16" s="1"/>
  <c r="AL78" i="16"/>
  <c r="AN78" i="16" s="1"/>
  <c r="AL69" i="16"/>
  <c r="AN69" i="16" s="1"/>
  <c r="AL60" i="16"/>
  <c r="AN60" i="16" s="1"/>
  <c r="O75" i="27"/>
  <c r="AL372" i="16"/>
  <c r="AN372" i="16" s="1"/>
  <c r="AL228" i="16"/>
  <c r="AN228" i="16" s="1"/>
  <c r="O71" i="27"/>
  <c r="AL390" i="16"/>
  <c r="AN390" i="16" s="1"/>
  <c r="AL363" i="16"/>
  <c r="AN363" i="16" s="1"/>
  <c r="AL209" i="16"/>
  <c r="AN209" i="16" s="1"/>
  <c r="AL146" i="16"/>
  <c r="AN146" i="16" s="1"/>
  <c r="AL108" i="16"/>
  <c r="AN108" i="16" s="1"/>
  <c r="O81" i="27"/>
  <c r="AL490" i="16"/>
  <c r="AN490" i="16" s="1"/>
  <c r="AL458" i="16"/>
  <c r="AN458" i="16" s="1"/>
  <c r="AL417" i="16"/>
  <c r="AN417" i="16" s="1"/>
  <c r="AL358" i="16"/>
  <c r="AN358" i="16" s="1"/>
  <c r="AL349" i="16"/>
  <c r="AN349" i="16" s="1"/>
  <c r="AL344" i="16"/>
  <c r="AN344" i="16" s="1"/>
  <c r="AL323" i="16"/>
  <c r="AN323" i="16" s="1"/>
  <c r="AL309" i="16"/>
  <c r="AN309" i="16" s="1"/>
  <c r="AL266" i="16"/>
  <c r="AN266" i="16" s="1"/>
  <c r="AL262" i="16"/>
  <c r="AN262" i="16" s="1"/>
  <c r="AL253" i="16"/>
  <c r="AN253" i="16" s="1"/>
  <c r="AL185" i="16"/>
  <c r="AN185" i="16" s="1"/>
  <c r="AL127" i="16"/>
  <c r="AN127" i="16" s="1"/>
  <c r="AL117" i="16"/>
  <c r="AN117" i="16" s="1"/>
  <c r="O74" i="27"/>
  <c r="O89" i="27"/>
  <c r="AD83" i="16"/>
  <c r="AD51" i="16"/>
  <c r="AL412" i="16"/>
  <c r="AN412" i="16" s="1"/>
  <c r="AL136" i="16"/>
  <c r="AN136" i="16" s="1"/>
  <c r="E78" i="27"/>
  <c r="AL252" i="16"/>
  <c r="AN252" i="16" s="1"/>
  <c r="AL159" i="16"/>
  <c r="AN159" i="16" s="1"/>
  <c r="AL150" i="16"/>
  <c r="AN150" i="16" s="1"/>
  <c r="O85" i="27"/>
  <c r="AD13" i="16"/>
  <c r="AL384" i="16"/>
  <c r="AN384" i="16" s="1"/>
  <c r="AL322" i="16"/>
  <c r="AN322" i="16" s="1"/>
  <c r="AL296" i="16"/>
  <c r="AN296" i="16" s="1"/>
  <c r="G78" i="27"/>
  <c r="K78" i="27"/>
  <c r="O65" i="27"/>
  <c r="AD337" i="16"/>
  <c r="AF337" i="16" s="1"/>
  <c r="AL300" i="16"/>
  <c r="AN300" i="16" s="1"/>
  <c r="AL203" i="16"/>
  <c r="AN203" i="16" s="1"/>
  <c r="AL144" i="16"/>
  <c r="AN144" i="16" s="1"/>
  <c r="AL121" i="16"/>
  <c r="AN121" i="16" s="1"/>
  <c r="H78" i="27"/>
  <c r="AD229" i="16"/>
  <c r="AF229" i="16" s="1"/>
  <c r="AL461" i="16"/>
  <c r="AN461" i="16" s="1"/>
  <c r="AL433" i="16"/>
  <c r="AN433" i="16" s="1"/>
  <c r="AL401" i="16"/>
  <c r="AN401" i="16" s="1"/>
  <c r="AL343" i="16"/>
  <c r="AN343" i="16" s="1"/>
  <c r="AL312" i="16"/>
  <c r="AN312" i="16" s="1"/>
  <c r="AL231" i="16"/>
  <c r="AN231" i="16" s="1"/>
  <c r="AL115" i="16"/>
  <c r="AN115" i="16" s="1"/>
  <c r="M78" i="27"/>
  <c r="O84" i="27"/>
  <c r="AD295" i="16"/>
  <c r="AF295" i="16" s="1"/>
  <c r="AL295" i="16"/>
  <c r="AN295" i="16" s="1"/>
  <c r="AD445" i="16"/>
  <c r="AF445" i="16" s="1"/>
  <c r="AD415" i="16"/>
  <c r="AF415" i="16" s="1"/>
  <c r="AL415" i="16"/>
  <c r="AN415" i="16" s="1"/>
  <c r="AL299" i="16"/>
  <c r="AN299" i="16" s="1"/>
  <c r="AD299" i="16"/>
  <c r="AF299" i="16" s="1"/>
  <c r="AL153" i="16"/>
  <c r="AN153" i="16" s="1"/>
  <c r="AD153" i="16"/>
  <c r="AF153" i="16" s="1"/>
  <c r="AD405" i="16"/>
  <c r="AF405" i="16" s="1"/>
  <c r="AL405" i="16"/>
  <c r="AN405" i="16" s="1"/>
  <c r="AL383" i="16"/>
  <c r="AN383" i="16" s="1"/>
  <c r="AD383" i="16"/>
  <c r="AF383" i="16" s="1"/>
  <c r="AL329" i="16"/>
  <c r="AN329" i="16" s="1"/>
  <c r="AD329" i="16"/>
  <c r="AF329" i="16" s="1"/>
  <c r="AD277" i="16"/>
  <c r="AF277" i="16" s="1"/>
  <c r="AL277" i="16"/>
  <c r="AN277" i="16" s="1"/>
  <c r="AL33" i="16"/>
  <c r="AN33" i="16" s="1"/>
  <c r="AD33" i="16"/>
  <c r="AD355" i="16"/>
  <c r="AF355" i="16" s="1"/>
  <c r="AL355" i="16"/>
  <c r="AN355" i="16" s="1"/>
  <c r="AD281" i="16"/>
  <c r="AF281" i="16" s="1"/>
  <c r="AL281" i="16"/>
  <c r="AN281" i="16" s="1"/>
  <c r="AD253" i="16"/>
  <c r="AF253" i="16" s="1"/>
  <c r="AL289" i="16"/>
  <c r="AN289" i="16" s="1"/>
  <c r="AD289" i="16"/>
  <c r="AF289" i="16" s="1"/>
  <c r="AL133" i="16"/>
  <c r="AN133" i="16" s="1"/>
  <c r="AD133" i="16"/>
  <c r="AD323" i="16"/>
  <c r="AF323" i="16" s="1"/>
  <c r="AL395" i="16"/>
  <c r="AN395" i="16" s="1"/>
  <c r="AD395" i="16"/>
  <c r="AF395" i="16" s="1"/>
  <c r="AD491" i="16"/>
  <c r="AF491" i="16" s="1"/>
  <c r="AL491" i="16"/>
  <c r="AN491" i="16" s="1"/>
  <c r="AL359" i="16"/>
  <c r="AN359" i="16" s="1"/>
  <c r="AD359" i="16"/>
  <c r="AF359" i="16" s="1"/>
  <c r="AD267" i="16"/>
  <c r="AF267" i="16" s="1"/>
  <c r="AL267" i="16"/>
  <c r="AN267" i="16" s="1"/>
  <c r="AD237" i="16"/>
  <c r="AF237" i="16" s="1"/>
  <c r="AL237" i="16"/>
  <c r="AN237" i="16" s="1"/>
  <c r="AD345" i="16"/>
  <c r="AF345" i="16" s="1"/>
  <c r="AL345" i="16"/>
  <c r="AN345" i="16" s="1"/>
  <c r="AD481" i="16"/>
  <c r="AF481" i="16" s="1"/>
  <c r="AL481" i="16"/>
  <c r="AN481" i="16" s="1"/>
  <c r="AL403" i="16"/>
  <c r="AN403" i="16" s="1"/>
  <c r="AD403" i="16"/>
  <c r="AF403" i="16" s="1"/>
  <c r="AD327" i="16"/>
  <c r="AF327" i="16" s="1"/>
  <c r="AL327" i="16"/>
  <c r="AN327" i="16" s="1"/>
  <c r="AD223" i="16"/>
  <c r="AF223" i="16" s="1"/>
  <c r="AL223" i="16"/>
  <c r="AN223" i="16" s="1"/>
  <c r="AD495" i="16"/>
  <c r="AF495" i="16" s="1"/>
  <c r="AL495" i="16"/>
  <c r="AN495" i="16" s="1"/>
  <c r="AL453" i="16"/>
  <c r="AN453" i="16" s="1"/>
  <c r="AD453" i="16"/>
  <c r="AF453" i="16" s="1"/>
  <c r="AD183" i="16"/>
  <c r="AF183" i="16" s="1"/>
  <c r="AL439" i="16"/>
  <c r="AN439" i="16" s="1"/>
  <c r="AD439" i="16"/>
  <c r="AF439" i="16" s="1"/>
  <c r="AD335" i="16"/>
  <c r="AF335" i="16" s="1"/>
  <c r="AL335" i="16"/>
  <c r="AN335" i="16" s="1"/>
  <c r="AD99" i="16"/>
  <c r="AL99" i="16"/>
  <c r="AN99" i="16" s="1"/>
  <c r="AD467" i="16"/>
  <c r="AF467" i="16" s="1"/>
  <c r="AL467" i="16"/>
  <c r="AN467" i="16" s="1"/>
  <c r="AD457" i="16"/>
  <c r="AF457" i="16" s="1"/>
  <c r="AL457" i="16"/>
  <c r="AN457" i="16" s="1"/>
  <c r="AD443" i="16"/>
  <c r="AF443" i="16" s="1"/>
  <c r="AL443" i="16"/>
  <c r="AN443" i="16" s="1"/>
  <c r="AD149" i="16"/>
  <c r="AF149" i="16" s="1"/>
  <c r="AL149" i="16"/>
  <c r="AN149" i="16" s="1"/>
  <c r="AL82" i="16"/>
  <c r="AN82" i="16" s="1"/>
  <c r="AL221" i="16"/>
  <c r="AN221" i="16" s="1"/>
  <c r="AL22" i="16"/>
  <c r="AN22" i="16" s="1"/>
  <c r="AL98" i="16"/>
  <c r="AN98" i="16" s="1"/>
  <c r="AL4" i="16"/>
  <c r="AN4" i="16" s="1"/>
  <c r="AL191" i="16"/>
  <c r="AN191" i="16" s="1"/>
  <c r="AL143" i="16"/>
  <c r="AN143" i="16" s="1"/>
  <c r="AL89" i="16"/>
  <c r="AN89" i="16" s="1"/>
  <c r="AL58" i="16"/>
  <c r="AN58" i="16" s="1"/>
  <c r="AL109" i="16"/>
  <c r="AN109" i="16" s="1"/>
  <c r="AL130" i="16"/>
  <c r="AN130" i="16" s="1"/>
  <c r="AL181" i="16"/>
  <c r="AN181" i="16" s="1"/>
  <c r="AL103" i="16"/>
  <c r="AN103" i="16" s="1"/>
  <c r="C78" i="27"/>
  <c r="G40" i="44" l="1"/>
  <c r="AF106" i="16"/>
  <c r="AF119" i="16"/>
  <c r="AF51" i="16"/>
  <c r="AE61" i="35"/>
  <c r="AH61" i="35" s="1"/>
  <c r="AI61" i="35" s="1"/>
  <c r="AE70" i="35"/>
  <c r="AH70" i="35" s="1"/>
  <c r="AI70" i="35" s="1"/>
  <c r="J37" i="47"/>
  <c r="AE37" i="35"/>
  <c r="AH37" i="35" s="1"/>
  <c r="AI37" i="35" s="1"/>
  <c r="N83" i="27"/>
  <c r="N97" i="27" s="1"/>
  <c r="AE63" i="35"/>
  <c r="AH63" i="35" s="1"/>
  <c r="AI63" i="35" s="1"/>
  <c r="AE64" i="35"/>
  <c r="AH64" i="35" s="1"/>
  <c r="AI64" i="35" s="1"/>
  <c r="AE60" i="35"/>
  <c r="AH60" i="35" s="1"/>
  <c r="AI60" i="35" s="1"/>
  <c r="AE47" i="35"/>
  <c r="AH47" i="35" s="1"/>
  <c r="AI47" i="35" s="1"/>
  <c r="AE44" i="35"/>
  <c r="AH44" i="35" s="1"/>
  <c r="AI44" i="35" s="1"/>
  <c r="AE42" i="35"/>
  <c r="AH42" i="35" s="1"/>
  <c r="AI42" i="35" s="1"/>
  <c r="AE58" i="35"/>
  <c r="AH58" i="35" s="1"/>
  <c r="M83" i="27"/>
  <c r="M97" i="27" s="1"/>
  <c r="AE16" i="35"/>
  <c r="AH16" i="35" s="1"/>
  <c r="AE32" i="35"/>
  <c r="AH32" i="35" s="1"/>
  <c r="AE48" i="35"/>
  <c r="AH48" i="35" s="1"/>
  <c r="AI48" i="35" s="1"/>
  <c r="AF122" i="16"/>
  <c r="AG122" i="16" s="1"/>
  <c r="AF99" i="16"/>
  <c r="AG99" i="16" s="1"/>
  <c r="AE29" i="35"/>
  <c r="AH29" i="35" s="1"/>
  <c r="AI29" i="35" s="1"/>
  <c r="AE40" i="35"/>
  <c r="AH40" i="35" s="1"/>
  <c r="AE46" i="35"/>
  <c r="AH46" i="35" s="1"/>
  <c r="AI46" i="35" s="1"/>
  <c r="K83" i="27"/>
  <c r="K97" i="27" s="1"/>
  <c r="AF20" i="16"/>
  <c r="AI20" i="16" s="1"/>
  <c r="AJ20" i="16" s="1"/>
  <c r="L83" i="27"/>
  <c r="L97" i="27" s="1"/>
  <c r="AE45" i="35"/>
  <c r="AH45" i="35" s="1"/>
  <c r="AI45" i="35" s="1"/>
  <c r="AI201" i="35"/>
  <c r="AE62" i="35"/>
  <c r="AH62" i="35" s="1"/>
  <c r="AI62" i="35" s="1"/>
  <c r="AE50" i="35"/>
  <c r="AH50" i="35" s="1"/>
  <c r="AI50" i="35" s="1"/>
  <c r="AE35" i="35"/>
  <c r="AH35" i="35" s="1"/>
  <c r="AE49" i="35"/>
  <c r="AH49" i="35" s="1"/>
  <c r="AI49" i="35" s="1"/>
  <c r="Q19" i="49"/>
  <c r="G42" i="40"/>
  <c r="G43" i="7"/>
  <c r="AE56" i="35"/>
  <c r="AH56" i="35" s="1"/>
  <c r="AI56" i="35" s="1"/>
  <c r="AE55" i="35"/>
  <c r="AH55" i="35" s="1"/>
  <c r="AI55" i="35" s="1"/>
  <c r="AE54" i="35"/>
  <c r="AH54" i="35" s="1"/>
  <c r="AI54" i="35" s="1"/>
  <c r="AE53" i="35"/>
  <c r="AH53" i="35" s="1"/>
  <c r="AI53" i="35" s="1"/>
  <c r="AE52" i="35"/>
  <c r="AH52" i="35" s="1"/>
  <c r="AI52" i="35" s="1"/>
  <c r="AF132" i="16"/>
  <c r="AG132" i="16" s="1"/>
  <c r="AJ308" i="16"/>
  <c r="AF19" i="16"/>
  <c r="AG19" i="16" s="1"/>
  <c r="AF4" i="16"/>
  <c r="AG4" i="16" s="1"/>
  <c r="AF91" i="16"/>
  <c r="AG91" i="16" s="1"/>
  <c r="AF108" i="16"/>
  <c r="AI108" i="16" s="1"/>
  <c r="AJ108" i="16" s="1"/>
  <c r="AF101" i="16"/>
  <c r="AI101" i="16" s="1"/>
  <c r="AJ101" i="16" s="1"/>
  <c r="G42" i="14"/>
  <c r="G42" i="6"/>
  <c r="G42" i="13"/>
  <c r="AE33" i="35"/>
  <c r="AH33" i="35" s="1"/>
  <c r="AI33" i="35" s="1"/>
  <c r="AF5" i="16"/>
  <c r="AG5" i="16" s="1"/>
  <c r="AF59" i="16"/>
  <c r="AI59" i="16" s="1"/>
  <c r="AJ59" i="16" s="1"/>
  <c r="AE34" i="35"/>
  <c r="AH34" i="35" s="1"/>
  <c r="AI34" i="35" s="1"/>
  <c r="AE24" i="35"/>
  <c r="AH24" i="35" s="1"/>
  <c r="AI24" i="35" s="1"/>
  <c r="AF138" i="16"/>
  <c r="AG138" i="16" s="1"/>
  <c r="AF7" i="16"/>
  <c r="AI7" i="16" s="1"/>
  <c r="AJ7" i="16" s="1"/>
  <c r="AF133" i="16"/>
  <c r="AF131" i="16"/>
  <c r="AG131" i="16" s="1"/>
  <c r="AF18" i="16"/>
  <c r="AI18" i="16" s="1"/>
  <c r="AJ18" i="16" s="1"/>
  <c r="AE27" i="35"/>
  <c r="AH27" i="35" s="1"/>
  <c r="AI27" i="35" s="1"/>
  <c r="AI270" i="35"/>
  <c r="I83" i="27"/>
  <c r="I97" i="27" s="1"/>
  <c r="AE28" i="35"/>
  <c r="AH28" i="35" s="1"/>
  <c r="AI28" i="35" s="1"/>
  <c r="AF31" i="16"/>
  <c r="AG31" i="16" s="1"/>
  <c r="AE25" i="35"/>
  <c r="AH25" i="35" s="1"/>
  <c r="AI25" i="35" s="1"/>
  <c r="AF63" i="16"/>
  <c r="AI63" i="16" s="1"/>
  <c r="AJ63" i="16" s="1"/>
  <c r="AE43" i="35"/>
  <c r="AH43" i="35" s="1"/>
  <c r="AI43" i="35" s="1"/>
  <c r="J83" i="27"/>
  <c r="J97" i="27" s="1"/>
  <c r="AN120" i="16"/>
  <c r="I62" i="27"/>
  <c r="I78" i="27" s="1"/>
  <c r="AF128" i="16"/>
  <c r="AI128" i="16" s="1"/>
  <c r="AJ128" i="16" s="1"/>
  <c r="AF121" i="16"/>
  <c r="AG121" i="16" s="1"/>
  <c r="AF134" i="16"/>
  <c r="AI134" i="16" s="1"/>
  <c r="AJ134" i="16" s="1"/>
  <c r="AF135" i="16"/>
  <c r="AI135" i="16" s="1"/>
  <c r="AJ135" i="16" s="1"/>
  <c r="AF136" i="16"/>
  <c r="AI136" i="16" s="1"/>
  <c r="AJ136" i="16" s="1"/>
  <c r="AF125" i="16"/>
  <c r="AG125" i="16" s="1"/>
  <c r="AF120" i="16"/>
  <c r="AG120" i="16" s="1"/>
  <c r="AF126" i="16"/>
  <c r="AI126" i="16" s="1"/>
  <c r="AJ126" i="16" s="1"/>
  <c r="AF139" i="16"/>
  <c r="AI139" i="16" s="1"/>
  <c r="AJ139" i="16" s="1"/>
  <c r="AF129" i="16"/>
  <c r="AG129" i="16" s="1"/>
  <c r="AF127" i="16"/>
  <c r="AF124" i="16"/>
  <c r="AG124" i="16" s="1"/>
  <c r="AF130" i="16"/>
  <c r="AG130" i="16" s="1"/>
  <c r="H16" i="49"/>
  <c r="J16" i="49" s="1"/>
  <c r="S15" i="49"/>
  <c r="U39" i="49" s="1"/>
  <c r="V39" i="49" s="1"/>
  <c r="H15" i="49"/>
  <c r="J15" i="49" s="1"/>
  <c r="F15" i="49"/>
  <c r="H39" i="49" s="1"/>
  <c r="I39" i="49" s="1"/>
  <c r="AE31" i="35"/>
  <c r="AH31" i="35" s="1"/>
  <c r="AE22" i="35"/>
  <c r="AH22" i="35" s="1"/>
  <c r="AI22" i="35" s="1"/>
  <c r="AE39" i="35"/>
  <c r="AH39" i="35" s="1"/>
  <c r="AI39" i="35" s="1"/>
  <c r="AE38" i="35"/>
  <c r="AH38" i="35" s="1"/>
  <c r="AF61" i="16"/>
  <c r="AI61" i="16" s="1"/>
  <c r="AJ61" i="16" s="1"/>
  <c r="AF70" i="16"/>
  <c r="AI70" i="16" s="1"/>
  <c r="AJ70" i="16" s="1"/>
  <c r="AF105" i="16"/>
  <c r="AG105" i="16" s="1"/>
  <c r="AF100" i="16"/>
  <c r="AI100" i="16" s="1"/>
  <c r="AJ100" i="16" s="1"/>
  <c r="AF114" i="16"/>
  <c r="AG114" i="16" s="1"/>
  <c r="AF78" i="16"/>
  <c r="AI78" i="16" s="1"/>
  <c r="AJ78" i="16" s="1"/>
  <c r="AF110" i="16"/>
  <c r="AI110" i="16" s="1"/>
  <c r="AJ110" i="16" s="1"/>
  <c r="AF48" i="16"/>
  <c r="AG48" i="16" s="1"/>
  <c r="AF55" i="16"/>
  <c r="AG55" i="16" s="1"/>
  <c r="K41" i="11"/>
  <c r="AF11" i="16"/>
  <c r="AG11" i="16" s="1"/>
  <c r="AF22" i="16"/>
  <c r="AG22" i="16" s="1"/>
  <c r="AE17" i="35"/>
  <c r="AH17" i="35" s="1"/>
  <c r="AI17" i="35" s="1"/>
  <c r="AF8" i="16"/>
  <c r="I122" i="48"/>
  <c r="J122" i="48" s="1"/>
  <c r="L122" i="48" s="1"/>
  <c r="AF92" i="16"/>
  <c r="AG92" i="16" s="1"/>
  <c r="AF80" i="16"/>
  <c r="AI80" i="16" s="1"/>
  <c r="AJ80" i="16" s="1"/>
  <c r="AF76" i="16"/>
  <c r="AI76" i="16" s="1"/>
  <c r="AJ76" i="16" s="1"/>
  <c r="AF26" i="16"/>
  <c r="AG26" i="16" s="1"/>
  <c r="F16" i="49"/>
  <c r="H40" i="49" s="1"/>
  <c r="I40" i="49" s="1"/>
  <c r="AF93" i="16"/>
  <c r="AG93" i="16" s="1"/>
  <c r="AF81" i="16"/>
  <c r="AI81" i="16" s="1"/>
  <c r="AJ81" i="16" s="1"/>
  <c r="AF88" i="16"/>
  <c r="AI88" i="16" s="1"/>
  <c r="AJ88" i="16" s="1"/>
  <c r="AF98" i="16"/>
  <c r="AG98" i="16" s="1"/>
  <c r="AF72" i="16"/>
  <c r="AI72" i="16" s="1"/>
  <c r="AJ72" i="16" s="1"/>
  <c r="AF109" i="16"/>
  <c r="AI109" i="16" s="1"/>
  <c r="AJ109" i="16" s="1"/>
  <c r="AF97" i="16"/>
  <c r="AG97" i="16" s="1"/>
  <c r="AF83" i="16"/>
  <c r="AI83" i="16" s="1"/>
  <c r="AJ83" i="16" s="1"/>
  <c r="AF96" i="16"/>
  <c r="AG96" i="16" s="1"/>
  <c r="AF115" i="16"/>
  <c r="AG115" i="16" s="1"/>
  <c r="AF112" i="16"/>
  <c r="AI112" i="16" s="1"/>
  <c r="AJ112" i="16" s="1"/>
  <c r="AF82" i="16"/>
  <c r="AI82" i="16" s="1"/>
  <c r="AJ82" i="16" s="1"/>
  <c r="AF79" i="16"/>
  <c r="AG79" i="16" s="1"/>
  <c r="AF116" i="16"/>
  <c r="AG116" i="16" s="1"/>
  <c r="AF64" i="16"/>
  <c r="AG64" i="16" s="1"/>
  <c r="AF71" i="16"/>
  <c r="AG71" i="16" s="1"/>
  <c r="AF73" i="16"/>
  <c r="AG73" i="16" s="1"/>
  <c r="AF67" i="16"/>
  <c r="AG67" i="16" s="1"/>
  <c r="AF118" i="16"/>
  <c r="AI118" i="16" s="1"/>
  <c r="AJ118" i="16" s="1"/>
  <c r="AF75" i="16"/>
  <c r="AG75" i="16" s="1"/>
  <c r="AF69" i="16"/>
  <c r="AG69" i="16" s="1"/>
  <c r="AF77" i="16"/>
  <c r="AI77" i="16" s="1"/>
  <c r="AJ77" i="16" s="1"/>
  <c r="AF62" i="16"/>
  <c r="AI62" i="16" s="1"/>
  <c r="AF85" i="16"/>
  <c r="AI85" i="16" s="1"/>
  <c r="AN59" i="16"/>
  <c r="F62" i="27"/>
  <c r="F78" i="27" s="1"/>
  <c r="AF117" i="16"/>
  <c r="AG117" i="16" s="1"/>
  <c r="AF95" i="16"/>
  <c r="AI95" i="16" s="1"/>
  <c r="AJ95" i="16" s="1"/>
  <c r="AN65" i="16"/>
  <c r="D62" i="27"/>
  <c r="AF94" i="16"/>
  <c r="AG94" i="16" s="1"/>
  <c r="AF86" i="16"/>
  <c r="AI86" i="16" s="1"/>
  <c r="AJ86" i="16" s="1"/>
  <c r="AF113" i="16"/>
  <c r="AG113" i="16" s="1"/>
  <c r="AF107" i="16"/>
  <c r="AG107" i="16" s="1"/>
  <c r="AF103" i="16"/>
  <c r="AI103" i="16" s="1"/>
  <c r="AJ103" i="16" s="1"/>
  <c r="AF65" i="16"/>
  <c r="AI65" i="16" s="1"/>
  <c r="AJ65" i="16" s="1"/>
  <c r="AF60" i="16"/>
  <c r="AG60" i="16" s="1"/>
  <c r="AF111" i="16"/>
  <c r="AI111" i="16" s="1"/>
  <c r="AJ111" i="16" s="1"/>
  <c r="AF87" i="16"/>
  <c r="AG87" i="16" s="1"/>
  <c r="AF74" i="16"/>
  <c r="AG74" i="16" s="1"/>
  <c r="AF90" i="16"/>
  <c r="AI90" i="16" s="1"/>
  <c r="AJ90" i="16" s="1"/>
  <c r="AF84" i="16"/>
  <c r="AG84" i="16" s="1"/>
  <c r="AF66" i="16"/>
  <c r="AI66" i="16" s="1"/>
  <c r="AJ66" i="16" s="1"/>
  <c r="AF68" i="16"/>
  <c r="AG68" i="16" s="1"/>
  <c r="AF102" i="16"/>
  <c r="AG102" i="16" s="1"/>
  <c r="AF104" i="16"/>
  <c r="AI104" i="16" s="1"/>
  <c r="AJ104" i="16" s="1"/>
  <c r="AF89" i="16"/>
  <c r="AG89" i="16" s="1"/>
  <c r="AI172" i="35"/>
  <c r="F83" i="27"/>
  <c r="F97" i="27" s="1"/>
  <c r="AE36" i="35"/>
  <c r="AH36" i="35" s="1"/>
  <c r="AH385" i="35"/>
  <c r="AI385" i="35" s="1"/>
  <c r="AE21" i="35"/>
  <c r="AH21" i="35" s="1"/>
  <c r="AI21" i="35" s="1"/>
  <c r="AI293" i="35"/>
  <c r="AE15" i="35"/>
  <c r="AH15" i="35" s="1"/>
  <c r="AI15" i="35" s="1"/>
  <c r="C83" i="27"/>
  <c r="C97" i="27" s="1"/>
  <c r="AI444" i="35"/>
  <c r="AE12" i="35"/>
  <c r="AH12" i="35" s="1"/>
  <c r="AI12" i="35" s="1"/>
  <c r="AE14" i="35"/>
  <c r="AH14" i="35" s="1"/>
  <c r="AE23" i="35"/>
  <c r="AH23" i="35" s="1"/>
  <c r="AI23" i="35" s="1"/>
  <c r="AE18" i="35"/>
  <c r="AH18" i="35" s="1"/>
  <c r="H83" i="27"/>
  <c r="H97" i="27" s="1"/>
  <c r="G83" i="27"/>
  <c r="G97" i="27" s="1"/>
  <c r="AE13" i="35"/>
  <c r="AH13" i="35" s="1"/>
  <c r="AI13" i="35" s="1"/>
  <c r="AE20" i="35"/>
  <c r="AH20" i="35" s="1"/>
  <c r="AI20" i="35" s="1"/>
  <c r="AE19" i="35"/>
  <c r="AH19" i="35" s="1"/>
  <c r="AI19" i="35" s="1"/>
  <c r="E83" i="27"/>
  <c r="E97" i="27" s="1"/>
  <c r="D83" i="27"/>
  <c r="D97" i="27" s="1"/>
  <c r="AI2" i="35"/>
  <c r="K67" i="5"/>
  <c r="K85" i="5" s="1"/>
  <c r="K18" i="3" s="1"/>
  <c r="G85" i="5"/>
  <c r="K25" i="39"/>
  <c r="K46" i="39" s="1"/>
  <c r="K62" i="3" s="1"/>
  <c r="AF57" i="16"/>
  <c r="AG57" i="16" s="1"/>
  <c r="AF54" i="16"/>
  <c r="AG54" i="16" s="1"/>
  <c r="AF53" i="16"/>
  <c r="AG53" i="16" s="1"/>
  <c r="AF56" i="16"/>
  <c r="AG56" i="16" s="1"/>
  <c r="AF52" i="16"/>
  <c r="AI52" i="16" s="1"/>
  <c r="AJ52" i="16" s="1"/>
  <c r="AF50" i="16"/>
  <c r="AG50" i="16" s="1"/>
  <c r="AF49" i="16"/>
  <c r="AG49" i="16" s="1"/>
  <c r="AF47" i="16"/>
  <c r="AG47" i="16" s="1"/>
  <c r="AF46" i="16"/>
  <c r="AI46" i="16" s="1"/>
  <c r="AJ46" i="16" s="1"/>
  <c r="AI494" i="35"/>
  <c r="AF13" i="16"/>
  <c r="AG13" i="16" s="1"/>
  <c r="AI332" i="35"/>
  <c r="AF43" i="16"/>
  <c r="AG43" i="16" s="1"/>
  <c r="AF12" i="16"/>
  <c r="AG12" i="16" s="1"/>
  <c r="AI350" i="35"/>
  <c r="AF23" i="16"/>
  <c r="AG23" i="16" s="1"/>
  <c r="AF27" i="16"/>
  <c r="AG27" i="16" s="1"/>
  <c r="AF35" i="16"/>
  <c r="AG35" i="16" s="1"/>
  <c r="AF36" i="16"/>
  <c r="AG36" i="16" s="1"/>
  <c r="AF41" i="16"/>
  <c r="AI41" i="16" s="1"/>
  <c r="AJ41" i="16" s="1"/>
  <c r="I42" i="40"/>
  <c r="I96" i="48"/>
  <c r="J96" i="48" s="1"/>
  <c r="L96" i="48" s="1"/>
  <c r="J39" i="47"/>
  <c r="AF37" i="16"/>
  <c r="AG37" i="16" s="1"/>
  <c r="AI99" i="35"/>
  <c r="I42" i="6"/>
  <c r="AF44" i="16"/>
  <c r="AG44" i="16" s="1"/>
  <c r="AF42" i="16"/>
  <c r="AG42" i="16" s="1"/>
  <c r="AF39" i="16"/>
  <c r="AG39" i="16" s="1"/>
  <c r="AF40" i="16"/>
  <c r="AI40" i="16" s="1"/>
  <c r="AJ40" i="16" s="1"/>
  <c r="AF38" i="16"/>
  <c r="AI38" i="16" s="1"/>
  <c r="AJ38" i="16" s="1"/>
  <c r="AF33" i="16"/>
  <c r="AI33" i="16" s="1"/>
  <c r="AJ33" i="16" s="1"/>
  <c r="AF30" i="16"/>
  <c r="AG30" i="16" s="1"/>
  <c r="AF29" i="16"/>
  <c r="AG29" i="16" s="1"/>
  <c r="AF34" i="16"/>
  <c r="AI34" i="16" s="1"/>
  <c r="AJ34" i="16" s="1"/>
  <c r="AF32" i="16"/>
  <c r="AG32" i="16" s="1"/>
  <c r="AF28" i="16"/>
  <c r="AI28" i="16" s="1"/>
  <c r="AJ28" i="16" s="1"/>
  <c r="AF25" i="16"/>
  <c r="AI25" i="16" s="1"/>
  <c r="AJ25" i="16" s="1"/>
  <c r="AF24" i="16"/>
  <c r="AG24" i="16" s="1"/>
  <c r="AF21" i="16"/>
  <c r="AG21" i="16" s="1"/>
  <c r="AF17" i="16"/>
  <c r="AI17" i="16" s="1"/>
  <c r="AJ17" i="16" s="1"/>
  <c r="AF15" i="16"/>
  <c r="AG15" i="16" s="1"/>
  <c r="AF16" i="16"/>
  <c r="AI16" i="16" s="1"/>
  <c r="AJ16" i="16" s="1"/>
  <c r="AF10" i="16"/>
  <c r="AG10" i="16" s="1"/>
  <c r="AF9" i="16"/>
  <c r="AG9" i="16" s="1"/>
  <c r="AF6" i="16"/>
  <c r="AI6" i="16" s="1"/>
  <c r="AJ6" i="16" s="1"/>
  <c r="I57" i="10"/>
  <c r="F57" i="10"/>
  <c r="G45" i="15"/>
  <c r="H57" i="10"/>
  <c r="AH322" i="35"/>
  <c r="AI322" i="35" s="1"/>
  <c r="J38" i="47"/>
  <c r="J40" i="44"/>
  <c r="K40" i="3" s="1"/>
  <c r="AH450" i="35"/>
  <c r="AI450" i="35" s="1"/>
  <c r="AH375" i="35"/>
  <c r="AI375" i="35" s="1"/>
  <c r="AI135" i="35"/>
  <c r="AI311" i="35"/>
  <c r="AI289" i="35"/>
  <c r="J41" i="47"/>
  <c r="J35" i="47"/>
  <c r="I46" i="39"/>
  <c r="AI474" i="35"/>
  <c r="AI186" i="35"/>
  <c r="S2" i="16"/>
  <c r="T2" i="16" s="1"/>
  <c r="AE2" i="16" s="1"/>
  <c r="AF2" i="16" s="1"/>
  <c r="AI2" i="16" s="1"/>
  <c r="AI195" i="35"/>
  <c r="AI259" i="35"/>
  <c r="AI353" i="16"/>
  <c r="AJ353" i="16" s="1"/>
  <c r="AG353" i="16"/>
  <c r="AH166" i="35"/>
  <c r="AI166" i="35" s="1"/>
  <c r="AH131" i="35"/>
  <c r="AI131" i="35" s="1"/>
  <c r="AG156" i="16"/>
  <c r="AI156" i="16"/>
  <c r="AJ156" i="16" s="1"/>
  <c r="AH246" i="35"/>
  <c r="AI246" i="35" s="1"/>
  <c r="J69" i="48"/>
  <c r="L69" i="48" s="1"/>
  <c r="AI384" i="35"/>
  <c r="AI230" i="35"/>
  <c r="AI390" i="35"/>
  <c r="AI445" i="35"/>
  <c r="AI84" i="35"/>
  <c r="J147" i="48"/>
  <c r="L147" i="48" s="1"/>
  <c r="AI372" i="16"/>
  <c r="AJ372" i="16" s="1"/>
  <c r="J40" i="47"/>
  <c r="AI137" i="35"/>
  <c r="AG338" i="16"/>
  <c r="AI457" i="35"/>
  <c r="AI454" i="35"/>
  <c r="AI126" i="35"/>
  <c r="AF3" i="16"/>
  <c r="AG3" i="16" s="1"/>
  <c r="AI297" i="35"/>
  <c r="AI111" i="35"/>
  <c r="AI225" i="35"/>
  <c r="J16" i="44"/>
  <c r="I18" i="48"/>
  <c r="J18" i="48" s="1"/>
  <c r="L18" i="48" s="1"/>
  <c r="AI123" i="35"/>
  <c r="AI321" i="35"/>
  <c r="AI256" i="35"/>
  <c r="AI253" i="35"/>
  <c r="AI462" i="16"/>
  <c r="AJ462" i="16" s="1"/>
  <c r="AI437" i="16"/>
  <c r="AJ437" i="16" s="1"/>
  <c r="AI265" i="35"/>
  <c r="AI168" i="35"/>
  <c r="U21" i="49"/>
  <c r="W21" i="49" s="1"/>
  <c r="S21" i="49"/>
  <c r="U45" i="49" s="1"/>
  <c r="V45" i="49" s="1"/>
  <c r="F11" i="49"/>
  <c r="H35" i="49" s="1"/>
  <c r="I35" i="49" s="1"/>
  <c r="Q11" i="49"/>
  <c r="H11" i="49"/>
  <c r="J11" i="49" s="1"/>
  <c r="J23" i="49" s="1"/>
  <c r="K20" i="3" s="1"/>
  <c r="S17" i="49"/>
  <c r="U41" i="49" s="1"/>
  <c r="V41" i="49" s="1"/>
  <c r="U17" i="49"/>
  <c r="W17" i="49" s="1"/>
  <c r="S10" i="49"/>
  <c r="U34" i="49" s="1"/>
  <c r="O21" i="27"/>
  <c r="O45" i="27"/>
  <c r="O154" i="27"/>
  <c r="O40" i="27"/>
  <c r="O116" i="27"/>
  <c r="O135" i="27"/>
  <c r="AH267" i="35"/>
  <c r="AI267" i="35" s="1"/>
  <c r="J40" i="45"/>
  <c r="K41" i="3" s="1"/>
  <c r="K36" i="11"/>
  <c r="AG226" i="16"/>
  <c r="AI226" i="16"/>
  <c r="AJ226" i="16" s="1"/>
  <c r="AI374" i="35"/>
  <c r="AI170" i="35"/>
  <c r="AI51" i="35"/>
  <c r="AI221" i="35"/>
  <c r="AI197" i="35"/>
  <c r="I42" i="13"/>
  <c r="AI451" i="35"/>
  <c r="AI139" i="35"/>
  <c r="AI203" i="35"/>
  <c r="K40" i="11"/>
  <c r="K42" i="40"/>
  <c r="K63" i="3" s="1"/>
  <c r="H14" i="33" s="1"/>
  <c r="J14" i="33" s="1"/>
  <c r="AI360" i="35"/>
  <c r="AI495" i="35"/>
  <c r="AI465" i="35"/>
  <c r="AI243" i="35"/>
  <c r="AI119" i="35"/>
  <c r="AI157" i="35"/>
  <c r="W165" i="48"/>
  <c r="J16" i="45"/>
  <c r="AI241" i="35"/>
  <c r="AH417" i="35"/>
  <c r="AI417" i="35" s="1"/>
  <c r="I42" i="14"/>
  <c r="AI385" i="16"/>
  <c r="AJ385" i="16" s="1"/>
  <c r="K38" i="11"/>
  <c r="AG356" i="16"/>
  <c r="AI356" i="16"/>
  <c r="AJ356" i="16" s="1"/>
  <c r="P35" i="10"/>
  <c r="P57" i="10" s="1"/>
  <c r="K42" i="6"/>
  <c r="K19" i="3" s="1"/>
  <c r="AG214" i="16"/>
  <c r="K15" i="6"/>
  <c r="M57" i="10"/>
  <c r="AI462" i="35"/>
  <c r="AI440" i="16"/>
  <c r="AJ440" i="16" s="1"/>
  <c r="AI148" i="35"/>
  <c r="AI180" i="35"/>
  <c r="AI239" i="35"/>
  <c r="AI436" i="16"/>
  <c r="AJ436" i="16" s="1"/>
  <c r="AI481" i="35"/>
  <c r="AI3" i="35"/>
  <c r="AG308" i="16"/>
  <c r="AI345" i="35"/>
  <c r="AI218" i="35"/>
  <c r="AI198" i="35"/>
  <c r="S13" i="49"/>
  <c r="U37" i="49" s="1"/>
  <c r="V37" i="49" s="1"/>
  <c r="U13" i="49"/>
  <c r="W13" i="49" s="1"/>
  <c r="U12" i="49"/>
  <c r="W12" i="49" s="1"/>
  <c r="S12" i="49"/>
  <c r="U36" i="49" s="1"/>
  <c r="V36" i="49" s="1"/>
  <c r="AI227" i="16"/>
  <c r="AJ227" i="16" s="1"/>
  <c r="AI335" i="35"/>
  <c r="AI498" i="35"/>
  <c r="AI480" i="35"/>
  <c r="AI209" i="35"/>
  <c r="AI82" i="35"/>
  <c r="AI151" i="35"/>
  <c r="AI121" i="35"/>
  <c r="AI487" i="35"/>
  <c r="AI388" i="35"/>
  <c r="AI361" i="16"/>
  <c r="AJ361" i="16" s="1"/>
  <c r="AI309" i="35"/>
  <c r="D28" i="20"/>
  <c r="E28" i="20" s="1"/>
  <c r="F28" i="20" s="1"/>
  <c r="G28" i="20" s="1"/>
  <c r="H28" i="20" s="1"/>
  <c r="I28" i="20" s="1"/>
  <c r="J28" i="20" s="1"/>
  <c r="K28" i="20" s="1"/>
  <c r="L28" i="20" s="1"/>
  <c r="M28" i="20" s="1"/>
  <c r="N28" i="20" s="1"/>
  <c r="O28" i="20" s="1"/>
  <c r="C28" i="20"/>
  <c r="G46" i="39"/>
  <c r="K39" i="11"/>
  <c r="K35" i="11"/>
  <c r="K37" i="11"/>
  <c r="O49" i="27"/>
  <c r="G57" i="11"/>
  <c r="AI143" i="35"/>
  <c r="AI10" i="35"/>
  <c r="AI93" i="35"/>
  <c r="AI117" i="35"/>
  <c r="K45" i="15"/>
  <c r="K65" i="3" s="1"/>
  <c r="K42" i="13"/>
  <c r="K38" i="3" s="1"/>
  <c r="J30" i="47"/>
  <c r="G57" i="47"/>
  <c r="N59" i="27"/>
  <c r="O44" i="27"/>
  <c r="O51" i="27"/>
  <c r="I59" i="27"/>
  <c r="L59" i="27"/>
  <c r="O55" i="27"/>
  <c r="K59" i="27"/>
  <c r="O52" i="27"/>
  <c r="J59" i="27"/>
  <c r="G59" i="27"/>
  <c r="O56" i="27"/>
  <c r="F59" i="27"/>
  <c r="H59" i="27"/>
  <c r="O53" i="27"/>
  <c r="D59" i="27"/>
  <c r="O43" i="27"/>
  <c r="C59" i="27"/>
  <c r="O57" i="27"/>
  <c r="O50" i="27"/>
  <c r="E59" i="27"/>
  <c r="O48" i="27"/>
  <c r="O58" i="27"/>
  <c r="M59" i="27"/>
  <c r="O47" i="27"/>
  <c r="O46" i="27"/>
  <c r="O54" i="27"/>
  <c r="I43" i="7"/>
  <c r="AI219" i="35"/>
  <c r="O18" i="48"/>
  <c r="AI314" i="16"/>
  <c r="AJ314" i="16" s="1"/>
  <c r="AI128" i="35"/>
  <c r="AI273" i="16"/>
  <c r="AJ273" i="16" s="1"/>
  <c r="AI242" i="35"/>
  <c r="AJ182" i="16"/>
  <c r="AI58" i="35"/>
  <c r="AG146" i="16"/>
  <c r="AI278" i="35"/>
  <c r="AI130" i="35"/>
  <c r="AI365" i="35"/>
  <c r="AI138" i="35"/>
  <c r="AI145" i="16"/>
  <c r="AJ145" i="16" s="1"/>
  <c r="AI294" i="35"/>
  <c r="AI174" i="35"/>
  <c r="AI242" i="16"/>
  <c r="AJ242" i="16" s="1"/>
  <c r="AI410" i="16"/>
  <c r="AJ410" i="16" s="1"/>
  <c r="AI246" i="16"/>
  <c r="AJ246" i="16" s="1"/>
  <c r="S14" i="49"/>
  <c r="U38" i="49" s="1"/>
  <c r="V38" i="49" s="1"/>
  <c r="U16" i="49"/>
  <c r="W16" i="49" s="1"/>
  <c r="S16" i="49"/>
  <c r="U40" i="49" s="1"/>
  <c r="V40" i="49" s="1"/>
  <c r="AI168" i="16"/>
  <c r="AJ168" i="16" s="1"/>
  <c r="AI244" i="16"/>
  <c r="AJ244" i="16" s="1"/>
  <c r="AG288" i="16"/>
  <c r="AJ214" i="16"/>
  <c r="AG448" i="16"/>
  <c r="AI154" i="16"/>
  <c r="AJ154" i="16" s="1"/>
  <c r="AI280" i="35"/>
  <c r="AI405" i="35"/>
  <c r="AI91" i="35"/>
  <c r="AI112" i="35"/>
  <c r="AG182" i="16"/>
  <c r="AI328" i="35"/>
  <c r="AI401" i="35"/>
  <c r="AI165" i="35"/>
  <c r="AG404" i="16"/>
  <c r="AI252" i="16"/>
  <c r="AJ252" i="16" s="1"/>
  <c r="AI478" i="16"/>
  <c r="AJ478" i="16" s="1"/>
  <c r="AI162" i="35"/>
  <c r="AG148" i="16"/>
  <c r="AI378" i="35"/>
  <c r="AI428" i="35"/>
  <c r="AI153" i="35"/>
  <c r="AI415" i="35"/>
  <c r="AI332" i="16"/>
  <c r="AJ332" i="16" s="1"/>
  <c r="AI115" i="35"/>
  <c r="AG363" i="16"/>
  <c r="AI272" i="35"/>
  <c r="AG283" i="16"/>
  <c r="AG221" i="16"/>
  <c r="AI172" i="16"/>
  <c r="AJ172" i="16" s="1"/>
  <c r="AI302" i="16"/>
  <c r="AJ302" i="16" s="1"/>
  <c r="AI426" i="16"/>
  <c r="AJ426" i="16" s="1"/>
  <c r="AI357" i="35"/>
  <c r="AI209" i="16"/>
  <c r="AJ209" i="16" s="1"/>
  <c r="AG196" i="16"/>
  <c r="AI255" i="16"/>
  <c r="AJ255" i="16" s="1"/>
  <c r="AI208" i="35"/>
  <c r="AI80" i="35"/>
  <c r="AI319" i="35"/>
  <c r="AI353" i="35"/>
  <c r="AI310" i="16"/>
  <c r="AJ310" i="16" s="1"/>
  <c r="AI101" i="35"/>
  <c r="AI391" i="16"/>
  <c r="AJ391" i="16" s="1"/>
  <c r="AI181" i="16"/>
  <c r="AJ181" i="16" s="1"/>
  <c r="AI123" i="16"/>
  <c r="AJ123" i="16" s="1"/>
  <c r="AI202" i="16"/>
  <c r="AJ202" i="16" s="1"/>
  <c r="AI420" i="16"/>
  <c r="AJ420" i="16" s="1"/>
  <c r="AI40" i="35"/>
  <c r="AI159" i="16"/>
  <c r="AJ159" i="16" s="1"/>
  <c r="AI108" i="35"/>
  <c r="AI420" i="35"/>
  <c r="AG421" i="16"/>
  <c r="AI136" i="35"/>
  <c r="AI212" i="35"/>
  <c r="AG385" i="16"/>
  <c r="AI438" i="16"/>
  <c r="AJ438" i="16" s="1"/>
  <c r="AI352" i="16"/>
  <c r="AJ352" i="16" s="1"/>
  <c r="AG368" i="16"/>
  <c r="AI196" i="35"/>
  <c r="AI236" i="35"/>
  <c r="AI399" i="35"/>
  <c r="AI170" i="16"/>
  <c r="AJ170" i="16" s="1"/>
  <c r="AG500" i="16"/>
  <c r="AI487" i="16"/>
  <c r="AJ487" i="16" s="1"/>
  <c r="AI202" i="35"/>
  <c r="AG485" i="16"/>
  <c r="AI228" i="35"/>
  <c r="AI181" i="35"/>
  <c r="AI482" i="16"/>
  <c r="AJ482" i="16" s="1"/>
  <c r="AI144" i="16"/>
  <c r="AJ144" i="16" s="1"/>
  <c r="AG370" i="16"/>
  <c r="AI189" i="16"/>
  <c r="AJ189" i="16" s="1"/>
  <c r="AG189" i="16"/>
  <c r="AI142" i="16"/>
  <c r="AJ142" i="16" s="1"/>
  <c r="AG142" i="16"/>
  <c r="AI317" i="16"/>
  <c r="AJ317" i="16" s="1"/>
  <c r="AG317" i="16"/>
  <c r="AG280" i="16"/>
  <c r="AI280" i="16"/>
  <c r="AJ280" i="16" s="1"/>
  <c r="N57" i="10"/>
  <c r="K31" i="3" s="1"/>
  <c r="K32" i="3" s="1"/>
  <c r="Q57" i="10"/>
  <c r="K74" i="3" s="1"/>
  <c r="K75" i="3" s="1"/>
  <c r="AG392" i="16"/>
  <c r="AI343" i="16"/>
  <c r="AJ343" i="16" s="1"/>
  <c r="AI446" i="16"/>
  <c r="AJ446" i="16" s="1"/>
  <c r="AI331" i="16"/>
  <c r="AJ331" i="16" s="1"/>
  <c r="AG247" i="16"/>
  <c r="AI247" i="16"/>
  <c r="AJ247" i="16" s="1"/>
  <c r="AG347" i="16"/>
  <c r="AI347" i="16"/>
  <c r="AJ347" i="16" s="1"/>
  <c r="AI232" i="16"/>
  <c r="AJ232" i="16" s="1"/>
  <c r="AG232" i="16"/>
  <c r="AI73" i="35"/>
  <c r="AI483" i="16"/>
  <c r="AJ483" i="16" s="1"/>
  <c r="AI194" i="16"/>
  <c r="AJ194" i="16" s="1"/>
  <c r="AG373" i="16"/>
  <c r="AI435" i="16"/>
  <c r="AJ435" i="16" s="1"/>
  <c r="Q30" i="10"/>
  <c r="AI461" i="16"/>
  <c r="AJ461" i="16" s="1"/>
  <c r="AG184" i="16"/>
  <c r="AI409" i="16"/>
  <c r="AJ409" i="16" s="1"/>
  <c r="AI178" i="16"/>
  <c r="AJ178" i="16" s="1"/>
  <c r="AI286" i="16"/>
  <c r="AJ286" i="16" s="1"/>
  <c r="AG251" i="16"/>
  <c r="AI406" i="16"/>
  <c r="AJ406" i="16" s="1"/>
  <c r="AG489" i="16"/>
  <c r="AG470" i="16"/>
  <c r="AI411" i="16"/>
  <c r="AJ411" i="16" s="1"/>
  <c r="AG411" i="16"/>
  <c r="AI30" i="35"/>
  <c r="AG195" i="16"/>
  <c r="AI471" i="16"/>
  <c r="AJ471" i="16" s="1"/>
  <c r="AI452" i="16"/>
  <c r="AJ452" i="16" s="1"/>
  <c r="AI473" i="16"/>
  <c r="AJ473" i="16" s="1"/>
  <c r="AI354" i="16"/>
  <c r="AJ354" i="16" s="1"/>
  <c r="AI118" i="35"/>
  <c r="AG266" i="16"/>
  <c r="AI222" i="16"/>
  <c r="AJ222" i="16" s="1"/>
  <c r="AG366" i="16"/>
  <c r="AG498" i="16"/>
  <c r="AG348" i="16"/>
  <c r="AI336" i="35"/>
  <c r="AJ470" i="16"/>
  <c r="AG258" i="16"/>
  <c r="AI433" i="16"/>
  <c r="AJ433" i="16" s="1"/>
  <c r="AI161" i="16"/>
  <c r="AJ161" i="16" s="1"/>
  <c r="AG134" i="16"/>
  <c r="AG414" i="16"/>
  <c r="AI442" i="16"/>
  <c r="AJ442" i="16" s="1"/>
  <c r="AG499" i="16"/>
  <c r="AG180" i="16"/>
  <c r="AG199" i="16"/>
  <c r="I19" i="39"/>
  <c r="I85" i="5"/>
  <c r="AG313" i="16"/>
  <c r="AI313" i="16"/>
  <c r="AJ313" i="16" s="1"/>
  <c r="AI455" i="16"/>
  <c r="AJ455" i="16" s="1"/>
  <c r="AG360" i="16"/>
  <c r="AG174" i="16"/>
  <c r="AI174" i="16"/>
  <c r="AJ174" i="16" s="1"/>
  <c r="AG296" i="16"/>
  <c r="AG399" i="16"/>
  <c r="AG413" i="16"/>
  <c r="I45" i="48"/>
  <c r="I46" i="48" s="1"/>
  <c r="AI250" i="16"/>
  <c r="AJ250" i="16" s="1"/>
  <c r="AG464" i="16"/>
  <c r="AI447" i="16"/>
  <c r="AJ447" i="16" s="1"/>
  <c r="AG488" i="16"/>
  <c r="AG171" i="16"/>
  <c r="AI171" i="16"/>
  <c r="AJ171" i="16" s="1"/>
  <c r="AG262" i="16"/>
  <c r="AI262" i="16"/>
  <c r="AJ262" i="16" s="1"/>
  <c r="AG430" i="16"/>
  <c r="AI430" i="16"/>
  <c r="AJ430" i="16" s="1"/>
  <c r="AG155" i="16"/>
  <c r="AI155" i="16"/>
  <c r="AJ155" i="16" s="1"/>
  <c r="AI211" i="16"/>
  <c r="AJ211" i="16" s="1"/>
  <c r="AG324" i="16"/>
  <c r="AI324" i="16"/>
  <c r="AJ324" i="16" s="1"/>
  <c r="AG374" i="16"/>
  <c r="AI374" i="16"/>
  <c r="AJ374" i="16" s="1"/>
  <c r="AG469" i="16"/>
  <c r="AI469" i="16"/>
  <c r="AJ469" i="16" s="1"/>
  <c r="AG188" i="16"/>
  <c r="AI188" i="16"/>
  <c r="AJ188" i="16" s="1"/>
  <c r="AI167" i="16"/>
  <c r="AJ167" i="16" s="1"/>
  <c r="AG167" i="16"/>
  <c r="AI290" i="16"/>
  <c r="AJ290" i="16" s="1"/>
  <c r="AI224" i="16"/>
  <c r="AJ224" i="16" s="1"/>
  <c r="AG408" i="16"/>
  <c r="AI362" i="16"/>
  <c r="AJ362" i="16" s="1"/>
  <c r="AG362" i="16"/>
  <c r="AI150" i="16"/>
  <c r="AJ150" i="16" s="1"/>
  <c r="I45" i="15"/>
  <c r="AI217" i="16"/>
  <c r="AJ217" i="16" s="1"/>
  <c r="AG217" i="16"/>
  <c r="AI197" i="16"/>
  <c r="AJ197" i="16" s="1"/>
  <c r="AG197" i="16"/>
  <c r="AG279" i="16"/>
  <c r="AI279" i="16"/>
  <c r="AJ279" i="16" s="1"/>
  <c r="AI275" i="16"/>
  <c r="AJ275" i="16" s="1"/>
  <c r="AI240" i="35"/>
  <c r="AG213" i="16"/>
  <c r="AI213" i="16"/>
  <c r="AJ213" i="16" s="1"/>
  <c r="AI167" i="35"/>
  <c r="AG401" i="16"/>
  <c r="AG205" i="16"/>
  <c r="AI205" i="16"/>
  <c r="AJ205" i="16" s="1"/>
  <c r="AG402" i="16"/>
  <c r="AI402" i="16"/>
  <c r="AJ402" i="16" s="1"/>
  <c r="AG260" i="16"/>
  <c r="AI260" i="16"/>
  <c r="AJ260" i="16" s="1"/>
  <c r="AG203" i="16"/>
  <c r="AI203" i="16"/>
  <c r="AJ203" i="16" s="1"/>
  <c r="AI165" i="16"/>
  <c r="AJ165" i="16" s="1"/>
  <c r="AI234" i="16"/>
  <c r="AJ234" i="16" s="1"/>
  <c r="AG492" i="16"/>
  <c r="AI492" i="16"/>
  <c r="AJ492" i="16" s="1"/>
  <c r="AI466" i="16"/>
  <c r="AJ466" i="16" s="1"/>
  <c r="AI183" i="35"/>
  <c r="AI412" i="16"/>
  <c r="AJ412" i="16" s="1"/>
  <c r="AG412" i="16"/>
  <c r="AI200" i="16"/>
  <c r="AJ200" i="16" s="1"/>
  <c r="AI441" i="16"/>
  <c r="AJ441" i="16" s="1"/>
  <c r="I57" i="11"/>
  <c r="AG177" i="16"/>
  <c r="AI177" i="16"/>
  <c r="AJ177" i="16" s="1"/>
  <c r="AG119" i="16"/>
  <c r="AI119" i="16"/>
  <c r="AJ119" i="16" s="1"/>
  <c r="AI381" i="16"/>
  <c r="AJ381" i="16" s="1"/>
  <c r="AI311" i="16"/>
  <c r="AJ311" i="16" s="1"/>
  <c r="AI419" i="16"/>
  <c r="AJ419" i="16" s="1"/>
  <c r="AG419" i="16"/>
  <c r="AG474" i="16"/>
  <c r="AI474" i="16"/>
  <c r="AJ474" i="16" s="1"/>
  <c r="AH302" i="35"/>
  <c r="AI302" i="35" s="1"/>
  <c r="AI264" i="16"/>
  <c r="AJ264" i="16" s="1"/>
  <c r="AG264" i="16"/>
  <c r="AG185" i="16"/>
  <c r="AI185" i="16"/>
  <c r="AJ185" i="16" s="1"/>
  <c r="AI476" i="16"/>
  <c r="AJ476" i="16" s="1"/>
  <c r="AG476" i="16"/>
  <c r="AG230" i="16"/>
  <c r="AI230" i="16"/>
  <c r="AJ230" i="16" s="1"/>
  <c r="AG240" i="16"/>
  <c r="AI240" i="16"/>
  <c r="AJ240" i="16" s="1"/>
  <c r="AG342" i="16"/>
  <c r="AI342" i="16"/>
  <c r="AJ342" i="16" s="1"/>
  <c r="AI287" i="16"/>
  <c r="AJ287" i="16" s="1"/>
  <c r="AG287" i="16"/>
  <c r="AI346" i="16"/>
  <c r="AJ346" i="16" s="1"/>
  <c r="AI243" i="16"/>
  <c r="AJ243" i="16" s="1"/>
  <c r="AG494" i="16"/>
  <c r="AI494" i="16"/>
  <c r="AJ494" i="16" s="1"/>
  <c r="AI191" i="16"/>
  <c r="AJ191" i="16" s="1"/>
  <c r="K19" i="39"/>
  <c r="AI390" i="16"/>
  <c r="AJ390" i="16" s="1"/>
  <c r="AG358" i="16"/>
  <c r="AI358" i="16"/>
  <c r="AJ358" i="16" s="1"/>
  <c r="AG422" i="16"/>
  <c r="AI422" i="16"/>
  <c r="AJ422" i="16" s="1"/>
  <c r="AI236" i="16"/>
  <c r="AJ236" i="16" s="1"/>
  <c r="AG236" i="16"/>
  <c r="AI284" i="16"/>
  <c r="AJ284" i="16" s="1"/>
  <c r="AG284" i="16"/>
  <c r="AG432" i="16"/>
  <c r="AI432" i="16"/>
  <c r="AJ432" i="16" s="1"/>
  <c r="AI484" i="16"/>
  <c r="AJ484" i="16" s="1"/>
  <c r="AG398" i="16"/>
  <c r="AI398" i="16"/>
  <c r="AJ398" i="16" s="1"/>
  <c r="AI330" i="16"/>
  <c r="AJ330" i="16" s="1"/>
  <c r="AG330" i="16"/>
  <c r="AI394" i="16"/>
  <c r="AJ394" i="16" s="1"/>
  <c r="AG394" i="16"/>
  <c r="AI278" i="16"/>
  <c r="AJ278" i="16" s="1"/>
  <c r="AG278" i="16"/>
  <c r="AG297" i="16"/>
  <c r="AI297" i="16"/>
  <c r="AJ297" i="16" s="1"/>
  <c r="AG58" i="16"/>
  <c r="AI58" i="16"/>
  <c r="AJ58" i="16" s="1"/>
  <c r="AG333" i="16"/>
  <c r="AI333" i="16"/>
  <c r="AJ333" i="16" s="1"/>
  <c r="AG387" i="16"/>
  <c r="AI387" i="16"/>
  <c r="AJ387" i="16" s="1"/>
  <c r="AI207" i="16"/>
  <c r="AJ207" i="16" s="1"/>
  <c r="AI303" i="16"/>
  <c r="AJ303" i="16" s="1"/>
  <c r="AI376" i="16"/>
  <c r="AJ376" i="16" s="1"/>
  <c r="AG157" i="16"/>
  <c r="AI157" i="16"/>
  <c r="AJ157" i="16" s="1"/>
  <c r="AG322" i="16"/>
  <c r="AI322" i="16"/>
  <c r="AJ322" i="16" s="1"/>
  <c r="K58" i="5"/>
  <c r="AG377" i="16"/>
  <c r="AI377" i="16"/>
  <c r="AJ377" i="16" s="1"/>
  <c r="AI193" i="16"/>
  <c r="AJ193" i="16" s="1"/>
  <c r="AG328" i="16"/>
  <c r="AI328" i="16"/>
  <c r="AJ328" i="16" s="1"/>
  <c r="AG444" i="16"/>
  <c r="AI444" i="16"/>
  <c r="AJ444" i="16" s="1"/>
  <c r="AI169" i="16"/>
  <c r="AJ169" i="16" s="1"/>
  <c r="AG169" i="16"/>
  <c r="AI235" i="16"/>
  <c r="AJ235" i="16" s="1"/>
  <c r="AG235" i="16"/>
  <c r="AI458" i="16"/>
  <c r="AJ458" i="16" s="1"/>
  <c r="AG458" i="16"/>
  <c r="AG480" i="16"/>
  <c r="AI480" i="16"/>
  <c r="AJ480" i="16" s="1"/>
  <c r="AI14" i="16"/>
  <c r="AJ14" i="16" s="1"/>
  <c r="AG14" i="16"/>
  <c r="AG379" i="16"/>
  <c r="AI379" i="16"/>
  <c r="AJ379" i="16" s="1"/>
  <c r="AG192" i="16"/>
  <c r="AI192" i="16"/>
  <c r="AJ192" i="16" s="1"/>
  <c r="AG318" i="16"/>
  <c r="AI318" i="16"/>
  <c r="AJ318" i="16" s="1"/>
  <c r="AG292" i="16"/>
  <c r="AI292" i="16"/>
  <c r="AJ292" i="16" s="1"/>
  <c r="AG106" i="16"/>
  <c r="AI106" i="16"/>
  <c r="AJ106" i="16" s="1"/>
  <c r="AG306" i="16"/>
  <c r="AI306" i="16"/>
  <c r="AJ306" i="16" s="1"/>
  <c r="AI490" i="16"/>
  <c r="AJ490" i="16" s="1"/>
  <c r="AG369" i="16"/>
  <c r="AI369" i="16"/>
  <c r="AJ369" i="16" s="1"/>
  <c r="AG307" i="16"/>
  <c r="AI307" i="16"/>
  <c r="AJ307" i="16" s="1"/>
  <c r="K24" i="14"/>
  <c r="K42" i="14" s="1"/>
  <c r="K42" i="3" s="1"/>
  <c r="K15" i="14"/>
  <c r="AG417" i="16"/>
  <c r="AI417" i="16"/>
  <c r="AJ417" i="16" s="1"/>
  <c r="AG108" i="16"/>
  <c r="AI271" i="16"/>
  <c r="AJ271" i="16" s="1"/>
  <c r="AG334" i="16"/>
  <c r="AI334" i="16"/>
  <c r="AJ334" i="16" s="1"/>
  <c r="AI204" i="16"/>
  <c r="AJ204" i="16" s="1"/>
  <c r="AG204" i="16"/>
  <c r="K18" i="15"/>
  <c r="AI418" i="16"/>
  <c r="AJ418" i="16" s="1"/>
  <c r="AG418" i="16"/>
  <c r="AG493" i="16"/>
  <c r="AI493" i="16"/>
  <c r="AJ493" i="16" s="1"/>
  <c r="AG389" i="16"/>
  <c r="AI389" i="16"/>
  <c r="AJ389" i="16" s="1"/>
  <c r="AG454" i="16"/>
  <c r="AI454" i="16"/>
  <c r="AJ454" i="16" s="1"/>
  <c r="AG460" i="16"/>
  <c r="AI460" i="16"/>
  <c r="AJ460" i="16" s="1"/>
  <c r="J43" i="48"/>
  <c r="L43" i="48" s="1"/>
  <c r="AG225" i="16"/>
  <c r="AG238" i="16"/>
  <c r="AI238" i="16"/>
  <c r="AJ238" i="16" s="1"/>
  <c r="AI400" i="16"/>
  <c r="AJ400" i="16" s="1"/>
  <c r="AG400" i="16"/>
  <c r="AG294" i="16"/>
  <c r="AI294" i="16"/>
  <c r="AJ294" i="16" s="1"/>
  <c r="K15" i="40"/>
  <c r="AI190" i="16"/>
  <c r="AJ190" i="16" s="1"/>
  <c r="AG190" i="16"/>
  <c r="AG451" i="16"/>
  <c r="AI451" i="16"/>
  <c r="AJ451" i="16" s="1"/>
  <c r="AG127" i="16"/>
  <c r="AI127" i="16"/>
  <c r="AJ127" i="16" s="1"/>
  <c r="AG291" i="16"/>
  <c r="AI291" i="16"/>
  <c r="AJ291" i="16" s="1"/>
  <c r="K22" i="7"/>
  <c r="K43" i="7" s="1"/>
  <c r="K21" i="3" s="1"/>
  <c r="K16" i="7"/>
  <c r="AI301" i="16"/>
  <c r="AJ301" i="16" s="1"/>
  <c r="AG301" i="16"/>
  <c r="AI424" i="16"/>
  <c r="AJ424" i="16" s="1"/>
  <c r="AG140" i="16"/>
  <c r="AI140" i="16"/>
  <c r="AJ140" i="16" s="1"/>
  <c r="AG378" i="16"/>
  <c r="AI378" i="16"/>
  <c r="AJ378" i="16" s="1"/>
  <c r="AI241" i="16"/>
  <c r="AJ241" i="16" s="1"/>
  <c r="AG241" i="16"/>
  <c r="AG336" i="16"/>
  <c r="AI336" i="16"/>
  <c r="AJ336" i="16" s="1"/>
  <c r="AG254" i="16"/>
  <c r="AI254" i="16"/>
  <c r="AJ254" i="16" s="1"/>
  <c r="AG309" i="16"/>
  <c r="AI309" i="16"/>
  <c r="AJ309" i="16" s="1"/>
  <c r="AG179" i="16"/>
  <c r="AI179" i="16"/>
  <c r="AJ179" i="16" s="1"/>
  <c r="AG340" i="16"/>
  <c r="AI340" i="16"/>
  <c r="AJ340" i="16" s="1"/>
  <c r="AG434" i="16"/>
  <c r="AI434" i="16"/>
  <c r="AJ434" i="16" s="1"/>
  <c r="AG351" i="16"/>
  <c r="AI351" i="16"/>
  <c r="AJ351" i="16" s="1"/>
  <c r="AG219" i="16"/>
  <c r="AI219" i="16"/>
  <c r="AJ219" i="16" s="1"/>
  <c r="AG175" i="16"/>
  <c r="AI175" i="16"/>
  <c r="AJ175" i="16" s="1"/>
  <c r="AG326" i="16"/>
  <c r="AI326" i="16"/>
  <c r="AJ326" i="16" s="1"/>
  <c r="AG259" i="16"/>
  <c r="AI259" i="16"/>
  <c r="AJ259" i="16" s="1"/>
  <c r="AI386" i="16"/>
  <c r="AJ386" i="16" s="1"/>
  <c r="AG386" i="16"/>
  <c r="AG276" i="16"/>
  <c r="AI276" i="16"/>
  <c r="AJ276" i="16" s="1"/>
  <c r="AI497" i="16"/>
  <c r="AJ497" i="16" s="1"/>
  <c r="AG497" i="16"/>
  <c r="AI76" i="35"/>
  <c r="AI312" i="16"/>
  <c r="AJ312" i="16" s="1"/>
  <c r="AG312" i="16"/>
  <c r="AG416" i="16"/>
  <c r="AI416" i="16"/>
  <c r="AJ416" i="16" s="1"/>
  <c r="AG428" i="16"/>
  <c r="AI428" i="16"/>
  <c r="AJ428" i="16" s="1"/>
  <c r="AG371" i="16"/>
  <c r="AI371" i="16"/>
  <c r="AJ371" i="16" s="1"/>
  <c r="AG274" i="16"/>
  <c r="AI274" i="16"/>
  <c r="AJ274" i="16" s="1"/>
  <c r="AG245" i="16"/>
  <c r="AI245" i="16"/>
  <c r="AJ245" i="16" s="1"/>
  <c r="AI206" i="16"/>
  <c r="AJ206" i="16" s="1"/>
  <c r="AG206" i="16"/>
  <c r="AI384" i="16"/>
  <c r="AJ384" i="16" s="1"/>
  <c r="AG384" i="16"/>
  <c r="AG450" i="16"/>
  <c r="AI450" i="16"/>
  <c r="AJ450" i="16" s="1"/>
  <c r="AG298" i="16"/>
  <c r="AI298" i="16"/>
  <c r="AJ298" i="16" s="1"/>
  <c r="AG380" i="16"/>
  <c r="AI380" i="16"/>
  <c r="AJ380" i="16" s="1"/>
  <c r="AG382" i="16"/>
  <c r="AI382" i="16"/>
  <c r="AJ382" i="16" s="1"/>
  <c r="AG270" i="16"/>
  <c r="AI270" i="16"/>
  <c r="AJ270" i="16" s="1"/>
  <c r="AG468" i="16"/>
  <c r="AI468" i="16"/>
  <c r="AJ468" i="16" s="1"/>
  <c r="AG465" i="16"/>
  <c r="AI465" i="16"/>
  <c r="AJ465" i="16" s="1"/>
  <c r="AG198" i="16"/>
  <c r="AI198" i="16"/>
  <c r="AJ198" i="16" s="1"/>
  <c r="AG210" i="16"/>
  <c r="AI210" i="16"/>
  <c r="AJ210" i="16" s="1"/>
  <c r="AG423" i="16"/>
  <c r="AI423" i="16"/>
  <c r="AJ423" i="16" s="1"/>
  <c r="AG293" i="16"/>
  <c r="AI293" i="16"/>
  <c r="AJ293" i="16" s="1"/>
  <c r="AG218" i="16"/>
  <c r="AI218" i="16"/>
  <c r="AJ218" i="16" s="1"/>
  <c r="AG160" i="16"/>
  <c r="AI160" i="16"/>
  <c r="AJ160" i="16" s="1"/>
  <c r="AG233" i="16"/>
  <c r="AI233" i="16"/>
  <c r="AJ233" i="16" s="1"/>
  <c r="AI216" i="16"/>
  <c r="AJ216" i="16" s="1"/>
  <c r="AG216" i="16"/>
  <c r="AI166" i="16"/>
  <c r="AJ166" i="16" s="1"/>
  <c r="AG166" i="16"/>
  <c r="AG164" i="16"/>
  <c r="AI164" i="16"/>
  <c r="AJ164" i="16" s="1"/>
  <c r="AG304" i="16"/>
  <c r="AI304" i="16"/>
  <c r="AJ304" i="16" s="1"/>
  <c r="AG256" i="16"/>
  <c r="AI256" i="16"/>
  <c r="AJ256" i="16" s="1"/>
  <c r="K15" i="13"/>
  <c r="AG220" i="16"/>
  <c r="AI220" i="16"/>
  <c r="AJ220" i="16" s="1"/>
  <c r="AG364" i="16"/>
  <c r="AI364" i="16"/>
  <c r="AJ364" i="16" s="1"/>
  <c r="AG231" i="16"/>
  <c r="AI231" i="16"/>
  <c r="AJ231" i="16" s="1"/>
  <c r="AG215" i="16"/>
  <c r="AI215" i="16"/>
  <c r="AJ215" i="16" s="1"/>
  <c r="AI456" i="16"/>
  <c r="AJ456" i="16" s="1"/>
  <c r="AG456" i="16"/>
  <c r="AI137" i="16"/>
  <c r="AJ137" i="16" s="1"/>
  <c r="AG158" i="16"/>
  <c r="AI158" i="16"/>
  <c r="AJ158" i="16" s="1"/>
  <c r="AI344" i="16"/>
  <c r="AJ344" i="16" s="1"/>
  <c r="AG344" i="16"/>
  <c r="AG315" i="16"/>
  <c r="AI315" i="16"/>
  <c r="AJ315" i="16" s="1"/>
  <c r="AI486" i="16"/>
  <c r="AJ486" i="16" s="1"/>
  <c r="AG486" i="16"/>
  <c r="AG472" i="16"/>
  <c r="AI472" i="16"/>
  <c r="AJ472" i="16" s="1"/>
  <c r="AG350" i="16"/>
  <c r="AI350" i="16"/>
  <c r="AJ350" i="16" s="1"/>
  <c r="AG341" i="16"/>
  <c r="AI341" i="16"/>
  <c r="AJ341" i="16" s="1"/>
  <c r="AI477" i="16"/>
  <c r="AJ477" i="16" s="1"/>
  <c r="AG477" i="16"/>
  <c r="AI375" i="16"/>
  <c r="AJ375" i="16" s="1"/>
  <c r="AG375" i="16"/>
  <c r="AG45" i="16"/>
  <c r="AI45" i="16"/>
  <c r="AJ45" i="16" s="1"/>
  <c r="AG248" i="16"/>
  <c r="AI248" i="16"/>
  <c r="AJ248" i="16" s="1"/>
  <c r="AG349" i="16"/>
  <c r="AI349" i="16"/>
  <c r="AJ349" i="16" s="1"/>
  <c r="AG425" i="16"/>
  <c r="AI425" i="16"/>
  <c r="AJ425" i="16" s="1"/>
  <c r="AG449" i="16"/>
  <c r="AI449" i="16"/>
  <c r="AJ449" i="16" s="1"/>
  <c r="AG187" i="16"/>
  <c r="AI187" i="16"/>
  <c r="AJ187" i="16" s="1"/>
  <c r="AG325" i="16"/>
  <c r="AI325" i="16"/>
  <c r="AJ325" i="16" s="1"/>
  <c r="AG431" i="16"/>
  <c r="AI431" i="16"/>
  <c r="AJ431" i="16" s="1"/>
  <c r="AG388" i="16"/>
  <c r="AI388" i="16"/>
  <c r="AJ388" i="16" s="1"/>
  <c r="AG176" i="16"/>
  <c r="AI176" i="16"/>
  <c r="AJ176" i="16" s="1"/>
  <c r="AG70" i="16"/>
  <c r="AG339" i="16"/>
  <c r="AI339" i="16"/>
  <c r="AJ339" i="16" s="1"/>
  <c r="AI201" i="16"/>
  <c r="AJ201" i="16" s="1"/>
  <c r="AG201" i="16"/>
  <c r="AI305" i="16"/>
  <c r="AJ305" i="16" s="1"/>
  <c r="AG305" i="16"/>
  <c r="AI268" i="16"/>
  <c r="AJ268" i="16" s="1"/>
  <c r="AG268" i="16"/>
  <c r="AG186" i="16"/>
  <c r="AI186" i="16"/>
  <c r="AJ186" i="16" s="1"/>
  <c r="AG8" i="16"/>
  <c r="AI8" i="16"/>
  <c r="AJ8" i="16" s="1"/>
  <c r="AI427" i="16"/>
  <c r="AJ427" i="16" s="1"/>
  <c r="AG427" i="16"/>
  <c r="AG285" i="16"/>
  <c r="AI285" i="16"/>
  <c r="AJ285" i="16" s="1"/>
  <c r="AG239" i="16"/>
  <c r="AI239" i="16"/>
  <c r="AJ239" i="16" s="1"/>
  <c r="AG162" i="16"/>
  <c r="AI162" i="16"/>
  <c r="AJ162" i="16" s="1"/>
  <c r="AI263" i="16"/>
  <c r="AJ263" i="16" s="1"/>
  <c r="AG263" i="16"/>
  <c r="AI143" i="16"/>
  <c r="AJ143" i="16" s="1"/>
  <c r="AG143" i="16"/>
  <c r="AG249" i="16"/>
  <c r="AI249" i="16"/>
  <c r="AJ249" i="16" s="1"/>
  <c r="AG141" i="16"/>
  <c r="AI141" i="16"/>
  <c r="AJ141" i="16" s="1"/>
  <c r="AG272" i="16"/>
  <c r="AI272" i="16"/>
  <c r="AJ272" i="16" s="1"/>
  <c r="AI173" i="16"/>
  <c r="AJ173" i="16" s="1"/>
  <c r="AG173" i="16"/>
  <c r="AI269" i="16"/>
  <c r="AJ269" i="16" s="1"/>
  <c r="AG269" i="16"/>
  <c r="AG320" i="16"/>
  <c r="AI320" i="16"/>
  <c r="AJ320" i="16" s="1"/>
  <c r="AI357" i="16"/>
  <c r="AJ357" i="16" s="1"/>
  <c r="AG357" i="16"/>
  <c r="AG261" i="16"/>
  <c r="AI261" i="16"/>
  <c r="AJ261" i="16" s="1"/>
  <c r="AI208" i="16"/>
  <c r="AJ208" i="16" s="1"/>
  <c r="AG208" i="16"/>
  <c r="AG407" i="16"/>
  <c r="AI407" i="16"/>
  <c r="AJ407" i="16" s="1"/>
  <c r="AG229" i="16"/>
  <c r="AI229" i="16"/>
  <c r="AJ229" i="16" s="1"/>
  <c r="AG367" i="16"/>
  <c r="AI367" i="16"/>
  <c r="AJ367" i="16" s="1"/>
  <c r="AG265" i="16"/>
  <c r="AI265" i="16"/>
  <c r="AJ265" i="16" s="1"/>
  <c r="AG228" i="16"/>
  <c r="AI228" i="16"/>
  <c r="AJ228" i="16" s="1"/>
  <c r="AI147" i="16"/>
  <c r="AJ147" i="16" s="1"/>
  <c r="AG147" i="16"/>
  <c r="AI319" i="16"/>
  <c r="AJ319" i="16" s="1"/>
  <c r="AG319" i="16"/>
  <c r="AI463" i="16"/>
  <c r="AJ463" i="16" s="1"/>
  <c r="AG463" i="16"/>
  <c r="AI393" i="16"/>
  <c r="AJ393" i="16" s="1"/>
  <c r="AG393" i="16"/>
  <c r="AG282" i="16"/>
  <c r="AI282" i="16"/>
  <c r="AJ282" i="16" s="1"/>
  <c r="AG316" i="16"/>
  <c r="AI316" i="16"/>
  <c r="AJ316" i="16" s="1"/>
  <c r="AI397" i="16"/>
  <c r="AJ397" i="16" s="1"/>
  <c r="AG397" i="16"/>
  <c r="AG321" i="16"/>
  <c r="AI321" i="16"/>
  <c r="AJ321" i="16" s="1"/>
  <c r="AG152" i="16"/>
  <c r="AI152" i="16"/>
  <c r="AJ152" i="16" s="1"/>
  <c r="AG479" i="16"/>
  <c r="AI479" i="16"/>
  <c r="AJ479" i="16" s="1"/>
  <c r="AG496" i="16"/>
  <c r="AI496" i="16"/>
  <c r="AJ496" i="16" s="1"/>
  <c r="AG300" i="16"/>
  <c r="AI300" i="16"/>
  <c r="AJ300" i="16" s="1"/>
  <c r="AG429" i="16"/>
  <c r="AI429" i="16"/>
  <c r="AJ429" i="16" s="1"/>
  <c r="AG212" i="16"/>
  <c r="AI212" i="16"/>
  <c r="AJ212" i="16" s="1"/>
  <c r="AI163" i="16"/>
  <c r="AJ163" i="16" s="1"/>
  <c r="AG163" i="16"/>
  <c r="K30" i="11"/>
  <c r="AG459" i="16"/>
  <c r="AI459" i="16"/>
  <c r="AJ459" i="16" s="1"/>
  <c r="AG475" i="16"/>
  <c r="AI475" i="16"/>
  <c r="AJ475" i="16" s="1"/>
  <c r="AI151" i="16"/>
  <c r="AJ151" i="16" s="1"/>
  <c r="AG151" i="16"/>
  <c r="AG257" i="16"/>
  <c r="AI257" i="16"/>
  <c r="AJ257" i="16" s="1"/>
  <c r="AG337" i="16"/>
  <c r="AI337" i="16"/>
  <c r="AJ337" i="16" s="1"/>
  <c r="AI51" i="16"/>
  <c r="AJ51" i="16" s="1"/>
  <c r="AG51" i="16"/>
  <c r="AG396" i="16"/>
  <c r="AI396" i="16"/>
  <c r="AJ396" i="16" s="1"/>
  <c r="AG365" i="16"/>
  <c r="AI365" i="16"/>
  <c r="AJ365" i="16" s="1"/>
  <c r="AG281" i="16"/>
  <c r="AI281" i="16"/>
  <c r="AJ281" i="16" s="1"/>
  <c r="AG183" i="16"/>
  <c r="AI183" i="16"/>
  <c r="AJ183" i="16" s="1"/>
  <c r="AG453" i="16"/>
  <c r="AI453" i="16"/>
  <c r="AJ453" i="16" s="1"/>
  <c r="AG267" i="16"/>
  <c r="AI267" i="16"/>
  <c r="AJ267" i="16" s="1"/>
  <c r="AG355" i="16"/>
  <c r="AI355" i="16"/>
  <c r="AJ355" i="16" s="1"/>
  <c r="AI415" i="16"/>
  <c r="AJ415" i="16" s="1"/>
  <c r="AG415" i="16"/>
  <c r="I71" i="48"/>
  <c r="J71" i="48" s="1"/>
  <c r="L71" i="48" s="1"/>
  <c r="AG149" i="16"/>
  <c r="AI149" i="16"/>
  <c r="AJ149" i="16" s="1"/>
  <c r="AG295" i="16"/>
  <c r="AI295" i="16"/>
  <c r="AJ295" i="16" s="1"/>
  <c r="AG237" i="16"/>
  <c r="AI237" i="16"/>
  <c r="AJ237" i="16" s="1"/>
  <c r="AG359" i="16"/>
  <c r="AI359" i="16"/>
  <c r="AJ359" i="16" s="1"/>
  <c r="AG223" i="16"/>
  <c r="AI223" i="16"/>
  <c r="AJ223" i="16" s="1"/>
  <c r="AG491" i="16"/>
  <c r="AI491" i="16"/>
  <c r="AJ491" i="16" s="1"/>
  <c r="AG277" i="16"/>
  <c r="AI277" i="16"/>
  <c r="AJ277" i="16" s="1"/>
  <c r="AG445" i="16"/>
  <c r="AI445" i="16"/>
  <c r="AJ445" i="16" s="1"/>
  <c r="AG495" i="16"/>
  <c r="AI495" i="16"/>
  <c r="AJ495" i="16" s="1"/>
  <c r="AI457" i="16"/>
  <c r="AJ457" i="16" s="1"/>
  <c r="AG457" i="16"/>
  <c r="AG329" i="16"/>
  <c r="AI329" i="16"/>
  <c r="AJ329" i="16" s="1"/>
  <c r="AG443" i="16"/>
  <c r="AI443" i="16"/>
  <c r="AJ443" i="16" s="1"/>
  <c r="AG395" i="16"/>
  <c r="AI395" i="16"/>
  <c r="AJ395" i="16" s="1"/>
  <c r="AG327" i="16"/>
  <c r="AI327" i="16"/>
  <c r="AJ327" i="16" s="1"/>
  <c r="AI383" i="16"/>
  <c r="AJ383" i="16" s="1"/>
  <c r="AG383" i="16"/>
  <c r="AG133" i="16"/>
  <c r="AI133" i="16"/>
  <c r="AJ133" i="16" s="1"/>
  <c r="AI403" i="16"/>
  <c r="AJ403" i="16" s="1"/>
  <c r="AG403" i="16"/>
  <c r="AI405" i="16"/>
  <c r="AJ405" i="16" s="1"/>
  <c r="AG405" i="16"/>
  <c r="AI323" i="16"/>
  <c r="AJ323" i="16" s="1"/>
  <c r="AG323" i="16"/>
  <c r="AI99" i="16"/>
  <c r="AJ99" i="16" s="1"/>
  <c r="AG481" i="16"/>
  <c r="AI481" i="16"/>
  <c r="AJ481" i="16" s="1"/>
  <c r="AG289" i="16"/>
  <c r="AI289" i="16"/>
  <c r="AJ289" i="16" s="1"/>
  <c r="AG335" i="16"/>
  <c r="AI335" i="16"/>
  <c r="AJ335" i="16" s="1"/>
  <c r="AG153" i="16"/>
  <c r="AI153" i="16"/>
  <c r="AJ153" i="16" s="1"/>
  <c r="AG439" i="16"/>
  <c r="AI439" i="16"/>
  <c r="AJ439" i="16" s="1"/>
  <c r="I149" i="48"/>
  <c r="J149" i="48" s="1"/>
  <c r="L149" i="48" s="1"/>
  <c r="AG467" i="16"/>
  <c r="AI467" i="16"/>
  <c r="AJ467" i="16" s="1"/>
  <c r="AI345" i="16"/>
  <c r="AJ345" i="16" s="1"/>
  <c r="AG345" i="16"/>
  <c r="AG253" i="16"/>
  <c r="AI253" i="16"/>
  <c r="AJ253" i="16" s="1"/>
  <c r="AG299" i="16"/>
  <c r="AI299" i="16"/>
  <c r="AJ299" i="16" s="1"/>
  <c r="AI13" i="16" l="1"/>
  <c r="AJ13" i="16" s="1"/>
  <c r="AI122" i="16"/>
  <c r="AJ122" i="16" s="1"/>
  <c r="AG33" i="16"/>
  <c r="AI138" i="16"/>
  <c r="AJ138" i="16" s="1"/>
  <c r="AI132" i="16"/>
  <c r="AJ132" i="16" s="1"/>
  <c r="AG109" i="16"/>
  <c r="AI16" i="35"/>
  <c r="AG20" i="16"/>
  <c r="I123" i="48"/>
  <c r="J123" i="48" s="1"/>
  <c r="L123" i="48" s="1"/>
  <c r="AI32" i="35"/>
  <c r="AI31" i="35"/>
  <c r="I97" i="48"/>
  <c r="I98" i="48" s="1"/>
  <c r="J98" i="48" s="1"/>
  <c r="L98" i="48" s="1"/>
  <c r="AI35" i="35"/>
  <c r="U19" i="49"/>
  <c r="W19" i="49" s="1"/>
  <c r="S19" i="49"/>
  <c r="U43" i="49" s="1"/>
  <c r="V43" i="49" s="1"/>
  <c r="AG78" i="16"/>
  <c r="AI47" i="16"/>
  <c r="AJ47" i="16" s="1"/>
  <c r="AI131" i="16"/>
  <c r="AJ131" i="16" s="1"/>
  <c r="AI19" i="16"/>
  <c r="AJ19" i="16" s="1"/>
  <c r="AG63" i="16"/>
  <c r="AI11" i="16"/>
  <c r="AJ11" i="16" s="1"/>
  <c r="AG18" i="16"/>
  <c r="AI31" i="16"/>
  <c r="AJ31" i="16" s="1"/>
  <c r="AI4" i="16"/>
  <c r="AJ4" i="16" s="1"/>
  <c r="AG7" i="16"/>
  <c r="AI23" i="16"/>
  <c r="AJ23" i="16" s="1"/>
  <c r="AI5" i="16"/>
  <c r="AJ5" i="16" s="1"/>
  <c r="AG41" i="16"/>
  <c r="AI48" i="16"/>
  <c r="AJ48" i="16" s="1"/>
  <c r="AI42" i="16"/>
  <c r="AJ42" i="16" s="1"/>
  <c r="AG136" i="16"/>
  <c r="AI129" i="16"/>
  <c r="AJ129" i="16" s="1"/>
  <c r="AI37" i="16"/>
  <c r="AJ37" i="16" s="1"/>
  <c r="AI10" i="16"/>
  <c r="AJ10" i="16" s="1"/>
  <c r="AI54" i="16"/>
  <c r="AJ54" i="16" s="1"/>
  <c r="AI102" i="16"/>
  <c r="AJ102" i="16" s="1"/>
  <c r="AI91" i="16"/>
  <c r="AJ91" i="16" s="1"/>
  <c r="AI55" i="16"/>
  <c r="AJ55" i="16" s="1"/>
  <c r="AI21" i="16"/>
  <c r="AG110" i="16"/>
  <c r="AG101" i="16"/>
  <c r="AG128" i="16"/>
  <c r="AG100" i="16"/>
  <c r="AG83" i="16"/>
  <c r="AG80" i="16"/>
  <c r="AG72" i="16"/>
  <c r="AG59" i="16"/>
  <c r="AG61" i="16"/>
  <c r="AI60" i="16"/>
  <c r="AJ60" i="16" s="1"/>
  <c r="AI93" i="16"/>
  <c r="AJ93" i="16" s="1"/>
  <c r="AI96" i="16"/>
  <c r="AJ96" i="16" s="1"/>
  <c r="AG90" i="16"/>
  <c r="AI114" i="16"/>
  <c r="AJ114" i="16" s="1"/>
  <c r="AI116" i="16"/>
  <c r="AJ116" i="16" s="1"/>
  <c r="AI67" i="16"/>
  <c r="AJ67" i="16" s="1"/>
  <c r="AG88" i="16"/>
  <c r="AI89" i="16"/>
  <c r="AJ89" i="16" s="1"/>
  <c r="AI26" i="16"/>
  <c r="AJ26" i="16" s="1"/>
  <c r="AI105" i="16"/>
  <c r="AJ105" i="16" s="1"/>
  <c r="AI97" i="16"/>
  <c r="AJ97" i="16" s="1"/>
  <c r="AG126" i="16"/>
  <c r="AI35" i="16"/>
  <c r="AJ35" i="16" s="1"/>
  <c r="AG76" i="16"/>
  <c r="AG81" i="16"/>
  <c r="AI39" i="16"/>
  <c r="AJ39" i="16" s="1"/>
  <c r="AI49" i="16"/>
  <c r="AJ49" i="16" s="1"/>
  <c r="AG77" i="16"/>
  <c r="AI120" i="16"/>
  <c r="AJ120" i="16" s="1"/>
  <c r="AI36" i="35"/>
  <c r="AJ62" i="16"/>
  <c r="AG139" i="16"/>
  <c r="AI130" i="16"/>
  <c r="AJ130" i="16" s="1"/>
  <c r="AI22" i="16"/>
  <c r="AJ22" i="16" s="1"/>
  <c r="AI43" i="16"/>
  <c r="AJ43" i="16" s="1"/>
  <c r="AI38" i="35"/>
  <c r="AI121" i="16"/>
  <c r="AJ121" i="16" s="1"/>
  <c r="AI124" i="16"/>
  <c r="AJ124" i="16" s="1"/>
  <c r="AG135" i="16"/>
  <c r="AI125" i="16"/>
  <c r="AJ125" i="16" s="1"/>
  <c r="AI98" i="16"/>
  <c r="AJ98" i="16" s="1"/>
  <c r="AI92" i="16"/>
  <c r="AJ92" i="16" s="1"/>
  <c r="AG52" i="16"/>
  <c r="AI57" i="16"/>
  <c r="AJ57" i="16" s="1"/>
  <c r="AI18" i="35"/>
  <c r="AI27" i="16"/>
  <c r="AJ27" i="16" s="1"/>
  <c r="AG6" i="16"/>
  <c r="AI15" i="16"/>
  <c r="AJ15" i="16" s="1"/>
  <c r="H9" i="30"/>
  <c r="J9" i="30" s="1"/>
  <c r="J50" i="49"/>
  <c r="F26" i="49" s="1"/>
  <c r="AI115" i="16"/>
  <c r="AJ115" i="16" s="1"/>
  <c r="AG111" i="16"/>
  <c r="AI73" i="16"/>
  <c r="AJ73" i="16" s="1"/>
  <c r="AI79" i="16"/>
  <c r="AJ79" i="16" s="1"/>
  <c r="AI74" i="16"/>
  <c r="AJ74" i="16" s="1"/>
  <c r="AI69" i="16"/>
  <c r="AJ69" i="16" s="1"/>
  <c r="AI84" i="16"/>
  <c r="AJ84" i="16" s="1"/>
  <c r="AI113" i="16"/>
  <c r="AJ113" i="16" s="1"/>
  <c r="AG112" i="16"/>
  <c r="AG118" i="16"/>
  <c r="AG103" i="16"/>
  <c r="AI107" i="16"/>
  <c r="AJ107" i="16" s="1"/>
  <c r="AI117" i="16"/>
  <c r="AJ117" i="16" s="1"/>
  <c r="AJ85" i="16"/>
  <c r="AI75" i="16"/>
  <c r="AJ75" i="16" s="1"/>
  <c r="AG65" i="16"/>
  <c r="AG86" i="16"/>
  <c r="AI71" i="16"/>
  <c r="AJ71" i="16" s="1"/>
  <c r="AG82" i="16"/>
  <c r="AG95" i="16"/>
  <c r="AG85" i="16"/>
  <c r="AI68" i="16"/>
  <c r="AJ68" i="16" s="1"/>
  <c r="AI64" i="16"/>
  <c r="AJ64" i="16" s="1"/>
  <c r="AG62" i="16"/>
  <c r="AI87" i="16"/>
  <c r="AJ87" i="16" s="1"/>
  <c r="O62" i="27"/>
  <c r="O78" i="27" s="1"/>
  <c r="D78" i="27"/>
  <c r="AG66" i="16"/>
  <c r="AI94" i="16"/>
  <c r="AJ94" i="16" s="1"/>
  <c r="AG104" i="16"/>
  <c r="AI14" i="35"/>
  <c r="O83" i="27"/>
  <c r="O97" i="27" s="1"/>
  <c r="AI56" i="16"/>
  <c r="AJ56" i="16" s="1"/>
  <c r="AI53" i="16"/>
  <c r="AJ53" i="16" s="1"/>
  <c r="AI50" i="16"/>
  <c r="AJ50" i="16" s="1"/>
  <c r="AG46" i="16"/>
  <c r="AI24" i="16"/>
  <c r="AJ24" i="16" s="1"/>
  <c r="AI36" i="16"/>
  <c r="AJ36" i="16" s="1"/>
  <c r="AG40" i="16"/>
  <c r="AG25" i="16"/>
  <c r="AI12" i="16"/>
  <c r="AJ12" i="16" s="1"/>
  <c r="I124" i="48"/>
  <c r="J124" i="48" s="1"/>
  <c r="L124" i="48" s="1"/>
  <c r="AI9" i="16"/>
  <c r="AJ9" i="16" s="1"/>
  <c r="AG17" i="16"/>
  <c r="AI30" i="16"/>
  <c r="AJ30" i="16" s="1"/>
  <c r="AG16" i="16"/>
  <c r="AI44" i="16"/>
  <c r="AJ44" i="16" s="1"/>
  <c r="AG38" i="16"/>
  <c r="AG34" i="16"/>
  <c r="AI29" i="16"/>
  <c r="AJ29" i="16" s="1"/>
  <c r="AI32" i="16"/>
  <c r="AJ32" i="16" s="1"/>
  <c r="AG28" i="16"/>
  <c r="J57" i="47"/>
  <c r="AI3" i="16"/>
  <c r="AJ3" i="16" s="1"/>
  <c r="S11" i="49"/>
  <c r="U35" i="49" s="1"/>
  <c r="V35" i="49" s="1"/>
  <c r="U11" i="49"/>
  <c r="W11" i="49" s="1"/>
  <c r="F23" i="49"/>
  <c r="K57" i="11"/>
  <c r="K36" i="3" s="1"/>
  <c r="H9" i="33" s="1"/>
  <c r="K66" i="3"/>
  <c r="K79" i="3" s="1"/>
  <c r="E12" i="1" s="1"/>
  <c r="I12" i="1" s="1"/>
  <c r="D29" i="20"/>
  <c r="E29" i="20" s="1"/>
  <c r="F29" i="20" s="1"/>
  <c r="G29" i="20" s="1"/>
  <c r="H29" i="20" s="1"/>
  <c r="I29" i="20" s="1"/>
  <c r="J29" i="20" s="1"/>
  <c r="K29" i="20" s="1"/>
  <c r="L29" i="20" s="1"/>
  <c r="M29" i="20" s="1"/>
  <c r="N29" i="20" s="1"/>
  <c r="O29" i="20" s="1"/>
  <c r="C29" i="20"/>
  <c r="H13" i="33"/>
  <c r="J13" i="33" s="1"/>
  <c r="J15" i="33" s="1"/>
  <c r="O59" i="27"/>
  <c r="Q18" i="48"/>
  <c r="I19" i="48" s="1"/>
  <c r="O19" i="48"/>
  <c r="Q19" i="48" s="1"/>
  <c r="F8" i="30"/>
  <c r="F10" i="30" s="1"/>
  <c r="F14" i="30" s="1"/>
  <c r="I12" i="3"/>
  <c r="K12" i="3" s="1"/>
  <c r="G11" i="3"/>
  <c r="G14" i="3" s="1"/>
  <c r="AG2" i="16"/>
  <c r="AJ2" i="16"/>
  <c r="J45" i="48"/>
  <c r="L45" i="48" s="1"/>
  <c r="J97" i="48"/>
  <c r="L97" i="48" s="1"/>
  <c r="I47" i="49"/>
  <c r="I48" i="49"/>
  <c r="V34" i="49"/>
  <c r="I47" i="48"/>
  <c r="J47" i="48" s="1"/>
  <c r="L47" i="48" s="1"/>
  <c r="J46" i="48"/>
  <c r="L46" i="48" s="1"/>
  <c r="I72" i="48"/>
  <c r="I150" i="48"/>
  <c r="J150" i="48" s="1"/>
  <c r="L150" i="48" s="1"/>
  <c r="I99" i="48"/>
  <c r="I125" i="48" l="1"/>
  <c r="J125" i="48" s="1"/>
  <c r="L125" i="48" s="1"/>
  <c r="W23" i="49"/>
  <c r="AJ21" i="16"/>
  <c r="I11" i="3"/>
  <c r="I14" i="3" s="1"/>
  <c r="H8" i="30"/>
  <c r="J8" i="30" s="1"/>
  <c r="J10" i="30" s="1"/>
  <c r="V47" i="49"/>
  <c r="V48" i="49"/>
  <c r="S23" i="49"/>
  <c r="W50" i="49"/>
  <c r="S26" i="49" s="1"/>
  <c r="F24" i="49"/>
  <c r="F25" i="49" s="1"/>
  <c r="F27" i="49" s="1"/>
  <c r="K22" i="3" s="1"/>
  <c r="K23" i="3" s="1"/>
  <c r="K27" i="3" s="1"/>
  <c r="H15" i="33"/>
  <c r="J9" i="33"/>
  <c r="I20" i="48"/>
  <c r="I21" i="48" s="1"/>
  <c r="J19" i="48"/>
  <c r="L19" i="48" s="1"/>
  <c r="I48" i="48"/>
  <c r="J48" i="48" s="1"/>
  <c r="L48" i="48" s="1"/>
  <c r="I73" i="48"/>
  <c r="J73" i="48" s="1"/>
  <c r="L73" i="48" s="1"/>
  <c r="J72" i="48"/>
  <c r="L72" i="48" s="1"/>
  <c r="I100" i="48"/>
  <c r="I151" i="48"/>
  <c r="J151" i="48" s="1"/>
  <c r="L151" i="48" s="1"/>
  <c r="I126" i="48"/>
  <c r="J126" i="48" s="1"/>
  <c r="L126" i="48" s="1"/>
  <c r="J99" i="48"/>
  <c r="L99" i="48" s="1"/>
  <c r="K11" i="3" l="1"/>
  <c r="K14" i="3" s="1"/>
  <c r="H10" i="30"/>
  <c r="H14" i="30" s="1"/>
  <c r="S24" i="49"/>
  <c r="S25" i="49" s="1"/>
  <c r="S27" i="49" s="1"/>
  <c r="J20" i="48"/>
  <c r="L20" i="48" s="1"/>
  <c r="J21" i="48"/>
  <c r="L21" i="48" s="1"/>
  <c r="I22" i="48"/>
  <c r="J14" i="30"/>
  <c r="E14" i="1"/>
  <c r="I14" i="1" s="1"/>
  <c r="I49" i="48"/>
  <c r="J49" i="48" s="1"/>
  <c r="L49" i="48" s="1"/>
  <c r="I152" i="48"/>
  <c r="J152" i="48" s="1"/>
  <c r="L152" i="48" s="1"/>
  <c r="I101" i="48"/>
  <c r="J101" i="48" s="1"/>
  <c r="L101" i="48" s="1"/>
  <c r="J100" i="48"/>
  <c r="L100" i="48" s="1"/>
  <c r="I74" i="48"/>
  <c r="J74" i="48" s="1"/>
  <c r="L74" i="48" s="1"/>
  <c r="I127" i="48"/>
  <c r="J22" i="48" l="1"/>
  <c r="L22" i="48" s="1"/>
  <c r="I23" i="48"/>
  <c r="I24" i="48" s="1"/>
  <c r="I50" i="48"/>
  <c r="I51" i="48" s="1"/>
  <c r="I128" i="48"/>
  <c r="J128" i="48" s="1"/>
  <c r="L128" i="48" s="1"/>
  <c r="J127" i="48"/>
  <c r="L127" i="48" s="1"/>
  <c r="I75" i="48"/>
  <c r="J75" i="48" s="1"/>
  <c r="L75" i="48" s="1"/>
  <c r="I102" i="48"/>
  <c r="J102" i="48" s="1"/>
  <c r="L102" i="48" s="1"/>
  <c r="I153" i="48"/>
  <c r="J153" i="48" s="1"/>
  <c r="L153" i="48" s="1"/>
  <c r="J23" i="48" l="1"/>
  <c r="L23" i="48" s="1"/>
  <c r="J24" i="48"/>
  <c r="L24" i="48" s="1"/>
  <c r="I25" i="48"/>
  <c r="I26" i="48" s="1"/>
  <c r="J26" i="48" s="1"/>
  <c r="L26" i="48" s="1"/>
  <c r="J50" i="48"/>
  <c r="L50" i="48" s="1"/>
  <c r="J51" i="48"/>
  <c r="L51" i="48" s="1"/>
  <c r="I52" i="48"/>
  <c r="I154" i="48"/>
  <c r="J154" i="48" s="1"/>
  <c r="L154" i="48" s="1"/>
  <c r="I103" i="48"/>
  <c r="J103" i="48" s="1"/>
  <c r="L103" i="48" s="1"/>
  <c r="I76" i="48"/>
  <c r="I129" i="48"/>
  <c r="J129" i="48" s="1"/>
  <c r="L129" i="48" s="1"/>
  <c r="I27" i="48" l="1"/>
  <c r="J27" i="48" s="1"/>
  <c r="L27" i="48" s="1"/>
  <c r="J25" i="48"/>
  <c r="L25" i="48" s="1"/>
  <c r="I53" i="48"/>
  <c r="J53" i="48" s="1"/>
  <c r="L53" i="48" s="1"/>
  <c r="J52" i="48"/>
  <c r="L52" i="48" s="1"/>
  <c r="I130" i="48"/>
  <c r="J130" i="48" s="1"/>
  <c r="L130" i="48" s="1"/>
  <c r="I77" i="48"/>
  <c r="J77" i="48" s="1"/>
  <c r="L77" i="48" s="1"/>
  <c r="J76" i="48"/>
  <c r="L76" i="48" s="1"/>
  <c r="I104" i="48"/>
  <c r="J104" i="48" s="1"/>
  <c r="L104" i="48" s="1"/>
  <c r="I155" i="48"/>
  <c r="J155" i="48" s="1"/>
  <c r="L155" i="48" s="1"/>
  <c r="L29" i="48" l="1"/>
  <c r="V29" i="48" s="1"/>
  <c r="X29" i="48" s="1"/>
  <c r="L55" i="48"/>
  <c r="T57" i="48" s="1"/>
  <c r="I78" i="48"/>
  <c r="I131" i="48"/>
  <c r="J131" i="48" s="1"/>
  <c r="L131" i="48" s="1"/>
  <c r="L133" i="48" s="1"/>
  <c r="I156" i="48"/>
  <c r="I105" i="48"/>
  <c r="J105" i="48" s="1"/>
  <c r="L105" i="48" s="1"/>
  <c r="L107" i="48" s="1"/>
  <c r="T31" i="48" l="1"/>
  <c r="V55" i="48"/>
  <c r="X55" i="48" s="1"/>
  <c r="I79" i="48"/>
  <c r="J79" i="48" s="1"/>
  <c r="L79" i="48" s="1"/>
  <c r="T109" i="48"/>
  <c r="V107" i="48"/>
  <c r="X107" i="48" s="1"/>
  <c r="I157" i="48"/>
  <c r="J157" i="48" s="1"/>
  <c r="L157" i="48" s="1"/>
  <c r="J156" i="48"/>
  <c r="L156" i="48" s="1"/>
  <c r="T135" i="48"/>
  <c r="V133" i="48"/>
  <c r="X133" i="48" s="1"/>
  <c r="J78" i="48"/>
  <c r="L78" i="48" s="1"/>
  <c r="L159" i="48" l="1"/>
  <c r="T161" i="48" s="1"/>
  <c r="L81" i="48"/>
  <c r="V81" i="48" s="1"/>
  <c r="V159" i="48" l="1"/>
  <c r="X159" i="48" s="1"/>
  <c r="T83" i="48"/>
  <c r="X81" i="48"/>
  <c r="V165" i="48" l="1"/>
  <c r="X165" i="48"/>
  <c r="T165" i="48"/>
  <c r="K37" i="3" s="1"/>
  <c r="K43" i="3" l="1"/>
  <c r="K45" i="3" s="1"/>
  <c r="K48" i="3" s="1"/>
  <c r="E10" i="1" s="1"/>
  <c r="I10" i="1" s="1"/>
  <c r="H10" i="33"/>
  <c r="J10" i="33" l="1"/>
  <c r="J11" i="33" s="1"/>
  <c r="J17" i="33" s="1"/>
  <c r="H11" i="33"/>
  <c r="H17" i="33" s="1"/>
  <c r="H20" i="33" s="1"/>
  <c r="H22" i="33" s="1"/>
  <c r="E16" i="1" l="1"/>
  <c r="I16" i="1" s="1"/>
  <c r="I18" i="1" s="1"/>
  <c r="J20" i="33"/>
  <c r="J22"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Carlos PG</author>
  </authors>
  <commentList>
    <comment ref="E20" authorId="0" shapeId="0" xr:uid="{AEDCB306-8963-414E-B584-5EB623231AC5}">
      <text>
        <r>
          <rPr>
            <b/>
            <sz val="9"/>
            <color indexed="81"/>
            <rFont val="Tahoma"/>
            <family val="2"/>
          </rPr>
          <t>Carlos PG:</t>
        </r>
        <r>
          <rPr>
            <sz val="9"/>
            <color indexed="81"/>
            <rFont val="Tahoma"/>
            <family val="2"/>
          </rPr>
          <t xml:space="preserve">
buscando el ticker me lleva a una otc sin embargo el estado de cuenta no tiene el ISIN, lo consideramos como SIC, visto con Hamid</t>
        </r>
      </text>
    </comment>
    <comment ref="E21" authorId="0" shapeId="0" xr:uid="{FED923C0-E7CB-44F4-86D6-5BA34FCBFCF1}">
      <text>
        <r>
          <rPr>
            <b/>
            <sz val="9"/>
            <color indexed="81"/>
            <rFont val="Tahoma"/>
            <family val="2"/>
          </rPr>
          <t>Carlos PG:</t>
        </r>
        <r>
          <rPr>
            <sz val="9"/>
            <color indexed="81"/>
            <rFont val="Tahoma"/>
            <family val="2"/>
          </rPr>
          <t xml:space="preserve">
buscando el ticker me lleva a una otc sin embargo el estado de cuenta no tiene el ISIN, lo consideramos como SIC, visto con Hamid</t>
        </r>
      </text>
    </comment>
    <comment ref="E22" authorId="0" shapeId="0" xr:uid="{FD133842-F274-4064-862C-B68493DDE37D}">
      <text>
        <r>
          <rPr>
            <b/>
            <sz val="9"/>
            <color indexed="81"/>
            <rFont val="Tahoma"/>
            <family val="2"/>
          </rPr>
          <t>Carlos PG:</t>
        </r>
        <r>
          <rPr>
            <sz val="9"/>
            <color indexed="81"/>
            <rFont val="Tahoma"/>
            <family val="2"/>
          </rPr>
          <t xml:space="preserve">
buscando el ticker me lleva a una otc sin embargo el estado de cuenta no tiene el ISIN, lo consideramos como SIC, visto con Hamid</t>
        </r>
      </text>
    </comment>
    <comment ref="H100" authorId="0" shapeId="0" xr:uid="{BF15D2F8-136F-4691-8959-622AFAEF3DB0}">
      <text>
        <r>
          <rPr>
            <b/>
            <sz val="9"/>
            <color indexed="81"/>
            <rFont val="Tahoma"/>
            <family val="2"/>
          </rPr>
          <t>esta venta corresponde a un ASSIGN por lo que se considera el flujo de efectivo para el costo</t>
        </r>
      </text>
    </comment>
    <comment ref="H101" authorId="0" shapeId="0" xr:uid="{4D507533-0314-4CDE-9FFF-986B47682477}">
      <text>
        <r>
          <rPr>
            <b/>
            <sz val="9"/>
            <color indexed="81"/>
            <rFont val="Tahoma"/>
            <family val="2"/>
          </rPr>
          <t>Carlos PG:</t>
        </r>
        <r>
          <rPr>
            <sz val="9"/>
            <color indexed="81"/>
            <rFont val="Tahoma"/>
            <family val="2"/>
          </rPr>
          <t xml:space="preserve">
esta venta corresponde a un ASSIGN por lo que se considera el flujo de efectivo para el costo</t>
        </r>
      </text>
    </comment>
    <comment ref="H102" authorId="0" shapeId="0" xr:uid="{ABC0E97C-780C-4BE7-99E6-762A22CC967C}">
      <text>
        <r>
          <rPr>
            <b/>
            <sz val="9"/>
            <color indexed="81"/>
            <rFont val="Tahoma"/>
            <family val="2"/>
          </rPr>
          <t>Carlos PG:</t>
        </r>
        <r>
          <rPr>
            <sz val="9"/>
            <color indexed="81"/>
            <rFont val="Tahoma"/>
            <family val="2"/>
          </rPr>
          <t xml:space="preserve">
esta venta corresponde a un ASSIGN por lo que se considera el flujo de efectivo para el costo</t>
        </r>
      </text>
    </comment>
    <comment ref="H103" authorId="0" shapeId="0" xr:uid="{B4E2E1D9-3846-4820-BCD3-5EFF579BD592}">
      <text>
        <r>
          <rPr>
            <b/>
            <sz val="9"/>
            <color indexed="81"/>
            <rFont val="Tahoma"/>
            <family val="2"/>
          </rPr>
          <t>Carlos PG:</t>
        </r>
        <r>
          <rPr>
            <sz val="9"/>
            <color indexed="81"/>
            <rFont val="Tahoma"/>
            <family val="2"/>
          </rPr>
          <t xml:space="preserve">
esta venta corresponde a un ASSIGN por lo que se considera el flujo de efectivo para el costo</t>
        </r>
      </text>
    </comment>
    <comment ref="H104" authorId="0" shapeId="0" xr:uid="{44DCD7D9-8297-4C07-8DE1-BD8F40BE1997}">
      <text>
        <r>
          <rPr>
            <b/>
            <sz val="9"/>
            <color indexed="81"/>
            <rFont val="Tahoma"/>
            <family val="2"/>
          </rPr>
          <t>Carlos PG:</t>
        </r>
        <r>
          <rPr>
            <sz val="9"/>
            <color indexed="81"/>
            <rFont val="Tahoma"/>
            <family val="2"/>
          </rPr>
          <t xml:space="preserve">
esta venta corresponde a un ASSIGN por lo que se considera el flujo de efectivo para el costo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Carlos PG</author>
  </authors>
  <commentList>
    <comment ref="H21" authorId="0" shapeId="0" xr:uid="{C3200A31-4771-4B1A-8874-9BA2332287A2}">
      <text>
        <r>
          <rPr>
            <b/>
            <sz val="9"/>
            <color indexed="81"/>
            <rFont val="Tahoma"/>
            <family val="2"/>
          </rPr>
          <t>Carlos PG:</t>
        </r>
        <r>
          <rPr>
            <sz val="9"/>
            <color indexed="81"/>
            <rFont val="Tahoma"/>
            <family val="2"/>
          </rPr>
          <t xml:space="preserve">
ESTE MOVIMIENTO ES POR 6 TITULOS PERO SE DIVIDE EN OTROS OTRA OPERACIÓN (MAS ABAJO IDENTIFICADO)</t>
        </r>
      </text>
    </comment>
    <comment ref="H22" authorId="0" shapeId="0" xr:uid="{E6090076-FEB0-4834-8370-C7BCB71F25DA}">
      <text>
        <r>
          <rPr>
            <b/>
            <sz val="9"/>
            <color indexed="81"/>
            <rFont val="Tahoma"/>
            <family val="2"/>
          </rPr>
          <t>Carlos PG:</t>
        </r>
        <r>
          <rPr>
            <sz val="9"/>
            <color indexed="81"/>
            <rFont val="Tahoma"/>
            <family val="2"/>
          </rPr>
          <t xml:space="preserve">
ESTE MOVIMIENTO ES POR 7 TITULOS PERO SE DIVIDE EN OTROS OTRA OPERACIÓN (MAS ABAJO IDENTIFICADO)</t>
        </r>
      </text>
    </comment>
    <comment ref="H23" authorId="0" shapeId="0" xr:uid="{250188FD-5396-4A30-B2B6-252349630B32}">
      <text>
        <r>
          <rPr>
            <b/>
            <sz val="9"/>
            <color indexed="81"/>
            <rFont val="Tahoma"/>
            <family val="2"/>
          </rPr>
          <t>Carlos PG:</t>
        </r>
        <r>
          <rPr>
            <sz val="9"/>
            <color indexed="81"/>
            <rFont val="Tahoma"/>
            <family val="2"/>
          </rPr>
          <t xml:space="preserve">
ESTE MOVIMIENTO ES POR 6 TITULOS PERO SE DIVIDE EN OTROS OTRA OPERACIÓN (MAS ABAJO IDENTIFICADO)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<sst xmlns="http://schemas.openxmlformats.org/spreadsheetml/2006/main" count="6228" uniqueCount="960">
  <si>
    <t>Cuenta Número</t>
  </si>
  <si>
    <t>Banco</t>
  </si>
  <si>
    <t>Edos Cta al mes de</t>
  </si>
  <si>
    <t>A</t>
  </si>
  <si>
    <t>B</t>
  </si>
  <si>
    <t>C</t>
  </si>
  <si>
    <t>D</t>
  </si>
  <si>
    <t>E</t>
  </si>
  <si>
    <t>F</t>
  </si>
  <si>
    <t>G</t>
  </si>
  <si>
    <t>H</t>
  </si>
  <si>
    <t>I</t>
  </si>
  <si>
    <t>Notas:</t>
  </si>
  <si>
    <t>I.</t>
  </si>
  <si>
    <t>Enajenación de bienes (Capítulo IV)</t>
  </si>
  <si>
    <t>Capítulo IV - Sección I</t>
  </si>
  <si>
    <t>II.</t>
  </si>
  <si>
    <t>Intereses (Capítulo VI)</t>
  </si>
  <si>
    <t>III.</t>
  </si>
  <si>
    <t>IV.</t>
  </si>
  <si>
    <t>De los demás ingresos (Capítulo IX)</t>
  </si>
  <si>
    <t>(=)</t>
  </si>
  <si>
    <t>Total de Ingresos acumulables sujetos a tarifa</t>
  </si>
  <si>
    <t>(+)</t>
  </si>
  <si>
    <t>ISR pagado en el extranjero</t>
  </si>
  <si>
    <t>Total Impuestos pagados, retenciones y acreditamientos</t>
  </si>
  <si>
    <t>Emisoras Nacionales</t>
  </si>
  <si>
    <t>Emisoras Extranjeras</t>
  </si>
  <si>
    <t>Total Ingresos</t>
  </si>
  <si>
    <t>a.</t>
  </si>
  <si>
    <t>Ganancia / (pérdida) en venta de acciones</t>
  </si>
  <si>
    <t>Total enajenación de bienes - Sección I</t>
  </si>
  <si>
    <t>(A)</t>
  </si>
  <si>
    <t>b.</t>
  </si>
  <si>
    <t>(B)</t>
  </si>
  <si>
    <t>Ganancia / (Pérdida) cambiaria - contratos</t>
  </si>
  <si>
    <t>Total intereses Capítulo VI</t>
  </si>
  <si>
    <t>Vs</t>
  </si>
  <si>
    <t>Ingresos por Intereses y Ganancia Cambiaria Art. 239 RLISR</t>
  </si>
  <si>
    <t xml:space="preserve">Ingresos acumulables por Intereses </t>
  </si>
  <si>
    <t xml:space="preserve">(C) </t>
  </si>
  <si>
    <t>Dividendos  (Capítulo VIII)</t>
  </si>
  <si>
    <t xml:space="preserve">Dividendos nacionales  </t>
  </si>
  <si>
    <t xml:space="preserve">Total dividendos nacionales </t>
  </si>
  <si>
    <t>(D)</t>
  </si>
  <si>
    <t xml:space="preserve">Total demás ingresos </t>
  </si>
  <si>
    <t xml:space="preserve">Total ISR pagado en el extranjero </t>
  </si>
  <si>
    <t>(X)</t>
  </si>
  <si>
    <t xml:space="preserve">  Capítulo VI (Intereses)</t>
  </si>
  <si>
    <t>(Y)</t>
  </si>
  <si>
    <t xml:space="preserve">ISR pendiente de acreditar actualizado - ejercicios anteriores  </t>
  </si>
  <si>
    <t>(Z)</t>
  </si>
  <si>
    <t>(1) El monto de los dividendos incluye el impuesto retenido de conformidad</t>
  </si>
  <si>
    <t>Tipo de Ingreso</t>
  </si>
  <si>
    <t>Fecha</t>
  </si>
  <si>
    <t>Nombre / Descripción</t>
  </si>
  <si>
    <t>Equivalencia</t>
  </si>
  <si>
    <t>Monto en USD</t>
  </si>
  <si>
    <t>Monto MXN</t>
  </si>
  <si>
    <t>USD</t>
  </si>
  <si>
    <t>MXN</t>
  </si>
  <si>
    <t>Gran Total</t>
  </si>
  <si>
    <t>Intereses percibidos</t>
  </si>
  <si>
    <t>Descripción</t>
  </si>
  <si>
    <t>4. El saldo de las posiciones mexicanas así como cash en pesos considerarlo en la seccion ¨MXN Portfolio¨</t>
  </si>
  <si>
    <t>Enero</t>
  </si>
  <si>
    <t>No de Cta</t>
  </si>
  <si>
    <t>Febrero</t>
  </si>
  <si>
    <t>Type</t>
  </si>
  <si>
    <t>Total Saldo Mensual</t>
  </si>
  <si>
    <t>Marzo</t>
  </si>
  <si>
    <t>Abril</t>
  </si>
  <si>
    <t>Mayo</t>
  </si>
  <si>
    <t>Junio</t>
  </si>
  <si>
    <t>Julio</t>
  </si>
  <si>
    <t>Agosto</t>
  </si>
  <si>
    <t>Septiembre</t>
  </si>
  <si>
    <t>Octubre</t>
  </si>
  <si>
    <t>Noviembre</t>
  </si>
  <si>
    <t>Diciembre</t>
  </si>
  <si>
    <t xml:space="preserve">  Σ de los saldos al último día del mes en MXN: </t>
  </si>
  <si>
    <t>Total Ganancia / Pérdida Cambiaria</t>
  </si>
  <si>
    <t xml:space="preserve"> Número de meses del ejercicio: </t>
  </si>
  <si>
    <t xml:space="preserve"> Saldo promedio en MXN: </t>
  </si>
  <si>
    <t xml:space="preserve"> Factor de ajuste: </t>
  </si>
  <si>
    <t>Monto del depósito o inversión al inicio del ejercicio en USD</t>
  </si>
  <si>
    <t>Tipo de cambio al inicio del ejercicio</t>
  </si>
  <si>
    <t>Monto del depósito o inversión al inicio del ejercicio en MXN</t>
  </si>
  <si>
    <t xml:space="preserve">Monto acumulable de ingresos por intereses y ganancia cambiaria generados por depósitos o inversiones efectuadas en instituciones residentes en el extranjero </t>
  </si>
  <si>
    <t>Criteria</t>
  </si>
  <si>
    <t>Monto del depósito o inversión al inicio del ejercicio (starting balance o saldo al final del mes del primer depósito)</t>
  </si>
  <si>
    <t>Emisora</t>
  </si>
  <si>
    <t>Factor de Piramidación</t>
  </si>
  <si>
    <t>Tasa de Impuesto Corporativo</t>
  </si>
  <si>
    <t>Total de otros ingresos percibidos en el ejercicio</t>
  </si>
  <si>
    <t>Total de otras retenciones efectuadas en el extranjero en la Cta.</t>
  </si>
  <si>
    <t>Account Number</t>
  </si>
  <si>
    <t xml:space="preserve">Factor </t>
  </si>
  <si>
    <t>S</t>
  </si>
  <si>
    <t>Years held</t>
  </si>
  <si>
    <t>Complete years</t>
  </si>
  <si>
    <t xml:space="preserve">Taxable gain/ Loss deductible MXN </t>
  </si>
  <si>
    <t xml:space="preserve">No taxable gain/ Creditable loss MXN </t>
  </si>
  <si>
    <t>N</t>
  </si>
  <si>
    <t>Gain / Loss in USD</t>
  </si>
  <si>
    <t>Acciones Nacionales</t>
  </si>
  <si>
    <t>Acciones Extranjeras</t>
  </si>
  <si>
    <t>Bonos Nacionales</t>
  </si>
  <si>
    <t>Bonos Extranjeros</t>
  </si>
  <si>
    <t>Derivados Nacionales</t>
  </si>
  <si>
    <t>Derivados Extranjero</t>
  </si>
  <si>
    <t>Capital privado Nacional</t>
  </si>
  <si>
    <t>Capital privado Extranjero</t>
  </si>
  <si>
    <t>Acciones Extranjeras - SIC</t>
  </si>
  <si>
    <t>Derivados Extranjero - SIC</t>
  </si>
  <si>
    <t xml:space="preserve">Enero </t>
  </si>
  <si>
    <t xml:space="preserve">Marzo </t>
  </si>
  <si>
    <t xml:space="preserve">Mayo </t>
  </si>
  <si>
    <t>AUD</t>
  </si>
  <si>
    <t>BRL</t>
  </si>
  <si>
    <t>CAD</t>
  </si>
  <si>
    <t>CHF</t>
  </si>
  <si>
    <t>EUR</t>
  </si>
  <si>
    <t>GBP</t>
  </si>
  <si>
    <t>JPY</t>
  </si>
  <si>
    <t>NOK</t>
  </si>
  <si>
    <t>NZD</t>
  </si>
  <si>
    <t>RMB</t>
  </si>
  <si>
    <t>TKL</t>
  </si>
  <si>
    <t>TIPO DE CAMBIO PARA SOLVENTAR OBLIGACIONES DENOMINADAS EN DOLARES DE LOS ESTADOS UNIDOS</t>
  </si>
  <si>
    <t xml:space="preserve"> DE AMERICA PAGADERAS EN LA REPUBLICA MEXICANA PARA 2016</t>
  </si>
  <si>
    <t xml:space="preserve"> DE AMERICA PAGADERAS EN LA REPUBLICA MEXICANA PARA 2015</t>
  </si>
  <si>
    <t xml:space="preserve"> DE AMERICA PAGADERAS EN LA REPUBLICA MEXICANA PARA 2014</t>
  </si>
  <si>
    <t xml:space="preserve"> DE AMERICA PAGADERAS EN LA REPUBLICA MEXICANA PARA 2013</t>
  </si>
  <si>
    <t xml:space="preserve"> DE AMERICA PAGADERAS EN LA REPUBLICA MEXICANA PARA 2012</t>
  </si>
  <si>
    <t xml:space="preserve"> DE AMERICA PAGADERAS EN LA REPUBLICA MEXICANA PARA 2011</t>
  </si>
  <si>
    <t xml:space="preserve"> DE AMERICA PAGADERAS EN LA REPUBLICA MEXICANA PARA 2010</t>
  </si>
  <si>
    <t>DIA</t>
  </si>
  <si>
    <t xml:space="preserve">ENERO </t>
  </si>
  <si>
    <t>FEBRERO</t>
  </si>
  <si>
    <t>MARZO</t>
  </si>
  <si>
    <t>ABRIL</t>
  </si>
  <si>
    <t>MAYO</t>
  </si>
  <si>
    <t>JUNIO</t>
  </si>
  <si>
    <t>JULIO</t>
  </si>
  <si>
    <t>AGOSTO</t>
  </si>
  <si>
    <t>SEPTIEMBRE</t>
  </si>
  <si>
    <t>OCTUBRE</t>
  </si>
  <si>
    <t>NOVIEMBRE</t>
  </si>
  <si>
    <t>DICIEMBRE</t>
  </si>
  <si>
    <t>INDICE NACIONAL DE PRECIOS AL CONSUMIDOR</t>
  </si>
  <si>
    <t>AÑO</t>
  </si>
  <si>
    <t>ENE</t>
  </si>
  <si>
    <t>FEB</t>
  </si>
  <si>
    <t>MAR</t>
  </si>
  <si>
    <t>ABR</t>
  </si>
  <si>
    <t>MAY</t>
  </si>
  <si>
    <t>JUN</t>
  </si>
  <si>
    <t>JUL</t>
  </si>
  <si>
    <t>AGO</t>
  </si>
  <si>
    <t>SEP</t>
  </si>
  <si>
    <t>OCT</t>
  </si>
  <si>
    <t>NOV</t>
  </si>
  <si>
    <t>DIC</t>
  </si>
  <si>
    <t>Ganancia / (Pérdida) cambiaria - devengada</t>
  </si>
  <si>
    <t>Otros ingresos acumulables</t>
  </si>
  <si>
    <t>Impuesto Retenido en USD</t>
  </si>
  <si>
    <t>Unidades Vendidas</t>
  </si>
  <si>
    <t>Ingresos en USD</t>
  </si>
  <si>
    <t>Posiciones</t>
  </si>
  <si>
    <t>Dividendo Bruto en Moneda Original</t>
  </si>
  <si>
    <t>Dividendo Bruto en USD</t>
  </si>
  <si>
    <t>Dividendo Bruto en MXN</t>
  </si>
  <si>
    <t>Pérdidas por enajenación de bienes actualizada - ejercicios anteriores</t>
  </si>
  <si>
    <t>Ajuste Anual Inflacionario</t>
  </si>
  <si>
    <t>Capítulo IX (De los demás Ingresos) - Dividendos</t>
  </si>
  <si>
    <t>Capítulo IX (De los demás Ingresos) - Private Equity</t>
  </si>
  <si>
    <t xml:space="preserve">Capítulo IX (De los demás Ingresos) - Otros </t>
  </si>
  <si>
    <t>Número de Cuenta</t>
  </si>
  <si>
    <t>Monto total de otras retenciones efectuadas en el extranjero</t>
  </si>
  <si>
    <t xml:space="preserve"> DE AMERICA PAGADERAS EN LA REPUBLICA MEXICANA PARA 2017</t>
  </si>
  <si>
    <t>INR</t>
  </si>
  <si>
    <t>IDR</t>
  </si>
  <si>
    <t>COP</t>
  </si>
  <si>
    <t xml:space="preserve">Total de intereses percibidos en el ejercicio en la Cta. </t>
  </si>
  <si>
    <t xml:space="preserve">Total de ingresos por diferencias cambiarias en contratos en la Cta. </t>
  </si>
  <si>
    <t xml:space="preserve">Total de distribuciones por private equity en la Cta. </t>
  </si>
  <si>
    <t>Total de otros ingresos percibidos en la Cta.</t>
  </si>
  <si>
    <t>Intereses - Commitment</t>
  </si>
  <si>
    <t>Accrued Interest Received</t>
  </si>
  <si>
    <t>primer mes</t>
  </si>
  <si>
    <t>último mes</t>
  </si>
  <si>
    <t>año actual</t>
  </si>
  <si>
    <t>año pasado</t>
  </si>
  <si>
    <t>Sale</t>
  </si>
  <si>
    <t>Maturiry</t>
  </si>
  <si>
    <t>Redemption</t>
  </si>
  <si>
    <t>Exchange</t>
  </si>
  <si>
    <t>Transfer</t>
  </si>
  <si>
    <t>Lista de Instrumentos</t>
  </si>
  <si>
    <t>Lista de operaciones</t>
  </si>
  <si>
    <t>Fibras - Exentas</t>
  </si>
  <si>
    <t>Instrucciones:</t>
  </si>
  <si>
    <t>1. Llenar en las celdas de la fila 8 el número de la cuenta al que corresponda la información</t>
  </si>
  <si>
    <t>2. Llenar en las celdas de la fila 9 el tipo de saldo que corresponde (CASH o BONOS). Recordar que los bonos en MXP se deben colocar en la sección MXN</t>
  </si>
  <si>
    <t>3. Insertar el número de columnas que sea necesario para incluir todas la cuentas que corresponda</t>
  </si>
  <si>
    <t>Realized Gain or (Losses)</t>
  </si>
  <si>
    <t>Intereses en compra-venta de bonos</t>
  </si>
  <si>
    <t>Moneda Original</t>
  </si>
  <si>
    <t>Monto moneda Original</t>
  </si>
  <si>
    <t>Monto Moneda Original</t>
  </si>
  <si>
    <t>Saldo al Final del Mes en USD</t>
  </si>
  <si>
    <t>Tipo de Cambio al Inicio del Mes</t>
  </si>
  <si>
    <t>Saldo al Final del Mes en MXN</t>
  </si>
  <si>
    <t>Saldo de Cash y Bonos al Final del Mes en USD</t>
  </si>
  <si>
    <t>Tipo de Cambio Final de Mes</t>
  </si>
  <si>
    <t>Ganancia / (Pérdida) Cambiaria</t>
  </si>
  <si>
    <t>Impuesto Retenido Moneda Original</t>
  </si>
  <si>
    <t>Impuesto Retenido Moneda MXN</t>
  </si>
  <si>
    <t>AAI USD Portfolio - Cifras en USD</t>
  </si>
  <si>
    <t>AAI MXN Portfolio - Cifras en Pesos</t>
  </si>
  <si>
    <t>Pérdida de OFD es cedular</t>
  </si>
  <si>
    <t xml:space="preserve"> Equivalencia</t>
  </si>
  <si>
    <t xml:space="preserve"> Factor </t>
  </si>
  <si>
    <t xml:space="preserve">Equivalencia </t>
  </si>
  <si>
    <t>Precio de Venta en MXN</t>
  </si>
  <si>
    <t>Nombre del Activo</t>
  </si>
  <si>
    <t>Fecha de Adquisición</t>
  </si>
  <si>
    <t>Fecha de Venta</t>
  </si>
  <si>
    <t>Cash in Lieu</t>
  </si>
  <si>
    <t xml:space="preserve"> DE AMERICA PAGADERAS EN LA REPUBLICA MEXICANA PARA 2018</t>
  </si>
  <si>
    <t xml:space="preserve">Notas: </t>
  </si>
  <si>
    <t>Años de Tenencia</t>
  </si>
  <si>
    <t>SUMARIA DE INGRESOS ACUMULABLES</t>
  </si>
  <si>
    <t>Ganancia / (pérdida) en venta títulos de deuda</t>
  </si>
  <si>
    <t xml:space="preserve">Ganancia / (pérdida) en venta de otros bienes </t>
  </si>
  <si>
    <t>Ganancia / (pérdida) en derivados</t>
  </si>
  <si>
    <t>Pérdidas por Intereses (Capítulo VI) actualizada - ejercicios anteriores</t>
  </si>
  <si>
    <t>Total de Ingresos acumulables (A + B + C + D)</t>
  </si>
  <si>
    <t>Capítulo IX (De los demás Ingresos) - Derivados</t>
  </si>
  <si>
    <t xml:space="preserve">  Capítulo IV (Enajenación de bienes - Acciones) </t>
  </si>
  <si>
    <t xml:space="preserve">  Capítulo IV (Enajenación de bienes - Bonos) </t>
  </si>
  <si>
    <t xml:space="preserve">  Capítulo IV (Enajenación de bienes - Otros bienes) </t>
  </si>
  <si>
    <t xml:space="preserve">  Capítulo VIII (Dividendos - Nacionales) </t>
  </si>
  <si>
    <t>Retenciones de ISR y Acreditamientos</t>
  </si>
  <si>
    <t xml:space="preserve">Total retenciones de ISR y acreditamiento dividendos </t>
  </si>
  <si>
    <t>Impuesto pagado, retenciones y acreditamientos</t>
  </si>
  <si>
    <t>Total Impuestos pagados, retenciones y acreditamientos (X + Y + Z)</t>
  </si>
  <si>
    <t>Ganancia / (Pérdida) en enajenación de acciones en Bolsa de Valores</t>
  </si>
  <si>
    <t>Ganancia / (Pérdida) en enajenación de derivados referidos a acciones en Bolsa de Valores</t>
  </si>
  <si>
    <t>N/A</t>
  </si>
  <si>
    <t>Total</t>
  </si>
  <si>
    <t>(-)</t>
  </si>
  <si>
    <t>J</t>
  </si>
  <si>
    <t>K</t>
  </si>
  <si>
    <t>L</t>
  </si>
  <si>
    <t>M</t>
  </si>
  <si>
    <t>O</t>
  </si>
  <si>
    <t>P</t>
  </si>
  <si>
    <t>Q</t>
  </si>
  <si>
    <t>R</t>
  </si>
  <si>
    <t>T</t>
  </si>
  <si>
    <t>U</t>
  </si>
  <si>
    <t>Acciones Nacionales - BMV</t>
  </si>
  <si>
    <t>Derivados Nacionales - BMV</t>
  </si>
  <si>
    <t>Write Option</t>
  </si>
  <si>
    <t>Assignment Option</t>
  </si>
  <si>
    <t>Purchase Option</t>
  </si>
  <si>
    <t>Sale Option</t>
  </si>
  <si>
    <t>Expired Option</t>
  </si>
  <si>
    <t>BuyBack Option</t>
  </si>
  <si>
    <t>Tasa de Impuesto</t>
  </si>
  <si>
    <t>Tipo de Activo</t>
  </si>
  <si>
    <t>Nombre de la OFD</t>
  </si>
  <si>
    <t>Seleccionar la Operación Financiera Derivada (OFD) de que se trata</t>
  </si>
  <si>
    <t>Tipo de adquisición</t>
  </si>
  <si>
    <t>Purchase</t>
  </si>
  <si>
    <t>Transfer In</t>
  </si>
  <si>
    <t>Transfer out</t>
  </si>
  <si>
    <t>Gift</t>
  </si>
  <si>
    <t>Moneda de Adquisición</t>
  </si>
  <si>
    <t>Costo de Adquisición en Moneda Original</t>
  </si>
  <si>
    <t>Unidades Adquiridas</t>
  </si>
  <si>
    <t>Unidades vendidas</t>
  </si>
  <si>
    <t>Clasificación del Activo - Fiscal</t>
  </si>
  <si>
    <t>Sección LISR</t>
  </si>
  <si>
    <t>Moneda de Venta</t>
  </si>
  <si>
    <t>Ganancia / (Pérdida) en MXN</t>
  </si>
  <si>
    <t>Años Completos</t>
  </si>
  <si>
    <t>Ganancia Acumulable / (Pérdida deducible)</t>
  </si>
  <si>
    <t>Ganancia No Acumulable / (Pérdida Acreditable)</t>
  </si>
  <si>
    <t>Valor Unitario en MXN</t>
  </si>
  <si>
    <t>Fecha de Operación Final</t>
  </si>
  <si>
    <t>Seleccionar el Tipo de Operación Inicial</t>
  </si>
  <si>
    <t>Monto Inicial en Moneda Original</t>
  </si>
  <si>
    <t>Monto Inicial en USD</t>
  </si>
  <si>
    <t>Monto Inicial en MXN</t>
  </si>
  <si>
    <t>DKK</t>
  </si>
  <si>
    <t>RUB</t>
  </si>
  <si>
    <t>Fecha de Operación Inicial</t>
  </si>
  <si>
    <t>Número de Títulos Operación Inicial</t>
  </si>
  <si>
    <t>Tipo de Cambio de Operación Inicial</t>
  </si>
  <si>
    <t>INPC Operación Inicial</t>
  </si>
  <si>
    <t>INPC Operación Final</t>
  </si>
  <si>
    <t>Operación Original Actualizada en MXN</t>
  </si>
  <si>
    <t>Seleccionar el Tipo de Operación Final</t>
  </si>
  <si>
    <t>Monto Final en Moneda Original</t>
  </si>
  <si>
    <t>Monto Final en USD</t>
  </si>
  <si>
    <t>Tipo de Cambio Operación Final</t>
  </si>
  <si>
    <t>Monto Final en MXN</t>
  </si>
  <si>
    <t xml:space="preserve">Costo de Adquisición en USD </t>
  </si>
  <si>
    <t>Ganancia / (Pérdida) en USD</t>
  </si>
  <si>
    <t>Costo Actualizado en MXN</t>
  </si>
  <si>
    <t xml:space="preserve">Ganancia Acumulable / (Pérdida Deducible) </t>
  </si>
  <si>
    <t>Ganancia / (Pérdida) Total en MXN</t>
  </si>
  <si>
    <t>Clase de Activo</t>
  </si>
  <si>
    <t>Costo Histórico en Moneda Original</t>
  </si>
  <si>
    <t>Tipo de Cambio - Fecha de Adquisición</t>
  </si>
  <si>
    <t>Precio de Venta en Moneda Original</t>
  </si>
  <si>
    <t xml:space="preserve">Ganancia Acumulable / (Pérdida deducible) </t>
  </si>
  <si>
    <t>Costo Unitario en Moneda Original</t>
  </si>
  <si>
    <t>Costo de Adquisición en USD</t>
  </si>
  <si>
    <t>Tipo de Cambio de la Fecha de Adquisición</t>
  </si>
  <si>
    <t>Costo de Adquisición en MXN</t>
  </si>
  <si>
    <t>INPC de Adquisición</t>
  </si>
  <si>
    <t>INPC de Enajenación</t>
  </si>
  <si>
    <t>Costo Actualizado Total en MXN</t>
  </si>
  <si>
    <t>Costo Unitario Actualizado Total en MXN</t>
  </si>
  <si>
    <t>Tipo de Enajenación</t>
  </si>
  <si>
    <t>Valor de Venta en Moneda Original del Activo</t>
  </si>
  <si>
    <t>Valor de Venta en USD</t>
  </si>
  <si>
    <t>Tipo de Cambio de Fecha Venta</t>
  </si>
  <si>
    <t>Equivalencia - Movimiento Inicial</t>
  </si>
  <si>
    <t>Número de Títulos - Operación Final</t>
  </si>
  <si>
    <t>Clasificación MF</t>
  </si>
  <si>
    <t>Derivado</t>
  </si>
  <si>
    <t>Tipo de Operación Inicial</t>
  </si>
  <si>
    <t>Tipo de Operación Final</t>
  </si>
  <si>
    <t xml:space="preserve">Monto Inicial en Moneda Original </t>
  </si>
  <si>
    <t xml:space="preserve">Equivalencia - Movimiento Inicial </t>
  </si>
  <si>
    <t xml:space="preserve">Monto Inicial en MXN </t>
  </si>
  <si>
    <t xml:space="preserve">INPC Operación Inicial </t>
  </si>
  <si>
    <t xml:space="preserve">Operación Original Actualizada en MXN </t>
  </si>
  <si>
    <t xml:space="preserve">Monto Final en Moneda Original </t>
  </si>
  <si>
    <t>Equivalencia - Movimiento Final</t>
  </si>
  <si>
    <t xml:space="preserve">Monto Final en MXN </t>
  </si>
  <si>
    <t xml:space="preserve"> Ganancia / (Pérdida) en MXN </t>
  </si>
  <si>
    <t xml:space="preserve"> INPC Operación Final</t>
  </si>
  <si>
    <t xml:space="preserve">  Factor </t>
  </si>
  <si>
    <t xml:space="preserve"> Ajuste anual por inflación deducible en MXN: </t>
  </si>
  <si>
    <t>Saldo al inicio</t>
  </si>
  <si>
    <t>AAI EUR Portfolio - Cifras en USD</t>
  </si>
  <si>
    <t>AAI GBP Portfolio - Cifras en USD</t>
  </si>
  <si>
    <t>Total de Saldos Iniciales</t>
  </si>
  <si>
    <t>Total por Cuenta en USD</t>
  </si>
  <si>
    <t>Total por Cuenta en MXN</t>
  </si>
  <si>
    <t>Total por Cuenta - Dividendo Bruto M.O.</t>
  </si>
  <si>
    <t>Total por Cuenta - Dividendo Piramidado USD</t>
  </si>
  <si>
    <t>Total por Cuenta - Dividendo Piramidado MXN</t>
  </si>
  <si>
    <t>Dividendo Piramidado en USD</t>
  </si>
  <si>
    <t>Dividendo Piramidado en MXN</t>
  </si>
  <si>
    <t>Tipo de Cambio</t>
  </si>
  <si>
    <t>Total de intereses percibidos en el ejercicio</t>
  </si>
  <si>
    <t xml:space="preserve">Gran total de intereses percibidos en el ejercicio en la Cta. </t>
  </si>
  <si>
    <t>Total de ingresos por diferencias cambiarias en contratos</t>
  </si>
  <si>
    <t>Gran total de ingresos por diferencias cambiarias en contratos</t>
  </si>
  <si>
    <t>Gran total de otros ingresos percibidos en la Cta.</t>
  </si>
  <si>
    <t>Total de dividendos percibidos de emisoras nacionales</t>
  </si>
  <si>
    <t>Total de dividendos de emisoras nacionales percibidos en la Cta.</t>
  </si>
  <si>
    <t xml:space="preserve">Gran total de dividendos percibidos de emisoras nacionales </t>
  </si>
  <si>
    <t>Total Dividendo Piramidado en MXN</t>
  </si>
  <si>
    <t>Indicar el tipo de cálculo que se presentará al cliente</t>
  </si>
  <si>
    <t>Cálculo Tradicional</t>
  </si>
  <si>
    <t>Cálculo en Moneda Funcional</t>
  </si>
  <si>
    <t>Total de dividendos percibidos de emisoras extranjeras</t>
  </si>
  <si>
    <t>Total de dividendos percibidos de emisoras extranjeras en la Cta.</t>
  </si>
  <si>
    <t xml:space="preserve">Gran total de dividendos percibidos de emisoras extranjeras </t>
  </si>
  <si>
    <t>Total por Cuenta - Dividendo Bruto en USD</t>
  </si>
  <si>
    <t>Total por Cuenta - Dividendo Bruto en MXN</t>
  </si>
  <si>
    <t>Total de retenciones sobre dividendos de emisoras extranjeras en la Cta.</t>
  </si>
  <si>
    <t>Gran total de retenciones sobre dividendos de emisoras extranjeras en la Cta.</t>
  </si>
  <si>
    <t>Total por Cuenta - Impuesto Retenido en M.O.</t>
  </si>
  <si>
    <t>Total por Cuenta - Impuesto Retenido en USD</t>
  </si>
  <si>
    <t>Total por Cuenta - Impuesto Retenido en MXN</t>
  </si>
  <si>
    <t>Total de retenciones sobre dividendos percibidos de emisoras extranjeras</t>
  </si>
  <si>
    <t>Total de distribuciones de private equity</t>
  </si>
  <si>
    <t>Gran total de distribuciones por private equity:</t>
  </si>
  <si>
    <t>Retención en Moneda Original</t>
  </si>
  <si>
    <t>Distribución en Moneda Original</t>
  </si>
  <si>
    <t>Distribución en USD</t>
  </si>
  <si>
    <t>Distribución en MXN</t>
  </si>
  <si>
    <t>Total por Cuenta - Distribución en M.O.</t>
  </si>
  <si>
    <t>Total por Cuenta - Distribución en USD</t>
  </si>
  <si>
    <t>Total por Cuenta - Distribución en MXN</t>
  </si>
  <si>
    <t>Clase de Distribución</t>
  </si>
  <si>
    <t>Retención en USD</t>
  </si>
  <si>
    <t>Total por Cuenta - Retención en M.O.</t>
  </si>
  <si>
    <t>Total por Cuenta - Retención en USD</t>
  </si>
  <si>
    <t>Total por Cuenta - Retención en MXN</t>
  </si>
  <si>
    <t>Retención en MXP</t>
  </si>
  <si>
    <t>Total de retenciones - private equity</t>
  </si>
  <si>
    <t xml:space="preserve">Total de retenciones - private equity en la Cta. </t>
  </si>
  <si>
    <t>Gran total de retenciones - private equity:</t>
  </si>
  <si>
    <t>Descripción / Emisora</t>
  </si>
  <si>
    <t>Gran total de otras retenciones efectuadas en el extranjero en la Cta.</t>
  </si>
  <si>
    <t>Tipo de Movimiento</t>
  </si>
  <si>
    <t>Reversal</t>
  </si>
  <si>
    <t>Retención</t>
  </si>
  <si>
    <t>Retención en MXN</t>
  </si>
  <si>
    <t>Total por Cuenta - Intereses en USD</t>
  </si>
  <si>
    <t>Total por Cuenta - Intereses en MXN</t>
  </si>
  <si>
    <t>Intereses en Moneda Original</t>
  </si>
  <si>
    <t>Intereses en USD</t>
  </si>
  <si>
    <t>Intereses en MXN</t>
  </si>
  <si>
    <t>Total por Cuenta - Intereses en M.O.</t>
  </si>
  <si>
    <t>Total por Cuenta en M.O.</t>
  </si>
  <si>
    <t>Ganancia / (Pérdida) Moneda Original</t>
  </si>
  <si>
    <t>Ganancia / (Pérdida) USD</t>
  </si>
  <si>
    <t>Ganancia / (Pérdida) MXN</t>
  </si>
  <si>
    <t>Total por Cuenta - Ganancia / (Pérdida) M.O.</t>
  </si>
  <si>
    <t>Total por Cuenta - Ganancia / (Pérdida) USD</t>
  </si>
  <si>
    <t>Total por Cuenta - Ganancia / (Pérdida) MXN</t>
  </si>
  <si>
    <t>Impuesto Acreditable en MXN</t>
  </si>
  <si>
    <t>Total Dividendo Piramidado en USD</t>
  </si>
  <si>
    <t>Impuesto Acreditable en USD</t>
  </si>
  <si>
    <t>Total por Cuenta - Impuesto Acreditable en MXN</t>
  </si>
  <si>
    <t>Total por Cuenta - Impuesto Acreditable en USD</t>
  </si>
  <si>
    <t>Dividendos brutos percibidos del extranjero sujetos a ISR adicional</t>
  </si>
  <si>
    <t>Retenciones sobre dividendos de emisoras extranjeras</t>
  </si>
  <si>
    <t>Retenciones sobre utlidades distribuidas de private equity</t>
  </si>
  <si>
    <t>ISR Adicional del 10% por dividendos o utilidades distribuidas del extranjero</t>
  </si>
  <si>
    <t>Notas</t>
  </si>
  <si>
    <t>Emisoras Nacionales (BMV)</t>
  </si>
  <si>
    <t>Emisoras Extranjeras (SIC)</t>
  </si>
  <si>
    <t>Total de Ingresos</t>
  </si>
  <si>
    <t>Ingresos Sección II, Capítulo IV LISR - 10% BMV &amp; SIC</t>
  </si>
  <si>
    <t>INGRESOS CONFORME AL CAPÍTULO IX, ARTÍCULO 142, FRACCIÓN V DE LA LISR</t>
  </si>
  <si>
    <t>Resultado en derivados nacionales</t>
  </si>
  <si>
    <t>Resultado en derivados extranjeros</t>
  </si>
  <si>
    <t>Pérdidas de ejercicios anteriores pendientes de disminuir</t>
  </si>
  <si>
    <t>Ingresos netos en enajenación de bienes BMV &amp; SIC</t>
  </si>
  <si>
    <t>Total de ingresos en enajenación de bienes BMV &amp; SIC</t>
  </si>
  <si>
    <t>DETALLE DE CUENTAS INCLUIDAS PARA CÁLCULO</t>
  </si>
  <si>
    <t xml:space="preserve">Periodo: </t>
  </si>
  <si>
    <r>
      <t xml:space="preserve">Dividendos percibidos del extranjero </t>
    </r>
    <r>
      <rPr>
        <vertAlign val="superscript"/>
        <sz val="12"/>
        <color theme="1"/>
        <rFont val="Segoe UI"/>
        <family val="2"/>
      </rPr>
      <t>(1)</t>
    </r>
  </si>
  <si>
    <t>ISR ADICIONAL DEL 10% SOBRE DIVIDENDOS O UTILIDADES DISTRIBUIDAS POR EMISORAS EXTRANJERAS</t>
  </si>
  <si>
    <t>Seleccione una opción</t>
  </si>
  <si>
    <t>DETERMINACIÓN DE INGRESOS CONFORME AL TÍTULO IV DE LA LISR</t>
  </si>
  <si>
    <t>INGRESOS OBTENIDOS EN CUENTAS DEL EXTRANJERO</t>
  </si>
  <si>
    <t>DETERMINACIÓN DE INGRESOS EN VENTA DE BIENES (BMV &amp; SIC)</t>
  </si>
  <si>
    <t>DETERMINACIÓN DE IMPUESTO PAGADO Y ACREDITAMIENTOS CONFORME AL TÍTULO IV DE LA LISR</t>
  </si>
  <si>
    <t>GANANCIA O (PÉRDIDA) EN VENTA DE ACCIONES, BONOS, PRIVATE EQUITY &amp; FIBRAS</t>
  </si>
  <si>
    <t>OFD: Nacional / Extranjera</t>
  </si>
  <si>
    <t xml:space="preserve">GANANCIA O (PÉRDIDA) EN VENTA DE ACCIONES Y TÍTULOS REPRESENTATIVOS - BMV &amp; SIC </t>
  </si>
  <si>
    <t>DETALLE DE LA GANANCIA O (PÉRDIDA) EN VENTA DE OFD BMV &amp; SIC , OPERACIONES FINANCIERAS DERIVADAS REFERIDAS A íNDICES ACCIONARIOS QUE REPRESENTEN ACCIONES COLOCADAS EN BMV &amp; SIC Y OPERACIONES FINANCIERAS DERIVADAS EN GENERAL</t>
  </si>
  <si>
    <t>Total de intereses en la compra-venta de bonos en la Cta.</t>
  </si>
  <si>
    <t>Gran total de intereses en la compra-venta de bonos en la Cta.</t>
  </si>
  <si>
    <t>Total de intereses en la compra-venta de bonos</t>
  </si>
  <si>
    <t>DETERMINACIÓN DE INTERESES Y GANANCIAS CAMBIARIAS CONFORME AL ARTÍCULO 239 DEL RLISR</t>
  </si>
  <si>
    <t>Periodo:</t>
  </si>
  <si>
    <t>INGRESOS CONFORME AL TÍTULO IV, CAPÍTULO IV, SECCIÓN II DEL LA LISR</t>
  </si>
  <si>
    <t>DETERMINACIÓN DE LA GANANCIA O PÉRDIDA EN ENAJENACIÓN DE BIENES CONFORME AL TÍTULO IV, CAPÍTULO IV, SECCIÓN I DE LA LISR</t>
  </si>
  <si>
    <t>DETERMINACIÓN DE LA GANANCIA O (PÉRDIDA) EN ENAJENACIÓN DE BIENES CONFORME AL TÍTULO IV, CAPÍTULO IV, SECCIÓN II DE LA LISR</t>
  </si>
  <si>
    <t>DETERMINACIÓN DE LA GANANCIA O PÉRDIDA EN ENAJENACIÓN DE BIENES CONFORME AL TÍTULO IV, CAPÍTULO IV, SECCIÓN I &amp; SECCIÓN II DE LA LISR</t>
  </si>
  <si>
    <t>Informacion interna - No forma parte del entregable</t>
  </si>
  <si>
    <t>DATO MANUAL - SE ACTUALIZARÁ EN V2</t>
  </si>
  <si>
    <t>EQUIVALENCIAS DE MONEDAS EXTRANJERAS EN DOLÁRES DE E.U.A. DEL 2018</t>
  </si>
  <si>
    <t>EQUIVALENCIAS DE MONEDAS EXTRANJERAS EN DOLÁRES DE E.U.A. DEL 2017</t>
  </si>
  <si>
    <t>EQUIVALENCIAS DE MONEDAS EXTRANJERAS EN DOLÁRES DE E.U.A. DEL 2016</t>
  </si>
  <si>
    <t>EQUIVALENCIAS DE MONEDAS EXTRANJERAS EN DOLÁRES DE E.U.A. DEL 2015</t>
  </si>
  <si>
    <t>EQUIVALENCIAS DE MONEDAS EXTRANJERAS EN DOLÁRES DE E.U.A. DEL 2014</t>
  </si>
  <si>
    <t>EQUIVALENCIAS DE MONEDAS EXTRANJERAS EN DOLÁRES DE E.U.A. DEL 2013</t>
  </si>
  <si>
    <t>EQUIVALENCIAS DE MONEDAS EXTRANJERAS EN DOLÁRES DE E.U.A. DEL 2012</t>
  </si>
  <si>
    <t>EQUIVALENCIAS DE MONEDAS EXTRANJERAS EN DOLÁRES DE E.U.A. DEL 2011</t>
  </si>
  <si>
    <t>EQUIVALENCIAS DE MONEDAS EXTRANJERAS EN DOLÁRES DE E.U.A. DEL 2010</t>
  </si>
  <si>
    <t>EQUIVALENCIAS DE MONEDAS EXTRANJERAS EN DOLÁRES DE E.U.A. DEL 2009</t>
  </si>
  <si>
    <t>EQUIVALENCIAS DE MONEDAS EXTRANJERAS EN DOLÁRES DE E.U.A. DEL 2008</t>
  </si>
  <si>
    <t>EQUIVALENCIAS DE MONEDAS EXTRANJERAS EN DOLÁRES DE E.U.A. DEL 2007</t>
  </si>
  <si>
    <t>EQUIVALENCIAS DE MONEDAS EXTRANJERAS EN DOLÁRES DE E.U.A. DEL 2006</t>
  </si>
  <si>
    <t>EQUIVALENCIAS DE MONEDAS EXTRANJERAS EN DOLÁRES DE E.U.A. DEL 2005</t>
  </si>
  <si>
    <t>SI(A19="MXN",1/BUSCARH(AÑO(B19)+(MES(B19)/100),TC!$5:$100,DIA(B19)+2,FALSO),BUSCARV(A19,EQUIVALENCIA!$1:$100,((MAX(EQUIVALENCIA!$3:$3)-AÑO(B19))*14)+MES(B19)+2,FALSO))</t>
  </si>
  <si>
    <t>FECHA</t>
  </si>
  <si>
    <t>MONEDA</t>
  </si>
  <si>
    <t>EQU</t>
  </si>
  <si>
    <t xml:space="preserve">C9 </t>
  </si>
  <si>
    <t>D9</t>
  </si>
  <si>
    <t xml:space="preserve">DETALLE DE LA DETERMINACIÓN DE LA GANANCIA O (PÉRDIDA) EN VENTA DE ACCIONES, BONOS, PRIVATE EQUITY, FIBRAS Y TÍTULOS REPRESENTATIVOS - BMV, SIC &amp; NON SIC </t>
  </si>
  <si>
    <t>CON BASE EN 2018=100</t>
  </si>
  <si>
    <t>DETERMINACIÓN DE LA GANANCIA O PÉRDIDA EN VENTA DE OPERACIONES FINANCIERAS DERIVADAS CONFORME AL TÍTULO IV, CAPÍTULO IV,  SECCIÓN II &amp; TÍTULO IV, CAPÍTULO IX, ARTÍCULO 142 FRACCIÓN XIV DE LA LISR</t>
  </si>
  <si>
    <t xml:space="preserve">Ingresos en MXN </t>
  </si>
  <si>
    <t>Ingresos en MXN</t>
  </si>
  <si>
    <t>Ingresos sujetos al 10% adicional por dividendos y utilidades del extranjero ( 1- 2 )</t>
  </si>
  <si>
    <r>
      <t xml:space="preserve">Total de ingresos brutos sujetos a ISR adicional </t>
    </r>
    <r>
      <rPr>
        <b/>
        <sz val="12"/>
        <rFont val="Segoe UI"/>
        <family val="2"/>
      </rPr>
      <t>(1)</t>
    </r>
  </si>
  <si>
    <r>
      <t xml:space="preserve">Total de retenciones efectuadas sobre dividendos y utilidades. </t>
    </r>
    <r>
      <rPr>
        <b/>
        <sz val="12"/>
        <rFont val="Segoe UI"/>
        <family val="2"/>
      </rPr>
      <t>(2)</t>
    </r>
  </si>
  <si>
    <t xml:space="preserve">Costo de Adquisición en MXN </t>
  </si>
  <si>
    <t xml:space="preserve">INPC de Enajenación </t>
  </si>
  <si>
    <t xml:space="preserve">INPC de Adquisición </t>
  </si>
  <si>
    <t xml:space="preserve">Precio de Venta en MXN </t>
  </si>
  <si>
    <t xml:space="preserve">Tipo de Cambio Operación Final  </t>
  </si>
  <si>
    <t xml:space="preserve">Tipo de Cambio de Operación Inicial </t>
  </si>
  <si>
    <t xml:space="preserve">Costo Actualizado MXN </t>
  </si>
  <si>
    <t>Fecha de última revision</t>
  </si>
  <si>
    <t>Revisor</t>
  </si>
  <si>
    <t xml:space="preserve"> DE AMERICA PAGADERAS EN LA REPUBLICA MEXICANA PARA 2019</t>
  </si>
  <si>
    <t xml:space="preserve"> DE AMERICA PAGADERAS EN LA REPUBLICA MEXICANA PARA 2009</t>
  </si>
  <si>
    <t xml:space="preserve"> DE AMERICA PAGADERAS EN LA REPUBLICA MEXICANA PARA 2008</t>
  </si>
  <si>
    <t xml:space="preserve"> DE AMERICA PAGADERAS EN LA REPUBLICA MEXICANA PARA 2007</t>
  </si>
  <si>
    <t xml:space="preserve"> DE AMERICA PAGADERAS EN LA REPUBLICA MEXICANA PARA 2006</t>
  </si>
  <si>
    <t xml:space="preserve"> DE AMERICA PAGADERAS EN LA REPUBLICA MEXICANA PARA 2005</t>
  </si>
  <si>
    <t xml:space="preserve"> DE AMERICA PAGADERAS EN LA REPUBLICA MEXICANA PARA 2004</t>
  </si>
  <si>
    <t xml:space="preserve"> DE AMERICA PAGADERAS EN LA REPUBLICA MEXICANA PARA 2003</t>
  </si>
  <si>
    <t xml:space="preserve"> DE AMERICA PAGADERAS EN LA REPUBLICA MEXICANA PARA 2002</t>
  </si>
  <si>
    <t xml:space="preserve"> DE AMERICA PAGADERAS EN LA REPUBLICA MEXICANA PARA 2001</t>
  </si>
  <si>
    <t xml:space="preserve"> DE AMERICA PAGADERAS EN LA REPUBLICA MEXICANA PARA 2000</t>
  </si>
  <si>
    <t xml:space="preserve"> DE AMERICA PAGADERAS EN LA REPUBLICA MEXICANA PARA 1999</t>
  </si>
  <si>
    <t xml:space="preserve"> DE AMERICA PAGADERAS EN LA REPUBLICA MEXICANA PARA 1998</t>
  </si>
  <si>
    <t xml:space="preserve"> DE AMERICA PAGADERAS EN LA REPUBLICA MEXICANA PARA 1997</t>
  </si>
  <si>
    <t xml:space="preserve"> DE AMERICA PAGADERAS EN LA REPUBLICA MEXICANA PARA 1996</t>
  </si>
  <si>
    <t xml:space="preserve"> DE AMERICA PAGADERAS EN LA REPUBLICA MEXICANA PARA 1995</t>
  </si>
  <si>
    <t xml:space="preserve"> DE AMERICA PAGADERAS EN LA REPUBLICA MEXICANA PARA 1994</t>
  </si>
  <si>
    <t xml:space="preserve"> DE AMERICA PAGADERAS EN LA REPUBLICA MEXICANA PARA 1993</t>
  </si>
  <si>
    <t xml:space="preserve"> DE AMERICA PAGADERAS EN LA REPUBLICA MEXICANA PARA 1992</t>
  </si>
  <si>
    <t xml:space="preserve"> DE AMERICA PAGADERAS EN LA REPUBLICA MEXICANA PARA 1991</t>
  </si>
  <si>
    <t xml:space="preserve"> DE AMERICA PAGADERAS EN LA REPUBLICA MEXICANA PARA 1990</t>
  </si>
  <si>
    <t xml:space="preserve"> DE AMERICA PAGADERAS EN LA REPUBLICA MEXICANA PARA 1989</t>
  </si>
  <si>
    <t>EQUIVALENCIAS DE MONEDAS EXTRANJERAS EN DOLÁRES DE E.U.A. DEL 2019</t>
  </si>
  <si>
    <t/>
  </si>
  <si>
    <t>Número de cuenta: XXX-XXXXXX-XXX</t>
  </si>
  <si>
    <t>Asset Name</t>
  </si>
  <si>
    <t xml:space="preserve">  Σ de costos de adquisición Bonos: </t>
  </si>
  <si>
    <t>DETERMINACIÓN DEL SALDO MENSUAL DE LAS INVERSIONES EN TÍTULOS DE DEUDA CONFORME AL TÍTULO IV DE LA LISR</t>
  </si>
  <si>
    <t>Tipo de Operación</t>
  </si>
  <si>
    <t>Total de otros ingresos percibidos</t>
  </si>
  <si>
    <t>Total de ingresos por OFD - Swaps de la Cta.</t>
  </si>
  <si>
    <t>DETERMINACIÓN DE INGRESOS EN OPERACIONES FINANCIERAS DERIVADAS - SWAPS</t>
  </si>
  <si>
    <t>INGRESOS EN TÉRMINOS DEL TÍTULO IV, CAPÍTULO IX DE LA LISR - SWAPS</t>
  </si>
  <si>
    <t>Monto en MXN</t>
  </si>
  <si>
    <t>DETERMINACIÓN DE INGRESOS EN OPERACIONES FINANCIERAS DERIVADAS - FWD</t>
  </si>
  <si>
    <t>INGRESOS EN TÉRMINOS DEL TÍTULO IV, CAPÍTULO IX DE LA LISR - FWD</t>
  </si>
  <si>
    <t>Total de ingresos por OFD - Fwd de la Cta.</t>
  </si>
  <si>
    <t>Distribucion de Capital en Moneda Original</t>
  </si>
  <si>
    <t>Distribucion de Capital en MXN</t>
  </si>
  <si>
    <t xml:space="preserve">DATO MANUAL </t>
  </si>
  <si>
    <t>Ganancia acumulable - Swap</t>
  </si>
  <si>
    <t>Ganancia acumulable - Forward</t>
  </si>
  <si>
    <t>TIPO DE CAMBIO PARA DETERMINAR CONTRIBUCIONES Y SUS ACCESORIOS</t>
  </si>
  <si>
    <t>El artículo 20 del Código Fiscal de la Federación  (CFF) establece que para determinar contribuciones y sus accesorios debe considerarse el tipo de cambio a que se haya adquirido la moneda extranjera de que se trate. También establece que cuando no haya adquisición debe considerarse el tipo de cambio que se publique en el DO el día anterior al en que se causen las contribuciones o el último publicado.</t>
  </si>
  <si>
    <t>TIPO DE CAMBIO DEL DOLAR DE LOS EUA</t>
  </si>
  <si>
    <t>En esta relación se anota en cada fecha el tipo de cambio del dólar de los Estados Unidos de América (EUA) publicado en el DO el día anterior o el último publicado.</t>
  </si>
  <si>
    <t>Fecha de último registro</t>
  </si>
  <si>
    <t>(*)</t>
  </si>
  <si>
    <t>Tasa de impuesto</t>
  </si>
  <si>
    <t>Impuesto del ejercicio</t>
  </si>
  <si>
    <t>Diferencia ISR por pagar sobe Ingresos sujetos al 10% adicional por dividendos y utilidades del extranjero</t>
  </si>
  <si>
    <t>Este dato se debe incluir manualmente en valor absoluto</t>
  </si>
  <si>
    <t>Tipo</t>
  </si>
  <si>
    <t>Moneda</t>
  </si>
  <si>
    <t>Monto en Moneda Original</t>
  </si>
  <si>
    <t>Saldo</t>
  </si>
  <si>
    <t>Total Annual</t>
  </si>
  <si>
    <t>Lista de movimientos</t>
  </si>
  <si>
    <t>Contribución (-)</t>
  </si>
  <si>
    <t>Distribución (+)</t>
  </si>
  <si>
    <t>Capital Comprometido - Commitment</t>
  </si>
  <si>
    <t>Capital Comprometido no fondeado - Commitment</t>
  </si>
  <si>
    <t>(Contribuciones) de Capital netas desde el inicio</t>
  </si>
  <si>
    <t>Capital Distribuido neto desde el inicio</t>
  </si>
  <si>
    <t>Neto (Contribuciones) de Capital / Neto Capital Distribuido desde el inicio</t>
  </si>
  <si>
    <t>Total Ingresos Commitment</t>
  </si>
  <si>
    <t>Total de Ingresos Acumulables en el ejercicio</t>
  </si>
  <si>
    <t xml:space="preserve">Monto del Ingreso en USD </t>
  </si>
  <si>
    <t>Tipo de Cambio de movimiento</t>
  </si>
  <si>
    <t>Monto del Ingreso en MXN</t>
  </si>
  <si>
    <t>INGRESOS EN TÉRMINOS DEL TÍTULO IV DE LA LISR</t>
  </si>
  <si>
    <t>DETERMINACIÓN DE LOS INGRESOS PROVENIENTES DE DISTRIBUCIONES DE PRIVATE EQUITY CONFORME AL TÍTULO IV, CAPÍTULO IX DE LA LISR</t>
  </si>
  <si>
    <t>Other Income from Commitment</t>
  </si>
  <si>
    <t>Distribuciones mayores a contribuciones de Private Equity</t>
  </si>
  <si>
    <t>Entradas en USD ( + )</t>
  </si>
  <si>
    <t>Salidas en USD ( - )</t>
  </si>
  <si>
    <t>Neto Entradas y Salidas en USD</t>
  </si>
  <si>
    <t>Saldo Estado de Cuenta en USD</t>
  </si>
  <si>
    <t>Diferencia en MXN - Otros ingresos</t>
  </si>
  <si>
    <t>Tipo de Cambio final de Mes</t>
  </si>
  <si>
    <t>Diferencia en USD</t>
  </si>
  <si>
    <t xml:space="preserve"> DE AMERICA PAGADERAS EN LA REPUBLICA MEXICANA PARA 2020</t>
  </si>
  <si>
    <t>EQUIVALENCIAS DE MONEDAS EXTRANJERAS EN DOLÁRES DE E.U.A. DEL 2020</t>
  </si>
  <si>
    <t>MECANICA ECONOMICA</t>
  </si>
  <si>
    <t>MECANICA OPCIONAL</t>
  </si>
  <si>
    <t>Economica</t>
  </si>
  <si>
    <t>Opcional</t>
  </si>
  <si>
    <t>Tipo de Mecanica en Efecto Cambiario</t>
  </si>
  <si>
    <t>SELECCIONA LA MECANICA PARA GANANCIA CAMBIARIA</t>
  </si>
  <si>
    <t xml:space="preserve"> </t>
  </si>
  <si>
    <t>Jan</t>
  </si>
  <si>
    <t>Feb</t>
  </si>
  <si>
    <t>Mar</t>
  </si>
  <si>
    <t>Apr</t>
  </si>
  <si>
    <t>May</t>
  </si>
  <si>
    <t>Jun</t>
  </si>
  <si>
    <t>Jul</t>
  </si>
  <si>
    <t>Aug</t>
  </si>
  <si>
    <t>Sep</t>
  </si>
  <si>
    <t>Oct</t>
  </si>
  <si>
    <t>Nov</t>
  </si>
  <si>
    <t>Dec</t>
  </si>
  <si>
    <t xml:space="preserve">    Interest Income-Taxable:</t>
  </si>
  <si>
    <t xml:space="preserve">    Total Interest Income-Taxable:</t>
  </si>
  <si>
    <t xml:space="preserve">    Intereses Compra venta de Bonos:</t>
  </si>
  <si>
    <t xml:space="preserve">    Total Intereses Compra venta de Bonos:</t>
  </si>
  <si>
    <t xml:space="preserve">    Dividend Income-Taxable:</t>
  </si>
  <si>
    <t xml:space="preserve">    Total Dividend Income-Taxable:</t>
  </si>
  <si>
    <t xml:space="preserve">    Capital Gains Acciones y Bonos:</t>
  </si>
  <si>
    <t xml:space="preserve">    Total Capital Gains Acciones y Bonos:</t>
  </si>
  <si>
    <t xml:space="preserve">    Capital Gains OFD:</t>
  </si>
  <si>
    <t xml:space="preserve">    Total Capital Gains OFD:</t>
  </si>
  <si>
    <t xml:space="preserve">    Other Investment Income:</t>
  </si>
  <si>
    <t xml:space="preserve">    Total Other Investment Income:</t>
  </si>
  <si>
    <t xml:space="preserve">    Tax-Withheld:</t>
  </si>
  <si>
    <t xml:space="preserve">    Total Tax-Withheld:</t>
  </si>
  <si>
    <t xml:space="preserve"> DE AMERICA PAGADERAS EN LA REPUBLICA MEXICANA PARA 2021</t>
  </si>
  <si>
    <t xml:space="preserve"> DE AMERICA PAGADERAS EN LA REPUBLICA MEXICANA PARA 2022</t>
  </si>
  <si>
    <t>EQUIVALENCIAS DE MONEDAS EXTRANJERAS EN DOLÁRES DE E.U.A. DEL 2021</t>
  </si>
  <si>
    <t>Info GL</t>
  </si>
  <si>
    <t>HUF</t>
  </si>
  <si>
    <t>ILS</t>
  </si>
  <si>
    <t>EQUIVALENCIAS DE MONEDAS EXTRANJERAS EN DOLÁRES DE E.U.A. DEL 2022</t>
  </si>
  <si>
    <t>ADD</t>
  </si>
  <si>
    <t>% De ganancia</t>
  </si>
  <si>
    <t xml:space="preserve">Tipo de Cambio - Fecha de Venta </t>
  </si>
  <si>
    <t>DETERMINACIÓN DE LA GANANCIA / (PÉRDIDA) CAMBIARIA</t>
  </si>
  <si>
    <t>DIC Ant</t>
  </si>
  <si>
    <t>Distribuciones mayores a contribuciones de Private Equity sujetas a ISR adicional</t>
  </si>
  <si>
    <t>&lt;-- Monto Sujeto al 10% adicional de Dividendos</t>
  </si>
  <si>
    <t>Intereses - Bonos</t>
  </si>
  <si>
    <t>Intereses - Cash</t>
  </si>
  <si>
    <t>Accrued Interest Paid</t>
  </si>
  <si>
    <t>Contratos -  FX</t>
  </si>
  <si>
    <t>LISTA DE CONCEPTOS</t>
  </si>
  <si>
    <t>Otros Ingresos</t>
  </si>
  <si>
    <t>DETERMINACIÓN DE LOS INGRESOS POR DIVIDENDOS Y EN GENERAL POR LAS GANANCIAS DISTRIBUIDAS POR PERSONAS MORALES CONFORME AL TÍTULO IV, CAPÍTULO VIII DE LA LISR</t>
  </si>
  <si>
    <t>DETERMINACIÓN DE LOS INGRESOS POR INTERESES CONFORME A LO ESTABLECIDO EN EL TÍTULO IV, CAPÍTULO VI DE LA LISR</t>
  </si>
  <si>
    <t>INGRESOS ACUMULABES POR INTERESES PERCIBIDOS CONFORME AL TÍTULO IV, CAPÍTULO VI DEL LISR</t>
  </si>
  <si>
    <t>INGRESOS ACUMULABLES CONFORME AL TÍTULO IV, CAPÍTULO VI DE LA LISR</t>
  </si>
  <si>
    <t>DETERMINACIÓN DE LOS INGRESOS POR DIFERENCIALES CAMBIARIOS EN CONTRATOS CONFORME A LO ESTABLECIDO EN EL TÍTULO IV, CAPÍTULO VI DEL DE LA LISR</t>
  </si>
  <si>
    <t>DETERMINACIÓN DEL AJUSTE ANUAL POR INFLACIÓN CONFORME AL TÍTULO IV DE LA LISR</t>
  </si>
  <si>
    <t>DETERMINACIÓN DE LOS DEMÁS INGRESOS OBTENIDOS EN EL EJERCICIO CONFORME AL TÍTULO IV, CAPÍTULO IX DE LA LISR</t>
  </si>
  <si>
    <t>INGRESOS ACUMULABLES CONFORME AL TÍTULO IV, CAPÍTULO IX DE LA LISR</t>
  </si>
  <si>
    <t>INGRESOS ACUMULABLES CONFORME AL TÍTULO IV, CAPÍTULO VIII DE LA LISR</t>
  </si>
  <si>
    <t>REDUCCIONES DE CAPITAL CONFORME AL TÍTULO IV DE LA LISR - DATOS INFORMATIVOS</t>
  </si>
  <si>
    <t>Tipo de Retención</t>
  </si>
  <si>
    <t>DETERMINACIÓN DE LOS INGRESOS POR DIVIDENDOS, REDUCCIONES DE CAPITAL Y LIQUIDACIONES DE SOCIEDADES EXTRANJERAS CONFORME AL TÍTULO IV, CAPÍTULO IX, ARTÍCULO 142, FRACCIÓN V DEL LA LISR</t>
  </si>
  <si>
    <t>INGRESOS ACUMULABLES CONFORME AL TÍTULO IV, CAPÍTULO XI DE LA LISR</t>
  </si>
  <si>
    <t>DETERMINACIÓN DEL MONTO ACREDITABLE SOBRE RETENCIONES EFECTUADAS A DIVIDENDOS DE SOCIEDADES EXTRANJERAS CONFORME AL TÍTULO IV, CAPÍTULO IX, ARTÍCULO 142, FRACCIÓN V DE LA LISR</t>
  </si>
  <si>
    <t>ACREDITAMIENTO CONFORME AL TÍTULO IV, CAPÍTULO IX &amp; ARTÍCULO 5TO DE LA LISR</t>
  </si>
  <si>
    <t>DETERMINACIÓN DE INGRESOS POR DISTRIBUCIONES DE PRIVATE EQUITIES CONFORME AL TÍTULO IV, CAPÍTULO IX, ARTÍCULO 142, FRACCIÓN V DEL LA LISR</t>
  </si>
  <si>
    <t>DETERMINACIÓN DEL MONTO ACREDITABLE SOBRE RETENCIONES EFECTUADAS EN DISTRIBUCIONES DE PRIVATE EQUITIES CONFORME AL TÍTULO IV, CAPÍTULO IX, ARTÍCULO 142, FRACCIÓN V DE LA LISR</t>
  </si>
  <si>
    <t>DETERMINACIÓN DEL MONTO ACREDITABLE SOBRE OTRAS RETENCIONES EFECTUADAS EN EL EJERCICIO CONFORME AL TÍTULO IV DE LA LISR</t>
  </si>
  <si>
    <t>ACREDITAMIENTO CONFORME AL TÍTULO IV &amp; ARTÍCULO 5TO DE LA LISR</t>
  </si>
  <si>
    <t>Ganancias Realizadas provenientes de Private Equity</t>
  </si>
  <si>
    <t>Tax Withheld on PE</t>
  </si>
  <si>
    <t>Revesal Tax Withheld on PE</t>
  </si>
  <si>
    <t>NO INCLUIR RETENCIONES/MOVIMIENTOS QUE NO ESTEN RELACIONADOS CON UTILIDADES DE PE</t>
  </si>
  <si>
    <t>Realizado</t>
  </si>
  <si>
    <t>NO</t>
  </si>
  <si>
    <t>Número de Títulos - Operación Inicial</t>
  </si>
  <si>
    <t xml:space="preserve">Ganancia / (Pérdida) en MXN  </t>
  </si>
  <si>
    <t>Ganancia / Pérdida en USD</t>
  </si>
  <si>
    <t>Moneda Original - Mov Inicial</t>
  </si>
  <si>
    <t>Moneda Original - Mov Final</t>
  </si>
  <si>
    <t>CÁLCULO OPCIONAL PARA EL INGRESO ACUMULABLE POR INTERESES Y GANANCIA CAMBIARIA</t>
  </si>
  <si>
    <t>DETERMINACIÓN DE LOS INGRESOS POR INTERESES EN COMPRA VENTA DE BONOS CONFORME A LO ESTABLECIDO EN EL TÍTULO IV, CAPÍTULO VI DE LA LISR</t>
  </si>
  <si>
    <t>EJERCICIO 2022</t>
  </si>
  <si>
    <t>Periodo: Al 31 de diciembre de 2022</t>
  </si>
  <si>
    <t>Al 31 de diciembre de 2022</t>
  </si>
  <si>
    <t xml:space="preserve">      con el artículo 5to y 140 de la Ley del Impuesto sobre la Renta vigente para 2022.</t>
  </si>
  <si>
    <t>Pagos mensulaes enero-diciembre 2022</t>
  </si>
  <si>
    <t>del 1 de enero al 31 de diciembre de 2022</t>
  </si>
  <si>
    <t>Factor de acumulación aplicable del ejercicio fiscal de 2022</t>
  </si>
  <si>
    <t>CUENTAS DEL EXTRANJERO - EJERCICIO DE 2022</t>
  </si>
  <si>
    <t>Citi</t>
  </si>
  <si>
    <t>Cash</t>
  </si>
  <si>
    <t>Cuenta 6781047553</t>
  </si>
  <si>
    <t>1) Transferencias de Efectivo</t>
  </si>
  <si>
    <t>Transferencia</t>
  </si>
  <si>
    <t>Monto</t>
  </si>
  <si>
    <t>From/To</t>
  </si>
  <si>
    <t>OUTGOING FUNDS TRANSFER D3XTRA CAPITAL MANAGEMENT, LLC</t>
  </si>
  <si>
    <t>Transferencia Realizada</t>
  </si>
  <si>
    <t>EZEQUIEL INVESTMENTS LP</t>
  </si>
  <si>
    <t>Activo</t>
  </si>
  <si>
    <t>Titulos</t>
  </si>
  <si>
    <t>Unitario</t>
  </si>
  <si>
    <t>Balance de Títulos</t>
  </si>
  <si>
    <t>Aquisition Date</t>
  </si>
  <si>
    <t>Costo</t>
  </si>
  <si>
    <t>Units Sold</t>
  </si>
  <si>
    <t>Sale date</t>
  </si>
  <si>
    <t>Proceeds</t>
  </si>
  <si>
    <t>ISH  TRES BND 7-10 ETF USD</t>
  </si>
  <si>
    <t>Buy</t>
  </si>
  <si>
    <t>Sell</t>
  </si>
  <si>
    <t xml:space="preserve">ISH CORE MSCI EM IMI ETF USD </t>
  </si>
  <si>
    <t xml:space="preserve">ISH CORE MSCI JPN IMI ETF  </t>
  </si>
  <si>
    <t xml:space="preserve">ISH MSCI ACWI ETF  </t>
  </si>
  <si>
    <t xml:space="preserve">ISH MSCI CANADA ETF  </t>
  </si>
  <si>
    <t xml:space="preserve">ISH MSCI USA ETF  </t>
  </si>
  <si>
    <t xml:space="preserve">ISH USD TRES BND 3-7 ETF  </t>
  </si>
  <si>
    <t>ISHARES  CORP BOND UCITS ETF USD</t>
  </si>
  <si>
    <t>ISHARES  TIPS UCITS ETF</t>
  </si>
  <si>
    <t>ISHARES  TREASURY BOND 20+Y C</t>
  </si>
  <si>
    <t>ISHARES CORE FTSE 100 UCITS  USD H</t>
  </si>
  <si>
    <t>ISHARES CORE MSCI EMU AGGREG USDA</t>
  </si>
  <si>
    <t>ISHARES CORE S&amp;P 500 UCITS ETF USD</t>
  </si>
  <si>
    <t>ISHARES COREMSCIPACEXJAP UCITS ETF</t>
  </si>
  <si>
    <t>ISHARES DEVELOPED MARKETS PR C</t>
  </si>
  <si>
    <t>ISHARES EDGE S&amp;P 500 MIN VOL</t>
  </si>
  <si>
    <t>ISHARES J.P. MORGAN  EM BON C</t>
  </si>
  <si>
    <t>ISHARES MSCI EMU USD HEDGED UCITS</t>
  </si>
  <si>
    <t>ISHARES MSCI USA ESG ENHANCED UCIT</t>
  </si>
  <si>
    <t>ISHARES PHYSICAL GOLD</t>
  </si>
  <si>
    <t>ISHARES US AGGREGATE BOND AG C</t>
  </si>
  <si>
    <t>ISHARES US MORTGAGE BACKED S C</t>
  </si>
  <si>
    <t>ISHARES USD CORP BOND INTERE USD_A</t>
  </si>
  <si>
    <t>ISHARES USD HY CORP BOND UCITS ETF</t>
  </si>
  <si>
    <t>ISHARES USD TREASURY BOND 1- C</t>
  </si>
  <si>
    <t xml:space="preserve"> USD </t>
  </si>
  <si>
    <t>ISHARES USD ULTRASHORT BOND  USD_A</t>
  </si>
  <si>
    <t xml:space="preserve">ISHR JPM USD EM CRP BD USD </t>
  </si>
  <si>
    <t>OUTGOING FUNDS TRANSFER JPMORGAN CHASE</t>
  </si>
  <si>
    <t>ISHARES IV PLC USD ULTRASHORT BD UCITS ETF</t>
  </si>
  <si>
    <t>ISHARES II PLC USD FLOATING RATE BOND</t>
  </si>
  <si>
    <t>ISHARES CORE MSCI EM IMI UCITS ETF</t>
  </si>
  <si>
    <t>ISHARES IV PLC ISH MSCI USA</t>
  </si>
  <si>
    <t>ISHARES USD CORP BD INT RT HDG ETF</t>
  </si>
  <si>
    <t>ISHARES TREASURY BD 1 3 YR UCITS US</t>
  </si>
  <si>
    <t>ISHARES IV PLC USD SHORT DUR CORP BD</t>
  </si>
  <si>
    <t>ISHARES TRUST GLOBAL CLEAN ENERGY ETF</t>
  </si>
  <si>
    <t>Dividendo</t>
  </si>
  <si>
    <t>ISHARES II PLC USD FLOATING RATE BON</t>
  </si>
  <si>
    <t>FLEXSHARES TR MORNSTAR UPSTR</t>
  </si>
  <si>
    <t>INTEREST EARNED ON CREDIT BALANCES</t>
  </si>
  <si>
    <t>PUT/SPY @ 409 EXP 03/18/2022</t>
  </si>
  <si>
    <t>PUT/SPY @ 419 EXP 03/18/2022</t>
  </si>
  <si>
    <t>PUT/SPY @ 420 EXP 01/21/2022</t>
  </si>
  <si>
    <t>PUT/SPY @ 433 EXP 02/18/2022</t>
  </si>
  <si>
    <t>PUT/SPY @ 447 EXP 02/18/2022</t>
  </si>
  <si>
    <t>PUT/SPY @ 457 EXP 02/04/2022</t>
  </si>
  <si>
    <t>PUT/SPY @ 456 EXP 02/11/2022</t>
  </si>
  <si>
    <t>PUT/SPY @ 426 EXP 04/14/2022</t>
  </si>
  <si>
    <t>PUT/SPY @ 420 EXP 03/04/2022</t>
  </si>
  <si>
    <t>PUT/SPY @ 395 EXP 01/21/2022</t>
  </si>
  <si>
    <t>PUT/SPY @ 443 EXP 01/14/2022</t>
  </si>
  <si>
    <t>PUT/SPY @ 422 EXP 05/20/2022</t>
  </si>
  <si>
    <t>PUT/SPY @ 429 EXP 04/14/2022</t>
  </si>
  <si>
    <t>PUT/SPY @ 433 EXP 03/31/2022</t>
  </si>
  <si>
    <t>PUT/SPY @ 380 EXP 06/17/2022</t>
  </si>
  <si>
    <t>PUT/SPY @ 390 EXP 05/20/2022</t>
  </si>
  <si>
    <t>PUT/SPY @ 385 EXP 06/17/2022</t>
  </si>
  <si>
    <t>PUT/SPY @ 415 EXP 04/29/2022</t>
  </si>
  <si>
    <t>PUT/SPY @ 433 EXP 05/06/2022</t>
  </si>
  <si>
    <t>PUT/SPY @ 425 EXP 05/27/2022</t>
  </si>
  <si>
    <t>PUT/SPY @ 415 EXP 07/15/2022</t>
  </si>
  <si>
    <t>PUT/SPY @ 420 EXP 06/30/2022</t>
  </si>
  <si>
    <t>PUT/SPY @ 390 EXP 08/19/2022</t>
  </si>
  <si>
    <t>PUT/SPY @ 400 EXP 06/10/2022</t>
  </si>
  <si>
    <t>PUT/SPY @ 370 EXP 08/19/2022</t>
  </si>
  <si>
    <t>PUT/SPY @ 378 EXP 07/15/2022</t>
  </si>
  <si>
    <t>PUT/SPY @ 360 EXP 09/30/2022</t>
  </si>
  <si>
    <t>PUT/SPY @ 365 EXP 09/16/2022</t>
  </si>
  <si>
    <t>PUT/SPY @ 385 EXP 07/29/2022</t>
  </si>
  <si>
    <t>PUT/SPY @ 335 EXP 10/21/2022</t>
  </si>
  <si>
    <t>PUT/SPY @ 320 EXP 09/16/2022</t>
  </si>
  <si>
    <t>PUT/SPY @ 315 EXP 10/21/2022</t>
  </si>
  <si>
    <t>PUT/SPY @ 352 EXP 10/21/2022</t>
  </si>
  <si>
    <t>Ingresos Sección II LISR (SIC &amp; BMV)</t>
  </si>
  <si>
    <t>Derivados Cap IV, Sec II - SIC &amp; BMV</t>
  </si>
  <si>
    <t>SI</t>
  </si>
  <si>
    <t>PUT/SPY @ 336 EXP 09/30/2022</t>
  </si>
  <si>
    <t>PUT/SPY @ 340 EXP 11/18/2022</t>
  </si>
  <si>
    <t>PUT/SPY @ 345 EXP 11/18/2022</t>
  </si>
  <si>
    <t>PUT/SPY @ 378 EXP 08/26/2022</t>
  </si>
  <si>
    <t>ISHARES VII PLC USD TSY BD 3-7 UCITS ETF</t>
  </si>
  <si>
    <t>ISHARES VII PLC USD TSY BD 7-10YR UCITS ETF</t>
  </si>
  <si>
    <t>PUT/SPY @ 355 EXP 11/18/2022</t>
  </si>
  <si>
    <t>PUT/SPY @ 375 EXP 10/21/2022</t>
  </si>
  <si>
    <t>PUT/SPY @ 399 EXP 09/23/2022</t>
  </si>
  <si>
    <t>PUT/SPY @ 380 EXP 11/18/2022</t>
  </si>
  <si>
    <t>PUT/SPY @ 403 EXP 09/16/2022</t>
  </si>
  <si>
    <t>PUT/SPY @ 390 EXP 10/07/2022</t>
  </si>
  <si>
    <t>Depósitos:</t>
  </si>
  <si>
    <t>Loan</t>
  </si>
  <si>
    <t>ISHARES CORE MSCI EM IMI UCITS</t>
  </si>
  <si>
    <t>ISHARES III PLC CORE MSCI JP</t>
  </si>
  <si>
    <t>ISHARES V PLC MSCI ACWI</t>
  </si>
  <si>
    <t>ISHARES VII PLC MSCI CANADA UCITS</t>
  </si>
  <si>
    <t>NOMBRE EDO CTA</t>
  </si>
  <si>
    <t>ISHARES II PLC AC ISH USD TIPS</t>
  </si>
  <si>
    <t>ISHARES IV PLC TREASURY BD 20YR</t>
  </si>
  <si>
    <t>ISHARES CORE FTSE 100 UCITS USD</t>
  </si>
  <si>
    <t>ISHARES VII PLC CORE MSCI EMU</t>
  </si>
  <si>
    <t>ISHARES VII PLC CORE S&amp;P</t>
  </si>
  <si>
    <t>ISHARES VII PLC CORE MSCI</t>
  </si>
  <si>
    <t>ISHARES II PLC DEVELOPED MARKETS</t>
  </si>
  <si>
    <t>ISHARES VI PLC S&amp;P UCITS ETF</t>
  </si>
  <si>
    <t>ISHARES MSCI USA ESG ENHANCED</t>
  </si>
  <si>
    <t>ISHARES PHYSICAL M I SHS</t>
  </si>
  <si>
    <t>ISHARES II PLC USD FLOATING</t>
  </si>
  <si>
    <t>ISHARES VII PLC USD TSY</t>
  </si>
  <si>
    <t>ISHARES VII PLC USD TSY BD</t>
  </si>
  <si>
    <t>ISHARES IV PLC USD ULTRASHORT</t>
  </si>
  <si>
    <t>SPDR S&amp;P 500 ETF</t>
  </si>
  <si>
    <t>PUT/SPY @ 360 EXP 11/04/2022</t>
  </si>
  <si>
    <t>PUT/SPY @ 345 EXP 12/02/2022</t>
  </si>
  <si>
    <t>PUT/SPY @ 350 EXP 12/02/2022</t>
  </si>
  <si>
    <t>PUT/SPY @ 355 EXP 12/09/2022</t>
  </si>
  <si>
    <t>PUT/SPY @ 368 EXP 10/28/2022</t>
  </si>
  <si>
    <t>Transferencia Recibida</t>
  </si>
  <si>
    <t>Transfer from Investment Acc 35D043931768</t>
  </si>
  <si>
    <t>TO GLOBAL CUSTODY ACCOUNT : 35D043931768</t>
  </si>
  <si>
    <t>ISHARES II PLC USD HIGH YIELD CORP</t>
  </si>
  <si>
    <t>PUT/SPY @ 360 EXP 12/16/2022</t>
  </si>
  <si>
    <t>PUT/SPY @ 335 EXP 12/16/2022</t>
  </si>
  <si>
    <t>PUT/SPY @ 355 EXP 01/20/2023</t>
  </si>
  <si>
    <t>PUT/SPY @ 335 EXP 01/20/2023</t>
  </si>
  <si>
    <t>Enero - Cierre</t>
  </si>
  <si>
    <r>
      <t xml:space="preserve">PUT/SPY </t>
    </r>
    <r>
      <rPr>
        <b/>
        <sz val="11"/>
        <color theme="1"/>
        <rFont val="Segoe UI"/>
        <family val="2"/>
      </rPr>
      <t>@ 340 EXP 02/17/2023</t>
    </r>
  </si>
  <si>
    <t>PUT/SPY @ 344 EXP 02/17/2023</t>
  </si>
  <si>
    <t>PUT/SPY @ 365 EXP 12/23/2022</t>
  </si>
  <si>
    <t>PUT/SPY @ 372 EXP 12/23/2022</t>
  </si>
  <si>
    <t>PUT/SPY @ 375 EXP 01/06/2023</t>
  </si>
  <si>
    <t>PUT/SPY @ 340 EXP 02/17/2023</t>
  </si>
  <si>
    <t>ISHARES IV PLC US MORTGAGE BKD SECS UCITS</t>
  </si>
  <si>
    <t>ISHARES V PLC J.P. MORGAN</t>
  </si>
  <si>
    <t>ISHARES VII PLC MSCI PACIFIC EX</t>
  </si>
  <si>
    <t>ISHARES II PLC USD TIPS 0-5 UCITS ETF</t>
  </si>
  <si>
    <t>PUT/SPY @ 380 EXP 01/13/2023</t>
  </si>
  <si>
    <t xml:space="preserve">PUT/SPY @ 370 EXP 01/27/2023 </t>
  </si>
  <si>
    <t>PUT/SPY @ 358 EXP 03/17/2023</t>
  </si>
  <si>
    <t xml:space="preserve">PUT/SPY @ 323 EXP 03/17/2023 </t>
  </si>
  <si>
    <t xml:space="preserve">PUT/SPY @ 340 EXP 02/03/2023 </t>
  </si>
  <si>
    <t>Total Derivados Extranjero - SIC</t>
  </si>
  <si>
    <t>Total Derivados Cap IV, Sec II - SIC &amp; BMV</t>
  </si>
  <si>
    <t>Total general</t>
  </si>
  <si>
    <t>(en blanco)</t>
  </si>
  <si>
    <t>ISHARES CORE MSCI EMU AGGREG USD</t>
  </si>
  <si>
    <t>Total (en blanco)</t>
  </si>
  <si>
    <t>Total 0</t>
  </si>
  <si>
    <t>Total Acciones Extranjeras - SIC</t>
  </si>
  <si>
    <t>Total Ingresos Sección II LISR (SIC &amp; BMV)</t>
  </si>
  <si>
    <t>AR2XXXX3387-0008</t>
  </si>
  <si>
    <t>AR2XXXX3387-0003</t>
  </si>
  <si>
    <t>029-2XXX1-9</t>
  </si>
  <si>
    <t>Las ventas del activo SPDR S&amp;P 500 ETF de la cuenta GS 029-2XXX1-9 utilice el costo del flujo de efectivo ya que corresponde a assigments, tambien fueron reconocidos como ingresos en las OFD</t>
  </si>
  <si>
    <t>GS 029-2XXX1-9</t>
  </si>
  <si>
    <t>GS 029-2XXX1-9 Total</t>
  </si>
  <si>
    <t>Acciones Extranjeras - SIC Total</t>
  </si>
  <si>
    <t>Ingresos Sección II LISR (SIC &amp; BMV) Total</t>
  </si>
  <si>
    <t>029-2XXX1-9 Total</t>
  </si>
  <si>
    <t>ISHARES II PLC USD FLOATING RATE BON Total</t>
  </si>
  <si>
    <t>ISHARES II PLC USD HIGH YIELD CORP Total</t>
  </si>
  <si>
    <t>ISHARES IV PLC USD SHORT DUR CORP BD Total</t>
  </si>
  <si>
    <t>ISHARES TREASURY BD 1 3 YR UCITS US Total</t>
  </si>
  <si>
    <t>ISH CORE MSCI JPN IMI ETF   Total</t>
  </si>
  <si>
    <t>ISH MSCI ACWI ETF   Total</t>
  </si>
  <si>
    <t>ISH MSCI CANADA ETF   Total</t>
  </si>
  <si>
    <t>ISHARES  TIPS UCITS ETF Total</t>
  </si>
  <si>
    <t>ISHARES  TREASURY BOND 20+Y C Total</t>
  </si>
  <si>
    <t>ISHARES CORE FTSE 100 UCITS  USD H Total</t>
  </si>
  <si>
    <t>ISHARES CORE MSCI EM IMI UCITS ETF Total</t>
  </si>
  <si>
    <t>ISHARES CORE MSCI EMU AGGREG USD Total</t>
  </si>
  <si>
    <t>ISHARES CORE MSCI EMU AGGREG USDA Total</t>
  </si>
  <si>
    <t>ISHARES CORE S&amp;P 500 UCITS ETF USD Total</t>
  </si>
  <si>
    <t>ISHARES DEVELOPED MARKETS PR C Total</t>
  </si>
  <si>
    <t>ISHARES EDGE S&amp;P 500 MIN VOL Total</t>
  </si>
  <si>
    <t>ISHARES II PLC USD FLOATING RATE BOND Total</t>
  </si>
  <si>
    <t>ISHARES IV PLC ISH MSCI USA Total</t>
  </si>
  <si>
    <t>ISHARES IV PLC USD ULTRASHORT BD UCITS ETF Total</t>
  </si>
  <si>
    <t>ISHARES J.P. MORGAN  EM BON C Total</t>
  </si>
  <si>
    <t>ISHARES MSCI USA ESG ENHANCED UCIT Total</t>
  </si>
  <si>
    <t>ISHARES PHYSICAL GOLD Total</t>
  </si>
  <si>
    <t>ISHARES US AGGREGATE BOND AG C Total</t>
  </si>
  <si>
    <t>ISHARES US MORTGAGE BACKED S C Total</t>
  </si>
  <si>
    <t>ISHARES USD CORP BD INT RT HDG ETF Total</t>
  </si>
  <si>
    <t>ISHARES USD CORP BOND INTERE USD_A Total</t>
  </si>
  <si>
    <t>ISHARES USD HY CORP BOND UCITS ETF Total</t>
  </si>
  <si>
    <t>ISHARES USD TREASURY BOND 1- C Total</t>
  </si>
  <si>
    <t>ISHARES VII PLC USD TSY BD 3-7 UCITS ETF Total</t>
  </si>
  <si>
    <t>ISHR JPM USD EM CRP BD USD  Total</t>
  </si>
  <si>
    <t>SPDR S&amp;P 500 ETF Total</t>
  </si>
  <si>
    <t>PUT/SPY @ 323 EXP 03/17/2023  Total</t>
  </si>
  <si>
    <t>PUT/SPY @ 335 EXP 01/20/2023 Total</t>
  </si>
  <si>
    <t>PUT/SPY @ 340 EXP 02/03/2023  Total</t>
  </si>
  <si>
    <t>PUT/SPY @ 340 EXP 02/17/2023 Total</t>
  </si>
  <si>
    <t>PUT/SPY @ 344 EXP 02/17/2023 Total</t>
  </si>
  <si>
    <t>PUT/SPY @ 355 EXP 01/20/2023 Total</t>
  </si>
  <si>
    <t>PUT/SPY @ 358 EXP 03/17/2023 Total</t>
  </si>
  <si>
    <t>PUT/SPY @ 370 EXP 01/27/2023  Total</t>
  </si>
  <si>
    <t>PUT/SPY @ 375 EXP 01/06/2023 Total</t>
  </si>
  <si>
    <t>PUT/SPY @ 380 EXP 01/13/2023 Total</t>
  </si>
  <si>
    <t>PUT/SPY @ 315 EXP 10/21/2022 Total</t>
  </si>
  <si>
    <t>PUT/SPY @ 320 EXP 09/16/2022 Total</t>
  </si>
  <si>
    <t>PUT/SPY @ 335 EXP 10/21/2022 Total</t>
  </si>
  <si>
    <t>PUT/SPY @ 335 EXP 12/16/2022 Total</t>
  </si>
  <si>
    <t>PUT/SPY @ 336 EXP 09/30/2022 Total</t>
  </si>
  <si>
    <t>PUT/SPY @ 340 EXP 11/18/2022 Total</t>
  </si>
  <si>
    <t>PUT/SPY @ 345 EXP 11/18/2022 Total</t>
  </si>
  <si>
    <t>PUT/SPY @ 345 EXP 12/02/2022 Total</t>
  </si>
  <si>
    <t>PUT/SPY @ 350 EXP 12/02/2022 Total</t>
  </si>
  <si>
    <t>PUT/SPY @ 352 EXP 10/21/2022 Total</t>
  </si>
  <si>
    <t>PUT/SPY @ 355 EXP 11/18/2022 Total</t>
  </si>
  <si>
    <t>PUT/SPY @ 355 EXP 12/09/2022 Total</t>
  </si>
  <si>
    <t>PUT/SPY @ 360 EXP 09/30/2022 Total</t>
  </si>
  <si>
    <t>PUT/SPY @ 360 EXP 11/04/2022 Total</t>
  </si>
  <si>
    <t>PUT/SPY @ 360 EXP 12/16/2022 Total</t>
  </si>
  <si>
    <t>PUT/SPY @ 365 EXP 09/16/2022 Total</t>
  </si>
  <si>
    <t>PUT/SPY @ 365 EXP 12/23/2022 Total</t>
  </si>
  <si>
    <t>PUT/SPY @ 368 EXP 10/28/2022 Total</t>
  </si>
  <si>
    <t>PUT/SPY @ 370 EXP 08/19/2022 Total</t>
  </si>
  <si>
    <t>PUT/SPY @ 372 EXP 12/23/2022 Total</t>
  </si>
  <si>
    <t>PUT/SPY @ 375 EXP 10/21/2022 Total</t>
  </si>
  <si>
    <t>PUT/SPY @ 378 EXP 07/15/2022 Total</t>
  </si>
  <si>
    <t>PUT/SPY @ 378 EXP 08/26/2022 Total</t>
  </si>
  <si>
    <t>PUT/SPY @ 380 EXP 06/17/2022 Total</t>
  </si>
  <si>
    <t>PUT/SPY @ 380 EXP 11/18/2022 Total</t>
  </si>
  <si>
    <t>PUT/SPY @ 385 EXP 06/17/2022 Total</t>
  </si>
  <si>
    <t>PUT/SPY @ 385 EXP 07/29/2022 Total</t>
  </si>
  <si>
    <t>PUT/SPY @ 390 EXP 05/20/2022 Total</t>
  </si>
  <si>
    <t>PUT/SPY @ 390 EXP 08/19/2022 Total</t>
  </si>
  <si>
    <t>PUT/SPY @ 390 EXP 10/07/2022 Total</t>
  </si>
  <si>
    <t>PUT/SPY @ 395 EXP 01/21/2022 Total</t>
  </si>
  <si>
    <t>PUT/SPY @ 399 EXP 09/23/2022 Total</t>
  </si>
  <si>
    <t>PUT/SPY @ 400 EXP 06/10/2022 Total</t>
  </si>
  <si>
    <t>PUT/SPY @ 403 EXP 09/16/2022 Total</t>
  </si>
  <si>
    <t>PUT/SPY @ 409 EXP 03/18/2022 Total</t>
  </si>
  <si>
    <t>PUT/SPY @ 415 EXP 04/29/2022 Total</t>
  </si>
  <si>
    <t>PUT/SPY @ 415 EXP 07/15/2022 Total</t>
  </si>
  <si>
    <t>PUT/SPY @ 419 EXP 03/18/2022 Total</t>
  </si>
  <si>
    <t>PUT/SPY @ 420 EXP 01/21/2022 Total</t>
  </si>
  <si>
    <t>PUT/SPY @ 420 EXP 03/04/2022 Total</t>
  </si>
  <si>
    <t>PUT/SPY @ 420 EXP 06/30/2022 Total</t>
  </si>
  <si>
    <t>PUT/SPY @ 422 EXP 05/20/2022 Total</t>
  </si>
  <si>
    <t>PUT/SPY @ 425 EXP 05/27/2022 Total</t>
  </si>
  <si>
    <t>PUT/SPY @ 426 EXP 04/14/2022 Total</t>
  </si>
  <si>
    <t>PUT/SPY @ 429 EXP 04/14/2022 Total</t>
  </si>
  <si>
    <t>PUT/SPY @ 433 EXP 02/18/2022 Total</t>
  </si>
  <si>
    <t>PUT/SPY @ 433 EXP 03/31/2022 Total</t>
  </si>
  <si>
    <t>PUT/SPY @ 433 EXP 05/06/2022 Total</t>
  </si>
  <si>
    <t>PUT/SPY @ 443 EXP 01/14/2022 Total</t>
  </si>
  <si>
    <t>PUT/SPY @ 447 EXP 02/18/2022 Total</t>
  </si>
  <si>
    <t>PUT/SPY @ 456 EXP 02/11/2022 Total</t>
  </si>
  <si>
    <t>PUT/SPY @ 457 EXP 02/04/2022 Total</t>
  </si>
  <si>
    <t>029-2XXX2-7</t>
  </si>
  <si>
    <t>029-2XXX3-5</t>
  </si>
  <si>
    <t>35D0XXXX1768</t>
  </si>
  <si>
    <t>35D0XXXX1768 Total</t>
  </si>
  <si>
    <t>68XXXX3398</t>
  </si>
  <si>
    <t>678XXXX553</t>
  </si>
  <si>
    <t>35D0XXX31768</t>
  </si>
  <si>
    <t>35D0XXX31768 Total</t>
  </si>
  <si>
    <t>55E3XXXX6000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</si>
</sst>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00_-;\-* #,##0.00_-;_-* &quot;-&quot;??_-;_-@_-"/>
    <numFmt numFmtId="165" formatCode="[$-80A]d&quot; de &quot;mmmm&quot; de &quot;yyyy;@"/>
    <numFmt numFmtId="166" formatCode="_-* #,##0.0000_-;\-* #,##0.0000_-;_-* &quot;-&quot;??_-;_-@_-"/>
    <numFmt numFmtId="167" formatCode="[$-409]d\-mmm\-yy;@"/>
    <numFmt numFmtId="168" formatCode="_(* #,##0.0000_);_(* \(#,##0.0000\);_(* &quot;-&quot;??_);_(@_)"/>
    <numFmt numFmtId="169" formatCode="0.0000"/>
    <numFmt numFmtId="170" formatCode="_(* #,##0.00000_);_(* \(#,##0.00000\);_(* &quot;-&quot;??_);_(@_)"/>
    <numFmt numFmtId="171" formatCode="_-* #,##0.000_-;\-* #,##0.000_-;_-* &quot;-&quot;??_-;_-@_-"/>
    <numFmt numFmtId="172" formatCode="#,##0.0000;[Red]\-#,##0.0000"/>
    <numFmt numFmtId="173" formatCode="0.000000"/>
    <numFmt numFmtId="174" formatCode="#,##0.0000"/>
    <numFmt numFmtId="175" formatCode="#,##0.0000000"/>
    <numFmt numFmtId="176" formatCode="0.0000_);\(0.0000\)"/>
    <numFmt numFmtId="177" formatCode="#,##0.0000_);\(#,##0.0000\)"/>
    <numFmt numFmtId="178" formatCode="#,##0.00_);[Red]\(#,##0.00\);_(&quot;-&quot;_);_(@_)"/>
    <numFmt numFmtId="179" formatCode="[$-409]dd\-mmm\-yy;@"/>
    <numFmt numFmtId="180" formatCode="0.0000;[Red]0.0000"/>
    <numFmt numFmtId="181" formatCode="0.0000_);[Red]\(0.0000\)"/>
    <numFmt numFmtId="182" formatCode="#,##0.0000_);[Red]\(#,##0.0000\);_(&quot;-&quot;_);_(@_)"/>
    <numFmt numFmtId="183" formatCode="#,##0.00000"/>
    <numFmt numFmtId="184" formatCode="_(* #,##0.00_);_(* \(#,##0.00\);_(* &quot;-&quot;????_);_(@_)"/>
    <numFmt numFmtId="185" formatCode="_(* #,##0.00_);[Red]_(* \(#,##0.00\);_(* &quot;-&quot;??_);_(@_)"/>
    <numFmt numFmtId="186" formatCode="mmm"/>
    <numFmt numFmtId="187" formatCode="_(* #,##0_);_(* \(#,##0\);_(* &quot;-&quot;??_);_(@_)"/>
  </numFmts>
  <fonts count="62">
    <font>
      <sz val="12"/>
      <color theme="1"/>
      <name val="Calibri-Light"/>
      <family val="2"/>
    </font>
    <font>
      <sz val="12"/>
      <color theme="1"/>
      <name val="Calibri"/>
      <family val="2"/>
      <scheme val="minor"/>
    </font>
    <font>
      <sz val="12"/>
      <color theme="1"/>
      <name val="Calibri-Light"/>
      <family val="2"/>
    </font>
    <font>
      <sz val="11"/>
      <color theme="1"/>
      <name val="Calibri"/>
      <family val="2"/>
      <scheme val="minor"/>
    </font>
    <font>
      <sz val="10"/>
      <name val="Arial"/>
      <family val="2"/>
    </font>
    <font>
      <u/>
      <sz val="12"/>
      <color theme="10"/>
      <name val="Calibri-Light"/>
      <family val="2"/>
    </font>
    <font>
      <u/>
      <sz val="12"/>
      <color theme="11"/>
      <name val="Calibri-Light"/>
      <family val="2"/>
    </font>
    <font>
      <sz val="11"/>
      <color indexed="8"/>
      <name val="Calibri"/>
      <family val="2"/>
    </font>
    <font>
      <sz val="8"/>
      <name val="Calibri-Light"/>
      <family val="2"/>
    </font>
    <font>
      <b/>
      <sz val="12"/>
      <color theme="1"/>
      <name val="Segoe UI"/>
      <family val="2"/>
    </font>
    <font>
      <sz val="12"/>
      <color theme="1"/>
      <name val="Segoe UI"/>
      <family val="2"/>
    </font>
    <font>
      <sz val="16"/>
      <color rgb="FF2097DB"/>
      <name val="Segoe UI"/>
      <family val="2"/>
    </font>
    <font>
      <b/>
      <sz val="10"/>
      <color theme="0"/>
      <name val="Segoe UI"/>
      <family val="2"/>
    </font>
    <font>
      <sz val="12"/>
      <color rgb="FF000000"/>
      <name val="Segoe UI"/>
      <family val="2"/>
    </font>
    <font>
      <sz val="12"/>
      <name val="Segoe UI"/>
      <family val="2"/>
    </font>
    <font>
      <b/>
      <sz val="12"/>
      <color rgb="FF2097DB"/>
      <name val="Segoe UI"/>
      <family val="2"/>
    </font>
    <font>
      <sz val="10"/>
      <color theme="1"/>
      <name val="Segoe UI"/>
      <family val="2"/>
    </font>
    <font>
      <b/>
      <sz val="10"/>
      <color theme="1"/>
      <name val="Segoe UI"/>
      <family val="2"/>
    </font>
    <font>
      <b/>
      <sz val="12"/>
      <name val="Segoe UI"/>
      <family val="2"/>
    </font>
    <font>
      <b/>
      <sz val="12"/>
      <color indexed="8"/>
      <name val="Segoe UI"/>
      <family val="2"/>
    </font>
    <font>
      <sz val="12"/>
      <color indexed="8"/>
      <name val="Segoe UI"/>
      <family val="2"/>
    </font>
    <font>
      <u/>
      <sz val="12"/>
      <name val="Segoe UI"/>
      <family val="2"/>
    </font>
    <font>
      <vertAlign val="superscript"/>
      <sz val="12"/>
      <color theme="1"/>
      <name val="Segoe UI"/>
      <family val="2"/>
    </font>
    <font>
      <b/>
      <sz val="12"/>
      <color rgb="FFFF0000"/>
      <name val="Segoe UI"/>
      <family val="2"/>
    </font>
    <font>
      <sz val="12"/>
      <color rgb="FFFF0000"/>
      <name val="Segoe UI"/>
      <family val="2"/>
    </font>
    <font>
      <b/>
      <sz val="12"/>
      <color rgb="FF000000"/>
      <name val="Segoe UI"/>
      <family val="2"/>
    </font>
    <font>
      <sz val="12"/>
      <color theme="0"/>
      <name val="Segoe UI"/>
      <family val="2"/>
    </font>
    <font>
      <sz val="10"/>
      <name val="Segoe UI"/>
      <family val="2"/>
    </font>
    <font>
      <b/>
      <sz val="10"/>
      <name val="Segoe UI"/>
      <family val="2"/>
    </font>
    <font>
      <b/>
      <u/>
      <sz val="12"/>
      <name val="Segoe UI"/>
      <family val="2"/>
    </font>
    <font>
      <b/>
      <sz val="12"/>
      <color theme="0"/>
      <name val="Segoe UI"/>
      <family val="2"/>
    </font>
    <font>
      <b/>
      <sz val="16"/>
      <color rgb="FF2097DB"/>
      <name val="Segoe UI"/>
      <family val="2"/>
    </font>
    <font>
      <sz val="10"/>
      <color theme="0"/>
      <name val="Segoe UI"/>
      <family val="2"/>
    </font>
    <font>
      <b/>
      <sz val="16"/>
      <color rgb="FF10A1DA"/>
      <name val="Segoe UI"/>
      <family val="2"/>
    </font>
    <font>
      <sz val="11"/>
      <color theme="1"/>
      <name val="Segoe UI"/>
      <family val="2"/>
    </font>
    <font>
      <b/>
      <u/>
      <sz val="12"/>
      <color theme="1"/>
      <name val="Segoe UI"/>
      <family val="2"/>
    </font>
    <font>
      <b/>
      <sz val="11"/>
      <color theme="0"/>
      <name val="Segoe UI"/>
      <family val="2"/>
    </font>
    <font>
      <sz val="11"/>
      <color theme="0"/>
      <name val="Segoe UI"/>
      <family val="2"/>
    </font>
    <font>
      <sz val="11"/>
      <name val="Segoe UI"/>
      <family val="2"/>
    </font>
    <font>
      <sz val="12"/>
      <color theme="0" tint="-0.14999847407452621"/>
      <name val="Segoe UI"/>
      <family val="2"/>
    </font>
    <font>
      <b/>
      <sz val="10"/>
      <color theme="1"/>
      <name val="Segoe UI"/>
      <family val="2"/>
    </font>
    <font>
      <b/>
      <sz val="14"/>
      <color rgb="FFFF0000"/>
      <name val="Segoe UI"/>
      <family val="2"/>
    </font>
    <font>
      <b/>
      <sz val="12"/>
      <color theme="1"/>
      <name val="Segoe UI"/>
      <family val="2"/>
    </font>
    <font>
      <sz val="12"/>
      <color theme="6" tint="0.79998168889431442"/>
      <name val="Segoe UI"/>
      <family val="2"/>
    </font>
    <font>
      <b/>
      <sz val="12"/>
      <color theme="6" tint="0.59999389629810485"/>
      <name val="Segoe UI"/>
      <family val="2"/>
    </font>
    <font>
      <sz val="12"/>
      <color theme="6" tint="0.39997558519241921"/>
      <name val="Segoe UI"/>
      <family val="2"/>
    </font>
    <font>
      <sz val="12"/>
      <color rgb="FF468694"/>
      <name val="Segoe UI"/>
      <family val="2"/>
    </font>
    <font>
      <sz val="12"/>
      <color theme="1"/>
      <name val="Helvetica Light"/>
    </font>
    <font>
      <sz val="12"/>
      <color theme="0"/>
      <name val="Helvetica Light"/>
    </font>
    <font>
      <sz val="12"/>
      <color theme="1"/>
      <name val="ArialMT"/>
      <family val="2"/>
    </font>
    <font>
      <b/>
      <sz val="12"/>
      <color theme="0"/>
      <name val="Segoe UI"/>
      <family val="2"/>
    </font>
    <font>
      <sz val="16"/>
      <color theme="1"/>
      <name val="Segoe UI"/>
      <family val="2"/>
    </font>
    <font>
      <sz val="12"/>
      <color theme="1"/>
      <name val="Calibri Light"/>
      <family val="2"/>
      <scheme val="major"/>
    </font>
    <font>
      <sz val="12"/>
      <color rgb="FF468694"/>
      <name val="Calibri Light"/>
      <family val="2"/>
      <scheme val="major"/>
    </font>
    <font>
      <b/>
      <sz val="12"/>
      <color theme="1"/>
      <name val="Calibri Light"/>
      <family val="2"/>
      <scheme val="major"/>
    </font>
    <font>
      <b/>
      <sz val="18"/>
      <color rgb="FF10A1DA"/>
      <name val="Segoe UI"/>
      <family val="2"/>
    </font>
    <font>
      <b/>
      <sz val="12"/>
      <color rgb="FFFF0000"/>
      <name val="Segoe UI"/>
      <family val="2"/>
    </font>
    <font>
      <b/>
      <sz val="11"/>
      <color theme="0"/>
      <name val="Segoe UI"/>
      <family val="2"/>
    </font>
    <font>
      <sz val="10"/>
      <color rgb="FF468694"/>
      <name val="Segoe UI"/>
      <family val="2"/>
    </font>
    <font>
      <sz val="9"/>
      <color indexed="81"/>
      <name val="Tahoma"/>
      <family val="2"/>
    </font>
    <font>
      <b/>
      <sz val="9"/>
      <color indexed="81"/>
      <name val="Tahoma"/>
      <family val="2"/>
    </font>
    <font>
      <b/>
      <sz val="11"/>
      <color theme="1"/>
      <name val="Segoe UI"/>
      <family val="2"/>
    </font>
  </fonts>
  <fills count="23">
    <fill>
      <patternFill patternType="none"/>
    </fill>
    <fill>
      <patternFill patternType="gray125"/>
    </fill>
    <fill>
      <patternFill patternType="solid">
        <fgColor theme="5" tint="0.79998168889431442"/>
        <bgColor indexed="64"/>
      </patternFill>
    </fill>
    <fill>
      <patternFill patternType="solid">
        <fgColor theme="1"/>
        <bgColor indexed="64"/>
      </patternFill>
    </fill>
    <fill>
      <patternFill patternType="solid">
        <fgColor rgb="FFFF0000"/>
        <bgColor indexed="64"/>
      </patternFill>
    </fill>
    <fill>
      <patternFill patternType="solid">
        <fgColor indexed="8"/>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92D050"/>
        <bgColor indexed="64"/>
      </patternFill>
    </fill>
    <fill>
      <patternFill patternType="solid">
        <fgColor rgb="FF468694"/>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rgb="FFB9E8FE"/>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theme="5"/>
        <bgColor indexed="64"/>
      </patternFill>
    </fill>
  </fills>
  <borders count="29">
    <border>
      <left/>
      <right/>
      <top/>
      <bottom/>
      <diagonal/>
    </border>
    <border>
      <left/>
      <right/>
      <top/>
      <bottom style="thin">
        <color auto="1"/>
      </bottom>
      <diagonal/>
    </border>
    <border>
      <left/>
      <right/>
      <top style="thin">
        <color rgb="FF00B0F0"/>
      </top>
      <bottom style="thin">
        <color rgb="FF00B0F0"/>
      </bottom>
      <diagonal/>
    </border>
    <border>
      <left/>
      <right/>
      <top style="thin">
        <color rgb="FF00B0F0"/>
      </top>
      <bottom style="thin">
        <color rgb="FF8BC0FF"/>
      </bottom>
      <diagonal/>
    </border>
    <border>
      <left/>
      <right/>
      <top/>
      <bottom style="thin">
        <color rgb="FF8BC0FF"/>
      </bottom>
      <diagonal/>
    </border>
    <border>
      <left/>
      <right/>
      <top style="thin">
        <color rgb="FF8BC0FF"/>
      </top>
      <bottom style="thin">
        <color rgb="FF8BC0FF"/>
      </bottom>
      <diagonal/>
    </border>
    <border>
      <left/>
      <right/>
      <top style="thin">
        <color indexed="64"/>
      </top>
      <bottom style="thin">
        <color indexed="64"/>
      </bottom>
      <diagonal/>
    </border>
    <border>
      <left/>
      <right/>
      <top style="thin">
        <color theme="1"/>
      </top>
      <bottom style="thin">
        <color theme="1"/>
      </bottom>
      <diagonal/>
    </border>
    <border>
      <left/>
      <right/>
      <top style="thin">
        <color rgb="FF8BC0FF"/>
      </top>
      <bottom/>
      <diagonal/>
    </border>
    <border>
      <left/>
      <right/>
      <top/>
      <bottom style="thin">
        <color theme="1"/>
      </bottom>
      <diagonal/>
    </border>
    <border>
      <left/>
      <right/>
      <top style="thin">
        <color rgb="FF10A1DA"/>
      </top>
      <bottom style="thin">
        <color rgb="FF10A1DA"/>
      </bottom>
      <diagonal/>
    </border>
    <border>
      <left style="thin">
        <color rgb="FF00B0F0"/>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right/>
      <top style="thin">
        <color rgb="FF8BC0FF"/>
      </top>
      <bottom style="medium">
        <color rgb="FF8BC0FF"/>
      </bottom>
      <diagonal/>
    </border>
    <border>
      <left/>
      <right/>
      <top style="thin">
        <color rgb="FF10A1DA"/>
      </top>
      <bottom style="medium">
        <color rgb="FF10A1DA"/>
      </bottom>
      <diagonal/>
    </border>
    <border>
      <left/>
      <right/>
      <top style="thin">
        <color rgb="FF8BC1FF"/>
      </top>
      <bottom style="thin">
        <color rgb="FF8BC1FF"/>
      </bottom>
      <diagonal/>
    </border>
    <border>
      <left/>
      <right/>
      <top style="thin">
        <color rgb="FF8BC1FF"/>
      </top>
      <bottom style="thin">
        <color rgb="FF8BC0FF"/>
      </bottom>
      <diagonal/>
    </border>
    <border>
      <left style="medium">
        <color indexed="64"/>
      </left>
      <right style="medium">
        <color indexed="64"/>
      </right>
      <top style="medium">
        <color indexed="64"/>
      </top>
      <bottom style="thin">
        <color rgb="FF8BC0FF"/>
      </bottom>
      <diagonal/>
    </border>
    <border>
      <left style="medium">
        <color indexed="64"/>
      </left>
      <right style="medium">
        <color indexed="64"/>
      </right>
      <top style="thin">
        <color rgb="FF8BC0FF"/>
      </top>
      <bottom style="thin">
        <color rgb="FF8BC0FF"/>
      </bottom>
      <diagonal/>
    </border>
    <border>
      <left style="medium">
        <color indexed="64"/>
      </left>
      <right style="medium">
        <color indexed="64"/>
      </right>
      <top style="thin">
        <color rgb="FF8BC0FF"/>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rgb="FF8BC0FF"/>
      </bottom>
      <diagonal/>
    </border>
  </borders>
  <cellStyleXfs count="236">
    <xf numFmtId="0" fontId="0"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4" fillId="0" borderId="0" applyFont="0" applyFill="0" applyBorder="0" applyAlignment="0" applyProtection="0"/>
    <xf numFmtId="9" fontId="4" fillId="0" borderId="0" applyFont="0" applyFill="0" applyBorder="0" applyAlignment="0" applyProtection="0"/>
    <xf numFmtId="43" fontId="2" fillId="0" borderId="0" applyFont="0" applyFill="0" applyBorder="0" applyAlignment="0" applyProtection="0"/>
    <xf numFmtId="164" fontId="3" fillId="0" borderId="0" applyFont="0" applyFill="0" applyBorder="0" applyAlignment="0" applyProtection="0"/>
    <xf numFmtId="43" fontId="4" fillId="0" borderId="0" applyFont="0" applyFill="0" applyBorder="0" applyAlignment="0" applyProtection="0"/>
    <xf numFmtId="0" fontId="4"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7"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49" fillId="0" borderId="0"/>
    <xf numFmtId="164" fontId="49" fillId="0" borderId="0" applyFont="0" applyFill="0" applyBorder="0" applyAlignment="0" applyProtection="0"/>
    <xf numFmtId="164" fontId="1" fillId="0" borderId="0" applyFont="0" applyFill="0" applyBorder="0" applyAlignment="0" applyProtection="0"/>
  </cellStyleXfs>
  <cellXfs count="776">
    <xf numFmtId="0" fontId="0" fillId="0" borderId="0" xfId="0"/>
    <xf numFmtId="0" fontId="10" fillId="0" borderId="0" xfId="0" applyFont="1"/>
    <xf numFmtId="0" fontId="9" fillId="0" borderId="0" xfId="0" applyFont="1"/>
    <xf numFmtId="0" fontId="10" fillId="0" borderId="0" xfId="0" applyFont="1" applyAlignment="1">
      <alignment horizontal="center"/>
    </xf>
    <xf numFmtId="0" fontId="10" fillId="0" borderId="0" xfId="0" applyFont="1" applyAlignment="1">
      <alignment vertical="center"/>
    </xf>
    <xf numFmtId="0" fontId="10" fillId="10" borderId="3" xfId="0" applyFont="1" applyFill="1" applyBorder="1" applyProtection="1">
      <protection locked="0"/>
    </xf>
    <xf numFmtId="0" fontId="10" fillId="10" borderId="4" xfId="0" applyFont="1" applyFill="1" applyBorder="1" applyProtection="1">
      <protection locked="0"/>
    </xf>
    <xf numFmtId="0" fontId="10" fillId="0" borderId="5" xfId="0" applyFont="1" applyBorder="1" applyAlignment="1" applyProtection="1">
      <alignment horizontal="center" vertical="center"/>
      <protection locked="0"/>
    </xf>
    <xf numFmtId="0" fontId="9" fillId="0" borderId="0" xfId="3" applyFont="1" applyAlignment="1">
      <alignment horizontal="center" vertical="center"/>
    </xf>
    <xf numFmtId="0" fontId="10" fillId="0" borderId="0" xfId="3" applyFont="1" applyAlignment="1">
      <alignment vertical="center"/>
    </xf>
    <xf numFmtId="0" fontId="10" fillId="0" borderId="0" xfId="3" applyFont="1" applyAlignment="1">
      <alignment horizontal="center" vertical="center"/>
    </xf>
    <xf numFmtId="0" fontId="10" fillId="0" borderId="0" xfId="3" applyFont="1" applyAlignment="1">
      <alignment horizontal="left" vertical="center"/>
    </xf>
    <xf numFmtId="0" fontId="9" fillId="0" borderId="0" xfId="0" applyFont="1" applyAlignment="1" applyProtection="1">
      <alignment horizontal="center" vertical="center" wrapText="1"/>
      <protection locked="0"/>
    </xf>
    <xf numFmtId="0" fontId="10" fillId="0" borderId="0" xfId="3" applyFont="1" applyAlignment="1">
      <alignment horizontal="left" vertical="center" wrapText="1"/>
    </xf>
    <xf numFmtId="43" fontId="9" fillId="0" borderId="0" xfId="1" applyFont="1" applyAlignment="1" applyProtection="1">
      <alignment vertical="center"/>
    </xf>
    <xf numFmtId="9" fontId="10" fillId="0" borderId="0" xfId="3" applyNumberFormat="1" applyFont="1" applyAlignment="1">
      <alignment horizontal="center" vertical="center"/>
    </xf>
    <xf numFmtId="43" fontId="10" fillId="0" borderId="0" xfId="1" applyFont="1" applyAlignment="1" applyProtection="1">
      <alignment vertical="center"/>
    </xf>
    <xf numFmtId="0" fontId="14" fillId="0" borderId="0" xfId="3" applyFont="1" applyAlignment="1">
      <alignment horizontal="left" vertical="center"/>
    </xf>
    <xf numFmtId="0" fontId="14" fillId="0" borderId="0" xfId="3" applyFont="1" applyAlignment="1">
      <alignment horizontal="center" vertical="center"/>
    </xf>
    <xf numFmtId="43" fontId="14" fillId="0" borderId="0" xfId="1" applyFont="1" applyFill="1" applyAlignment="1" applyProtection="1">
      <alignment vertical="center"/>
    </xf>
    <xf numFmtId="0" fontId="14" fillId="0" borderId="0" xfId="3" applyFont="1" applyAlignment="1">
      <alignment vertical="center"/>
    </xf>
    <xf numFmtId="0" fontId="14" fillId="0" borderId="0" xfId="0" applyFont="1"/>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0" fontId="16" fillId="0" borderId="7" xfId="0" applyFont="1" applyBorder="1" applyAlignment="1" applyProtection="1">
      <alignment vertical="center"/>
      <protection hidden="1"/>
    </xf>
    <xf numFmtId="0" fontId="16" fillId="0" borderId="0" xfId="0" applyFont="1" applyAlignment="1" applyProtection="1">
      <alignment vertical="center"/>
      <protection hidden="1"/>
    </xf>
    <xf numFmtId="0" fontId="16" fillId="0" borderId="0" xfId="0" applyFont="1" applyAlignment="1" applyProtection="1">
      <alignment horizontal="center" vertical="center"/>
      <protection hidden="1"/>
    </xf>
    <xf numFmtId="0" fontId="16" fillId="0" borderId="0" xfId="3" applyFont="1" applyAlignment="1">
      <alignment horizontal="center" vertical="center"/>
    </xf>
    <xf numFmtId="0" fontId="16" fillId="0" borderId="0" xfId="3" applyFont="1" applyAlignment="1">
      <alignment horizontal="left" vertical="center"/>
    </xf>
    <xf numFmtId="0" fontId="17" fillId="0" borderId="0" xfId="0" applyFont="1" applyAlignment="1" applyProtection="1">
      <alignment horizontal="center" vertical="center" wrapText="1"/>
      <protection locked="0"/>
    </xf>
    <xf numFmtId="0" fontId="16" fillId="0" borderId="0" xfId="3" applyFont="1" applyAlignment="1">
      <alignment vertical="center"/>
    </xf>
    <xf numFmtId="0" fontId="16" fillId="9" borderId="0" xfId="0" applyFont="1" applyFill="1" applyAlignment="1" applyProtection="1">
      <alignment vertical="center"/>
      <protection hidden="1"/>
    </xf>
    <xf numFmtId="0" fontId="16" fillId="9" borderId="0" xfId="0" applyFont="1" applyFill="1" applyAlignment="1" applyProtection="1">
      <alignment horizontal="center" vertical="center"/>
      <protection hidden="1"/>
    </xf>
    <xf numFmtId="0" fontId="14" fillId="0" borderId="0" xfId="0" applyFont="1" applyAlignment="1">
      <alignment horizontal="center" vertical="center"/>
    </xf>
    <xf numFmtId="0" fontId="14" fillId="0" borderId="0" xfId="0" applyFont="1" applyAlignment="1">
      <alignment horizontal="left" vertical="center"/>
    </xf>
    <xf numFmtId="0" fontId="14" fillId="0" borderId="0" xfId="0" applyFont="1" applyAlignment="1">
      <alignment vertical="center"/>
    </xf>
    <xf numFmtId="43" fontId="18" fillId="0" borderId="0" xfId="0" applyNumberFormat="1" applyFont="1" applyAlignment="1">
      <alignment horizontal="center" vertical="center" wrapText="1"/>
    </xf>
    <xf numFmtId="43" fontId="18" fillId="0" borderId="0" xfId="0" applyNumberFormat="1" applyFont="1" applyAlignment="1">
      <alignment horizontal="center" vertical="center"/>
    </xf>
    <xf numFmtId="0" fontId="19" fillId="0" borderId="0" xfId="0" applyFont="1" applyAlignment="1">
      <alignment horizontal="center"/>
    </xf>
    <xf numFmtId="0" fontId="20" fillId="0" borderId="0" xfId="0" applyFont="1" applyAlignment="1">
      <alignment horizontal="left"/>
    </xf>
    <xf numFmtId="0" fontId="14" fillId="0" borderId="0" xfId="0" applyFont="1" applyAlignment="1">
      <alignment horizontal="center"/>
    </xf>
    <xf numFmtId="0" fontId="10" fillId="0" borderId="0" xfId="0" applyFont="1" applyAlignment="1">
      <alignment horizontal="center" vertical="center"/>
    </xf>
    <xf numFmtId="43" fontId="14" fillId="0" borderId="0" xfId="0" applyNumberFormat="1" applyFont="1" applyAlignment="1">
      <alignment vertical="center"/>
    </xf>
    <xf numFmtId="0" fontId="19" fillId="0" borderId="0" xfId="0" applyFont="1" applyAlignment="1">
      <alignment horizontal="center" vertical="center"/>
    </xf>
    <xf numFmtId="0" fontId="20" fillId="0" borderId="0" xfId="0" applyFont="1" applyAlignment="1">
      <alignment vertical="center"/>
    </xf>
    <xf numFmtId="0" fontId="10" fillId="0" borderId="0" xfId="0" applyFont="1" applyAlignment="1" applyProtection="1">
      <alignment horizontal="left" vertical="center"/>
      <protection locked="0"/>
    </xf>
    <xf numFmtId="43" fontId="14" fillId="0" borderId="0" xfId="4" applyFont="1" applyFill="1" applyBorder="1" applyAlignment="1" applyProtection="1">
      <alignment vertical="center"/>
    </xf>
    <xf numFmtId="0" fontId="9" fillId="0" borderId="0" xfId="0" applyFont="1" applyAlignment="1">
      <alignment horizontal="center" vertical="center"/>
    </xf>
    <xf numFmtId="43" fontId="14" fillId="0" borderId="0" xfId="4" applyFont="1" applyBorder="1" applyAlignment="1" applyProtection="1">
      <alignment vertical="center"/>
    </xf>
    <xf numFmtId="0" fontId="20" fillId="0" borderId="0" xfId="0" applyFont="1" applyAlignment="1">
      <alignment horizontal="left" vertical="center"/>
    </xf>
    <xf numFmtId="0" fontId="10" fillId="0" borderId="0" xfId="0" applyFont="1" applyAlignment="1">
      <alignment horizontal="left" vertical="center"/>
    </xf>
    <xf numFmtId="0" fontId="18" fillId="0" borderId="0" xfId="0" applyFont="1" applyAlignment="1">
      <alignment vertical="center"/>
    </xf>
    <xf numFmtId="43" fontId="18" fillId="0" borderId="0" xfId="0" applyNumberFormat="1" applyFont="1" applyAlignment="1">
      <alignment vertical="center"/>
    </xf>
    <xf numFmtId="0" fontId="9" fillId="0" borderId="0" xfId="0" applyFont="1" applyAlignment="1">
      <alignment vertical="center"/>
    </xf>
    <xf numFmtId="164" fontId="9" fillId="0" borderId="0" xfId="0" applyNumberFormat="1" applyFont="1" applyAlignment="1">
      <alignment vertical="center"/>
    </xf>
    <xf numFmtId="164" fontId="9" fillId="0" borderId="0" xfId="0" applyNumberFormat="1" applyFont="1" applyAlignment="1">
      <alignment horizontal="center" vertical="center"/>
    </xf>
    <xf numFmtId="164" fontId="10" fillId="0" borderId="0" xfId="0" applyNumberFormat="1" applyFont="1" applyAlignment="1">
      <alignment vertical="center"/>
    </xf>
    <xf numFmtId="0" fontId="21" fillId="0" borderId="0" xfId="0" applyFont="1" applyAlignment="1">
      <alignment horizontal="center" vertical="center"/>
    </xf>
    <xf numFmtId="43" fontId="10" fillId="0" borderId="0" xfId="0" applyNumberFormat="1" applyFont="1" applyAlignment="1">
      <alignment vertical="center"/>
    </xf>
    <xf numFmtId="0" fontId="23" fillId="0" borderId="0" xfId="0" applyFont="1" applyAlignment="1">
      <alignment vertical="center"/>
    </xf>
    <xf numFmtId="0" fontId="9" fillId="0" borderId="0" xfId="0" applyFont="1" applyAlignment="1">
      <alignment horizontal="left" vertical="center"/>
    </xf>
    <xf numFmtId="43" fontId="18" fillId="0" borderId="0" xfId="4" applyFont="1" applyFill="1" applyBorder="1" applyAlignment="1" applyProtection="1">
      <alignment vertical="center"/>
    </xf>
    <xf numFmtId="0" fontId="10" fillId="0" borderId="0" xfId="0" applyFont="1" applyAlignment="1" applyProtection="1">
      <alignment horizontal="left" vertical="center" wrapText="1"/>
      <protection locked="0"/>
    </xf>
    <xf numFmtId="43" fontId="18" fillId="0" borderId="0" xfId="4" applyFont="1" applyFill="1" applyBorder="1" applyAlignment="1" applyProtection="1">
      <alignment vertical="center"/>
      <protection locked="0"/>
    </xf>
    <xf numFmtId="0" fontId="23" fillId="0" borderId="0" xfId="0" applyFont="1"/>
    <xf numFmtId="0" fontId="18" fillId="0" borderId="0" xfId="0" applyFont="1" applyAlignment="1">
      <alignment horizontal="center" vertical="center"/>
    </xf>
    <xf numFmtId="0" fontId="18" fillId="0" borderId="0" xfId="0" applyFont="1" applyAlignment="1">
      <alignment horizontal="center"/>
    </xf>
    <xf numFmtId="0" fontId="10" fillId="0" borderId="0" xfId="0" applyFont="1" applyAlignment="1">
      <alignment horizontal="left"/>
    </xf>
    <xf numFmtId="43" fontId="10" fillId="0" borderId="0" xfId="4" applyFont="1" applyFill="1" applyAlignment="1" applyProtection="1">
      <alignment vertical="center"/>
    </xf>
    <xf numFmtId="43" fontId="10" fillId="0" borderId="0" xfId="4" applyFont="1" applyFill="1" applyAlignment="1" applyProtection="1">
      <alignment horizontal="center" vertical="center"/>
    </xf>
    <xf numFmtId="43" fontId="14" fillId="0" borderId="0" xfId="1" applyFont="1" applyBorder="1" applyAlignment="1" applyProtection="1">
      <alignment vertical="center"/>
    </xf>
    <xf numFmtId="43" fontId="14" fillId="0" borderId="0" xfId="1" applyFont="1" applyFill="1" applyBorder="1" applyAlignment="1" applyProtection="1">
      <alignment vertical="center"/>
    </xf>
    <xf numFmtId="0" fontId="14" fillId="0" borderId="0" xfId="0" applyFont="1" applyAlignment="1" applyProtection="1">
      <alignment horizontal="center" vertical="center"/>
      <protection locked="0"/>
    </xf>
    <xf numFmtId="0" fontId="14" fillId="0" borderId="0" xfId="0" applyFont="1" applyAlignment="1" applyProtection="1">
      <alignment vertical="center"/>
      <protection locked="0"/>
    </xf>
    <xf numFmtId="43" fontId="10" fillId="0" borderId="0" xfId="1" applyFont="1" applyProtection="1"/>
    <xf numFmtId="43" fontId="14" fillId="0" borderId="0" xfId="4" applyFont="1" applyFill="1" applyBorder="1" applyAlignment="1" applyProtection="1">
      <alignment vertical="center"/>
      <protection locked="0"/>
    </xf>
    <xf numFmtId="0" fontId="10" fillId="0" borderId="0" xfId="0" applyFont="1" applyAlignment="1" applyProtection="1">
      <alignment horizontal="center" vertical="center"/>
      <protection locked="0"/>
    </xf>
    <xf numFmtId="0" fontId="24" fillId="0" borderId="0" xfId="0" applyFont="1"/>
    <xf numFmtId="49" fontId="9" fillId="0" borderId="0" xfId="0" applyNumberFormat="1" applyFont="1" applyAlignment="1">
      <alignment horizontal="center"/>
    </xf>
    <xf numFmtId="43" fontId="14" fillId="0" borderId="0" xfId="0" applyNumberFormat="1" applyFont="1" applyAlignment="1">
      <alignment horizontal="center" vertical="center"/>
    </xf>
    <xf numFmtId="0" fontId="27" fillId="0" borderId="0" xfId="0" applyFont="1" applyAlignment="1">
      <alignment horizontal="center" vertical="center"/>
    </xf>
    <xf numFmtId="0" fontId="27" fillId="0" borderId="0" xfId="0" applyFont="1" applyAlignment="1">
      <alignment horizontal="left" vertical="center"/>
    </xf>
    <xf numFmtId="0" fontId="27" fillId="0" borderId="0" xfId="0" applyFont="1" applyAlignment="1">
      <alignment vertical="center"/>
    </xf>
    <xf numFmtId="43" fontId="28" fillId="0" borderId="0" xfId="0" applyNumberFormat="1" applyFont="1" applyAlignment="1">
      <alignment horizontal="center" vertical="center" wrapText="1"/>
    </xf>
    <xf numFmtId="43" fontId="28" fillId="0" borderId="0" xfId="0" applyNumberFormat="1" applyFont="1" applyAlignment="1">
      <alignment horizontal="center" vertical="center"/>
    </xf>
    <xf numFmtId="0" fontId="16" fillId="0" borderId="0" xfId="0" applyFont="1"/>
    <xf numFmtId="0" fontId="14" fillId="11" borderId="5" xfId="0" applyFont="1" applyFill="1" applyBorder="1" applyAlignment="1">
      <alignment horizontal="center" vertical="center"/>
    </xf>
    <xf numFmtId="0" fontId="14" fillId="11" borderId="5" xfId="0" applyFont="1" applyFill="1" applyBorder="1" applyAlignment="1">
      <alignment vertical="center"/>
    </xf>
    <xf numFmtId="43" fontId="14" fillId="11" borderId="5" xfId="0" applyNumberFormat="1" applyFont="1" applyFill="1" applyBorder="1" applyAlignment="1">
      <alignment vertical="center"/>
    </xf>
    <xf numFmtId="43" fontId="18" fillId="11" borderId="5" xfId="0" applyNumberFormat="1" applyFont="1" applyFill="1" applyBorder="1" applyAlignment="1">
      <alignment vertical="center"/>
    </xf>
    <xf numFmtId="0" fontId="10" fillId="11" borderId="5" xfId="0" applyFont="1" applyFill="1" applyBorder="1" applyAlignment="1">
      <alignment vertical="center"/>
    </xf>
    <xf numFmtId="0" fontId="9" fillId="10" borderId="5" xfId="0" applyFont="1" applyFill="1" applyBorder="1" applyAlignment="1">
      <alignment vertical="center"/>
    </xf>
    <xf numFmtId="0" fontId="10" fillId="10" borderId="5" xfId="0" applyFont="1" applyFill="1" applyBorder="1"/>
    <xf numFmtId="43" fontId="18" fillId="10" borderId="5" xfId="4" applyFont="1" applyFill="1" applyBorder="1" applyAlignment="1" applyProtection="1">
      <alignment vertical="center"/>
    </xf>
    <xf numFmtId="0" fontId="14" fillId="10" borderId="5" xfId="0" applyFont="1" applyFill="1" applyBorder="1" applyAlignment="1">
      <alignment horizontal="center" vertical="center"/>
    </xf>
    <xf numFmtId="0" fontId="14" fillId="10" borderId="5" xfId="0" applyFont="1" applyFill="1" applyBorder="1" applyAlignment="1">
      <alignment vertical="center"/>
    </xf>
    <xf numFmtId="43" fontId="18" fillId="10" borderId="5" xfId="0" applyNumberFormat="1" applyFont="1" applyFill="1" applyBorder="1" applyAlignment="1">
      <alignment vertical="center"/>
    </xf>
    <xf numFmtId="0" fontId="18" fillId="0" borderId="0" xfId="0" applyFont="1" applyAlignment="1">
      <alignment horizontal="left" vertical="center"/>
    </xf>
    <xf numFmtId="43" fontId="9" fillId="0" borderId="0" xfId="4" applyFont="1" applyAlignment="1" applyProtection="1">
      <alignment horizontal="center" vertical="center"/>
    </xf>
    <xf numFmtId="0" fontId="29" fillId="0" borderId="0" xfId="0" applyFont="1" applyAlignment="1">
      <alignment vertical="center"/>
    </xf>
    <xf numFmtId="0" fontId="14" fillId="0" borderId="0" xfId="0" applyFont="1" applyAlignment="1">
      <alignment vertical="center" wrapText="1"/>
    </xf>
    <xf numFmtId="0" fontId="18" fillId="11" borderId="5" xfId="0" applyFont="1" applyFill="1" applyBorder="1" applyAlignment="1">
      <alignment horizontal="center" vertical="center"/>
    </xf>
    <xf numFmtId="0" fontId="18" fillId="11" borderId="5" xfId="0" applyFont="1" applyFill="1" applyBorder="1" applyAlignment="1">
      <alignment vertical="center"/>
    </xf>
    <xf numFmtId="0" fontId="26" fillId="3" borderId="5" xfId="0" applyFont="1" applyFill="1" applyBorder="1"/>
    <xf numFmtId="0" fontId="30" fillId="9" borderId="5" xfId="0" applyFont="1" applyFill="1" applyBorder="1" applyAlignment="1">
      <alignment horizontal="center" vertical="center"/>
    </xf>
    <xf numFmtId="0" fontId="30" fillId="9" borderId="5" xfId="0" applyFont="1" applyFill="1" applyBorder="1" applyAlignment="1">
      <alignment vertical="center"/>
    </xf>
    <xf numFmtId="43" fontId="30" fillId="9" borderId="5" xfId="4" applyFont="1" applyFill="1" applyBorder="1" applyAlignment="1" applyProtection="1">
      <alignment vertical="center"/>
    </xf>
    <xf numFmtId="43" fontId="10" fillId="0" borderId="0" xfId="4" applyFont="1" applyAlignment="1" applyProtection="1">
      <alignment horizontal="center" vertical="center"/>
    </xf>
    <xf numFmtId="0" fontId="29" fillId="0" borderId="0" xfId="0" applyFont="1" applyAlignment="1">
      <alignment horizontal="left" vertical="center"/>
    </xf>
    <xf numFmtId="43" fontId="14" fillId="0" borderId="0" xfId="4" applyFont="1" applyFill="1" applyBorder="1" applyAlignment="1" applyProtection="1">
      <alignment horizontal="center" vertical="center"/>
    </xf>
    <xf numFmtId="43" fontId="14" fillId="0" borderId="0" xfId="4" applyFont="1" applyBorder="1" applyAlignment="1" applyProtection="1">
      <alignment horizontal="center" vertical="center"/>
    </xf>
    <xf numFmtId="43" fontId="10" fillId="0" borderId="0" xfId="0" applyNumberFormat="1" applyFont="1"/>
    <xf numFmtId="43" fontId="14" fillId="0" borderId="0" xfId="4" applyFont="1" applyAlignment="1" applyProtection="1">
      <alignment horizontal="center" vertical="center"/>
    </xf>
    <xf numFmtId="43" fontId="14" fillId="11" borderId="5" xfId="4" applyFont="1" applyFill="1" applyBorder="1" applyAlignment="1" applyProtection="1">
      <alignment horizontal="center" vertical="center"/>
    </xf>
    <xf numFmtId="43" fontId="14" fillId="11" borderId="5" xfId="4" applyFont="1" applyFill="1" applyBorder="1" applyAlignment="1" applyProtection="1">
      <alignment vertical="center"/>
    </xf>
    <xf numFmtId="43" fontId="10" fillId="11" borderId="5" xfId="0" applyNumberFormat="1" applyFont="1" applyFill="1" applyBorder="1"/>
    <xf numFmtId="0" fontId="9" fillId="9" borderId="0" xfId="0" applyFont="1" applyFill="1" applyAlignment="1">
      <alignment horizontal="center" vertical="center"/>
    </xf>
    <xf numFmtId="43" fontId="30" fillId="9" borderId="5" xfId="4" applyFont="1" applyFill="1" applyBorder="1" applyAlignment="1" applyProtection="1">
      <alignment horizontal="center" vertical="center"/>
    </xf>
    <xf numFmtId="43" fontId="10" fillId="0" borderId="0" xfId="1" applyFont="1" applyFill="1" applyBorder="1" applyAlignment="1">
      <alignment vertical="center"/>
    </xf>
    <xf numFmtId="0" fontId="30" fillId="3" borderId="5" xfId="0" applyFont="1" applyFill="1" applyBorder="1" applyAlignment="1">
      <alignment horizontal="right" vertical="center"/>
    </xf>
    <xf numFmtId="0" fontId="17" fillId="0" borderId="0" xfId="0" applyFont="1" applyAlignment="1">
      <alignment horizontal="center" vertical="center" wrapText="1"/>
    </xf>
    <xf numFmtId="0" fontId="16" fillId="0" borderId="0" xfId="0" applyFont="1" applyAlignment="1">
      <alignment horizontal="center" vertical="center" wrapText="1"/>
    </xf>
    <xf numFmtId="0" fontId="16" fillId="0" borderId="7" xfId="0" applyFont="1" applyBorder="1" applyAlignment="1" applyProtection="1">
      <alignment horizontal="left" vertical="center"/>
      <protection hidden="1"/>
    </xf>
    <xf numFmtId="0" fontId="16" fillId="0" borderId="7" xfId="0" applyFont="1" applyBorder="1" applyAlignment="1" applyProtection="1">
      <alignment horizontal="center" vertical="center"/>
      <protection hidden="1"/>
    </xf>
    <xf numFmtId="0" fontId="31" fillId="0" borderId="0" xfId="0" applyFont="1" applyAlignment="1">
      <alignment horizontal="left"/>
    </xf>
    <xf numFmtId="0" fontId="31" fillId="0" borderId="0" xfId="0" applyFont="1"/>
    <xf numFmtId="0" fontId="32" fillId="9" borderId="0" xfId="0" applyFont="1" applyFill="1"/>
    <xf numFmtId="0" fontId="32" fillId="9" borderId="0" xfId="0" applyFont="1" applyFill="1" applyAlignment="1">
      <alignment horizontal="center" vertical="center" wrapText="1"/>
    </xf>
    <xf numFmtId="0" fontId="26" fillId="3" borderId="0" xfId="0" applyFont="1" applyFill="1" applyAlignment="1">
      <alignment horizontal="left"/>
    </xf>
    <xf numFmtId="178" fontId="26" fillId="3" borderId="0" xfId="0" applyNumberFormat="1" applyFont="1" applyFill="1" applyAlignment="1">
      <alignment wrapText="1"/>
    </xf>
    <xf numFmtId="0" fontId="10" fillId="0" borderId="0" xfId="0" applyFont="1" applyAlignment="1">
      <alignment horizontal="right"/>
    </xf>
    <xf numFmtId="0" fontId="10" fillId="11" borderId="5" xfId="0" applyFont="1" applyFill="1" applyBorder="1"/>
    <xf numFmtId="0" fontId="26" fillId="3" borderId="0" xfId="0" applyFont="1" applyFill="1"/>
    <xf numFmtId="0" fontId="10" fillId="9" borderId="0" xfId="0" applyFont="1" applyFill="1"/>
    <xf numFmtId="0" fontId="10" fillId="0" borderId="0" xfId="0" applyFont="1" applyProtection="1">
      <protection locked="0"/>
    </xf>
    <xf numFmtId="0" fontId="10" fillId="7" borderId="0" xfId="0" applyFont="1" applyFill="1" applyAlignment="1" applyProtection="1">
      <alignment horizontal="center"/>
      <protection locked="0"/>
    </xf>
    <xf numFmtId="0" fontId="9" fillId="0" borderId="0" xfId="0" applyFont="1" applyAlignment="1">
      <alignment horizontal="center"/>
    </xf>
    <xf numFmtId="0" fontId="9" fillId="0" borderId="0" xfId="0" applyFont="1" applyAlignment="1">
      <alignment horizontal="center" vertical="center" wrapText="1"/>
    </xf>
    <xf numFmtId="9" fontId="10" fillId="0" borderId="0" xfId="2" applyFont="1" applyFill="1" applyBorder="1" applyAlignment="1" applyProtection="1">
      <alignment horizontal="center" vertical="center"/>
      <protection locked="0"/>
    </xf>
    <xf numFmtId="15" fontId="10" fillId="0" borderId="0" xfId="2" applyNumberFormat="1" applyFont="1" applyFill="1" applyBorder="1" applyAlignment="1" applyProtection="1">
      <alignment horizontal="center" vertical="center"/>
      <protection locked="0"/>
    </xf>
    <xf numFmtId="0" fontId="10" fillId="0" borderId="0" xfId="0" applyFont="1" applyAlignment="1" applyProtection="1">
      <alignment vertical="center"/>
      <protection locked="0"/>
    </xf>
    <xf numFmtId="43" fontId="10" fillId="0" borderId="0" xfId="1" applyFont="1" applyFill="1" applyBorder="1" applyAlignment="1" applyProtection="1">
      <alignment horizontal="center" vertical="center"/>
      <protection locked="0"/>
    </xf>
    <xf numFmtId="43" fontId="10" fillId="0" borderId="0" xfId="1" applyFont="1" applyFill="1" applyBorder="1" applyAlignment="1" applyProtection="1">
      <alignment vertical="center"/>
      <protection locked="0"/>
    </xf>
    <xf numFmtId="166" fontId="10" fillId="0" borderId="0" xfId="1" applyNumberFormat="1" applyFont="1" applyFill="1" applyBorder="1" applyAlignment="1" applyProtection="1">
      <alignment vertical="center"/>
      <protection locked="0"/>
    </xf>
    <xf numFmtId="164" fontId="10" fillId="0" borderId="0" xfId="1" applyNumberFormat="1" applyFont="1" applyFill="1" applyBorder="1" applyAlignment="1" applyProtection="1">
      <alignment vertical="center"/>
      <protection locked="0"/>
    </xf>
    <xf numFmtId="167" fontId="10" fillId="0" borderId="0" xfId="0" applyNumberFormat="1" applyFont="1" applyAlignment="1" applyProtection="1">
      <alignment horizontal="center" vertical="center"/>
      <protection locked="0"/>
    </xf>
    <xf numFmtId="166" fontId="9" fillId="0" borderId="0" xfId="1" applyNumberFormat="1" applyFont="1" applyFill="1" applyBorder="1" applyAlignment="1" applyProtection="1">
      <alignment horizontal="center" vertical="center" wrapText="1"/>
      <protection locked="0"/>
    </xf>
    <xf numFmtId="166" fontId="9" fillId="0" borderId="0" xfId="1" applyNumberFormat="1" applyFont="1" applyFill="1" applyBorder="1" applyAlignment="1" applyProtection="1">
      <alignment horizontal="center" vertical="center"/>
      <protection locked="0"/>
    </xf>
    <xf numFmtId="43" fontId="10" fillId="0" borderId="0" xfId="1" applyFont="1" applyFill="1" applyBorder="1" applyAlignment="1" applyProtection="1">
      <alignment vertical="center"/>
    </xf>
    <xf numFmtId="43" fontId="10" fillId="0" borderId="0" xfId="1" applyFont="1" applyFill="1" applyBorder="1" applyAlignment="1" applyProtection="1">
      <alignment horizontal="center" vertical="center"/>
    </xf>
    <xf numFmtId="166" fontId="10" fillId="0" borderId="0" xfId="1" applyNumberFormat="1" applyFont="1" applyFill="1" applyBorder="1" applyAlignment="1" applyProtection="1">
      <alignment vertical="center"/>
    </xf>
    <xf numFmtId="0" fontId="9" fillId="0" borderId="0" xfId="0" applyFont="1" applyAlignment="1" applyProtection="1">
      <alignment vertical="top" wrapText="1"/>
      <protection locked="0"/>
    </xf>
    <xf numFmtId="0" fontId="10" fillId="0" borderId="0" xfId="0" applyFont="1" applyAlignment="1" applyProtection="1">
      <alignment vertical="top" wrapText="1"/>
      <protection locked="0"/>
    </xf>
    <xf numFmtId="165" fontId="28" fillId="0" borderId="0" xfId="0" applyNumberFormat="1" applyFont="1" applyAlignment="1">
      <alignment horizontal="center" vertical="center" wrapText="1"/>
    </xf>
    <xf numFmtId="0" fontId="16" fillId="0" borderId="0" xfId="0" applyFont="1" applyProtection="1">
      <protection locked="0"/>
    </xf>
    <xf numFmtId="0" fontId="17" fillId="7" borderId="0" xfId="0" applyFont="1" applyFill="1" applyAlignment="1" applyProtection="1">
      <alignment horizontal="center" vertical="center"/>
      <protection locked="0"/>
    </xf>
    <xf numFmtId="0" fontId="9" fillId="9" borderId="0" xfId="0" applyFont="1" applyFill="1" applyAlignment="1">
      <alignment horizontal="center"/>
    </xf>
    <xf numFmtId="0" fontId="9" fillId="9" borderId="0" xfId="0" applyFont="1" applyFill="1"/>
    <xf numFmtId="15" fontId="10" fillId="0" borderId="5" xfId="2" applyNumberFormat="1" applyFont="1" applyFill="1" applyBorder="1" applyAlignment="1" applyProtection="1">
      <alignment horizontal="center" vertical="center"/>
      <protection locked="0"/>
    </xf>
    <xf numFmtId="167" fontId="10" fillId="0" borderId="5" xfId="0" applyNumberFormat="1" applyFont="1" applyBorder="1" applyAlignment="1" applyProtection="1">
      <alignment horizontal="center" vertical="center"/>
      <protection locked="0"/>
    </xf>
    <xf numFmtId="15" fontId="10" fillId="0" borderId="5" xfId="2" applyNumberFormat="1" applyFont="1" applyFill="1" applyBorder="1" applyAlignment="1" applyProtection="1">
      <alignment vertical="center"/>
      <protection locked="0"/>
    </xf>
    <xf numFmtId="43" fontId="10" fillId="0" borderId="5" xfId="1" applyFont="1" applyFill="1" applyBorder="1" applyAlignment="1" applyProtection="1">
      <alignment horizontal="center" vertical="center"/>
      <protection locked="0"/>
    </xf>
    <xf numFmtId="182" fontId="10" fillId="0" borderId="5" xfId="1" applyNumberFormat="1" applyFont="1" applyFill="1" applyBorder="1" applyAlignment="1" applyProtection="1">
      <alignment horizontal="center" vertical="center"/>
      <protection locked="0"/>
    </xf>
    <xf numFmtId="43" fontId="10" fillId="0" borderId="5" xfId="1" applyFont="1" applyFill="1" applyBorder="1" applyAlignment="1" applyProtection="1">
      <alignment vertical="center"/>
      <protection locked="0"/>
    </xf>
    <xf numFmtId="0" fontId="9" fillId="11" borderId="5" xfId="0" applyFont="1" applyFill="1" applyBorder="1" applyAlignment="1" applyProtection="1">
      <alignment horizontal="left" vertical="center"/>
      <protection locked="0"/>
    </xf>
    <xf numFmtId="9" fontId="10" fillId="11" borderId="5" xfId="2" applyFont="1" applyFill="1" applyBorder="1" applyAlignment="1" applyProtection="1">
      <alignment horizontal="center" vertical="center"/>
      <protection locked="0"/>
    </xf>
    <xf numFmtId="0" fontId="10" fillId="11" borderId="5" xfId="0" applyFont="1" applyFill="1" applyBorder="1" applyAlignment="1" applyProtection="1">
      <alignment horizontal="center" vertical="center"/>
      <protection locked="0"/>
    </xf>
    <xf numFmtId="15" fontId="10" fillId="11" borderId="5" xfId="2" applyNumberFormat="1" applyFont="1" applyFill="1" applyBorder="1" applyAlignment="1" applyProtection="1">
      <alignment horizontal="center" vertical="center"/>
      <protection locked="0"/>
    </xf>
    <xf numFmtId="0" fontId="10" fillId="11" borderId="5" xfId="0" applyFont="1" applyFill="1" applyBorder="1" applyAlignment="1" applyProtection="1">
      <alignment vertical="center"/>
      <protection locked="0"/>
    </xf>
    <xf numFmtId="43" fontId="9" fillId="11" borderId="5" xfId="0" applyNumberFormat="1" applyFont="1" applyFill="1" applyBorder="1" applyProtection="1">
      <protection locked="0"/>
    </xf>
    <xf numFmtId="166" fontId="10" fillId="11" borderId="5" xfId="1" applyNumberFormat="1" applyFont="1" applyFill="1" applyBorder="1" applyAlignment="1" applyProtection="1">
      <alignment vertical="center"/>
      <protection locked="0"/>
    </xf>
    <xf numFmtId="0" fontId="16" fillId="0" borderId="0" xfId="0" applyFont="1" applyAlignment="1" applyProtection="1">
      <alignment horizontal="center" vertical="center"/>
      <protection locked="0"/>
    </xf>
    <xf numFmtId="9" fontId="16" fillId="0" borderId="0" xfId="2" applyFont="1" applyFill="1" applyBorder="1" applyAlignment="1" applyProtection="1">
      <alignment horizontal="center" vertical="center"/>
      <protection locked="0"/>
    </xf>
    <xf numFmtId="15" fontId="16" fillId="0" borderId="0" xfId="2" applyNumberFormat="1" applyFont="1" applyFill="1" applyBorder="1" applyAlignment="1" applyProtection="1">
      <alignment horizontal="center" vertical="center"/>
      <protection locked="0"/>
    </xf>
    <xf numFmtId="0" fontId="16" fillId="0" borderId="0" xfId="0" applyFont="1" applyAlignment="1" applyProtection="1">
      <alignment vertical="center"/>
      <protection locked="0"/>
    </xf>
    <xf numFmtId="166" fontId="17" fillId="0" borderId="0" xfId="1" applyNumberFormat="1" applyFont="1" applyFill="1" applyBorder="1" applyAlignment="1" applyProtection="1">
      <alignment horizontal="center" vertical="center" wrapText="1"/>
      <protection locked="0"/>
    </xf>
    <xf numFmtId="43" fontId="16" fillId="0" borderId="0" xfId="1" applyFont="1" applyFill="1" applyBorder="1" applyAlignment="1" applyProtection="1">
      <alignment vertical="center"/>
      <protection locked="0"/>
    </xf>
    <xf numFmtId="43" fontId="16" fillId="0" borderId="0" xfId="1" applyFont="1" applyFill="1" applyBorder="1" applyAlignment="1" applyProtection="1">
      <alignment horizontal="center" vertical="center"/>
      <protection locked="0"/>
    </xf>
    <xf numFmtId="0" fontId="9" fillId="0" borderId="5" xfId="0" applyFont="1" applyBorder="1" applyAlignment="1">
      <alignment horizontal="right" vertical="center"/>
    </xf>
    <xf numFmtId="0" fontId="9" fillId="0" borderId="5" xfId="0" applyFont="1" applyBorder="1" applyAlignment="1">
      <alignment horizontal="center"/>
    </xf>
    <xf numFmtId="43" fontId="10" fillId="0" borderId="5" xfId="1" applyFont="1" applyFill="1" applyBorder="1" applyAlignment="1" applyProtection="1">
      <alignment vertical="center"/>
    </xf>
    <xf numFmtId="0" fontId="10" fillId="0" borderId="5" xfId="0" applyFont="1" applyBorder="1" applyProtection="1">
      <protection locked="0"/>
    </xf>
    <xf numFmtId="43" fontId="26" fillId="3" borderId="5" xfId="1" applyFont="1" applyFill="1" applyBorder="1" applyAlignment="1" applyProtection="1">
      <alignment horizontal="center" vertical="center"/>
    </xf>
    <xf numFmtId="43" fontId="30" fillId="3" borderId="5" xfId="6" applyFont="1" applyFill="1" applyBorder="1" applyAlignment="1" applyProtection="1">
      <alignment vertical="center"/>
    </xf>
    <xf numFmtId="0" fontId="26" fillId="3" borderId="5" xfId="0" applyFont="1" applyFill="1" applyBorder="1" applyProtection="1">
      <protection locked="0"/>
    </xf>
    <xf numFmtId="43" fontId="26" fillId="3" borderId="5" xfId="1" applyFont="1" applyFill="1" applyBorder="1" applyAlignment="1" applyProtection="1">
      <alignment vertical="center"/>
    </xf>
    <xf numFmtId="14" fontId="10" fillId="0" borderId="0" xfId="0" applyNumberFormat="1" applyFont="1" applyAlignment="1" applyProtection="1">
      <alignment horizontal="right" vertical="center"/>
      <protection locked="0"/>
    </xf>
    <xf numFmtId="166" fontId="10" fillId="0" borderId="0" xfId="1" applyNumberFormat="1" applyFont="1" applyFill="1" applyBorder="1" applyProtection="1"/>
    <xf numFmtId="43" fontId="10" fillId="0" borderId="0" xfId="1" applyFont="1" applyFill="1" applyBorder="1" applyProtection="1"/>
    <xf numFmtId="166" fontId="9" fillId="0" borderId="0" xfId="1" applyNumberFormat="1" applyFont="1" applyFill="1" applyBorder="1" applyAlignment="1" applyProtection="1">
      <alignment horizontal="center"/>
    </xf>
    <xf numFmtId="43" fontId="9" fillId="0" borderId="0" xfId="1" applyFont="1" applyFill="1" applyBorder="1" applyAlignment="1" applyProtection="1">
      <alignment horizontal="center"/>
    </xf>
    <xf numFmtId="0" fontId="34" fillId="0" borderId="0" xfId="0" applyFont="1"/>
    <xf numFmtId="0" fontId="16" fillId="0" borderId="0" xfId="0" applyFont="1" applyAlignment="1">
      <alignment horizontal="center"/>
    </xf>
    <xf numFmtId="9" fontId="10" fillId="0" borderId="5" xfId="2" applyFont="1" applyFill="1" applyBorder="1" applyAlignment="1" applyProtection="1">
      <alignment horizontal="center" vertical="center"/>
      <protection locked="0"/>
    </xf>
    <xf numFmtId="9" fontId="10" fillId="0" borderId="5" xfId="2" applyFont="1" applyFill="1" applyBorder="1" applyAlignment="1" applyProtection="1">
      <alignment vertical="center"/>
      <protection locked="0"/>
    </xf>
    <xf numFmtId="14" fontId="10" fillId="0" borderId="5" xfId="0" applyNumberFormat="1" applyFont="1" applyBorder="1" applyAlignment="1" applyProtection="1">
      <alignment horizontal="center" vertical="center"/>
      <protection locked="0"/>
    </xf>
    <xf numFmtId="0" fontId="9" fillId="11" borderId="5" xfId="0" applyFont="1" applyFill="1" applyBorder="1" applyAlignment="1">
      <alignment horizontal="left" vertical="center"/>
    </xf>
    <xf numFmtId="0" fontId="9" fillId="11" borderId="5" xfId="0" applyFont="1" applyFill="1" applyBorder="1" applyAlignment="1">
      <alignment horizontal="center" vertical="center"/>
    </xf>
    <xf numFmtId="43" fontId="9" fillId="11" borderId="5" xfId="0" applyNumberFormat="1" applyFont="1" applyFill="1" applyBorder="1" applyAlignment="1">
      <alignment vertical="center"/>
    </xf>
    <xf numFmtId="43" fontId="10" fillId="0" borderId="5" xfId="1" applyFont="1" applyFill="1" applyBorder="1" applyProtection="1"/>
    <xf numFmtId="0" fontId="10" fillId="0" borderId="5" xfId="0" applyFont="1" applyBorder="1"/>
    <xf numFmtId="166" fontId="10" fillId="0" borderId="5" xfId="1" applyNumberFormat="1" applyFont="1" applyFill="1" applyBorder="1" applyProtection="1"/>
    <xf numFmtId="0" fontId="26" fillId="3" borderId="5" xfId="0" applyFont="1" applyFill="1" applyBorder="1" applyAlignment="1">
      <alignment horizontal="center"/>
    </xf>
    <xf numFmtId="165" fontId="18" fillId="0" borderId="0" xfId="0" applyNumberFormat="1" applyFont="1" applyAlignment="1" applyProtection="1">
      <alignment horizontal="center" vertical="center" wrapText="1"/>
      <protection locked="0"/>
    </xf>
    <xf numFmtId="0" fontId="10" fillId="0" borderId="0" xfId="0" applyFont="1" applyAlignment="1" applyProtection="1">
      <alignment horizontal="center"/>
      <protection locked="0"/>
    </xf>
    <xf numFmtId="166" fontId="10" fillId="0" borderId="0" xfId="1" applyNumberFormat="1" applyFont="1" applyFill="1" applyBorder="1" applyProtection="1">
      <protection locked="0"/>
    </xf>
    <xf numFmtId="43" fontId="10" fillId="0" borderId="0" xfId="1" applyFont="1" applyFill="1" applyBorder="1" applyProtection="1">
      <protection locked="0"/>
    </xf>
    <xf numFmtId="164" fontId="10" fillId="0" borderId="0" xfId="1" applyNumberFormat="1" applyFont="1" applyFill="1" applyBorder="1" applyProtection="1">
      <protection locked="0"/>
    </xf>
    <xf numFmtId="0" fontId="16" fillId="0" borderId="0" xfId="0" applyFont="1" applyAlignment="1" applyProtection="1">
      <alignment horizontal="center"/>
      <protection locked="0"/>
    </xf>
    <xf numFmtId="166" fontId="16" fillId="0" borderId="0" xfId="1" applyNumberFormat="1" applyFont="1" applyFill="1" applyBorder="1" applyProtection="1"/>
    <xf numFmtId="43" fontId="9" fillId="11" borderId="5" xfId="0" applyNumberFormat="1" applyFont="1" applyFill="1" applyBorder="1" applyAlignment="1">
      <alignment horizontal="center" vertical="center"/>
    </xf>
    <xf numFmtId="0" fontId="10" fillId="0" borderId="5" xfId="0" applyFont="1" applyBorder="1" applyAlignment="1" applyProtection="1">
      <alignment horizontal="left" vertical="center" wrapText="1"/>
      <protection locked="0"/>
    </xf>
    <xf numFmtId="0" fontId="9" fillId="0" borderId="0" xfId="0" applyFont="1" applyProtection="1">
      <protection locked="0"/>
    </xf>
    <xf numFmtId="164" fontId="10" fillId="0" borderId="0" xfId="1" applyNumberFormat="1" applyFont="1" applyFill="1" applyBorder="1" applyAlignment="1" applyProtection="1">
      <alignment vertical="center"/>
    </xf>
    <xf numFmtId="0" fontId="10" fillId="0" borderId="0" xfId="0" applyFont="1" applyAlignment="1" applyProtection="1">
      <alignment horizontal="right"/>
      <protection locked="0"/>
    </xf>
    <xf numFmtId="43" fontId="10" fillId="0" borderId="0" xfId="1" applyFont="1" applyAlignment="1" applyProtection="1">
      <alignment vertical="center"/>
      <protection locked="0"/>
    </xf>
    <xf numFmtId="0" fontId="10" fillId="9" borderId="0" xfId="0" applyFont="1" applyFill="1" applyProtection="1">
      <protection locked="0"/>
    </xf>
    <xf numFmtId="0" fontId="9" fillId="11" borderId="0" xfId="0" applyFont="1" applyFill="1" applyAlignment="1" applyProtection="1">
      <alignment horizontal="center" vertical="center"/>
      <protection locked="0"/>
    </xf>
    <xf numFmtId="0" fontId="9" fillId="0" borderId="5" xfId="0" applyFont="1" applyBorder="1" applyAlignment="1" applyProtection="1">
      <alignment vertical="center"/>
      <protection locked="0"/>
    </xf>
    <xf numFmtId="43" fontId="10" fillId="0" borderId="5" xfId="1" applyFont="1" applyBorder="1" applyAlignment="1" applyProtection="1">
      <alignment vertical="center"/>
      <protection locked="0"/>
    </xf>
    <xf numFmtId="43" fontId="26" fillId="3" borderId="5" xfId="0" applyNumberFormat="1" applyFont="1" applyFill="1" applyBorder="1" applyProtection="1">
      <protection locked="0"/>
    </xf>
    <xf numFmtId="43" fontId="26" fillId="3" borderId="5" xfId="1" applyFont="1" applyFill="1" applyBorder="1" applyAlignment="1" applyProtection="1">
      <alignment vertical="center"/>
      <protection locked="0"/>
    </xf>
    <xf numFmtId="0" fontId="13" fillId="0" borderId="0" xfId="0" applyFont="1"/>
    <xf numFmtId="164" fontId="10" fillId="0" borderId="0" xfId="7" applyFont="1" applyFill="1" applyBorder="1"/>
    <xf numFmtId="0" fontId="10" fillId="0" borderId="0" xfId="0" applyFont="1" applyAlignment="1">
      <alignment wrapText="1"/>
    </xf>
    <xf numFmtId="0" fontId="35" fillId="0" borderId="0" xfId="0" applyFont="1"/>
    <xf numFmtId="0" fontId="30" fillId="3" borderId="0" xfId="0" applyFont="1" applyFill="1" applyAlignment="1">
      <alignment horizontal="left" vertical="center" wrapText="1"/>
    </xf>
    <xf numFmtId="164" fontId="30" fillId="3" borderId="0" xfId="7" applyFont="1" applyFill="1" applyAlignment="1">
      <alignment vertical="center" wrapText="1"/>
    </xf>
    <xf numFmtId="0" fontId="10" fillId="6" borderId="0" xfId="0" applyFont="1" applyFill="1" applyProtection="1">
      <protection locked="0"/>
    </xf>
    <xf numFmtId="0" fontId="10" fillId="0" borderId="5" xfId="0" applyFont="1" applyBorder="1" applyAlignment="1" applyProtection="1">
      <alignment vertical="center"/>
      <protection locked="0"/>
    </xf>
    <xf numFmtId="43" fontId="9" fillId="11" borderId="5" xfId="0" applyNumberFormat="1" applyFont="1" applyFill="1" applyBorder="1" applyAlignment="1" applyProtection="1">
      <alignment horizontal="center" vertical="center"/>
      <protection locked="0"/>
    </xf>
    <xf numFmtId="43" fontId="9" fillId="11" borderId="5" xfId="0" applyNumberFormat="1" applyFont="1" applyFill="1" applyBorder="1" applyAlignment="1" applyProtection="1">
      <alignment vertical="center"/>
      <protection locked="0"/>
    </xf>
    <xf numFmtId="43" fontId="30" fillId="3" borderId="5" xfId="1" applyFont="1" applyFill="1" applyBorder="1" applyAlignment="1" applyProtection="1">
      <alignment vertical="center"/>
    </xf>
    <xf numFmtId="0" fontId="30" fillId="3" borderId="5" xfId="0" applyFont="1" applyFill="1" applyBorder="1"/>
    <xf numFmtId="0" fontId="13" fillId="0" borderId="0" xfId="0" applyFont="1" applyAlignment="1" applyProtection="1">
      <alignment horizontal="center" vertical="center"/>
      <protection locked="0"/>
    </xf>
    <xf numFmtId="164" fontId="10" fillId="0" borderId="0" xfId="0" applyNumberFormat="1" applyFont="1" applyAlignment="1" applyProtection="1">
      <alignment vertical="center"/>
      <protection locked="0"/>
    </xf>
    <xf numFmtId="9" fontId="10" fillId="0" borderId="0" xfId="0" applyNumberFormat="1" applyFont="1" applyAlignment="1" applyProtection="1">
      <alignment horizontal="center" vertical="center"/>
      <protection locked="0"/>
    </xf>
    <xf numFmtId="43" fontId="10" fillId="0" borderId="0" xfId="1" applyFont="1" applyBorder="1" applyAlignment="1" applyProtection="1">
      <alignment horizontal="center" vertical="center"/>
      <protection locked="0"/>
    </xf>
    <xf numFmtId="43" fontId="10" fillId="0" borderId="0" xfId="1" applyFont="1"/>
    <xf numFmtId="0" fontId="10" fillId="9" borderId="0" xfId="0" applyFont="1" applyFill="1" applyAlignment="1">
      <alignment vertical="center"/>
    </xf>
    <xf numFmtId="0" fontId="9" fillId="11" borderId="5" xfId="0" applyFont="1" applyFill="1" applyBorder="1" applyAlignment="1" applyProtection="1">
      <alignment horizontal="center" vertical="center"/>
      <protection locked="0"/>
    </xf>
    <xf numFmtId="43" fontId="9" fillId="11" borderId="5" xfId="1" applyFont="1" applyFill="1" applyBorder="1" applyAlignment="1" applyProtection="1">
      <alignment vertical="center"/>
      <protection locked="0"/>
    </xf>
    <xf numFmtId="0" fontId="30" fillId="3" borderId="5" xfId="0" applyFont="1" applyFill="1" applyBorder="1" applyAlignment="1">
      <alignment horizontal="right"/>
    </xf>
    <xf numFmtId="43" fontId="30" fillId="3" borderId="5" xfId="1" applyFont="1" applyFill="1" applyBorder="1"/>
    <xf numFmtId="0" fontId="16" fillId="6" borderId="0" xfId="0" applyFont="1" applyFill="1" applyProtection="1">
      <protection locked="0"/>
    </xf>
    <xf numFmtId="0" fontId="9" fillId="0" borderId="5" xfId="0" applyFont="1" applyBorder="1" applyAlignment="1">
      <alignment horizontal="right"/>
    </xf>
    <xf numFmtId="43" fontId="10" fillId="0" borderId="5" xfId="1" applyFont="1" applyFill="1" applyBorder="1" applyAlignment="1">
      <alignment vertical="center"/>
    </xf>
    <xf numFmtId="43" fontId="10" fillId="0" borderId="5" xfId="1" applyFont="1" applyBorder="1"/>
    <xf numFmtId="43" fontId="26" fillId="3" borderId="5" xfId="1" applyFont="1" applyFill="1" applyBorder="1"/>
    <xf numFmtId="0" fontId="10" fillId="0" borderId="5" xfId="0" applyFont="1" applyBorder="1" applyAlignment="1" applyProtection="1">
      <alignment horizontal="left" vertical="center"/>
      <protection locked="0"/>
    </xf>
    <xf numFmtId="164" fontId="10" fillId="0" borderId="5" xfId="1" applyNumberFormat="1" applyFont="1" applyFill="1" applyBorder="1" applyAlignment="1" applyProtection="1">
      <alignment vertical="center"/>
      <protection locked="0"/>
    </xf>
    <xf numFmtId="164" fontId="10" fillId="0" borderId="5" xfId="0" applyNumberFormat="1" applyFont="1" applyBorder="1" applyAlignment="1" applyProtection="1">
      <alignment vertical="center"/>
      <protection locked="0"/>
    </xf>
    <xf numFmtId="0" fontId="13" fillId="0" borderId="5" xfId="0" applyFont="1" applyBorder="1" applyAlignment="1" applyProtection="1">
      <alignment horizontal="center" vertical="center"/>
      <protection locked="0"/>
    </xf>
    <xf numFmtId="166" fontId="10" fillId="0" borderId="5" xfId="1" applyNumberFormat="1" applyFont="1" applyFill="1" applyBorder="1" applyAlignment="1" applyProtection="1">
      <alignment vertical="center"/>
      <protection locked="0"/>
    </xf>
    <xf numFmtId="9" fontId="10" fillId="0" borderId="5" xfId="0" applyNumberFormat="1" applyFont="1" applyBorder="1" applyAlignment="1" applyProtection="1">
      <alignment horizontal="center" vertical="center"/>
      <protection locked="0"/>
    </xf>
    <xf numFmtId="43" fontId="10" fillId="0" borderId="5" xfId="1" applyFont="1" applyBorder="1" applyAlignment="1" applyProtection="1">
      <alignment horizontal="center" vertical="center"/>
      <protection locked="0"/>
    </xf>
    <xf numFmtId="177" fontId="10" fillId="0" borderId="0" xfId="1" applyNumberFormat="1" applyFont="1" applyFill="1" applyBorder="1" applyAlignment="1" applyProtection="1">
      <alignment horizontal="center" vertical="center"/>
      <protection locked="0"/>
    </xf>
    <xf numFmtId="167" fontId="10" fillId="11" borderId="5" xfId="0" applyNumberFormat="1" applyFont="1" applyFill="1" applyBorder="1" applyAlignment="1" applyProtection="1">
      <alignment horizontal="center" vertical="center"/>
      <protection locked="0"/>
    </xf>
    <xf numFmtId="0" fontId="10" fillId="11" borderId="5" xfId="0" applyFont="1" applyFill="1" applyBorder="1" applyAlignment="1" applyProtection="1">
      <alignment horizontal="left" vertical="center"/>
      <protection locked="0"/>
    </xf>
    <xf numFmtId="177" fontId="10" fillId="11" borderId="5" xfId="1" applyNumberFormat="1" applyFont="1" applyFill="1" applyBorder="1" applyAlignment="1" applyProtection="1">
      <alignment horizontal="center" vertical="center"/>
      <protection locked="0"/>
    </xf>
    <xf numFmtId="0" fontId="9" fillId="0" borderId="5" xfId="0" applyFont="1" applyBorder="1" applyAlignment="1">
      <alignment horizontal="center" vertical="center"/>
    </xf>
    <xf numFmtId="0" fontId="10" fillId="0" borderId="5" xfId="0" applyFont="1" applyBorder="1" applyAlignment="1">
      <alignment vertical="center"/>
    </xf>
    <xf numFmtId="43" fontId="10" fillId="0" borderId="5" xfId="1" applyFont="1" applyBorder="1" applyAlignment="1">
      <alignment vertical="center"/>
    </xf>
    <xf numFmtId="0" fontId="9" fillId="0" borderId="0" xfId="0" applyFont="1" applyAlignment="1" applyProtection="1">
      <alignment horizontal="center"/>
      <protection locked="0"/>
    </xf>
    <xf numFmtId="167" fontId="10" fillId="0" borderId="0" xfId="0" applyNumberFormat="1" applyFont="1" applyAlignment="1" applyProtection="1">
      <alignment horizontal="center"/>
      <protection locked="0"/>
    </xf>
    <xf numFmtId="43" fontId="10" fillId="0" borderId="0" xfId="1" applyFont="1" applyFill="1" applyBorder="1" applyAlignment="1" applyProtection="1">
      <protection locked="0"/>
    </xf>
    <xf numFmtId="182" fontId="10" fillId="0" borderId="0" xfId="1" applyNumberFormat="1" applyFont="1" applyFill="1" applyBorder="1" applyAlignment="1" applyProtection="1">
      <alignment horizontal="center"/>
      <protection locked="0"/>
    </xf>
    <xf numFmtId="165" fontId="28" fillId="0" borderId="0" xfId="0" applyNumberFormat="1" applyFont="1" applyAlignment="1" applyProtection="1">
      <alignment horizontal="center" vertical="center" wrapText="1"/>
      <protection locked="0"/>
    </xf>
    <xf numFmtId="0" fontId="17" fillId="0" borderId="0" xfId="0" applyFont="1" applyAlignment="1">
      <alignment horizontal="center"/>
    </xf>
    <xf numFmtId="0" fontId="9" fillId="9" borderId="0" xfId="0" applyFont="1" applyFill="1" applyAlignment="1" applyProtection="1">
      <alignment horizontal="center"/>
      <protection locked="0"/>
    </xf>
    <xf numFmtId="0" fontId="9" fillId="9" borderId="0" xfId="0" applyFont="1" applyFill="1" applyProtection="1">
      <protection locked="0"/>
    </xf>
    <xf numFmtId="43" fontId="10" fillId="0" borderId="0" xfId="1" applyFont="1" applyProtection="1">
      <protection locked="0"/>
    </xf>
    <xf numFmtId="43" fontId="9" fillId="0" borderId="0" xfId="1" applyFont="1" applyFill="1" applyBorder="1" applyAlignment="1" applyProtection="1">
      <alignment horizontal="center" vertical="center" wrapText="1"/>
    </xf>
    <xf numFmtId="43" fontId="17" fillId="0" borderId="0" xfId="1" applyFont="1" applyFill="1" applyBorder="1" applyAlignment="1" applyProtection="1">
      <alignment horizontal="center" vertical="center" wrapText="1"/>
    </xf>
    <xf numFmtId="0" fontId="10" fillId="0" borderId="5" xfId="0" applyFont="1" applyBorder="1" applyAlignment="1" applyProtection="1">
      <alignment horizontal="center"/>
      <protection locked="0"/>
    </xf>
    <xf numFmtId="167" fontId="10" fillId="0" borderId="5" xfId="0" applyNumberFormat="1" applyFont="1" applyBorder="1" applyAlignment="1" applyProtection="1">
      <alignment horizontal="center"/>
      <protection locked="0"/>
    </xf>
    <xf numFmtId="43" fontId="10" fillId="0" borderId="5" xfId="1" applyFont="1" applyFill="1" applyBorder="1" applyAlignment="1" applyProtection="1">
      <protection locked="0"/>
    </xf>
    <xf numFmtId="182" fontId="10" fillId="0" borderId="5" xfId="1" applyNumberFormat="1" applyFont="1" applyFill="1" applyBorder="1" applyAlignment="1" applyProtection="1">
      <alignment horizontal="center"/>
      <protection locked="0"/>
    </xf>
    <xf numFmtId="43" fontId="10" fillId="0" borderId="5" xfId="1" applyFont="1" applyBorder="1" applyAlignment="1" applyProtection="1">
      <protection locked="0"/>
    </xf>
    <xf numFmtId="0" fontId="10" fillId="11" borderId="5" xfId="0" applyFont="1" applyFill="1" applyBorder="1" applyProtection="1">
      <protection locked="0"/>
    </xf>
    <xf numFmtId="0" fontId="10" fillId="6" borderId="0" xfId="0" applyFont="1" applyFill="1" applyAlignment="1" applyProtection="1">
      <alignment horizontal="center"/>
      <protection locked="0"/>
    </xf>
    <xf numFmtId="167" fontId="10" fillId="0" borderId="0" xfId="0" applyNumberFormat="1" applyFont="1" applyAlignment="1" applyProtection="1">
      <alignment horizontal="right" vertical="center"/>
      <protection locked="0"/>
    </xf>
    <xf numFmtId="0" fontId="10" fillId="9" borderId="0" xfId="0" applyFont="1" applyFill="1" applyAlignment="1">
      <alignment horizontal="center"/>
    </xf>
    <xf numFmtId="43" fontId="10" fillId="9" borderId="0" xfId="1" applyFont="1" applyFill="1" applyBorder="1" applyProtection="1"/>
    <xf numFmtId="14" fontId="17" fillId="0" borderId="0" xfId="0" applyNumberFormat="1" applyFont="1" applyAlignment="1">
      <alignment horizontal="center" vertical="center" wrapText="1"/>
    </xf>
    <xf numFmtId="43" fontId="30" fillId="3" borderId="5" xfId="1" applyFont="1" applyFill="1" applyBorder="1" applyAlignment="1">
      <alignment vertical="center"/>
    </xf>
    <xf numFmtId="0" fontId="36" fillId="3" borderId="0" xfId="0" applyFont="1" applyFill="1" applyAlignment="1" applyProtection="1">
      <alignment horizontal="center" vertical="center" wrapText="1"/>
      <protection locked="0"/>
    </xf>
    <xf numFmtId="0" fontId="36" fillId="3" borderId="0" xfId="0" applyFont="1" applyFill="1" applyAlignment="1">
      <alignment horizontal="center" vertical="center" wrapText="1"/>
    </xf>
    <xf numFmtId="43" fontId="36" fillId="3" borderId="0" xfId="1" applyFont="1" applyFill="1" applyBorder="1" applyAlignment="1" applyProtection="1">
      <alignment horizontal="center" vertical="center" wrapText="1"/>
      <protection locked="0"/>
    </xf>
    <xf numFmtId="170" fontId="36" fillId="3" borderId="0" xfId="1" applyNumberFormat="1" applyFont="1" applyFill="1" applyBorder="1" applyAlignment="1" applyProtection="1">
      <alignment horizontal="center" vertical="center" wrapText="1"/>
    </xf>
    <xf numFmtId="43" fontId="36" fillId="3" borderId="0" xfId="1" applyFont="1" applyFill="1" applyBorder="1" applyAlignment="1" applyProtection="1">
      <alignment horizontal="center" vertical="center" wrapText="1"/>
    </xf>
    <xf numFmtId="0" fontId="37" fillId="3" borderId="0" xfId="0" applyFont="1" applyFill="1"/>
    <xf numFmtId="4" fontId="36" fillId="3" borderId="0" xfId="1" applyNumberFormat="1" applyFont="1" applyFill="1" applyBorder="1" applyAlignment="1" applyProtection="1">
      <alignment horizontal="center" vertical="center" wrapText="1"/>
      <protection locked="0"/>
    </xf>
    <xf numFmtId="0" fontId="34" fillId="3" borderId="0" xfId="0" applyFont="1" applyFill="1" applyProtection="1">
      <protection locked="0"/>
    </xf>
    <xf numFmtId="0" fontId="34" fillId="0" borderId="0" xfId="0" applyFont="1" applyProtection="1">
      <protection locked="0"/>
    </xf>
    <xf numFmtId="0" fontId="34" fillId="2" borderId="0" xfId="0" applyFont="1" applyFill="1" applyAlignment="1">
      <alignment horizontal="center" vertical="center"/>
    </xf>
    <xf numFmtId="0" fontId="34" fillId="6" borderId="0" xfId="0" applyFont="1" applyFill="1" applyAlignment="1" applyProtection="1">
      <alignment horizontal="center" vertical="center"/>
      <protection locked="0"/>
    </xf>
    <xf numFmtId="0" fontId="34" fillId="6" borderId="0" xfId="0" applyFont="1" applyFill="1" applyAlignment="1">
      <alignment horizontal="center"/>
    </xf>
    <xf numFmtId="0" fontId="34" fillId="6" borderId="0" xfId="0" applyFont="1" applyFill="1" applyProtection="1">
      <protection locked="0"/>
    </xf>
    <xf numFmtId="0" fontId="34" fillId="6" borderId="0" xfId="0" applyFont="1" applyFill="1" applyAlignment="1" applyProtection="1">
      <alignment horizontal="center"/>
      <protection locked="0"/>
    </xf>
    <xf numFmtId="167" fontId="34" fillId="6" borderId="0" xfId="0" applyNumberFormat="1" applyFont="1" applyFill="1" applyAlignment="1" applyProtection="1">
      <alignment horizontal="center"/>
      <protection locked="0"/>
    </xf>
    <xf numFmtId="0" fontId="34" fillId="2" borderId="0" xfId="0" applyFont="1" applyFill="1" applyProtection="1">
      <protection locked="0"/>
    </xf>
    <xf numFmtId="43" fontId="34" fillId="2" borderId="0" xfId="1" applyFont="1" applyFill="1" applyProtection="1">
      <protection locked="0"/>
    </xf>
    <xf numFmtId="43" fontId="34" fillId="6" borderId="0" xfId="1" applyFont="1" applyFill="1" applyProtection="1">
      <protection locked="0"/>
    </xf>
    <xf numFmtId="170" fontId="34" fillId="2" borderId="0" xfId="1" applyNumberFormat="1" applyFont="1" applyFill="1" applyProtection="1"/>
    <xf numFmtId="166" fontId="34" fillId="2" borderId="0" xfId="1" applyNumberFormat="1" applyFont="1" applyFill="1" applyBorder="1" applyProtection="1"/>
    <xf numFmtId="43" fontId="34" fillId="2" borderId="0" xfId="1" applyFont="1" applyFill="1" applyBorder="1" applyProtection="1"/>
    <xf numFmtId="164" fontId="34" fillId="2" borderId="0" xfId="1" applyNumberFormat="1" applyFont="1" applyFill="1" applyBorder="1" applyProtection="1"/>
    <xf numFmtId="171" fontId="38" fillId="2" borderId="0" xfId="8" applyNumberFormat="1" applyFont="1" applyFill="1" applyBorder="1" applyProtection="1"/>
    <xf numFmtId="172" fontId="38" fillId="2" borderId="0" xfId="9" applyNumberFormat="1" applyFont="1" applyFill="1"/>
    <xf numFmtId="43" fontId="38" fillId="2" borderId="0" xfId="1" applyFont="1" applyFill="1" applyBorder="1" applyProtection="1"/>
    <xf numFmtId="0" fontId="34" fillId="3" borderId="0" xfId="0" applyFont="1" applyFill="1"/>
    <xf numFmtId="4" fontId="34" fillId="6" borderId="0" xfId="1" applyNumberFormat="1" applyFont="1" applyFill="1" applyAlignment="1" applyProtection="1">
      <alignment horizontal="center"/>
      <protection locked="0"/>
    </xf>
    <xf numFmtId="4" fontId="34" fillId="6" borderId="0" xfId="0" applyNumberFormat="1" applyFont="1" applyFill="1" applyProtection="1">
      <protection locked="0"/>
    </xf>
    <xf numFmtId="43" fontId="34" fillId="2" borderId="0" xfId="0" applyNumberFormat="1" applyFont="1" applyFill="1"/>
    <xf numFmtId="43" fontId="34" fillId="2" borderId="0" xfId="1" applyFont="1" applyFill="1" applyProtection="1"/>
    <xf numFmtId="164" fontId="34" fillId="2" borderId="0" xfId="0" applyNumberFormat="1" applyFont="1" applyFill="1"/>
    <xf numFmtId="0" fontId="34" fillId="4" borderId="0" xfId="0" applyFont="1" applyFill="1"/>
    <xf numFmtId="0" fontId="34" fillId="2" borderId="0" xfId="0" applyFont="1" applyFill="1" applyAlignment="1" applyProtection="1">
      <alignment horizontal="center"/>
      <protection locked="0"/>
    </xf>
    <xf numFmtId="0" fontId="34" fillId="0" borderId="0" xfId="0" applyFont="1" applyAlignment="1">
      <alignment horizontal="center"/>
    </xf>
    <xf numFmtId="0" fontId="34" fillId="6" borderId="0" xfId="0" applyFont="1" applyFill="1"/>
    <xf numFmtId="4" fontId="34" fillId="6" borderId="0" xfId="0" applyNumberFormat="1" applyFont="1" applyFill="1" applyAlignment="1">
      <alignment horizontal="center"/>
    </xf>
    <xf numFmtId="0" fontId="34" fillId="2" borderId="0" xfId="0" applyFont="1" applyFill="1" applyAlignment="1" applyProtection="1">
      <alignment horizontal="center" vertical="center"/>
      <protection locked="0"/>
    </xf>
    <xf numFmtId="43" fontId="34" fillId="6" borderId="0" xfId="1" applyFont="1" applyFill="1" applyAlignment="1" applyProtection="1">
      <alignment horizontal="center"/>
      <protection locked="0"/>
    </xf>
    <xf numFmtId="0" fontId="10" fillId="0" borderId="4" xfId="0" applyFont="1" applyBorder="1"/>
    <xf numFmtId="0" fontId="10" fillId="0" borderId="5" xfId="0" applyFont="1" applyBorder="1" applyAlignment="1">
      <alignment horizontal="center"/>
    </xf>
    <xf numFmtId="0" fontId="10" fillId="4" borderId="0" xfId="0" applyFont="1" applyFill="1"/>
    <xf numFmtId="0" fontId="40" fillId="0" borderId="6" xfId="0" applyFont="1" applyBorder="1" applyAlignment="1" applyProtection="1">
      <alignment horizontal="center" vertical="center"/>
      <protection hidden="1"/>
    </xf>
    <xf numFmtId="0" fontId="33" fillId="0" borderId="0" xfId="0" applyFont="1" applyAlignment="1">
      <alignment vertical="center"/>
    </xf>
    <xf numFmtId="0" fontId="13" fillId="0" borderId="10" xfId="0" applyFont="1" applyBorder="1"/>
    <xf numFmtId="164" fontId="10" fillId="0" borderId="10" xfId="7" applyFont="1" applyBorder="1"/>
    <xf numFmtId="0" fontId="41" fillId="0" borderId="0" xfId="0" applyFont="1" applyAlignment="1">
      <alignment vertical="center"/>
    </xf>
    <xf numFmtId="0" fontId="10" fillId="0" borderId="6" xfId="0" applyFont="1" applyBorder="1" applyProtection="1">
      <protection locked="0"/>
    </xf>
    <xf numFmtId="0" fontId="9" fillId="0" borderId="0" xfId="0" applyFont="1" applyAlignment="1" applyProtection="1">
      <alignment horizontal="left"/>
      <protection locked="0"/>
    </xf>
    <xf numFmtId="0" fontId="30" fillId="9" borderId="0" xfId="0" applyFont="1" applyFill="1" applyAlignment="1">
      <alignment horizontal="center"/>
    </xf>
    <xf numFmtId="0" fontId="26" fillId="0" borderId="0" xfId="0" applyFont="1" applyAlignment="1">
      <alignment horizontal="center"/>
    </xf>
    <xf numFmtId="0" fontId="30" fillId="9" borderId="0" xfId="0" applyFont="1" applyFill="1" applyAlignment="1">
      <alignment horizontal="center" vertical="center"/>
    </xf>
    <xf numFmtId="0" fontId="10" fillId="0" borderId="8" xfId="0" applyFont="1" applyBorder="1" applyAlignment="1">
      <alignment horizontal="center"/>
    </xf>
    <xf numFmtId="0" fontId="10" fillId="0" borderId="4" xfId="0" applyFont="1" applyBorder="1" applyAlignment="1">
      <alignment horizontal="center"/>
    </xf>
    <xf numFmtId="0" fontId="26" fillId="0" borderId="0" xfId="0" applyFont="1" applyAlignment="1">
      <alignment horizontal="left" vertical="center"/>
    </xf>
    <xf numFmtId="180" fontId="10" fillId="0" borderId="0" xfId="0" applyNumberFormat="1" applyFont="1" applyAlignment="1">
      <alignment horizontal="center"/>
    </xf>
    <xf numFmtId="169" fontId="10" fillId="0" borderId="0" xfId="0" applyNumberFormat="1" applyFont="1" applyAlignment="1">
      <alignment horizontal="center"/>
    </xf>
    <xf numFmtId="181" fontId="10" fillId="0" borderId="0" xfId="0" applyNumberFormat="1" applyFont="1" applyAlignment="1">
      <alignment horizontal="center"/>
    </xf>
    <xf numFmtId="178" fontId="10" fillId="0" borderId="0" xfId="0" applyNumberFormat="1" applyFont="1"/>
    <xf numFmtId="167" fontId="10" fillId="0" borderId="0" xfId="0" applyNumberFormat="1" applyFont="1" applyAlignment="1">
      <alignment horizontal="center"/>
    </xf>
    <xf numFmtId="179" fontId="10" fillId="0" borderId="0" xfId="0" applyNumberFormat="1" applyFont="1" applyAlignment="1">
      <alignment horizontal="center"/>
    </xf>
    <xf numFmtId="178" fontId="10" fillId="10" borderId="5" xfId="0" applyNumberFormat="1" applyFont="1" applyFill="1" applyBorder="1"/>
    <xf numFmtId="0" fontId="10" fillId="12" borderId="5" xfId="0" applyFont="1" applyFill="1" applyBorder="1"/>
    <xf numFmtId="0" fontId="26" fillId="9" borderId="0" xfId="0" applyFont="1" applyFill="1" applyAlignment="1">
      <alignment vertical="center"/>
    </xf>
    <xf numFmtId="178" fontId="10" fillId="0" borderId="0" xfId="0" applyNumberFormat="1" applyFont="1" applyAlignment="1">
      <alignment wrapText="1"/>
    </xf>
    <xf numFmtId="0" fontId="10" fillId="0" borderId="0" xfId="0" applyFont="1" applyAlignment="1">
      <alignment horizontal="left" indent="1"/>
    </xf>
    <xf numFmtId="0" fontId="9" fillId="0" borderId="0" xfId="0" applyFont="1" applyAlignment="1">
      <alignment horizontal="left" indent="2"/>
    </xf>
    <xf numFmtId="0" fontId="10" fillId="0" borderId="0" xfId="0" applyFont="1" applyAlignment="1">
      <alignment horizontal="left" indent="3"/>
    </xf>
    <xf numFmtId="0" fontId="10" fillId="0" borderId="0" xfId="0" applyFont="1" applyAlignment="1">
      <alignment horizontal="left" indent="2"/>
    </xf>
    <xf numFmtId="0" fontId="10" fillId="11" borderId="5" xfId="0" applyFont="1" applyFill="1" applyBorder="1" applyAlignment="1">
      <alignment horizontal="left" indent="2"/>
    </xf>
    <xf numFmtId="178" fontId="10" fillId="11" borderId="5" xfId="0" applyNumberFormat="1" applyFont="1" applyFill="1" applyBorder="1" applyAlignment="1">
      <alignment wrapText="1"/>
    </xf>
    <xf numFmtId="0" fontId="10" fillId="10" borderId="5" xfId="0" applyFont="1" applyFill="1" applyBorder="1" applyAlignment="1">
      <alignment horizontal="left" indent="1"/>
    </xf>
    <xf numFmtId="178" fontId="10" fillId="10" borderId="5" xfId="0" applyNumberFormat="1" applyFont="1" applyFill="1" applyBorder="1" applyAlignment="1">
      <alignment wrapText="1"/>
    </xf>
    <xf numFmtId="0" fontId="10" fillId="12" borderId="5" xfId="0" applyFont="1" applyFill="1" applyBorder="1" applyAlignment="1">
      <alignment horizontal="left"/>
    </xf>
    <xf numFmtId="178" fontId="10" fillId="12" borderId="5" xfId="0" applyNumberFormat="1" applyFont="1" applyFill="1" applyBorder="1" applyAlignment="1">
      <alignment wrapText="1"/>
    </xf>
    <xf numFmtId="176" fontId="10" fillId="0" borderId="0" xfId="0" applyNumberFormat="1" applyFont="1" applyAlignment="1">
      <alignment horizontal="center"/>
    </xf>
    <xf numFmtId="0" fontId="9" fillId="10" borderId="5" xfId="0" applyFont="1" applyFill="1" applyBorder="1"/>
    <xf numFmtId="0" fontId="10" fillId="12" borderId="0" xfId="0" applyFont="1" applyFill="1" applyAlignment="1">
      <alignment horizontal="left"/>
    </xf>
    <xf numFmtId="178" fontId="10" fillId="12" borderId="0" xfId="0" applyNumberFormat="1" applyFont="1" applyFill="1" applyAlignment="1">
      <alignment wrapText="1"/>
    </xf>
    <xf numFmtId="0" fontId="30" fillId="9" borderId="5" xfId="0" applyFont="1" applyFill="1" applyBorder="1" applyAlignment="1">
      <alignment horizontal="left" vertical="center" wrapText="1"/>
    </xf>
    <xf numFmtId="169" fontId="14" fillId="3" borderId="0" xfId="0" applyNumberFormat="1" applyFont="1" applyFill="1" applyAlignment="1">
      <alignment horizontal="center"/>
    </xf>
    <xf numFmtId="169" fontId="43" fillId="11" borderId="5" xfId="0" applyNumberFormat="1" applyFont="1" applyFill="1" applyBorder="1" applyAlignment="1">
      <alignment horizontal="center"/>
    </xf>
    <xf numFmtId="169" fontId="44" fillId="10" borderId="5" xfId="0" applyNumberFormat="1" applyFont="1" applyFill="1" applyBorder="1" applyAlignment="1">
      <alignment horizontal="center"/>
    </xf>
    <xf numFmtId="169" fontId="45" fillId="12" borderId="5" xfId="0" applyNumberFormat="1" applyFont="1" applyFill="1" applyBorder="1" applyAlignment="1">
      <alignment horizontal="center"/>
    </xf>
    <xf numFmtId="169" fontId="46" fillId="9" borderId="0" xfId="0" applyNumberFormat="1" applyFont="1" applyFill="1" applyAlignment="1">
      <alignment horizontal="center" vertical="center"/>
    </xf>
    <xf numFmtId="176" fontId="14" fillId="3" borderId="0" xfId="0" applyNumberFormat="1" applyFont="1" applyFill="1" applyAlignment="1">
      <alignment horizontal="center"/>
    </xf>
    <xf numFmtId="176" fontId="46" fillId="9" borderId="0" xfId="0" applyNumberFormat="1" applyFont="1" applyFill="1" applyAlignment="1">
      <alignment horizontal="center" vertical="center"/>
    </xf>
    <xf numFmtId="176" fontId="45" fillId="12" borderId="5" xfId="0" applyNumberFormat="1" applyFont="1" applyFill="1" applyBorder="1" applyAlignment="1">
      <alignment horizontal="center"/>
    </xf>
    <xf numFmtId="176" fontId="44" fillId="10" borderId="5" xfId="0" applyNumberFormat="1" applyFont="1" applyFill="1" applyBorder="1" applyAlignment="1">
      <alignment horizontal="center"/>
    </xf>
    <xf numFmtId="176" fontId="43" fillId="11" borderId="5" xfId="0" applyNumberFormat="1" applyFont="1" applyFill="1" applyBorder="1" applyAlignment="1">
      <alignment horizontal="center"/>
    </xf>
    <xf numFmtId="43" fontId="34" fillId="6" borderId="0" xfId="1" applyFont="1" applyFill="1" applyAlignment="1" applyProtection="1">
      <alignment horizontal="right"/>
      <protection locked="0"/>
    </xf>
    <xf numFmtId="0" fontId="47" fillId="0" borderId="0" xfId="0" applyFont="1"/>
    <xf numFmtId="0" fontId="48" fillId="0" borderId="0" xfId="0" applyFont="1" applyAlignment="1">
      <alignment horizontal="center"/>
    </xf>
    <xf numFmtId="0" fontId="10" fillId="0" borderId="0" xfId="233" applyFont="1"/>
    <xf numFmtId="0" fontId="16" fillId="0" borderId="7" xfId="233" applyFont="1" applyBorder="1" applyAlignment="1" applyProtection="1">
      <alignment vertical="center"/>
      <protection hidden="1"/>
    </xf>
    <xf numFmtId="0" fontId="16" fillId="0" borderId="7" xfId="233" applyFont="1" applyBorder="1" applyAlignment="1" applyProtection="1">
      <alignment horizontal="center" vertical="center"/>
      <protection hidden="1"/>
    </xf>
    <xf numFmtId="0" fontId="10" fillId="0" borderId="0" xfId="233" applyFont="1" applyAlignment="1">
      <alignment horizontal="center"/>
    </xf>
    <xf numFmtId="0" fontId="10" fillId="0" borderId="5" xfId="233" applyFont="1" applyBorder="1"/>
    <xf numFmtId="0" fontId="10" fillId="11" borderId="5" xfId="233" applyFont="1" applyFill="1" applyBorder="1" applyAlignment="1">
      <alignment horizontal="center"/>
    </xf>
    <xf numFmtId="164" fontId="10" fillId="11" borderId="5" xfId="234" applyFont="1" applyFill="1" applyBorder="1"/>
    <xf numFmtId="0" fontId="16" fillId="9" borderId="0" xfId="233" applyFont="1" applyFill="1" applyAlignment="1" applyProtection="1">
      <alignment vertical="center"/>
      <protection hidden="1"/>
    </xf>
    <xf numFmtId="0" fontId="16" fillId="9" borderId="0" xfId="233" applyFont="1" applyFill="1" applyAlignment="1" applyProtection="1">
      <alignment horizontal="center" vertical="center"/>
      <protection hidden="1"/>
    </xf>
    <xf numFmtId="0" fontId="17" fillId="0" borderId="0" xfId="233" applyFont="1" applyAlignment="1">
      <alignment horizontal="center" vertical="center" wrapText="1"/>
    </xf>
    <xf numFmtId="0" fontId="16" fillId="0" borderId="0" xfId="233" applyFont="1"/>
    <xf numFmtId="0" fontId="10" fillId="0" borderId="5" xfId="233" applyFont="1" applyBorder="1" applyAlignment="1" applyProtection="1">
      <alignment horizontal="center"/>
      <protection locked="0"/>
    </xf>
    <xf numFmtId="179" fontId="10" fillId="0" borderId="5" xfId="233" applyNumberFormat="1" applyFont="1" applyBorder="1" applyAlignment="1" applyProtection="1">
      <alignment horizontal="center"/>
      <protection locked="0"/>
    </xf>
    <xf numFmtId="0" fontId="10" fillId="0" borderId="5" xfId="233" applyFont="1" applyBorder="1" applyProtection="1">
      <protection locked="0"/>
    </xf>
    <xf numFmtId="184" fontId="10" fillId="0" borderId="5" xfId="234" applyNumberFormat="1" applyFont="1" applyBorder="1" applyProtection="1">
      <protection locked="0"/>
    </xf>
    <xf numFmtId="177" fontId="10" fillId="0" borderId="5" xfId="234" applyNumberFormat="1" applyFont="1" applyBorder="1" applyAlignment="1" applyProtection="1">
      <alignment horizontal="center"/>
      <protection locked="0"/>
    </xf>
    <xf numFmtId="43" fontId="10" fillId="0" borderId="5" xfId="233" applyNumberFormat="1" applyFont="1" applyBorder="1" applyProtection="1">
      <protection locked="0"/>
    </xf>
    <xf numFmtId="0" fontId="10" fillId="0" borderId="0" xfId="233" applyFont="1" applyProtection="1">
      <protection locked="0"/>
    </xf>
    <xf numFmtId="0" fontId="9" fillId="11" borderId="5" xfId="233" applyFont="1" applyFill="1" applyBorder="1"/>
    <xf numFmtId="0" fontId="10" fillId="11" borderId="5" xfId="233" applyFont="1" applyFill="1" applyBorder="1"/>
    <xf numFmtId="43" fontId="9" fillId="11" borderId="5" xfId="233" applyNumberFormat="1" applyFont="1" applyFill="1" applyBorder="1" applyAlignment="1">
      <alignment vertical="center"/>
    </xf>
    <xf numFmtId="43" fontId="17" fillId="0" borderId="0" xfId="234" applyNumberFormat="1" applyFont="1" applyFill="1" applyBorder="1" applyAlignment="1" applyProtection="1">
      <alignment horizontal="center" wrapText="1"/>
    </xf>
    <xf numFmtId="166" fontId="17" fillId="0" borderId="0" xfId="234" applyNumberFormat="1" applyFont="1" applyFill="1" applyBorder="1" applyAlignment="1" applyProtection="1">
      <alignment horizontal="center"/>
    </xf>
    <xf numFmtId="164" fontId="17" fillId="0" borderId="0" xfId="234" applyFont="1" applyFill="1" applyBorder="1" applyAlignment="1" applyProtection="1">
      <alignment horizontal="center" vertical="center"/>
    </xf>
    <xf numFmtId="166" fontId="10" fillId="0" borderId="0" xfId="234" applyNumberFormat="1" applyFont="1" applyFill="1" applyBorder="1" applyProtection="1"/>
    <xf numFmtId="0" fontId="9" fillId="0" borderId="5" xfId="233" applyFont="1" applyBorder="1" applyAlignment="1">
      <alignment horizontal="right" vertical="center"/>
    </xf>
    <xf numFmtId="0" fontId="9" fillId="0" borderId="5" xfId="233" applyFont="1" applyBorder="1" applyAlignment="1">
      <alignment horizontal="center"/>
    </xf>
    <xf numFmtId="43" fontId="10" fillId="0" borderId="5" xfId="234" applyNumberFormat="1" applyFont="1" applyFill="1" applyBorder="1" applyProtection="1"/>
    <xf numFmtId="166" fontId="10" fillId="0" borderId="5" xfId="234" applyNumberFormat="1" applyFont="1" applyFill="1" applyBorder="1" applyProtection="1"/>
    <xf numFmtId="167" fontId="30" fillId="3" borderId="5" xfId="233" applyNumberFormat="1" applyFont="1" applyFill="1" applyBorder="1" applyAlignment="1">
      <alignment horizontal="center" vertical="center"/>
    </xf>
    <xf numFmtId="0" fontId="26" fillId="3" borderId="5" xfId="233" applyFont="1" applyFill="1" applyBorder="1"/>
    <xf numFmtId="0" fontId="9" fillId="0" borderId="0" xfId="233" applyFont="1"/>
    <xf numFmtId="9" fontId="14" fillId="0" borderId="0" xfId="2" applyFont="1" applyAlignment="1">
      <alignment vertical="center"/>
    </xf>
    <xf numFmtId="0" fontId="26" fillId="3" borderId="2" xfId="0" applyFont="1" applyFill="1" applyBorder="1" applyAlignment="1">
      <alignment horizontal="center" vertical="center"/>
    </xf>
    <xf numFmtId="0" fontId="26" fillId="3" borderId="2" xfId="0" applyFont="1" applyFill="1" applyBorder="1" applyAlignment="1">
      <alignment vertical="center"/>
    </xf>
    <xf numFmtId="0" fontId="26" fillId="0" borderId="0" xfId="0" applyFont="1" applyAlignment="1">
      <alignment vertical="center"/>
    </xf>
    <xf numFmtId="0" fontId="30" fillId="0" borderId="0" xfId="0" applyFont="1" applyAlignment="1">
      <alignment vertical="center"/>
    </xf>
    <xf numFmtId="43" fontId="30" fillId="3" borderId="2" xfId="4" applyFont="1" applyFill="1" applyBorder="1" applyAlignment="1">
      <alignment vertical="center"/>
    </xf>
    <xf numFmtId="0" fontId="26" fillId="0" borderId="0" xfId="0" applyFont="1" applyAlignment="1">
      <alignment horizontal="center" vertical="center"/>
    </xf>
    <xf numFmtId="43" fontId="14" fillId="0" borderId="0" xfId="0" applyNumberFormat="1" applyFont="1" applyAlignment="1" applyProtection="1">
      <alignment vertical="center"/>
      <protection locked="0"/>
    </xf>
    <xf numFmtId="0" fontId="50" fillId="4" borderId="0" xfId="0" applyFont="1" applyFill="1" applyAlignment="1">
      <alignment vertical="center"/>
    </xf>
    <xf numFmtId="43" fontId="26" fillId="9" borderId="5" xfId="1" applyFont="1" applyFill="1" applyBorder="1"/>
    <xf numFmtId="0" fontId="19" fillId="11" borderId="0" xfId="0" applyFont="1" applyFill="1" applyAlignment="1">
      <alignment horizontal="center" wrapText="1"/>
    </xf>
    <xf numFmtId="0" fontId="26" fillId="9" borderId="0" xfId="0" applyFont="1" applyFill="1" applyAlignment="1">
      <alignment horizontal="center" vertical="center"/>
    </xf>
    <xf numFmtId="173" fontId="19" fillId="0" borderId="18" xfId="0" applyNumberFormat="1" applyFont="1" applyBorder="1"/>
    <xf numFmtId="173" fontId="10" fillId="0" borderId="18" xfId="0" applyNumberFormat="1" applyFont="1" applyBorder="1" applyAlignment="1">
      <alignment horizontal="center"/>
    </xf>
    <xf numFmtId="173" fontId="26" fillId="0" borderId="0" xfId="0" applyNumberFormat="1" applyFont="1"/>
    <xf numFmtId="173" fontId="19" fillId="0" borderId="18" xfId="0" applyNumberFormat="1" applyFont="1" applyBorder="1" applyProtection="1">
      <protection locked="0"/>
    </xf>
    <xf numFmtId="179" fontId="10" fillId="0" borderId="0" xfId="0" applyNumberFormat="1" applyFont="1" applyProtection="1">
      <protection locked="0"/>
    </xf>
    <xf numFmtId="183" fontId="10" fillId="0" borderId="0" xfId="0" applyNumberFormat="1" applyFont="1" applyProtection="1">
      <protection locked="0"/>
    </xf>
    <xf numFmtId="40" fontId="9" fillId="0" borderId="0" xfId="234" applyNumberFormat="1" applyFont="1" applyAlignment="1">
      <alignment horizontal="center" vertical="center"/>
    </xf>
    <xf numFmtId="40" fontId="16" fillId="0" borderId="7" xfId="234" applyNumberFormat="1" applyFont="1" applyBorder="1" applyAlignment="1" applyProtection="1">
      <alignment horizontal="center" vertical="center"/>
      <protection hidden="1"/>
    </xf>
    <xf numFmtId="40" fontId="17" fillId="0" borderId="0" xfId="234" applyNumberFormat="1" applyFont="1" applyAlignment="1">
      <alignment horizontal="center" vertical="center" wrapText="1"/>
    </xf>
    <xf numFmtId="40" fontId="17" fillId="0" borderId="0" xfId="234" applyNumberFormat="1" applyFont="1" applyAlignment="1" applyProtection="1">
      <alignment horizontal="center" vertical="center" wrapText="1"/>
      <protection locked="0"/>
    </xf>
    <xf numFmtId="40" fontId="9" fillId="0" borderId="0" xfId="234" applyNumberFormat="1" applyFont="1" applyAlignment="1" applyProtection="1">
      <alignment horizontal="center" vertical="center"/>
      <protection locked="0"/>
    </xf>
    <xf numFmtId="0" fontId="26" fillId="9" borderId="0" xfId="233" applyFont="1" applyFill="1" applyAlignment="1">
      <alignment horizontal="center" vertical="center"/>
    </xf>
    <xf numFmtId="40" fontId="26" fillId="9" borderId="0" xfId="235" applyNumberFormat="1" applyFont="1" applyFill="1" applyAlignment="1" applyProtection="1">
      <alignment horizontal="center" vertical="center"/>
      <protection locked="0"/>
    </xf>
    <xf numFmtId="40" fontId="26" fillId="9" borderId="0" xfId="234" applyNumberFormat="1" applyFont="1" applyFill="1" applyAlignment="1">
      <alignment horizontal="center" vertical="center"/>
    </xf>
    <xf numFmtId="40" fontId="26" fillId="9" borderId="0" xfId="234" applyNumberFormat="1" applyFont="1" applyFill="1" applyAlignment="1" applyProtection="1">
      <alignment horizontal="center" vertical="center"/>
      <protection locked="0"/>
    </xf>
    <xf numFmtId="0" fontId="10" fillId="0" borderId="0" xfId="233" applyFont="1" applyAlignment="1">
      <alignment horizontal="center" vertical="center"/>
    </xf>
    <xf numFmtId="40" fontId="10" fillId="0" borderId="0" xfId="235" applyNumberFormat="1" applyFont="1" applyAlignment="1" applyProtection="1">
      <alignment horizontal="center" vertical="center"/>
      <protection locked="0"/>
    </xf>
    <xf numFmtId="40" fontId="10" fillId="0" borderId="0" xfId="234" applyNumberFormat="1" applyFont="1" applyAlignment="1">
      <alignment horizontal="center" vertical="center"/>
    </xf>
    <xf numFmtId="40" fontId="10" fillId="0" borderId="0" xfId="234" applyNumberFormat="1" applyFont="1" applyAlignment="1" applyProtection="1">
      <alignment horizontal="center"/>
      <protection locked="0"/>
    </xf>
    <xf numFmtId="40" fontId="10" fillId="0" borderId="0" xfId="234" applyNumberFormat="1" applyFont="1" applyAlignment="1">
      <alignment horizontal="center"/>
    </xf>
    <xf numFmtId="40" fontId="14" fillId="13" borderId="0" xfId="235" applyNumberFormat="1" applyFont="1" applyFill="1" applyProtection="1">
      <protection locked="0"/>
    </xf>
    <xf numFmtId="40" fontId="14" fillId="0" borderId="0" xfId="234" applyNumberFormat="1" applyFont="1" applyAlignment="1">
      <alignment horizontal="center"/>
    </xf>
    <xf numFmtId="40" fontId="10" fillId="13" borderId="0" xfId="235" applyNumberFormat="1" applyFont="1" applyFill="1" applyAlignment="1" applyProtection="1">
      <alignment horizontal="right"/>
      <protection locked="0"/>
    </xf>
    <xf numFmtId="40" fontId="10" fillId="13" borderId="0" xfId="235" applyNumberFormat="1" applyFont="1" applyFill="1" applyProtection="1">
      <protection locked="0"/>
    </xf>
    <xf numFmtId="164" fontId="10" fillId="13" borderId="0" xfId="234" applyFont="1" applyFill="1" applyProtection="1">
      <protection locked="0"/>
    </xf>
    <xf numFmtId="40" fontId="10" fillId="0" borderId="0" xfId="235" applyNumberFormat="1" applyFont="1" applyProtection="1">
      <protection locked="0"/>
    </xf>
    <xf numFmtId="0" fontId="10" fillId="14" borderId="5" xfId="233" applyFont="1" applyFill="1" applyBorder="1"/>
    <xf numFmtId="0" fontId="10" fillId="14" borderId="5" xfId="233" applyFont="1" applyFill="1" applyBorder="1" applyAlignment="1">
      <alignment horizontal="center"/>
    </xf>
    <xf numFmtId="40" fontId="10" fillId="13" borderId="5" xfId="235" applyNumberFormat="1" applyFont="1" applyFill="1" applyBorder="1" applyProtection="1">
      <protection locked="0"/>
    </xf>
    <xf numFmtId="40" fontId="10" fillId="14" borderId="5" xfId="234" applyNumberFormat="1" applyFont="1" applyFill="1" applyBorder="1" applyAlignment="1">
      <alignment horizontal="center"/>
    </xf>
    <xf numFmtId="40" fontId="10" fillId="14" borderId="5" xfId="234" applyNumberFormat="1" applyFont="1" applyFill="1" applyBorder="1" applyAlignment="1" applyProtection="1">
      <alignment horizontal="center"/>
      <protection locked="0"/>
    </xf>
    <xf numFmtId="0" fontId="10" fillId="0" borderId="4" xfId="0" applyFont="1" applyBorder="1" applyProtection="1">
      <protection locked="0"/>
    </xf>
    <xf numFmtId="40" fontId="10" fillId="0" borderId="0" xfId="234" applyNumberFormat="1" applyFont="1" applyBorder="1" applyAlignment="1">
      <alignment horizontal="center"/>
    </xf>
    <xf numFmtId="167" fontId="10" fillId="0" borderId="5" xfId="0" applyNumberFormat="1" applyFont="1" applyBorder="1" applyAlignment="1">
      <alignment horizontal="center"/>
    </xf>
    <xf numFmtId="40" fontId="10" fillId="13" borderId="5" xfId="234" applyNumberFormat="1" applyFont="1" applyFill="1" applyBorder="1" applyAlignment="1">
      <alignment horizontal="right"/>
    </xf>
    <xf numFmtId="169" fontId="10" fillId="0" borderId="8" xfId="233" applyNumberFormat="1" applyFont="1" applyBorder="1" applyAlignment="1">
      <alignment horizontal="center"/>
    </xf>
    <xf numFmtId="185" fontId="10" fillId="0" borderId="5" xfId="234" applyNumberFormat="1" applyFont="1" applyFill="1" applyBorder="1" applyProtection="1">
      <protection locked="0"/>
    </xf>
    <xf numFmtId="185" fontId="10" fillId="0" borderId="5" xfId="234" applyNumberFormat="1" applyFont="1" applyBorder="1" applyAlignment="1">
      <alignment horizontal="center"/>
    </xf>
    <xf numFmtId="185" fontId="10" fillId="13" borderId="5" xfId="234" applyNumberFormat="1" applyFont="1" applyFill="1" applyBorder="1" applyAlignment="1" applyProtection="1">
      <alignment horizontal="center"/>
      <protection locked="0"/>
    </xf>
    <xf numFmtId="185" fontId="10" fillId="13" borderId="5" xfId="234" applyNumberFormat="1" applyFont="1" applyFill="1" applyBorder="1" applyAlignment="1">
      <alignment horizontal="center"/>
    </xf>
    <xf numFmtId="0" fontId="10" fillId="0" borderId="5" xfId="0" applyFont="1" applyBorder="1" applyAlignment="1">
      <alignment horizontal="left"/>
    </xf>
    <xf numFmtId="0" fontId="10" fillId="0" borderId="4" xfId="0" applyFont="1" applyBorder="1" applyAlignment="1">
      <alignment horizontal="left"/>
    </xf>
    <xf numFmtId="164" fontId="10" fillId="0" borderId="0" xfId="234" applyFont="1" applyProtection="1">
      <protection locked="0"/>
    </xf>
    <xf numFmtId="164" fontId="10" fillId="0" borderId="0" xfId="234" applyFont="1" applyFill="1" applyBorder="1" applyProtection="1">
      <protection locked="0"/>
    </xf>
    <xf numFmtId="164" fontId="10" fillId="15" borderId="5" xfId="234" applyFont="1" applyFill="1" applyBorder="1"/>
    <xf numFmtId="185" fontId="10" fillId="15" borderId="5" xfId="234" applyNumberFormat="1" applyFont="1" applyFill="1" applyBorder="1"/>
    <xf numFmtId="164" fontId="10" fillId="15" borderId="5" xfId="234" applyFont="1" applyFill="1" applyBorder="1" applyProtection="1">
      <protection locked="0"/>
    </xf>
    <xf numFmtId="40" fontId="10" fillId="16" borderId="5" xfId="234" applyNumberFormat="1" applyFont="1" applyFill="1" applyBorder="1" applyAlignment="1">
      <alignment horizontal="center"/>
    </xf>
    <xf numFmtId="40" fontId="10" fillId="16" borderId="5" xfId="234" applyNumberFormat="1" applyFont="1" applyFill="1" applyBorder="1" applyAlignment="1">
      <alignment horizontal="right"/>
    </xf>
    <xf numFmtId="185" fontId="10" fillId="16" borderId="5" xfId="234" applyNumberFormat="1" applyFont="1" applyFill="1" applyBorder="1" applyAlignment="1">
      <alignment horizontal="center"/>
    </xf>
    <xf numFmtId="0" fontId="26" fillId="0" borderId="0" xfId="0" applyFont="1"/>
    <xf numFmtId="0" fontId="30" fillId="0" borderId="5" xfId="0" applyFont="1" applyBorder="1" applyAlignment="1">
      <alignment horizontal="right"/>
    </xf>
    <xf numFmtId="0" fontId="30" fillId="0" borderId="0" xfId="0" applyFont="1" applyAlignment="1" applyProtection="1">
      <alignment horizontal="right"/>
      <protection locked="0"/>
    </xf>
    <xf numFmtId="185" fontId="30" fillId="0" borderId="0" xfId="0" applyNumberFormat="1" applyFont="1"/>
    <xf numFmtId="40" fontId="30" fillId="0" borderId="0" xfId="234" applyNumberFormat="1" applyFont="1" applyFill="1" applyBorder="1" applyAlignment="1">
      <alignment horizontal="center"/>
    </xf>
    <xf numFmtId="185" fontId="30" fillId="3" borderId="0" xfId="234" applyNumberFormat="1" applyFont="1" applyFill="1" applyBorder="1" applyAlignment="1">
      <alignment horizontal="center"/>
    </xf>
    <xf numFmtId="0" fontId="30" fillId="0" borderId="0" xfId="0" applyFont="1" applyAlignment="1">
      <alignment horizontal="right"/>
    </xf>
    <xf numFmtId="185" fontId="10" fillId="0" borderId="5" xfId="234" applyNumberFormat="1" applyFont="1" applyFill="1" applyBorder="1" applyAlignment="1">
      <alignment horizontal="center"/>
    </xf>
    <xf numFmtId="0" fontId="30" fillId="9" borderId="0" xfId="0" applyFont="1" applyFill="1" applyAlignment="1" applyProtection="1">
      <alignment horizontal="center" vertical="center"/>
      <protection locked="0"/>
    </xf>
    <xf numFmtId="0" fontId="26" fillId="9" borderId="0" xfId="0" applyFont="1" applyFill="1" applyAlignment="1" applyProtection="1">
      <alignment horizontal="center" vertical="center"/>
      <protection locked="0"/>
    </xf>
    <xf numFmtId="0" fontId="42" fillId="0" borderId="0" xfId="0" applyFont="1" applyAlignment="1">
      <alignment vertical="center"/>
    </xf>
    <xf numFmtId="0" fontId="16" fillId="0" borderId="0" xfId="0" applyFont="1" applyAlignment="1">
      <alignment vertical="center"/>
    </xf>
    <xf numFmtId="0" fontId="16" fillId="0" borderId="7" xfId="0" applyFont="1" applyBorder="1" applyAlignment="1">
      <alignment vertical="center"/>
    </xf>
    <xf numFmtId="0" fontId="16" fillId="0" borderId="7" xfId="0" applyFont="1" applyBorder="1" applyAlignment="1">
      <alignment horizontal="center" vertical="center"/>
    </xf>
    <xf numFmtId="164" fontId="17" fillId="0" borderId="0" xfId="1" applyNumberFormat="1" applyFont="1" applyAlignment="1" applyProtection="1">
      <alignment horizontal="center" vertical="center" wrapText="1"/>
    </xf>
    <xf numFmtId="168" fontId="26" fillId="0" borderId="0" xfId="1" applyNumberFormat="1" applyFont="1" applyFill="1" applyBorder="1" applyAlignment="1" applyProtection="1">
      <alignment vertical="center"/>
    </xf>
    <xf numFmtId="169" fontId="10" fillId="0" borderId="0" xfId="0" applyNumberFormat="1" applyFont="1" applyAlignment="1">
      <alignment horizontal="center" vertical="center"/>
    </xf>
    <xf numFmtId="169" fontId="14" fillId="0" borderId="0" xfId="0" applyNumberFormat="1" applyFont="1" applyAlignment="1">
      <alignment horizontal="center" vertical="center"/>
    </xf>
    <xf numFmtId="164" fontId="14" fillId="0" borderId="0" xfId="1" applyNumberFormat="1" applyFont="1" applyBorder="1" applyAlignment="1" applyProtection="1">
      <alignment vertical="center"/>
    </xf>
    <xf numFmtId="168" fontId="10" fillId="0" borderId="0" xfId="1" applyNumberFormat="1" applyFont="1" applyFill="1" applyBorder="1" applyAlignment="1" applyProtection="1">
      <alignment vertical="center"/>
    </xf>
    <xf numFmtId="0" fontId="25" fillId="11" borderId="5" xfId="0" applyFont="1" applyFill="1" applyBorder="1" applyAlignment="1">
      <alignment horizontal="right" vertical="center"/>
    </xf>
    <xf numFmtId="164" fontId="9" fillId="11" borderId="5" xfId="1" applyNumberFormat="1" applyFont="1" applyFill="1" applyBorder="1" applyAlignment="1" applyProtection="1">
      <alignment vertical="center"/>
    </xf>
    <xf numFmtId="164" fontId="9" fillId="0" borderId="0" xfId="1" applyNumberFormat="1" applyFont="1" applyFill="1" applyBorder="1" applyAlignment="1" applyProtection="1">
      <alignment vertical="center"/>
    </xf>
    <xf numFmtId="0" fontId="30" fillId="3" borderId="5" xfId="0" applyFont="1" applyFill="1" applyBorder="1" applyAlignment="1">
      <alignment vertical="center"/>
    </xf>
    <xf numFmtId="43" fontId="30" fillId="3" borderId="5" xfId="0" applyNumberFormat="1" applyFont="1" applyFill="1" applyBorder="1" applyAlignment="1">
      <alignment vertical="center"/>
    </xf>
    <xf numFmtId="0" fontId="13" fillId="0" borderId="0" xfId="0" applyFont="1" applyAlignment="1">
      <alignment horizontal="right" vertical="center"/>
    </xf>
    <xf numFmtId="0" fontId="26" fillId="3" borderId="5" xfId="0" applyFont="1" applyFill="1" applyBorder="1" applyAlignment="1">
      <alignment vertical="center"/>
    </xf>
    <xf numFmtId="38" fontId="10" fillId="0" borderId="0" xfId="0" applyNumberFormat="1" applyFont="1" applyAlignment="1">
      <alignment horizontal="center" vertical="center"/>
    </xf>
    <xf numFmtId="1" fontId="10" fillId="0" borderId="0" xfId="1" applyNumberFormat="1" applyFont="1" applyFill="1" applyAlignment="1" applyProtection="1">
      <alignment horizontal="center" vertical="center"/>
    </xf>
    <xf numFmtId="0" fontId="10" fillId="0" borderId="0" xfId="0" applyFont="1" applyAlignment="1">
      <alignment horizontal="right" vertical="center"/>
    </xf>
    <xf numFmtId="1" fontId="10" fillId="0" borderId="0" xfId="0" applyNumberFormat="1" applyFont="1"/>
    <xf numFmtId="168" fontId="10" fillId="0" borderId="0" xfId="1" applyNumberFormat="1" applyFont="1" applyProtection="1"/>
    <xf numFmtId="0" fontId="10" fillId="0" borderId="0" xfId="0" quotePrefix="1" applyFont="1"/>
    <xf numFmtId="1" fontId="10" fillId="6" borderId="0" xfId="1" applyNumberFormat="1" applyFont="1" applyFill="1" applyAlignment="1" applyProtection="1">
      <alignment horizontal="center" vertical="center"/>
      <protection locked="0"/>
    </xf>
    <xf numFmtId="0" fontId="0" fillId="12" borderId="0" xfId="0" applyFill="1"/>
    <xf numFmtId="0" fontId="10" fillId="4" borderId="0" xfId="0" applyFont="1" applyFill="1" applyAlignment="1">
      <alignment vertical="center"/>
    </xf>
    <xf numFmtId="0" fontId="9" fillId="17" borderId="0" xfId="0" applyFont="1" applyFill="1" applyAlignment="1" applyProtection="1">
      <alignment horizontal="center" vertical="center"/>
      <protection locked="0"/>
    </xf>
    <xf numFmtId="0" fontId="10" fillId="0" borderId="5" xfId="0" applyFont="1" applyBorder="1" applyAlignment="1">
      <alignment horizontal="center" vertical="center"/>
    </xf>
    <xf numFmtId="175" fontId="10" fillId="0" borderId="5" xfId="0" applyNumberFormat="1" applyFont="1" applyBorder="1" applyAlignment="1">
      <alignment horizontal="center" vertical="center"/>
    </xf>
    <xf numFmtId="166" fontId="10" fillId="11" borderId="0" xfId="7" applyNumberFormat="1" applyFont="1" applyFill="1" applyBorder="1" applyProtection="1">
      <protection locked="0"/>
    </xf>
    <xf numFmtId="0" fontId="13" fillId="11" borderId="0" xfId="0" applyFont="1" applyFill="1"/>
    <xf numFmtId="166" fontId="10" fillId="17" borderId="1" xfId="7" applyNumberFormat="1" applyFont="1" applyFill="1" applyBorder="1" applyProtection="1">
      <protection locked="0"/>
    </xf>
    <xf numFmtId="175" fontId="10" fillId="17" borderId="5" xfId="0" applyNumberFormat="1" applyFont="1" applyFill="1" applyBorder="1" applyAlignment="1" applyProtection="1">
      <alignment horizontal="center" vertical="center"/>
      <protection locked="0"/>
    </xf>
    <xf numFmtId="0" fontId="52" fillId="0" borderId="0" xfId="0" applyFont="1" applyAlignment="1">
      <alignment horizontal="center"/>
    </xf>
    <xf numFmtId="0" fontId="53" fillId="9" borderId="0" xfId="0" applyFont="1" applyFill="1"/>
    <xf numFmtId="186" fontId="53" fillId="9" borderId="0" xfId="1" applyNumberFormat="1" applyFont="1" applyFill="1" applyAlignment="1">
      <alignment horizontal="center"/>
    </xf>
    <xf numFmtId="43" fontId="53" fillId="9" borderId="0" xfId="1" applyFont="1" applyFill="1"/>
    <xf numFmtId="0" fontId="52" fillId="0" borderId="0" xfId="0" applyFont="1"/>
    <xf numFmtId="43" fontId="52" fillId="0" borderId="0" xfId="1" applyFont="1" applyAlignment="1">
      <alignment horizontal="center"/>
    </xf>
    <xf numFmtId="0" fontId="54" fillId="0" borderId="0" xfId="0" applyFont="1"/>
    <xf numFmtId="43" fontId="52" fillId="0" borderId="0" xfId="1" applyFont="1"/>
    <xf numFmtId="43" fontId="52" fillId="0" borderId="0" xfId="1" applyFont="1" applyFill="1"/>
    <xf numFmtId="4" fontId="52" fillId="11" borderId="2" xfId="0" applyNumberFormat="1" applyFont="1" applyFill="1" applyBorder="1"/>
    <xf numFmtId="43" fontId="52" fillId="11" borderId="2" xfId="1" applyFont="1" applyFill="1" applyBorder="1"/>
    <xf numFmtId="4" fontId="52" fillId="0" borderId="0" xfId="0" applyNumberFormat="1" applyFont="1"/>
    <xf numFmtId="43" fontId="52" fillId="0" borderId="0" xfId="1" applyFont="1" applyFill="1" applyBorder="1"/>
    <xf numFmtId="174" fontId="10" fillId="0" borderId="5" xfId="0" applyNumberFormat="1" applyFont="1" applyBorder="1" applyAlignment="1">
      <alignment horizontal="center" vertical="center"/>
    </xf>
    <xf numFmtId="0" fontId="47" fillId="0" borderId="0" xfId="0" applyFont="1" applyAlignment="1">
      <alignment vertical="center"/>
    </xf>
    <xf numFmtId="174" fontId="13" fillId="0" borderId="5" xfId="0" applyNumberFormat="1" applyFont="1" applyBorder="1" applyAlignment="1">
      <alignment horizontal="center" vertical="center"/>
    </xf>
    <xf numFmtId="0" fontId="10" fillId="0" borderId="8" xfId="0" applyFont="1" applyBorder="1" applyAlignment="1">
      <alignment horizontal="center" vertical="center"/>
    </xf>
    <xf numFmtId="174" fontId="10" fillId="0" borderId="8" xfId="0" applyNumberFormat="1" applyFont="1" applyBorder="1" applyAlignment="1">
      <alignment horizontal="center" vertical="center"/>
    </xf>
    <xf numFmtId="174" fontId="10" fillId="3" borderId="5" xfId="0" applyNumberFormat="1" applyFont="1" applyFill="1" applyBorder="1" applyAlignment="1">
      <alignment horizontal="center" vertical="center"/>
    </xf>
    <xf numFmtId="0" fontId="10" fillId="0" borderId="4" xfId="0" applyFont="1" applyBorder="1" applyAlignment="1">
      <alignment horizontal="center" vertical="center"/>
    </xf>
    <xf numFmtId="174" fontId="13" fillId="0" borderId="4" xfId="0" applyNumberFormat="1" applyFont="1" applyBorder="1" applyAlignment="1">
      <alignment horizontal="center" vertical="center"/>
    </xf>
    <xf numFmtId="174" fontId="10" fillId="3" borderId="4" xfId="0" applyNumberFormat="1" applyFont="1" applyFill="1" applyBorder="1" applyAlignment="1">
      <alignment horizontal="center" vertical="center"/>
    </xf>
    <xf numFmtId="174" fontId="10" fillId="0" borderId="4" xfId="0" applyNumberFormat="1" applyFont="1" applyBorder="1" applyAlignment="1">
      <alignment horizontal="center" vertical="center"/>
    </xf>
    <xf numFmtId="174" fontId="10" fillId="5" borderId="5" xfId="0" applyNumberFormat="1" applyFont="1" applyFill="1" applyBorder="1" applyAlignment="1">
      <alignment horizontal="center" vertical="center"/>
    </xf>
    <xf numFmtId="43" fontId="10" fillId="0" borderId="0" xfId="1" applyFont="1" applyAlignment="1">
      <alignment vertical="center"/>
    </xf>
    <xf numFmtId="0" fontId="16" fillId="0" borderId="7" xfId="0" applyFont="1" applyBorder="1" applyAlignment="1" applyProtection="1">
      <alignment horizontal="right" vertical="center"/>
      <protection hidden="1"/>
    </xf>
    <xf numFmtId="174" fontId="10" fillId="0" borderId="5" xfId="0" applyNumberFormat="1" applyFont="1" applyBorder="1" applyAlignment="1">
      <alignment horizontal="center"/>
    </xf>
    <xf numFmtId="174" fontId="10" fillId="3" borderId="5" xfId="0" applyNumberFormat="1" applyFont="1" applyFill="1" applyBorder="1" applyAlignment="1">
      <alignment horizontal="center"/>
    </xf>
    <xf numFmtId="174" fontId="10" fillId="5" borderId="5" xfId="0" applyNumberFormat="1" applyFont="1" applyFill="1" applyBorder="1" applyAlignment="1">
      <alignment horizontal="center"/>
    </xf>
    <xf numFmtId="168" fontId="10" fillId="0" borderId="0" xfId="1" applyNumberFormat="1" applyFont="1" applyBorder="1" applyAlignment="1">
      <alignment horizontal="center"/>
    </xf>
    <xf numFmtId="168" fontId="10" fillId="0" borderId="5" xfId="1" applyNumberFormat="1" applyFont="1" applyBorder="1" applyAlignment="1">
      <alignment horizontal="center"/>
    </xf>
    <xf numFmtId="9" fontId="34" fillId="2" borderId="0" xfId="2" applyFont="1" applyFill="1" applyProtection="1"/>
    <xf numFmtId="168" fontId="38" fillId="2" borderId="0" xfId="1" applyNumberFormat="1" applyFont="1" applyFill="1" applyBorder="1" applyProtection="1"/>
    <xf numFmtId="169" fontId="10" fillId="3" borderId="0" xfId="0" applyNumberFormat="1" applyFont="1" applyFill="1" applyAlignment="1">
      <alignment horizontal="center"/>
    </xf>
    <xf numFmtId="0" fontId="16" fillId="0" borderId="0" xfId="0" applyFont="1" applyAlignment="1">
      <alignment horizontal="center" vertical="center"/>
    </xf>
    <xf numFmtId="0" fontId="33" fillId="0" borderId="0" xfId="0" applyFont="1" applyAlignment="1">
      <alignment vertical="center" wrapText="1"/>
    </xf>
    <xf numFmtId="164" fontId="17" fillId="0" borderId="0" xfId="1" applyNumberFormat="1" applyFont="1" applyFill="1" applyBorder="1" applyAlignment="1" applyProtection="1">
      <alignment horizontal="center" vertical="center" wrapText="1"/>
    </xf>
    <xf numFmtId="166" fontId="38" fillId="2" borderId="0" xfId="8" applyNumberFormat="1" applyFont="1" applyFill="1" applyBorder="1" applyProtection="1"/>
    <xf numFmtId="43" fontId="34" fillId="2" borderId="0" xfId="0" applyNumberFormat="1" applyFont="1" applyFill="1" applyProtection="1">
      <protection locked="0"/>
    </xf>
    <xf numFmtId="0" fontId="10" fillId="7" borderId="0" xfId="0" applyFont="1" applyFill="1"/>
    <xf numFmtId="0" fontId="16" fillId="7" borderId="0" xfId="0" applyFont="1" applyFill="1"/>
    <xf numFmtId="0" fontId="55" fillId="0" borderId="0" xfId="0" applyFont="1" applyAlignment="1">
      <alignment vertical="center"/>
    </xf>
    <xf numFmtId="0" fontId="56" fillId="0" borderId="0" xfId="0" applyFont="1" applyAlignment="1" applyProtection="1">
      <alignment horizontal="center" wrapText="1"/>
      <protection locked="0"/>
    </xf>
    <xf numFmtId="0" fontId="57" fillId="3" borderId="0" xfId="0" applyFont="1" applyFill="1" applyAlignment="1">
      <alignment horizontal="center" vertical="center"/>
    </xf>
    <xf numFmtId="0" fontId="57" fillId="3" borderId="0" xfId="0" applyFont="1" applyFill="1" applyAlignment="1">
      <alignment horizontal="center"/>
    </xf>
    <xf numFmtId="0" fontId="30" fillId="3" borderId="20" xfId="0" applyFont="1" applyFill="1" applyBorder="1" applyAlignment="1">
      <alignment vertical="center"/>
    </xf>
    <xf numFmtId="0" fontId="11" fillId="0" borderId="0" xfId="0" applyFont="1" applyAlignment="1" applyProtection="1">
      <alignment vertical="center"/>
      <protection locked="0"/>
    </xf>
    <xf numFmtId="0" fontId="12" fillId="9" borderId="2" xfId="0" applyFont="1" applyFill="1" applyBorder="1" applyAlignment="1" applyProtection="1">
      <alignment horizontal="center" vertical="center"/>
      <protection locked="0"/>
    </xf>
    <xf numFmtId="0" fontId="12" fillId="9" borderId="19" xfId="0" applyFont="1" applyFill="1" applyBorder="1" applyAlignment="1" applyProtection="1">
      <alignment horizontal="center" vertical="center"/>
      <protection locked="0"/>
    </xf>
    <xf numFmtId="0" fontId="10" fillId="0" borderId="13" xfId="0" applyFont="1" applyBorder="1" applyProtection="1">
      <protection locked="0"/>
    </xf>
    <xf numFmtId="0" fontId="10" fillId="0" borderId="14" xfId="0" applyFont="1" applyBorder="1" applyProtection="1">
      <protection locked="0"/>
    </xf>
    <xf numFmtId="1" fontId="10" fillId="0" borderId="0" xfId="0" applyNumberFormat="1" applyFont="1" applyAlignment="1" applyProtection="1">
      <alignment horizontal="center"/>
      <protection locked="0"/>
    </xf>
    <xf numFmtId="0" fontId="10" fillId="8" borderId="0" xfId="0" applyFont="1" applyFill="1" applyProtection="1">
      <protection locked="0"/>
    </xf>
    <xf numFmtId="0" fontId="39" fillId="0" borderId="13" xfId="0" applyFont="1" applyBorder="1" applyAlignment="1" applyProtection="1">
      <alignment horizontal="center"/>
      <protection locked="0"/>
    </xf>
    <xf numFmtId="0" fontId="39" fillId="0" borderId="0" xfId="0" applyFont="1" applyProtection="1">
      <protection locked="0"/>
    </xf>
    <xf numFmtId="0" fontId="10" fillId="0" borderId="15" xfId="0" applyFont="1" applyBorder="1" applyProtection="1">
      <protection locked="0"/>
    </xf>
    <xf numFmtId="0" fontId="10" fillId="0" borderId="16" xfId="0" applyFont="1" applyBorder="1" applyProtection="1">
      <protection locked="0"/>
    </xf>
    <xf numFmtId="0" fontId="10" fillId="0" borderId="17" xfId="0" applyFont="1" applyBorder="1" applyProtection="1">
      <protection locked="0"/>
    </xf>
    <xf numFmtId="0" fontId="58" fillId="9" borderId="0" xfId="0" applyFont="1" applyFill="1" applyAlignment="1">
      <alignment horizontal="center" vertical="center" wrapText="1"/>
    </xf>
    <xf numFmtId="178" fontId="30" fillId="3" borderId="20" xfId="0" applyNumberFormat="1" applyFont="1" applyFill="1" applyBorder="1" applyAlignment="1">
      <alignment horizontal="right" vertical="center"/>
    </xf>
    <xf numFmtId="0" fontId="30" fillId="9" borderId="0" xfId="0" applyFont="1" applyFill="1" applyAlignment="1">
      <alignment vertical="center"/>
    </xf>
    <xf numFmtId="178" fontId="30" fillId="9" borderId="0" xfId="0" applyNumberFormat="1" applyFont="1" applyFill="1" applyAlignment="1">
      <alignment vertical="center"/>
    </xf>
    <xf numFmtId="0" fontId="9" fillId="12" borderId="21" xfId="0" applyFont="1" applyFill="1" applyBorder="1"/>
    <xf numFmtId="0" fontId="10" fillId="10" borderId="21" xfId="0" applyFont="1" applyFill="1" applyBorder="1"/>
    <xf numFmtId="178" fontId="10" fillId="10" borderId="21" xfId="0" applyNumberFormat="1" applyFont="1" applyFill="1" applyBorder="1" applyAlignment="1">
      <alignment horizontal="right"/>
    </xf>
    <xf numFmtId="0" fontId="9" fillId="11" borderId="5" xfId="0" applyFont="1" applyFill="1" applyBorder="1"/>
    <xf numFmtId="178" fontId="9" fillId="11" borderId="5" xfId="0" applyNumberFormat="1" applyFont="1" applyFill="1" applyBorder="1"/>
    <xf numFmtId="169" fontId="9" fillId="11" borderId="5" xfId="0" applyNumberFormat="1" applyFont="1" applyFill="1" applyBorder="1" applyAlignment="1">
      <alignment horizontal="center"/>
    </xf>
    <xf numFmtId="181" fontId="9" fillId="11" borderId="5" xfId="0" applyNumberFormat="1" applyFont="1" applyFill="1" applyBorder="1" applyAlignment="1">
      <alignment horizontal="center"/>
    </xf>
    <xf numFmtId="0" fontId="9" fillId="12" borderId="5" xfId="0" applyFont="1" applyFill="1" applyBorder="1"/>
    <xf numFmtId="178" fontId="9" fillId="12" borderId="5" xfId="0" applyNumberFormat="1" applyFont="1" applyFill="1" applyBorder="1"/>
    <xf numFmtId="0" fontId="30" fillId="3" borderId="0" xfId="0" applyFont="1" applyFill="1" applyAlignment="1">
      <alignment vertical="center"/>
    </xf>
    <xf numFmtId="180" fontId="9" fillId="3" borderId="0" xfId="0" applyNumberFormat="1" applyFont="1" applyFill="1" applyAlignment="1">
      <alignment horizontal="center" vertical="center"/>
    </xf>
    <xf numFmtId="169" fontId="9" fillId="3" borderId="0" xfId="0" applyNumberFormat="1" applyFont="1" applyFill="1" applyAlignment="1">
      <alignment horizontal="center" vertical="center"/>
    </xf>
    <xf numFmtId="181" fontId="9" fillId="3" borderId="0" xfId="0" applyNumberFormat="1" applyFont="1" applyFill="1" applyAlignment="1">
      <alignment horizontal="center" vertical="center"/>
    </xf>
    <xf numFmtId="178" fontId="30" fillId="3" borderId="0" xfId="0" applyNumberFormat="1" applyFont="1" applyFill="1" applyAlignment="1">
      <alignment vertical="center"/>
    </xf>
    <xf numFmtId="178" fontId="9" fillId="3" borderId="0" xfId="0" applyNumberFormat="1" applyFont="1" applyFill="1" applyAlignment="1">
      <alignment vertical="center"/>
    </xf>
    <xf numFmtId="0" fontId="9" fillId="0" borderId="9" xfId="0" applyFont="1" applyBorder="1" applyAlignment="1">
      <alignment vertical="center"/>
    </xf>
    <xf numFmtId="178" fontId="10" fillId="0" borderId="0" xfId="0" applyNumberFormat="1" applyFont="1" applyAlignment="1">
      <alignment horizontal="right" vertical="center"/>
    </xf>
    <xf numFmtId="178" fontId="9" fillId="12" borderId="21" xfId="0" applyNumberFormat="1" applyFont="1" applyFill="1" applyBorder="1" applyAlignment="1">
      <alignment horizontal="right"/>
    </xf>
    <xf numFmtId="178" fontId="30" fillId="9" borderId="0" xfId="0" applyNumberFormat="1" applyFont="1" applyFill="1" applyAlignment="1">
      <alignment horizontal="right" vertical="center"/>
    </xf>
    <xf numFmtId="178" fontId="10" fillId="0" borderId="0" xfId="0" applyNumberFormat="1" applyFont="1" applyAlignment="1">
      <alignment horizontal="right"/>
    </xf>
    <xf numFmtId="178" fontId="10" fillId="10" borderId="5" xfId="0" applyNumberFormat="1" applyFont="1" applyFill="1" applyBorder="1" applyAlignment="1">
      <alignment horizontal="right"/>
    </xf>
    <xf numFmtId="178" fontId="9" fillId="12" borderId="5" xfId="0" applyNumberFormat="1" applyFont="1" applyFill="1" applyBorder="1" applyAlignment="1">
      <alignment horizontal="right"/>
    </xf>
    <xf numFmtId="178" fontId="9" fillId="11" borderId="5" xfId="0" applyNumberFormat="1" applyFont="1" applyFill="1" applyBorder="1" applyAlignment="1">
      <alignment horizontal="right"/>
    </xf>
    <xf numFmtId="178" fontId="30" fillId="3" borderId="0" xfId="0" applyNumberFormat="1" applyFont="1" applyFill="1" applyAlignment="1">
      <alignment horizontal="right" vertical="center"/>
    </xf>
    <xf numFmtId="178" fontId="10" fillId="10" borderId="21" xfId="0" applyNumberFormat="1" applyFont="1" applyFill="1" applyBorder="1" applyAlignment="1">
      <alignment horizontal="right" vertical="center"/>
    </xf>
    <xf numFmtId="178" fontId="9" fillId="12" borderId="21" xfId="0" applyNumberFormat="1" applyFont="1" applyFill="1" applyBorder="1" applyAlignment="1">
      <alignment horizontal="right" vertical="center"/>
    </xf>
    <xf numFmtId="167" fontId="10" fillId="0" borderId="8" xfId="0" applyNumberFormat="1" applyFont="1" applyBorder="1" applyAlignment="1">
      <alignment horizontal="center"/>
    </xf>
    <xf numFmtId="40" fontId="10" fillId="13" borderId="8" xfId="234" applyNumberFormat="1" applyFont="1" applyFill="1" applyBorder="1" applyAlignment="1">
      <alignment horizontal="right"/>
    </xf>
    <xf numFmtId="185" fontId="10" fillId="0" borderId="8" xfId="234" applyNumberFormat="1" applyFont="1" applyFill="1" applyBorder="1" applyProtection="1">
      <protection locked="0"/>
    </xf>
    <xf numFmtId="185" fontId="10" fillId="0" borderId="8" xfId="234" applyNumberFormat="1" applyFont="1" applyBorder="1" applyAlignment="1">
      <alignment horizontal="center"/>
    </xf>
    <xf numFmtId="0" fontId="10" fillId="0" borderId="20" xfId="0" applyFont="1" applyBorder="1" applyAlignment="1">
      <alignment horizontal="center"/>
    </xf>
    <xf numFmtId="0" fontId="10" fillId="0" borderId="20" xfId="0" applyFont="1" applyBorder="1" applyAlignment="1">
      <alignment horizontal="left"/>
    </xf>
    <xf numFmtId="167" fontId="10" fillId="0" borderId="20" xfId="0" applyNumberFormat="1" applyFont="1" applyBorder="1" applyAlignment="1">
      <alignment horizontal="center"/>
    </xf>
    <xf numFmtId="40" fontId="10" fillId="13" borderId="20" xfId="234" applyNumberFormat="1" applyFont="1" applyFill="1" applyBorder="1" applyAlignment="1">
      <alignment horizontal="right"/>
    </xf>
    <xf numFmtId="169" fontId="10" fillId="0" borderId="20" xfId="233" applyNumberFormat="1" applyFont="1" applyBorder="1" applyAlignment="1">
      <alignment horizontal="center"/>
    </xf>
    <xf numFmtId="185" fontId="10" fillId="0" borderId="20" xfId="234" applyNumberFormat="1" applyFont="1" applyFill="1" applyBorder="1" applyProtection="1">
      <protection locked="0"/>
    </xf>
    <xf numFmtId="185" fontId="10" fillId="0" borderId="20" xfId="234" applyNumberFormat="1" applyFont="1" applyBorder="1" applyAlignment="1">
      <alignment horizontal="center"/>
    </xf>
    <xf numFmtId="168" fontId="10" fillId="0" borderId="8" xfId="1" applyNumberFormat="1" applyFont="1" applyBorder="1" applyAlignment="1">
      <alignment horizontal="center"/>
    </xf>
    <xf numFmtId="168" fontId="10" fillId="0" borderId="20" xfId="1" applyNumberFormat="1" applyFont="1" applyBorder="1" applyAlignment="1">
      <alignment horizontal="center"/>
    </xf>
    <xf numFmtId="0" fontId="30" fillId="3" borderId="20" xfId="0" applyFont="1" applyFill="1" applyBorder="1" applyAlignment="1">
      <alignment horizontal="right"/>
    </xf>
    <xf numFmtId="185" fontId="30" fillId="3" borderId="20" xfId="0" applyNumberFormat="1" applyFont="1" applyFill="1" applyBorder="1"/>
    <xf numFmtId="185" fontId="30" fillId="3" borderId="20" xfId="234" applyNumberFormat="1" applyFont="1" applyFill="1" applyBorder="1" applyAlignment="1">
      <alignment horizontal="center"/>
    </xf>
    <xf numFmtId="0" fontId="19" fillId="11" borderId="0" xfId="0" applyFont="1" applyFill="1" applyAlignment="1" applyProtection="1">
      <alignment horizontal="center" wrapText="1"/>
      <protection locked="0"/>
    </xf>
    <xf numFmtId="173" fontId="10" fillId="0" borderId="18" xfId="0" applyNumberFormat="1" applyFont="1" applyBorder="1" applyAlignment="1" applyProtection="1">
      <alignment horizontal="center"/>
      <protection locked="0"/>
    </xf>
    <xf numFmtId="175" fontId="10" fillId="0" borderId="0" xfId="0" applyNumberFormat="1" applyFont="1" applyAlignment="1">
      <alignment horizontal="center" vertical="center"/>
    </xf>
    <xf numFmtId="1" fontId="52" fillId="0" borderId="0" xfId="0" applyNumberFormat="1" applyFont="1" applyAlignment="1" applyProtection="1">
      <alignment horizontal="center" vertical="center"/>
      <protection locked="0"/>
    </xf>
    <xf numFmtId="15" fontId="10" fillId="0" borderId="0" xfId="0" applyNumberFormat="1" applyFont="1" applyAlignment="1" applyProtection="1">
      <alignment horizontal="center"/>
      <protection locked="0"/>
    </xf>
    <xf numFmtId="0" fontId="10" fillId="18" borderId="0" xfId="0" applyFont="1" applyFill="1" applyAlignment="1">
      <alignment horizontal="center"/>
    </xf>
    <xf numFmtId="0" fontId="18" fillId="0" borderId="2" xfId="0" applyFont="1" applyBorder="1" applyAlignment="1">
      <alignment horizontal="left" vertical="center"/>
    </xf>
    <xf numFmtId="0" fontId="18" fillId="0" borderId="2" xfId="0" applyFont="1" applyBorder="1" applyAlignment="1">
      <alignment horizontal="center" vertical="center"/>
    </xf>
    <xf numFmtId="0" fontId="18" fillId="0" borderId="0" xfId="0" applyFont="1" applyAlignment="1">
      <alignment horizontal="center" vertical="center" wrapText="1"/>
    </xf>
    <xf numFmtId="0" fontId="14" fillId="0" borderId="4" xfId="0" applyFont="1" applyBorder="1" applyAlignment="1" applyProtection="1">
      <alignment horizontal="left" vertical="center"/>
      <protection locked="0"/>
    </xf>
    <xf numFmtId="15" fontId="14" fillId="0" borderId="5" xfId="0" applyNumberFormat="1" applyFont="1" applyBorder="1" applyAlignment="1" applyProtection="1">
      <alignment horizontal="center" vertical="center"/>
      <protection locked="0"/>
    </xf>
    <xf numFmtId="0" fontId="14" fillId="0" borderId="4" xfId="0" applyFont="1" applyBorder="1" applyAlignment="1" applyProtection="1">
      <alignment horizontal="center" vertical="center"/>
      <protection locked="0"/>
    </xf>
    <xf numFmtId="164" fontId="14" fillId="0" borderId="5" xfId="234" applyFont="1" applyFill="1" applyBorder="1" applyAlignment="1" applyProtection="1">
      <alignment horizontal="center" vertical="center"/>
      <protection locked="0"/>
    </xf>
    <xf numFmtId="164" fontId="0" fillId="0" borderId="0" xfId="0" applyNumberFormat="1"/>
    <xf numFmtId="15" fontId="14" fillId="0" borderId="4" xfId="0" applyNumberFormat="1" applyFont="1" applyBorder="1" applyAlignment="1" applyProtection="1">
      <alignment horizontal="center" vertical="center"/>
      <protection locked="0"/>
    </xf>
    <xf numFmtId="187" fontId="14" fillId="0" borderId="4" xfId="1" applyNumberFormat="1" applyFont="1" applyBorder="1" applyAlignment="1" applyProtection="1">
      <alignment horizontal="center" vertical="center"/>
      <protection locked="0"/>
    </xf>
    <xf numFmtId="164" fontId="14" fillId="19" borderId="5" xfId="234" applyFont="1" applyFill="1" applyBorder="1" applyAlignment="1" applyProtection="1">
      <alignment horizontal="center" vertical="center"/>
      <protection locked="0"/>
    </xf>
    <xf numFmtId="43" fontId="0" fillId="0" borderId="0" xfId="1" applyFont="1"/>
    <xf numFmtId="164" fontId="14" fillId="0" borderId="0" xfId="234" applyFont="1" applyFill="1" applyBorder="1" applyAlignment="1" applyProtection="1">
      <alignment horizontal="center" vertical="center"/>
      <protection locked="0"/>
    </xf>
    <xf numFmtId="15" fontId="14" fillId="0" borderId="5" xfId="234" applyNumberFormat="1" applyFont="1" applyFill="1" applyBorder="1" applyAlignment="1" applyProtection="1">
      <alignment horizontal="center" vertical="center"/>
      <protection locked="0"/>
    </xf>
    <xf numFmtId="164" fontId="14" fillId="19" borderId="8" xfId="234" applyFont="1" applyFill="1" applyBorder="1" applyAlignment="1" applyProtection="1">
      <alignment horizontal="center" vertical="center"/>
      <protection locked="0"/>
    </xf>
    <xf numFmtId="164" fontId="14" fillId="0" borderId="4" xfId="234" applyFont="1" applyFill="1" applyBorder="1" applyAlignment="1" applyProtection="1">
      <alignment horizontal="center" vertical="center"/>
      <protection locked="0"/>
    </xf>
    <xf numFmtId="164" fontId="14" fillId="0" borderId="22" xfId="234" applyFont="1" applyFill="1" applyBorder="1" applyAlignment="1" applyProtection="1">
      <alignment horizontal="center" vertical="center"/>
      <protection locked="0"/>
    </xf>
    <xf numFmtId="164" fontId="14" fillId="0" borderId="23" xfId="234" applyFont="1" applyFill="1" applyBorder="1" applyAlignment="1" applyProtection="1">
      <alignment horizontal="center" vertical="center"/>
      <protection locked="0"/>
    </xf>
    <xf numFmtId="164" fontId="14" fillId="0" borderId="24" xfId="234" applyFont="1" applyFill="1" applyBorder="1" applyAlignment="1" applyProtection="1">
      <alignment horizontal="center" vertical="center"/>
      <protection locked="0"/>
    </xf>
    <xf numFmtId="164" fontId="14" fillId="0" borderId="8" xfId="234" applyFont="1" applyFill="1" applyBorder="1" applyAlignment="1" applyProtection="1">
      <alignment horizontal="center" vertical="center"/>
      <protection locked="0"/>
    </xf>
    <xf numFmtId="43" fontId="34" fillId="6" borderId="25" xfId="1" applyFont="1" applyFill="1" applyBorder="1" applyAlignment="1" applyProtection="1">
      <alignment horizontal="right"/>
      <protection locked="0"/>
    </xf>
    <xf numFmtId="43" fontId="34" fillId="6" borderId="26" xfId="1" applyFont="1" applyFill="1" applyBorder="1" applyProtection="1">
      <protection locked="0"/>
    </xf>
    <xf numFmtId="43" fontId="34" fillId="6" borderId="27" xfId="1" applyFont="1" applyFill="1" applyBorder="1" applyProtection="1">
      <protection locked="0"/>
    </xf>
    <xf numFmtId="4" fontId="34" fillId="6" borderId="25" xfId="0" applyNumberFormat="1" applyFont="1" applyFill="1" applyBorder="1" applyProtection="1">
      <protection locked="0"/>
    </xf>
    <xf numFmtId="4" fontId="34" fillId="6" borderId="26" xfId="0" applyNumberFormat="1" applyFont="1" applyFill="1" applyBorder="1" applyProtection="1">
      <protection locked="0"/>
    </xf>
    <xf numFmtId="4" fontId="34" fillId="6" borderId="27" xfId="0" applyNumberFormat="1" applyFont="1" applyFill="1" applyBorder="1" applyProtection="1">
      <protection locked="0"/>
    </xf>
    <xf numFmtId="43" fontId="34" fillId="6" borderId="25" xfId="1" applyFont="1" applyFill="1" applyBorder="1" applyProtection="1">
      <protection locked="0"/>
    </xf>
    <xf numFmtId="164" fontId="14" fillId="0" borderId="28" xfId="234" applyFont="1" applyFill="1" applyBorder="1" applyAlignment="1" applyProtection="1">
      <alignment horizontal="center" vertical="center"/>
      <protection locked="0"/>
    </xf>
    <xf numFmtId="164" fontId="14" fillId="0" borderId="27" xfId="234" applyFont="1" applyFill="1" applyBorder="1" applyAlignment="1" applyProtection="1">
      <alignment horizontal="center" vertical="center"/>
      <protection locked="0"/>
    </xf>
    <xf numFmtId="11" fontId="9" fillId="11" borderId="0" xfId="0" applyNumberFormat="1" applyFont="1" applyFill="1" applyAlignment="1" applyProtection="1">
      <alignment horizontal="center" vertical="center"/>
      <protection locked="0"/>
    </xf>
    <xf numFmtId="43" fontId="34" fillId="19" borderId="0" xfId="1" applyFont="1" applyFill="1" applyAlignment="1" applyProtection="1">
      <alignment horizontal="center"/>
      <protection locked="0"/>
    </xf>
    <xf numFmtId="0" fontId="34" fillId="19" borderId="0" xfId="0" applyFont="1" applyFill="1" applyAlignment="1" applyProtection="1">
      <alignment horizontal="center"/>
      <protection locked="0"/>
    </xf>
    <xf numFmtId="167" fontId="34" fillId="19" borderId="0" xfId="0" applyNumberFormat="1" applyFont="1" applyFill="1" applyAlignment="1" applyProtection="1">
      <alignment horizontal="center"/>
      <protection locked="0"/>
    </xf>
    <xf numFmtId="43" fontId="34" fillId="19" borderId="0" xfId="1" applyFont="1" applyFill="1" applyProtection="1">
      <protection locked="0"/>
    </xf>
    <xf numFmtId="0" fontId="34" fillId="19" borderId="0" xfId="0" applyFont="1" applyFill="1" applyAlignment="1" applyProtection="1">
      <alignment horizontal="center" vertical="center"/>
      <protection locked="0"/>
    </xf>
    <xf numFmtId="0" fontId="34" fillId="19" borderId="0" xfId="0" applyFont="1" applyFill="1" applyProtection="1">
      <protection locked="0"/>
    </xf>
    <xf numFmtId="180" fontId="10" fillId="10" borderId="5" xfId="0" applyNumberFormat="1" applyFont="1" applyFill="1" applyBorder="1" applyAlignment="1">
      <alignment horizontal="center"/>
    </xf>
    <xf numFmtId="169" fontId="10" fillId="10" borderId="5" xfId="0" applyNumberFormat="1" applyFont="1" applyFill="1" applyBorder="1" applyAlignment="1">
      <alignment horizontal="center"/>
    </xf>
    <xf numFmtId="181" fontId="10" fillId="10" borderId="5" xfId="0" applyNumberFormat="1" applyFont="1" applyFill="1" applyBorder="1" applyAlignment="1">
      <alignment horizontal="center"/>
    </xf>
    <xf numFmtId="180" fontId="9" fillId="11" borderId="5" xfId="0" applyNumberFormat="1" applyFont="1" applyFill="1" applyBorder="1" applyAlignment="1">
      <alignment horizontal="center"/>
    </xf>
    <xf numFmtId="180" fontId="9" fillId="12" borderId="5" xfId="0" applyNumberFormat="1" applyFont="1" applyFill="1" applyBorder="1" applyAlignment="1">
      <alignment horizontal="center"/>
    </xf>
    <xf numFmtId="169" fontId="9" fillId="12" borderId="5" xfId="0" applyNumberFormat="1" applyFont="1" applyFill="1" applyBorder="1" applyAlignment="1">
      <alignment horizontal="center"/>
    </xf>
    <xf numFmtId="181" fontId="9" fillId="12" borderId="5" xfId="0" applyNumberFormat="1" applyFont="1" applyFill="1" applyBorder="1" applyAlignment="1">
      <alignment horizontal="center"/>
    </xf>
    <xf numFmtId="180" fontId="30" fillId="9" borderId="0" xfId="0" applyNumberFormat="1" applyFont="1" applyFill="1" applyAlignment="1">
      <alignment horizontal="center" vertical="center"/>
    </xf>
    <xf numFmtId="169" fontId="30" fillId="9" borderId="0" xfId="0" applyNumberFormat="1" applyFont="1" applyFill="1" applyAlignment="1">
      <alignment horizontal="center" vertical="center"/>
    </xf>
    <xf numFmtId="181" fontId="30" fillId="9" borderId="0" xfId="0" applyNumberFormat="1" applyFont="1" applyFill="1" applyAlignment="1">
      <alignment horizontal="center" vertical="center"/>
    </xf>
    <xf numFmtId="187" fontId="0" fillId="0" borderId="0" xfId="0" applyNumberFormat="1"/>
    <xf numFmtId="15" fontId="10" fillId="0" borderId="0" xfId="0" applyNumberFormat="1" applyFont="1" applyProtection="1">
      <protection locked="0"/>
    </xf>
    <xf numFmtId="0" fontId="0" fillId="20" borderId="0" xfId="0" applyFill="1"/>
    <xf numFmtId="0" fontId="34" fillId="19" borderId="0" xfId="0" applyFont="1" applyFill="1"/>
    <xf numFmtId="0" fontId="34" fillId="21" borderId="0" xfId="0" applyFont="1" applyFill="1" applyAlignment="1" applyProtection="1">
      <alignment horizontal="center" vertical="center"/>
      <protection locked="0"/>
    </xf>
    <xf numFmtId="0" fontId="34" fillId="21" borderId="0" xfId="0" applyFont="1" applyFill="1" applyAlignment="1" applyProtection="1">
      <alignment horizontal="center"/>
      <protection locked="0"/>
    </xf>
    <xf numFmtId="0" fontId="34" fillId="21" borderId="0" xfId="0" applyFont="1" applyFill="1" applyProtection="1">
      <protection locked="0"/>
    </xf>
    <xf numFmtId="167" fontId="34" fillId="21" borderId="0" xfId="0" applyNumberFormat="1" applyFont="1" applyFill="1" applyAlignment="1" applyProtection="1">
      <alignment horizontal="center"/>
      <protection locked="0"/>
    </xf>
    <xf numFmtId="43" fontId="34" fillId="21" borderId="0" xfId="1" applyFont="1" applyFill="1" applyProtection="1">
      <protection locked="0"/>
    </xf>
    <xf numFmtId="43" fontId="34" fillId="21" borderId="0" xfId="1" applyFont="1" applyFill="1" applyAlignment="1" applyProtection="1">
      <alignment horizontal="center"/>
      <protection locked="0"/>
    </xf>
    <xf numFmtId="0" fontId="34" fillId="21" borderId="0" xfId="0" applyFont="1" applyFill="1"/>
    <xf numFmtId="0" fontId="34" fillId="22" borderId="0" xfId="0" applyFont="1" applyFill="1" applyAlignment="1" applyProtection="1">
      <alignment horizontal="center" vertical="center"/>
      <protection locked="0"/>
    </xf>
    <xf numFmtId="0" fontId="34" fillId="22" borderId="0" xfId="0" applyFont="1" applyFill="1" applyAlignment="1" applyProtection="1">
      <alignment horizontal="center"/>
      <protection locked="0"/>
    </xf>
    <xf numFmtId="0" fontId="34" fillId="22" borderId="0" xfId="0" applyFont="1" applyFill="1" applyProtection="1">
      <protection locked="0"/>
    </xf>
    <xf numFmtId="167" fontId="34" fillId="22" borderId="0" xfId="0" applyNumberFormat="1" applyFont="1" applyFill="1" applyAlignment="1" applyProtection="1">
      <alignment horizontal="center"/>
      <protection locked="0"/>
    </xf>
    <xf numFmtId="43" fontId="34" fillId="22" borderId="0" xfId="1" applyFont="1" applyFill="1" applyProtection="1">
      <protection locked="0"/>
    </xf>
    <xf numFmtId="43" fontId="34" fillId="22" borderId="0" xfId="1" applyFont="1" applyFill="1" applyAlignment="1" applyProtection="1">
      <alignment horizontal="center"/>
      <protection locked="0"/>
    </xf>
    <xf numFmtId="0" fontId="34" fillId="22" borderId="0" xfId="0" applyFont="1" applyFill="1"/>
    <xf numFmtId="0" fontId="10" fillId="19" borderId="0" xfId="0" applyFont="1" applyFill="1" applyAlignment="1">
      <alignment horizontal="center"/>
    </xf>
    <xf numFmtId="16" fontId="34" fillId="6" borderId="0" xfId="0" applyNumberFormat="1" applyFont="1" applyFill="1" applyAlignment="1" applyProtection="1">
      <alignment horizontal="center"/>
      <protection locked="0"/>
    </xf>
    <xf numFmtId="40" fontId="10" fillId="0" borderId="0" xfId="0" applyNumberFormat="1" applyFont="1" applyAlignment="1">
      <alignment horizontal="center"/>
    </xf>
    <xf numFmtId="40" fontId="10" fillId="0" borderId="0" xfId="0" applyNumberFormat="1" applyFont="1"/>
    <xf numFmtId="40" fontId="10" fillId="10" borderId="5" xfId="0" applyNumberFormat="1" applyFont="1" applyFill="1" applyBorder="1"/>
    <xf numFmtId="40" fontId="10" fillId="12" borderId="5" xfId="0" applyNumberFormat="1" applyFont="1" applyFill="1" applyBorder="1"/>
    <xf numFmtId="40" fontId="26" fillId="9" borderId="0" xfId="0" applyNumberFormat="1" applyFont="1" applyFill="1" applyAlignment="1">
      <alignment vertical="center"/>
    </xf>
    <xf numFmtId="40" fontId="9" fillId="12" borderId="5" xfId="0" applyNumberFormat="1" applyFont="1" applyFill="1" applyBorder="1"/>
    <xf numFmtId="40" fontId="30" fillId="9" borderId="0" xfId="0" applyNumberFormat="1" applyFont="1" applyFill="1" applyAlignment="1">
      <alignment vertical="center"/>
    </xf>
    <xf numFmtId="40" fontId="30" fillId="3" borderId="20" xfId="0" applyNumberFormat="1" applyFont="1" applyFill="1" applyBorder="1" applyAlignment="1">
      <alignment horizontal="right" vertical="center"/>
    </xf>
    <xf numFmtId="40" fontId="10" fillId="0" borderId="0" xfId="0" applyNumberFormat="1" applyFont="1" applyAlignment="1">
      <alignment horizontal="right" vertical="center"/>
    </xf>
    <xf numFmtId="40" fontId="10" fillId="0" borderId="0" xfId="0" applyNumberFormat="1" applyFont="1" applyAlignment="1">
      <alignment horizontal="right"/>
    </xf>
    <xf numFmtId="40" fontId="10" fillId="10" borderId="21" xfId="0" applyNumberFormat="1" applyFont="1" applyFill="1" applyBorder="1" applyAlignment="1">
      <alignment horizontal="right"/>
    </xf>
    <xf numFmtId="40" fontId="9" fillId="12" borderId="21" xfId="0" applyNumberFormat="1" applyFont="1" applyFill="1" applyBorder="1" applyAlignment="1">
      <alignment horizontal="right"/>
    </xf>
    <xf numFmtId="40" fontId="30" fillId="9" borderId="0" xfId="0" applyNumberFormat="1" applyFont="1" applyFill="1" applyAlignment="1">
      <alignment horizontal="right" vertical="center"/>
    </xf>
    <xf numFmtId="40" fontId="10" fillId="11" borderId="5" xfId="0" applyNumberFormat="1" applyFont="1" applyFill="1" applyBorder="1"/>
    <xf numFmtId="40" fontId="9" fillId="11" borderId="5" xfId="0" applyNumberFormat="1" applyFont="1" applyFill="1" applyBorder="1"/>
    <xf numFmtId="40" fontId="30" fillId="3" borderId="0" xfId="0" applyNumberFormat="1" applyFont="1" applyFill="1" applyAlignment="1">
      <alignment vertical="center"/>
    </xf>
    <xf numFmtId="40" fontId="30" fillId="3" borderId="0" xfId="0" applyNumberFormat="1" applyFont="1" applyFill="1" applyAlignment="1">
      <alignment horizontal="right" vertical="center"/>
    </xf>
    <xf numFmtId="40" fontId="9" fillId="11" borderId="5" xfId="0" applyNumberFormat="1" applyFont="1" applyFill="1" applyBorder="1" applyAlignment="1">
      <alignment horizontal="right"/>
    </xf>
    <xf numFmtId="40" fontId="10" fillId="10" borderId="5" xfId="0" applyNumberFormat="1" applyFont="1" applyFill="1" applyBorder="1" applyAlignment="1">
      <alignment horizontal="right"/>
    </xf>
    <xf numFmtId="40" fontId="9" fillId="12" borderId="5" xfId="0" applyNumberFormat="1" applyFont="1" applyFill="1" applyBorder="1" applyAlignment="1">
      <alignment horizontal="right"/>
    </xf>
    <xf numFmtId="40" fontId="10" fillId="0" borderId="0" xfId="0" applyNumberFormat="1" applyFont="1" applyAlignment="1">
      <alignment wrapText="1"/>
    </xf>
    <xf numFmtId="39" fontId="10" fillId="0" borderId="0" xfId="0" applyNumberFormat="1" applyFont="1" applyAlignment="1">
      <alignment wrapText="1"/>
    </xf>
    <xf numFmtId="40" fontId="10" fillId="11" borderId="5" xfId="0" applyNumberFormat="1" applyFont="1" applyFill="1" applyBorder="1" applyAlignment="1">
      <alignment wrapText="1"/>
    </xf>
    <xf numFmtId="39" fontId="10" fillId="11" borderId="5" xfId="0" applyNumberFormat="1" applyFont="1" applyFill="1" applyBorder="1" applyAlignment="1">
      <alignment wrapText="1"/>
    </xf>
    <xf numFmtId="40" fontId="10" fillId="10" borderId="5" xfId="0" applyNumberFormat="1" applyFont="1" applyFill="1" applyBorder="1" applyAlignment="1">
      <alignment wrapText="1"/>
    </xf>
    <xf numFmtId="39" fontId="10" fillId="10" borderId="5" xfId="0" applyNumberFormat="1" applyFont="1" applyFill="1" applyBorder="1" applyAlignment="1">
      <alignment wrapText="1"/>
    </xf>
    <xf numFmtId="40" fontId="10" fillId="12" borderId="0" xfId="0" applyNumberFormat="1" applyFont="1" applyFill="1" applyAlignment="1">
      <alignment wrapText="1"/>
    </xf>
    <xf numFmtId="39" fontId="10" fillId="12" borderId="0" xfId="0" applyNumberFormat="1" applyFont="1" applyFill="1" applyAlignment="1">
      <alignment wrapText="1"/>
    </xf>
    <xf numFmtId="40" fontId="10" fillId="12" borderId="5" xfId="0" applyNumberFormat="1" applyFont="1" applyFill="1" applyBorder="1" applyAlignment="1">
      <alignment wrapText="1"/>
    </xf>
    <xf numFmtId="39" fontId="10" fillId="12" borderId="5" xfId="0" applyNumberFormat="1" applyFont="1" applyFill="1" applyBorder="1" applyAlignment="1">
      <alignment wrapText="1"/>
    </xf>
    <xf numFmtId="40" fontId="26" fillId="3" borderId="0" xfId="0" applyNumberFormat="1" applyFont="1" applyFill="1" applyAlignment="1">
      <alignment wrapText="1"/>
    </xf>
    <xf numFmtId="39" fontId="26" fillId="3" borderId="0" xfId="0" applyNumberFormat="1" applyFont="1" applyFill="1" applyAlignment="1">
      <alignment wrapText="1"/>
    </xf>
    <xf numFmtId="40" fontId="10" fillId="0" borderId="0" xfId="0" applyNumberFormat="1" applyFont="1" applyAlignment="1">
      <alignment horizontal="center" wrapText="1"/>
    </xf>
    <xf numFmtId="40" fontId="10" fillId="10" borderId="5" xfId="0" applyNumberFormat="1" applyFont="1" applyFill="1" applyBorder="1" applyAlignment="1">
      <alignment horizontal="center" wrapText="1"/>
    </xf>
    <xf numFmtId="40" fontId="10" fillId="12" borderId="0" xfId="0" applyNumberFormat="1" applyFont="1" applyFill="1" applyAlignment="1">
      <alignment horizontal="center" wrapText="1"/>
    </xf>
    <xf numFmtId="40" fontId="26" fillId="3" borderId="0" xfId="0" applyNumberFormat="1" applyFont="1" applyFill="1" applyAlignment="1">
      <alignment horizontal="center" wrapText="1"/>
    </xf>
    <xf numFmtId="40" fontId="10" fillId="11" borderId="5" xfId="0" applyNumberFormat="1" applyFont="1" applyFill="1" applyBorder="1" applyAlignment="1">
      <alignment horizontal="center" wrapText="1"/>
    </xf>
    <xf numFmtId="39" fontId="10" fillId="0" borderId="0" xfId="0" applyNumberFormat="1" applyFont="1"/>
    <xf numFmtId="40" fontId="10" fillId="11" borderId="5" xfId="0" applyNumberFormat="1" applyFont="1" applyFill="1" applyBorder="1" applyAlignment="1">
      <alignment horizontal="center"/>
    </xf>
    <xf numFmtId="39" fontId="10" fillId="11" borderId="5" xfId="0" applyNumberFormat="1" applyFont="1" applyFill="1" applyBorder="1"/>
    <xf numFmtId="40" fontId="9" fillId="10" borderId="5" xfId="0" applyNumberFormat="1" applyFont="1" applyFill="1" applyBorder="1" applyAlignment="1">
      <alignment horizontal="center"/>
    </xf>
    <xf numFmtId="39" fontId="9" fillId="10" borderId="5" xfId="0" applyNumberFormat="1" applyFont="1" applyFill="1" applyBorder="1"/>
    <xf numFmtId="40" fontId="9" fillId="10" borderId="5" xfId="0" applyNumberFormat="1" applyFont="1" applyFill="1" applyBorder="1"/>
    <xf numFmtId="40" fontId="10" fillId="12" borderId="5" xfId="0" applyNumberFormat="1" applyFont="1" applyFill="1" applyBorder="1" applyAlignment="1">
      <alignment horizontal="center"/>
    </xf>
    <xf numFmtId="39" fontId="10" fillId="12" borderId="5" xfId="0" applyNumberFormat="1" applyFont="1" applyFill="1" applyBorder="1"/>
    <xf numFmtId="40" fontId="26" fillId="9" borderId="0" xfId="0" applyNumberFormat="1" applyFont="1" applyFill="1" applyAlignment="1">
      <alignment horizontal="center" vertical="center"/>
    </xf>
    <xf numFmtId="39" fontId="26" fillId="9" borderId="0" xfId="0" applyNumberFormat="1" applyFont="1" applyFill="1" applyAlignment="1">
      <alignment vertical="center"/>
    </xf>
    <xf numFmtId="40" fontId="26" fillId="3" borderId="0" xfId="0" applyNumberFormat="1" applyFont="1" applyFill="1" applyAlignment="1">
      <alignment horizontal="center"/>
    </xf>
    <xf numFmtId="39" fontId="26" fillId="3" borderId="0" xfId="0" applyNumberFormat="1" applyFont="1" applyFill="1"/>
    <xf numFmtId="40" fontId="26" fillId="3" borderId="0" xfId="0" applyNumberFormat="1" applyFont="1" applyFill="1"/>
    <xf numFmtId="0" fontId="9" fillId="0" borderId="0" xfId="0" applyFont="1" applyAlignment="1">
      <alignment horizontal="left"/>
    </xf>
    <xf numFmtId="0" fontId="30" fillId="9" borderId="11" xfId="0" applyFont="1" applyFill="1" applyBorder="1" applyAlignment="1" applyProtection="1">
      <alignment horizontal="center" vertical="center" wrapText="1"/>
      <protection locked="0"/>
    </xf>
    <xf numFmtId="0" fontId="30" fillId="9" borderId="2" xfId="0" applyFont="1" applyFill="1" applyBorder="1" applyAlignment="1" applyProtection="1">
      <alignment horizontal="center" vertical="center" wrapText="1"/>
      <protection locked="0"/>
    </xf>
    <xf numFmtId="0" fontId="30" fillId="9" borderId="12" xfId="0" applyFont="1" applyFill="1" applyBorder="1" applyAlignment="1" applyProtection="1">
      <alignment horizontal="center" vertical="center" wrapText="1"/>
      <protection locked="0"/>
    </xf>
    <xf numFmtId="0" fontId="10" fillId="4" borderId="16" xfId="0" applyFont="1" applyFill="1" applyBorder="1" applyAlignment="1" applyProtection="1">
      <alignment horizontal="center"/>
      <protection locked="0"/>
    </xf>
    <xf numFmtId="0" fontId="11" fillId="0" borderId="0" xfId="0" applyFont="1" applyAlignment="1" applyProtection="1">
      <alignment horizontal="left" vertical="center"/>
      <protection locked="0" hidden="1"/>
    </xf>
    <xf numFmtId="0" fontId="15" fillId="0" borderId="0" xfId="0" applyFont="1" applyAlignment="1" applyProtection="1">
      <alignment horizontal="left" vertical="center"/>
      <protection hidden="1"/>
    </xf>
    <xf numFmtId="0" fontId="9" fillId="0" borderId="0" xfId="3" applyFont="1" applyAlignment="1">
      <alignment horizontal="left" vertical="center" wrapText="1"/>
    </xf>
    <xf numFmtId="0" fontId="18" fillId="0" borderId="0" xfId="0" applyFont="1" applyAlignment="1">
      <alignment horizontal="left" vertical="center"/>
    </xf>
    <xf numFmtId="0" fontId="30" fillId="9" borderId="5" xfId="0" applyFont="1" applyFill="1" applyBorder="1" applyAlignment="1">
      <alignment horizontal="left" vertical="center" wrapText="1"/>
    </xf>
    <xf numFmtId="0" fontId="9" fillId="0" borderId="0" xfId="0" applyFont="1" applyAlignment="1">
      <alignment horizontal="left"/>
    </xf>
    <xf numFmtId="0" fontId="31" fillId="0" borderId="0" xfId="0" applyFont="1" applyAlignment="1">
      <alignment horizontal="left" vertical="center" wrapText="1"/>
    </xf>
    <xf numFmtId="0" fontId="9" fillId="0" borderId="9" xfId="0" applyFont="1" applyBorder="1" applyAlignment="1">
      <alignment horizontal="left" vertical="center" wrapText="1"/>
    </xf>
    <xf numFmtId="0" fontId="31" fillId="0" borderId="0" xfId="0" applyFont="1" applyAlignment="1">
      <alignment horizontal="left" wrapText="1"/>
    </xf>
    <xf numFmtId="0" fontId="9" fillId="0" borderId="9" xfId="0" applyFont="1" applyBorder="1" applyAlignment="1">
      <alignment horizontal="center" vertical="center"/>
    </xf>
    <xf numFmtId="0" fontId="31" fillId="0" borderId="0" xfId="0" applyFont="1"/>
    <xf numFmtId="0" fontId="9" fillId="0" borderId="0" xfId="0" applyFont="1" applyAlignment="1">
      <alignment vertical="center"/>
    </xf>
    <xf numFmtId="0" fontId="33" fillId="0" borderId="0" xfId="0" applyFont="1" applyAlignment="1">
      <alignment horizontal="left" vertical="center"/>
    </xf>
    <xf numFmtId="0" fontId="9" fillId="0" borderId="0" xfId="0" applyFont="1" applyAlignment="1">
      <alignment horizontal="left" vertical="center"/>
    </xf>
    <xf numFmtId="0" fontId="33" fillId="0" borderId="0" xfId="0" applyFont="1" applyAlignment="1">
      <alignment horizontal="left"/>
    </xf>
    <xf numFmtId="0" fontId="33" fillId="0" borderId="0" xfId="0" applyFont="1" applyAlignment="1">
      <alignment horizontal="left" vertical="center" wrapText="1"/>
    </xf>
    <xf numFmtId="0" fontId="51" fillId="0" borderId="0" xfId="0" applyFont="1" applyAlignment="1">
      <alignment horizontal="center" vertical="center" wrapText="1"/>
    </xf>
    <xf numFmtId="0" fontId="30" fillId="9" borderId="0" xfId="0" applyFont="1" applyFill="1" applyAlignment="1" applyProtection="1">
      <alignment horizontal="center" vertical="center"/>
      <protection locked="0"/>
    </xf>
    <xf numFmtId="0" fontId="9" fillId="11" borderId="0" xfId="0" applyFont="1" applyFill="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0" fontId="10" fillId="0" borderId="0" xfId="0" applyFont="1" applyAlignment="1" applyProtection="1">
      <alignment horizontal="left" vertical="center"/>
      <protection locked="0"/>
    </xf>
    <xf numFmtId="0" fontId="26" fillId="9" borderId="0" xfId="233" applyFont="1" applyFill="1" applyAlignment="1">
      <alignment horizontal="center" vertical="center" wrapText="1"/>
    </xf>
    <xf numFmtId="0" fontId="31" fillId="0" borderId="0" xfId="233" applyFont="1" applyAlignment="1">
      <alignment horizontal="left" vertical="center"/>
    </xf>
    <xf numFmtId="0" fontId="9" fillId="0" borderId="0" xfId="233" applyFont="1" applyAlignment="1">
      <alignment horizontal="left" vertical="center"/>
    </xf>
    <xf numFmtId="0" fontId="13" fillId="0" borderId="0" xfId="0" applyFont="1" applyAlignment="1">
      <alignment horizontal="left" vertical="center" wrapText="1"/>
    </xf>
    <xf numFmtId="0" fontId="31" fillId="0" borderId="0" xfId="0" applyFont="1" applyAlignment="1">
      <alignment horizontal="left" vertical="center"/>
    </xf>
    <xf numFmtId="0" fontId="33" fillId="0" borderId="0" xfId="0" applyFont="1" applyAlignment="1" applyProtection="1">
      <alignment horizontal="left" vertical="center"/>
      <protection locked="0"/>
    </xf>
    <xf numFmtId="0" fontId="9" fillId="0" borderId="0" xfId="0" applyFont="1" applyAlignment="1" applyProtection="1">
      <alignment horizontal="left" vertical="center"/>
      <protection locked="0"/>
    </xf>
    <xf numFmtId="0" fontId="33" fillId="0" borderId="0" xfId="0" applyFont="1" applyAlignment="1" applyProtection="1">
      <alignment horizontal="left" vertical="center" wrapText="1"/>
      <protection locked="0"/>
    </xf>
    <xf numFmtId="0" fontId="31" fillId="0" borderId="0" xfId="0" applyFont="1" applyAlignment="1">
      <alignment horizontal="left"/>
    </xf>
  </cellXfs>
  <cellStyles count="236">
    <cellStyle name="Comma" xfId="1" builtinId="3"/>
    <cellStyle name="Comma 2" xfId="234" xr:uid="{0DA63151-10CA-5B4D-9C92-0E6A68458BEB}"/>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Millares 12 3 31" xfId="4" xr:uid="{00000000-0005-0000-0000-0000DF000000}"/>
    <cellStyle name="Millares 2" xfId="235" xr:uid="{9AAF5620-DA88-F041-A4EF-50B77E342524}"/>
    <cellStyle name="Millares 38 2" xfId="38" xr:uid="{00000000-0005-0000-0000-0000E0000000}"/>
    <cellStyle name="Millares 42" xfId="7" xr:uid="{00000000-0005-0000-0000-0000E1000000}"/>
    <cellStyle name="Millares 44" xfId="6" xr:uid="{00000000-0005-0000-0000-0000E2000000}"/>
    <cellStyle name="Millares_AJUSTE GORAN 2007 BIG" xfId="8" xr:uid="{00000000-0005-0000-0000-0000E3000000}"/>
    <cellStyle name="Normal" xfId="0" builtinId="0"/>
    <cellStyle name="Normal 15" xfId="3" xr:uid="{00000000-0005-0000-0000-0000E5000000}"/>
    <cellStyle name="Normal 2" xfId="233" xr:uid="{ED0FBFB6-3A88-4F45-8EC1-0EF509105983}"/>
    <cellStyle name="Normal_JPMorgan Chase - FIDEICOMISO 864 (q69934000) (2009)" xfId="9" xr:uid="{00000000-0005-0000-0000-0000E6000000}"/>
    <cellStyle name="Percent" xfId="2" builtinId="5"/>
    <cellStyle name="Porcentual 2 2" xfId="5" xr:uid="{00000000-0005-0000-0000-0000E8000000}"/>
  </cellStyles>
  <dxfs count="1736">
    <dxf>
      <font>
        <name val="Helvetica Ligera"/>
      </font>
    </dxf>
    <dxf>
      <font>
        <name val="Helvetica Ligera"/>
      </font>
    </dxf>
    <dxf>
      <font>
        <name val="Helvetica Ligera"/>
      </font>
    </dxf>
    <dxf>
      <font>
        <name val="Helvetica Ligera"/>
      </font>
    </dxf>
    <dxf>
      <font>
        <name val="Helvetica Ligera"/>
      </font>
    </dxf>
    <dxf>
      <alignment wrapText="1"/>
    </dxf>
    <dxf>
      <alignment wrapText="1"/>
    </dxf>
    <dxf>
      <alignment horizontal="center"/>
    </dxf>
    <dxf>
      <alignment horizontal="center"/>
    </dxf>
    <dxf>
      <alignment vertical="center"/>
    </dxf>
    <dxf>
      <alignment vertical="center"/>
    </dxf>
    <dxf>
      <fill>
        <patternFill patternType="solid">
          <bgColor theme="8" tint="-0.499984740745262"/>
        </patternFill>
      </fill>
    </dxf>
    <dxf>
      <fill>
        <patternFill patternType="solid">
          <bgColor theme="8" tint="-0.499984740745262"/>
        </patternFill>
      </fill>
    </dxf>
    <dxf>
      <font>
        <color theme="0"/>
      </font>
    </dxf>
    <dxf>
      <font>
        <color theme="0"/>
      </font>
    </dxf>
    <dxf>
      <font>
        <color theme="8" tint="-0.499984740745262"/>
      </font>
    </dxf>
    <dxf>
      <font>
        <color theme="8" tint="-0.499984740745262"/>
      </font>
    </dxf>
    <dxf>
      <font>
        <color theme="8" tint="-0.499984740745262"/>
      </font>
    </dxf>
    <dxf>
      <fill>
        <patternFill patternType="solid">
          <bgColor theme="4" tint="0.59999389629810485"/>
        </patternFill>
      </fill>
    </dxf>
    <dxf>
      <alignment horizontal="center"/>
    </dxf>
    <dxf>
      <alignment vertical="center"/>
    </dxf>
    <dxf>
      <alignment vertical="center"/>
    </dxf>
    <dxf>
      <alignment vertical="center"/>
    </dxf>
    <dxf>
      <alignment horizontal="center"/>
    </dxf>
    <dxf>
      <alignment wrapText="1"/>
    </dxf>
    <dxf>
      <alignment wrapText="1"/>
    </dxf>
    <dxf>
      <font>
        <name val="Helvetica Light"/>
      </font>
    </dxf>
    <dxf>
      <font>
        <name val="Helvetica Light"/>
      </font>
    </dxf>
    <dxf>
      <font>
        <name val="Helvetica Light"/>
      </font>
    </dxf>
    <dxf>
      <alignment horizontal="center" vertical="center" wrapText="1"/>
    </dxf>
    <dxf>
      <alignment horizontal="center" vertical="center" wrapText="1"/>
    </dxf>
    <dxf>
      <numFmt numFmtId="179" formatCode="[$-409]dd\-mmm\-yy;@"/>
    </dxf>
    <dxf>
      <alignment horizontal="center"/>
    </dxf>
    <dxf>
      <alignment wrapText="1"/>
    </dxf>
    <dxf>
      <alignment vertical="center"/>
    </dxf>
    <dxf>
      <alignment horizontal="center"/>
    </dxf>
    <dxf>
      <alignment horizontal="center"/>
    </dxf>
    <dxf>
      <alignment wrapText="1"/>
    </dxf>
    <dxf>
      <alignment vertical="center"/>
    </dxf>
    <dxf>
      <alignment horizontal="center"/>
    </dxf>
    <dxf>
      <numFmt numFmtId="7" formatCode="#,##0.00_);\(#,##0.00\)"/>
    </dxf>
    <dxf>
      <numFmt numFmtId="176" formatCode="0.0000_);\(0.0000\)"/>
    </dxf>
    <dxf>
      <numFmt numFmtId="8" formatCode="#,##0.00_);[Red]\(#,##0.00\)"/>
    </dxf>
    <dxf>
      <alignment horizontal="center" vertical="center" wrapText="1"/>
    </dxf>
    <dxf>
      <alignment horizontal="center" vertical="center" wrapText="1"/>
    </dxf>
    <dxf>
      <fill>
        <patternFill patternType="solid">
          <bgColor theme="4" tint="0.79998168889431442"/>
        </patternFill>
      </fill>
    </dxf>
    <dxf>
      <alignment horizontal="center" vertical="center" wrapText="1"/>
    </dxf>
    <dxf>
      <alignment horizontal="center"/>
    </dxf>
    <dxf>
      <alignment horizontal="center"/>
    </dxf>
    <dxf>
      <alignment horizontal="center"/>
    </dxf>
    <dxf>
      <alignment horizontal="center"/>
    </dxf>
    <dxf>
      <numFmt numFmtId="167" formatCode="[$-409]d\-mmm\-yy;@"/>
    </dxf>
    <dxf>
      <alignment horizontal="center"/>
    </dxf>
    <dxf>
      <alignment horizontal="center"/>
    </dxf>
    <dxf>
      <numFmt numFmtId="7" formatCode="#,##0.00_);\(#,##0.00\)"/>
    </dxf>
    <dxf>
      <alignment horizontal="center" vertical="center" wrapText="1"/>
    </dxf>
    <dxf>
      <alignment horizontal="center"/>
    </dxf>
    <dxf>
      <alignment wrapText="1"/>
    </dxf>
    <dxf>
      <alignment vertical="center"/>
    </dxf>
    <dxf>
      <alignment horizontal="center"/>
    </dxf>
    <dxf>
      <numFmt numFmtId="8" formatCode="#,##0.00_);[Red]\(#,##0.00\)"/>
    </dxf>
    <dxf>
      <alignment horizontal="center" vertical="center" wrapText="1"/>
    </dxf>
    <dxf>
      <font>
        <name val="Helvetica Light"/>
      </font>
    </dxf>
    <dxf>
      <font>
        <b/>
      </font>
    </dxf>
    <dxf>
      <fill>
        <patternFill patternType="solid">
          <bgColor theme="4" tint="0.39997558519241921"/>
        </patternFill>
      </fill>
    </dxf>
    <dxf>
      <fill>
        <patternFill patternType="solid">
          <bgColor theme="4" tint="-0.249977111117893"/>
        </patternFill>
      </fill>
    </dxf>
    <dxf>
      <font>
        <color theme="0"/>
      </font>
    </dxf>
    <dxf>
      <alignment vertical="cent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tint="0.79998168889431442"/>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rgb="FF468694"/>
        </patternFill>
      </fill>
    </dxf>
    <dxf>
      <fill>
        <patternFill>
          <bgColor theme="1"/>
        </patternFill>
      </fill>
    </dxf>
    <dxf>
      <font>
        <sz val="10"/>
      </font>
    </dxf>
    <dxf>
      <font>
        <sz val="10"/>
      </font>
    </dxf>
    <dxf>
      <font>
        <sz val="10"/>
      </font>
    </dxf>
    <dxf>
      <font>
        <sz val="10"/>
      </font>
    </dxf>
    <dxf>
      <font>
        <sz val="10"/>
      </font>
    </dxf>
    <dxf>
      <font>
        <sz val="10"/>
      </font>
    </dxf>
    <dxf>
      <font>
        <sz val="10"/>
      </font>
    </dxf>
    <dxf>
      <font>
        <sz val="10"/>
      </font>
    </dxf>
    <dxf>
      <font>
        <sz val="10"/>
      </font>
    </dxf>
    <dxf>
      <alignment horizontal="left"/>
    </dxf>
    <dxf>
      <numFmt numFmtId="8" formatCode="#,##0.00_);[Red]\(#,##0.00\)"/>
    </dxf>
    <dxf>
      <font>
        <sz val="10"/>
        <color theme="0"/>
      </font>
      <fill>
        <patternFill patternType="solid">
          <fgColor indexed="64"/>
          <bgColor rgb="FF468694"/>
        </patternFill>
      </fill>
      <alignment horizontal="center" vertical="center" wrapText="1"/>
    </dxf>
    <dxf>
      <numFmt numFmtId="169" formatCode="0.0000"/>
    </dxf>
    <dxf>
      <alignment horizontal="center"/>
    </dxf>
    <dxf>
      <numFmt numFmtId="169" formatCode="0.0000"/>
    </dxf>
    <dxf>
      <alignment horizontal="center"/>
    </dxf>
    <dxf>
      <font>
        <color auto="1"/>
      </font>
    </dxf>
    <dxf>
      <font>
        <color theme="6" tint="0.79998168889431442"/>
      </font>
    </dxf>
    <dxf>
      <font>
        <color theme="6" tint="0.59999389629810485"/>
      </font>
    </dxf>
    <dxf>
      <font>
        <color theme="6" tint="0.39997558519241921"/>
      </font>
    </dxf>
    <dxf>
      <font>
        <color auto="1"/>
      </font>
    </dxf>
    <dxf>
      <font>
        <color rgb="FF366872"/>
      </font>
    </dxf>
    <dxf>
      <font>
        <color auto="1"/>
      </font>
    </dxf>
    <dxf>
      <font>
        <color rgb="FF468694"/>
      </font>
    </dxf>
    <dxf>
      <font>
        <color rgb="FF468694"/>
      </font>
    </dxf>
    <dxf>
      <font>
        <color rgb="FF468694"/>
      </font>
    </dxf>
    <dxf>
      <numFmt numFmtId="169" formatCode="0.0000"/>
    </dxf>
    <dxf>
      <numFmt numFmtId="8" formatCode="#,##0.00_);[Red]\(#,##0.00\)"/>
    </dxf>
    <dxf>
      <font>
        <sz val="10"/>
        <color theme="0"/>
      </font>
      <fill>
        <patternFill patternType="solid">
          <fgColor indexed="64"/>
          <bgColor rgb="FF468694"/>
        </patternFill>
      </fill>
      <alignment horizontal="center" vertical="center" wrapText="1"/>
    </dxf>
    <dxf>
      <font>
        <color auto="1"/>
      </font>
    </dxf>
    <dxf>
      <font>
        <color auto="1"/>
      </font>
    </dxf>
    <dxf>
      <font>
        <color rgb="FF468694"/>
      </font>
    </dxf>
    <dxf>
      <font>
        <color theme="6" tint="0.39997558519241921"/>
      </font>
    </dxf>
    <dxf>
      <font>
        <color theme="6" tint="0.59999389629810485"/>
      </font>
    </dxf>
    <dxf>
      <font>
        <color theme="6" tint="0.79998168889431442"/>
      </font>
    </dxf>
    <dxf>
      <font>
        <color theme="6" tint="0.79998168889431442"/>
      </font>
      <numFmt numFmtId="176" formatCode="0.0000_);\(0.0000\)"/>
    </dxf>
    <dxf>
      <font>
        <color theme="6" tint="0.79998168889431442"/>
      </font>
    </dxf>
    <dxf>
      <numFmt numFmtId="8" formatCode="#,##0.00_);[Red]\(#,##0.00\)"/>
    </dxf>
    <dxf>
      <font>
        <color theme="6" tint="0.59999389629810485"/>
      </font>
    </dxf>
    <dxf>
      <font>
        <color theme="6" tint="0.59999389629810485"/>
      </font>
    </dxf>
    <dxf>
      <font>
        <color theme="6" tint="0.39997558519241921"/>
      </font>
    </dxf>
    <dxf>
      <font>
        <color theme="6" tint="0.39997558519241921"/>
      </font>
    </dxf>
    <dxf>
      <font>
        <color rgb="FF468694"/>
      </font>
    </dxf>
    <dxf>
      <font>
        <color rgb="FF468694"/>
      </font>
    </dxf>
    <dxf>
      <font>
        <color theme="1"/>
      </font>
    </dxf>
    <dxf>
      <fill>
        <patternFill patternType="solid">
          <bgColor theme="4" tint="0.39997558519241921"/>
        </patternFill>
      </fill>
    </dxf>
    <dxf>
      <font>
        <name val="Helvetica Ligera"/>
        <scheme val="none"/>
      </font>
    </dxf>
    <dxf>
      <fill>
        <patternFill>
          <bgColor theme="8" tint="-0.499984740745262"/>
        </patternFill>
      </fill>
    </dxf>
    <dxf>
      <fill>
        <patternFill>
          <bgColor theme="8" tint="-0.499984740745262"/>
        </patternFill>
      </fill>
    </dxf>
    <dxf>
      <font>
        <color theme="0"/>
      </font>
    </dxf>
    <dxf>
      <font>
        <name val="Helvetica Light"/>
        <scheme val="none"/>
      </font>
    </dxf>
    <dxf>
      <fill>
        <patternFill patternType="solid">
          <bgColor theme="4" tint="0.79998168889431442"/>
        </patternFill>
      </fill>
    </dxf>
    <dxf>
      <numFmt numFmtId="8" formatCode="#,##0.00_);[Red]\(#,##0.00\)"/>
    </dxf>
    <dxf>
      <alignment vertical="center"/>
    </dxf>
    <dxf>
      <alignment horizontal="center"/>
    </dxf>
    <dxf>
      <alignment wrapText="1"/>
    </dxf>
    <dxf>
      <alignment vertical="center"/>
    </dxf>
    <dxf>
      <alignment wrapText="1"/>
    </dxf>
    <dxf>
      <alignment horizontal="center"/>
    </dxf>
    <dxf>
      <numFmt numFmtId="7" formatCode="#,##0.00_);\(#,##0.00\)"/>
    </dxf>
    <dxf>
      <numFmt numFmtId="8" formatCode="#,##0.00_);[Red]\(#,##0.00\)"/>
    </dxf>
    <dxf>
      <alignment horizontal="center" vertical="center" wrapText="1"/>
    </dxf>
    <dxf>
      <alignment horizontal="center"/>
    </dxf>
    <dxf>
      <alignment vertical="center"/>
    </dxf>
    <dxf>
      <alignment wrapText="1"/>
    </dxf>
    <dxf>
      <numFmt numFmtId="8" formatCode="#,##0.00_);[Red]\(#,##0.00\)"/>
    </dxf>
    <dxf>
      <numFmt numFmtId="7" formatCode="#,##0.00_);\(#,##0.00\)"/>
    </dxf>
    <dxf>
      <alignment vertical="center"/>
    </dxf>
    <dxf>
      <alignment wrapText="1"/>
    </dxf>
    <dxf>
      <alignment horizontal="center"/>
    </dxf>
    <dxf>
      <alignment horizontal="center"/>
    </dxf>
    <dxf>
      <alignment vertical="center"/>
    </dxf>
    <dxf>
      <alignment wrapText="1"/>
    </dxf>
    <dxf>
      <numFmt numFmtId="178" formatCode="#,##0.00_);[Red]\(#,##0.00\);_(&quot;-&quot;_);_(@_)"/>
    </dxf>
    <dxf>
      <fill>
        <patternFill patternType="solid">
          <bgColor theme="4" tint="0.59999389629810485"/>
        </patternFill>
      </fill>
    </dxf>
    <dxf>
      <fill>
        <patternFill patternType="solid">
          <bgColor theme="4" tint="0.39997558519241921"/>
        </patternFill>
      </fill>
    </dxf>
    <dxf>
      <font>
        <b/>
      </font>
    </dxf>
    <dxf>
      <font>
        <b/>
      </font>
    </dxf>
    <dxf>
      <alignment wrapText="1"/>
    </dxf>
    <dxf>
      <fill>
        <patternFill patternType="none">
          <bgColor auto="1"/>
        </patternFill>
      </fill>
    </dxf>
    <dxf>
      <font>
        <name val="Segoe UI"/>
        <family val="2"/>
      </font>
    </dxf>
    <dxf>
      <font>
        <name val="Segoe UI"/>
        <family val="2"/>
      </font>
    </dxf>
    <dxf>
      <font>
        <name val="Segoe UI"/>
        <family val="2"/>
      </font>
    </dxf>
    <dxf>
      <font>
        <name val="Segoe UI"/>
        <family val="2"/>
      </font>
    </dxf>
    <dxf>
      <font>
        <name val="Segoe UI"/>
        <family val="2"/>
      </font>
    </dxf>
    <dxf>
      <font>
        <sz val="10"/>
      </font>
    </dxf>
    <dxf>
      <font>
        <sz val="10"/>
      </font>
    </dxf>
    <dxf>
      <fill>
        <patternFill patternType="solid">
          <bgColor rgb="FF468694"/>
        </patternFill>
      </fill>
    </dxf>
    <dxf>
      <fill>
        <patternFill patternType="solid">
          <bgColor rgb="FF468694"/>
        </patternFill>
      </fill>
    </dxf>
    <dxf>
      <font>
        <color theme="0"/>
      </font>
    </dxf>
    <dxf>
      <font>
        <color theme="0"/>
      </font>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fill>
        <patternFill>
          <bgColor theme="1"/>
        </patternFill>
      </fill>
    </dxf>
    <dxf>
      <alignment horizontal="center"/>
    </dxf>
    <dxf>
      <alignment horizontal="center"/>
    </dxf>
    <dxf>
      <font>
        <sz val="10"/>
        <color theme="0"/>
      </font>
      <fill>
        <patternFill patternType="solid">
          <fgColor indexed="64"/>
          <bgColor rgb="FF468694"/>
        </patternFill>
      </fill>
      <alignment horizontal="center" vertical="center" wrapText="1"/>
    </dxf>
    <dxf>
      <numFmt numFmtId="8" formatCode="#,##0.00_);[Red]\(#,##0.00\)"/>
    </dxf>
    <dxf>
      <fill>
        <patternFill>
          <bgColor theme="6" tint="0.79998168889431442"/>
        </patternFill>
      </fill>
    </dxf>
    <dxf>
      <font>
        <name val="Helvetica Ligera"/>
      </font>
    </dxf>
    <dxf>
      <font>
        <name val="Helvetica Ligera"/>
      </font>
    </dxf>
    <dxf>
      <font>
        <name val="Helvetica Ligera"/>
      </font>
    </dxf>
    <dxf>
      <font>
        <name val="Helvetica Ligera"/>
      </font>
    </dxf>
    <dxf>
      <font>
        <name val="Helvetica Ligera"/>
      </font>
    </dxf>
    <dxf>
      <alignment wrapText="1"/>
    </dxf>
    <dxf>
      <alignment wrapText="1"/>
    </dxf>
    <dxf>
      <alignment horizontal="center"/>
    </dxf>
    <dxf>
      <alignment horizontal="center"/>
    </dxf>
    <dxf>
      <alignment vertical="center"/>
    </dxf>
    <dxf>
      <alignment vertical="center"/>
    </dxf>
    <dxf>
      <fill>
        <patternFill patternType="solid">
          <bgColor theme="8" tint="-0.499984740745262"/>
        </patternFill>
      </fill>
    </dxf>
    <dxf>
      <fill>
        <patternFill patternType="solid">
          <bgColor theme="8" tint="-0.499984740745262"/>
        </patternFill>
      </fill>
    </dxf>
    <dxf>
      <font>
        <color theme="0"/>
      </font>
    </dxf>
    <dxf>
      <font>
        <color theme="0"/>
      </font>
    </dxf>
    <dxf>
      <font>
        <color theme="8" tint="-0.499984740745262"/>
      </font>
    </dxf>
    <dxf>
      <font>
        <color theme="8" tint="-0.499984740745262"/>
      </font>
    </dxf>
    <dxf>
      <font>
        <color theme="8" tint="-0.499984740745262"/>
      </font>
    </dxf>
    <dxf>
      <fill>
        <patternFill patternType="solid">
          <bgColor theme="4" tint="0.59999389629810485"/>
        </patternFill>
      </fill>
    </dxf>
    <dxf>
      <alignment horizontal="center"/>
    </dxf>
    <dxf>
      <alignment vertical="center"/>
    </dxf>
    <dxf>
      <alignment vertical="center"/>
    </dxf>
    <dxf>
      <alignment vertical="center"/>
    </dxf>
    <dxf>
      <alignment horizontal="center"/>
    </dxf>
    <dxf>
      <alignment wrapText="1"/>
    </dxf>
    <dxf>
      <alignment wrapText="1"/>
    </dxf>
    <dxf>
      <font>
        <name val="Helvetica Light"/>
      </font>
    </dxf>
    <dxf>
      <font>
        <name val="Helvetica Light"/>
      </font>
    </dxf>
    <dxf>
      <font>
        <name val="Helvetica Light"/>
      </font>
    </dxf>
    <dxf>
      <alignment horizontal="center" vertical="center" wrapText="1"/>
    </dxf>
    <dxf>
      <alignment horizontal="center" vertical="center" wrapText="1"/>
    </dxf>
    <dxf>
      <numFmt numFmtId="179" formatCode="[$-409]dd\-mmm\-yy;@"/>
    </dxf>
    <dxf>
      <alignment horizontal="center"/>
    </dxf>
    <dxf>
      <alignment wrapText="1"/>
    </dxf>
    <dxf>
      <alignment vertical="center"/>
    </dxf>
    <dxf>
      <alignment horizontal="center"/>
    </dxf>
    <dxf>
      <alignment horizontal="center"/>
    </dxf>
    <dxf>
      <alignment wrapText="1"/>
    </dxf>
    <dxf>
      <alignment vertical="center"/>
    </dxf>
    <dxf>
      <alignment horizontal="center"/>
    </dxf>
    <dxf>
      <numFmt numFmtId="7" formatCode="#,##0.00_);\(#,##0.00\)"/>
    </dxf>
    <dxf>
      <numFmt numFmtId="176" formatCode="0.0000_);\(0.0000\)"/>
    </dxf>
    <dxf>
      <numFmt numFmtId="8" formatCode="#,##0.00_);[Red]\(#,##0.00\)"/>
    </dxf>
    <dxf>
      <alignment horizontal="center" vertical="center" wrapText="1"/>
    </dxf>
    <dxf>
      <alignment horizontal="center" vertical="center" wrapText="1"/>
    </dxf>
    <dxf>
      <fill>
        <patternFill patternType="solid">
          <bgColor theme="4" tint="0.79998168889431442"/>
        </patternFill>
      </fill>
    </dxf>
    <dxf>
      <alignment horizontal="center" vertical="center" wrapText="1"/>
    </dxf>
    <dxf>
      <alignment horizontal="center"/>
    </dxf>
    <dxf>
      <alignment horizontal="center"/>
    </dxf>
    <dxf>
      <alignment horizontal="center"/>
    </dxf>
    <dxf>
      <alignment horizontal="center"/>
    </dxf>
    <dxf>
      <numFmt numFmtId="167" formatCode="[$-409]d\-mmm\-yy;@"/>
    </dxf>
    <dxf>
      <alignment horizontal="center"/>
    </dxf>
    <dxf>
      <alignment horizontal="center"/>
    </dxf>
    <dxf>
      <numFmt numFmtId="7" formatCode="#,##0.00_);\(#,##0.00\)"/>
    </dxf>
    <dxf>
      <alignment horizontal="center" vertical="center" wrapText="1"/>
    </dxf>
    <dxf>
      <alignment horizontal="center"/>
    </dxf>
    <dxf>
      <alignment wrapText="1"/>
    </dxf>
    <dxf>
      <alignment vertical="center"/>
    </dxf>
    <dxf>
      <alignment horizontal="center"/>
    </dxf>
    <dxf>
      <numFmt numFmtId="8" formatCode="#,##0.00_);[Red]\(#,##0.00\)"/>
    </dxf>
    <dxf>
      <alignment horizontal="center" vertical="center" wrapText="1"/>
    </dxf>
    <dxf>
      <font>
        <name val="Helvetica Light"/>
      </font>
    </dxf>
    <dxf>
      <font>
        <b/>
      </font>
    </dxf>
    <dxf>
      <fill>
        <patternFill patternType="solid">
          <bgColor theme="4" tint="0.39997558519241921"/>
        </patternFill>
      </fill>
    </dxf>
    <dxf>
      <fill>
        <patternFill patternType="solid">
          <bgColor theme="4" tint="-0.249977111117893"/>
        </patternFill>
      </fill>
    </dxf>
    <dxf>
      <font>
        <color theme="0"/>
      </font>
    </dxf>
    <dxf>
      <alignment vertical="cent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tint="0.79998168889431442"/>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rgb="FF468694"/>
        </patternFill>
      </fill>
    </dxf>
    <dxf>
      <fill>
        <patternFill>
          <bgColor theme="1"/>
        </patternFill>
      </fill>
    </dxf>
    <dxf>
      <font>
        <sz val="10"/>
      </font>
    </dxf>
    <dxf>
      <font>
        <sz val="10"/>
      </font>
    </dxf>
    <dxf>
      <font>
        <sz val="10"/>
      </font>
    </dxf>
    <dxf>
      <font>
        <sz val="10"/>
      </font>
    </dxf>
    <dxf>
      <font>
        <sz val="10"/>
      </font>
    </dxf>
    <dxf>
      <font>
        <sz val="10"/>
      </font>
    </dxf>
    <dxf>
      <font>
        <sz val="10"/>
      </font>
    </dxf>
    <dxf>
      <font>
        <sz val="10"/>
      </font>
    </dxf>
    <dxf>
      <font>
        <sz val="10"/>
      </font>
    </dxf>
    <dxf>
      <alignment horizontal="left"/>
    </dxf>
    <dxf>
      <numFmt numFmtId="8" formatCode="#,##0.00_);[Red]\(#,##0.00\)"/>
    </dxf>
    <dxf>
      <font>
        <sz val="10"/>
        <color theme="0"/>
      </font>
      <fill>
        <patternFill patternType="solid">
          <fgColor indexed="64"/>
          <bgColor rgb="FF468694"/>
        </patternFill>
      </fill>
      <alignment horizontal="center" vertical="center" wrapText="1"/>
    </dxf>
    <dxf>
      <numFmt numFmtId="169" formatCode="0.0000"/>
    </dxf>
    <dxf>
      <alignment horizontal="center"/>
    </dxf>
    <dxf>
      <numFmt numFmtId="169" formatCode="0.0000"/>
    </dxf>
    <dxf>
      <alignment horizontal="center"/>
    </dxf>
    <dxf>
      <font>
        <color auto="1"/>
      </font>
    </dxf>
    <dxf>
      <font>
        <color theme="6" tint="0.79998168889431442"/>
      </font>
    </dxf>
    <dxf>
      <font>
        <color theme="6" tint="0.59999389629810485"/>
      </font>
    </dxf>
    <dxf>
      <font>
        <color theme="6" tint="0.39997558519241921"/>
      </font>
    </dxf>
    <dxf>
      <font>
        <color auto="1"/>
      </font>
    </dxf>
    <dxf>
      <font>
        <color rgb="FF366872"/>
      </font>
    </dxf>
    <dxf>
      <font>
        <color auto="1"/>
      </font>
    </dxf>
    <dxf>
      <font>
        <color rgb="FF468694"/>
      </font>
    </dxf>
    <dxf>
      <font>
        <color rgb="FF468694"/>
      </font>
    </dxf>
    <dxf>
      <font>
        <color rgb="FF468694"/>
      </font>
    </dxf>
    <dxf>
      <numFmt numFmtId="169" formatCode="0.0000"/>
    </dxf>
    <dxf>
      <numFmt numFmtId="8" formatCode="#,##0.00_);[Red]\(#,##0.00\)"/>
    </dxf>
    <dxf>
      <font>
        <sz val="10"/>
        <color theme="0"/>
      </font>
      <fill>
        <patternFill patternType="solid">
          <fgColor indexed="64"/>
          <bgColor rgb="FF468694"/>
        </patternFill>
      </fill>
      <alignment horizontal="center" vertical="center" wrapText="1"/>
    </dxf>
    <dxf>
      <font>
        <color auto="1"/>
      </font>
    </dxf>
    <dxf>
      <font>
        <color auto="1"/>
      </font>
    </dxf>
    <dxf>
      <font>
        <color rgb="FF468694"/>
      </font>
    </dxf>
    <dxf>
      <font>
        <color theme="6" tint="0.39997558519241921"/>
      </font>
    </dxf>
    <dxf>
      <font>
        <color theme="6" tint="0.59999389629810485"/>
      </font>
    </dxf>
    <dxf>
      <font>
        <color theme="6" tint="0.79998168889431442"/>
      </font>
    </dxf>
    <dxf>
      <font>
        <color theme="6" tint="0.79998168889431442"/>
      </font>
      <numFmt numFmtId="176" formatCode="0.0000_);\(0.0000\)"/>
    </dxf>
    <dxf>
      <font>
        <color theme="6" tint="0.79998168889431442"/>
      </font>
    </dxf>
    <dxf>
      <numFmt numFmtId="8" formatCode="#,##0.00_);[Red]\(#,##0.00\)"/>
    </dxf>
    <dxf>
      <font>
        <color theme="6" tint="0.59999389629810485"/>
      </font>
    </dxf>
    <dxf>
      <font>
        <color theme="6" tint="0.59999389629810485"/>
      </font>
    </dxf>
    <dxf>
      <font>
        <color theme="6" tint="0.39997558519241921"/>
      </font>
    </dxf>
    <dxf>
      <font>
        <color theme="6" tint="0.39997558519241921"/>
      </font>
    </dxf>
    <dxf>
      <font>
        <color rgb="FF468694"/>
      </font>
    </dxf>
    <dxf>
      <font>
        <color rgb="FF468694"/>
      </font>
    </dxf>
    <dxf>
      <font>
        <color theme="1"/>
      </font>
    </dxf>
    <dxf>
      <fill>
        <patternFill patternType="solid">
          <bgColor theme="4" tint="0.39997558519241921"/>
        </patternFill>
      </fill>
    </dxf>
    <dxf>
      <font>
        <name val="Helvetica Ligera"/>
        <scheme val="none"/>
      </font>
    </dxf>
    <dxf>
      <fill>
        <patternFill>
          <bgColor theme="8" tint="-0.499984740745262"/>
        </patternFill>
      </fill>
    </dxf>
    <dxf>
      <fill>
        <patternFill>
          <bgColor theme="8" tint="-0.499984740745262"/>
        </patternFill>
      </fill>
    </dxf>
    <dxf>
      <font>
        <color theme="0"/>
      </font>
    </dxf>
    <dxf>
      <font>
        <name val="Helvetica Light"/>
        <scheme val="none"/>
      </font>
    </dxf>
    <dxf>
      <fill>
        <patternFill patternType="solid">
          <bgColor theme="4" tint="0.79998168889431442"/>
        </patternFill>
      </fill>
    </dxf>
    <dxf>
      <numFmt numFmtId="8" formatCode="#,##0.00_);[Red]\(#,##0.00\)"/>
    </dxf>
    <dxf>
      <alignment vertical="center"/>
    </dxf>
    <dxf>
      <alignment horizontal="center"/>
    </dxf>
    <dxf>
      <alignment wrapText="1"/>
    </dxf>
    <dxf>
      <alignment vertical="center"/>
    </dxf>
    <dxf>
      <alignment wrapText="1"/>
    </dxf>
    <dxf>
      <alignment horizontal="center"/>
    </dxf>
    <dxf>
      <numFmt numFmtId="7" formatCode="#,##0.00_);\(#,##0.00\)"/>
    </dxf>
    <dxf>
      <numFmt numFmtId="8" formatCode="#,##0.00_);[Red]\(#,##0.00\)"/>
    </dxf>
    <dxf>
      <alignment horizontal="center" vertical="center" wrapText="1"/>
    </dxf>
    <dxf>
      <alignment horizontal="center"/>
    </dxf>
    <dxf>
      <alignment vertical="center"/>
    </dxf>
    <dxf>
      <alignment wrapText="1"/>
    </dxf>
    <dxf>
      <numFmt numFmtId="8" formatCode="#,##0.00_);[Red]\(#,##0.00\)"/>
    </dxf>
    <dxf>
      <numFmt numFmtId="7" formatCode="#,##0.00_);\(#,##0.00\)"/>
    </dxf>
    <dxf>
      <alignment vertical="center"/>
    </dxf>
    <dxf>
      <alignment wrapText="1"/>
    </dxf>
    <dxf>
      <alignment horizontal="center"/>
    </dxf>
    <dxf>
      <alignment horizontal="center"/>
    </dxf>
    <dxf>
      <alignment vertical="center"/>
    </dxf>
    <dxf>
      <alignment wrapText="1"/>
    </dxf>
    <dxf>
      <numFmt numFmtId="178" formatCode="#,##0.00_);[Red]\(#,##0.00\);_(&quot;-&quot;_);_(@_)"/>
    </dxf>
    <dxf>
      <fill>
        <patternFill patternType="solid">
          <bgColor theme="4" tint="0.59999389629810485"/>
        </patternFill>
      </fill>
    </dxf>
    <dxf>
      <fill>
        <patternFill patternType="solid">
          <bgColor theme="4" tint="0.39997558519241921"/>
        </patternFill>
      </fill>
    </dxf>
    <dxf>
      <font>
        <b/>
      </font>
    </dxf>
    <dxf>
      <font>
        <b/>
      </font>
    </dxf>
    <dxf>
      <alignment wrapText="1"/>
    </dxf>
    <dxf>
      <fill>
        <patternFill patternType="none">
          <bgColor auto="1"/>
        </patternFill>
      </fill>
    </dxf>
    <dxf>
      <font>
        <name val="Segoe UI"/>
        <family val="2"/>
      </font>
    </dxf>
    <dxf>
      <font>
        <name val="Segoe UI"/>
        <family val="2"/>
      </font>
    </dxf>
    <dxf>
      <font>
        <name val="Segoe UI"/>
        <family val="2"/>
      </font>
    </dxf>
    <dxf>
      <font>
        <name val="Segoe UI"/>
        <family val="2"/>
      </font>
    </dxf>
    <dxf>
      <font>
        <name val="Segoe UI"/>
        <family val="2"/>
      </font>
    </dxf>
    <dxf>
      <font>
        <sz val="10"/>
      </font>
    </dxf>
    <dxf>
      <font>
        <sz val="10"/>
      </font>
    </dxf>
    <dxf>
      <fill>
        <patternFill patternType="solid">
          <bgColor rgb="FF468694"/>
        </patternFill>
      </fill>
    </dxf>
    <dxf>
      <fill>
        <patternFill patternType="solid">
          <bgColor rgb="FF468694"/>
        </patternFill>
      </fill>
    </dxf>
    <dxf>
      <font>
        <color theme="0"/>
      </font>
    </dxf>
    <dxf>
      <font>
        <color theme="0"/>
      </font>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fill>
        <patternFill>
          <bgColor theme="1"/>
        </patternFill>
      </fill>
    </dxf>
    <dxf>
      <alignment horizontal="center"/>
    </dxf>
    <dxf>
      <alignment horizontal="center"/>
    </dxf>
    <dxf>
      <font>
        <sz val="10"/>
        <color theme="0"/>
      </font>
      <fill>
        <patternFill patternType="solid">
          <fgColor indexed="64"/>
          <bgColor rgb="FF468694"/>
        </patternFill>
      </fill>
      <alignment horizontal="center" vertical="center" wrapText="1"/>
    </dxf>
    <dxf>
      <numFmt numFmtId="8" formatCode="#,##0.00_);[Red]\(#,##0.00\)"/>
    </dxf>
    <dxf>
      <fill>
        <patternFill>
          <bgColor theme="6" tint="0.79998168889431442"/>
        </patternFill>
      </fill>
    </dxf>
    <dxf>
      <numFmt numFmtId="167" formatCode="[$-409]d\-mmm\-yy;@"/>
    </dxf>
    <dxf>
      <alignment horizontal="center"/>
    </dxf>
    <dxf>
      <numFmt numFmtId="179" formatCode="[$-409]dd\-mmm\-yy;@"/>
    </dxf>
    <dxf>
      <alignment horizontal="center"/>
    </dxf>
    <dxf>
      <alignment horizontal="center"/>
    </dxf>
    <dxf>
      <numFmt numFmtId="8" formatCode="#,##0.00_);[Red]\(#,##0.00\)"/>
    </dxf>
    <dxf>
      <numFmt numFmtId="8" formatCode="#,##0.00_);[Red]\(#,##0.00\)"/>
    </dxf>
    <dxf>
      <alignment horizontal="center"/>
    </dxf>
    <dxf>
      <alignment horizontal="center"/>
    </dxf>
    <dxf>
      <numFmt numFmtId="8" formatCode="#,##0.00_);[Red]\(#,##0.00\)"/>
    </dxf>
    <dxf>
      <font>
        <b/>
      </font>
    </dxf>
    <dxf>
      <alignment horizontal="center"/>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alignment wrapText="1"/>
    </dxf>
    <dxf>
      <alignment vertical="center"/>
    </dxf>
    <dxf>
      <alignment horizontal="center"/>
    </dxf>
    <dxf>
      <alignment wrapText="1"/>
    </dxf>
    <dxf>
      <alignment vertical="center"/>
    </dxf>
    <dxf>
      <alignment horizontal="center"/>
    </dxf>
    <dxf>
      <alignment horizontal="center" vertical="center" wrapText="1"/>
    </dxf>
    <dxf>
      <alignment vertical="center"/>
    </dxf>
    <dxf>
      <alignment horizontal="center"/>
    </dxf>
    <dxf>
      <alignment wrapText="1"/>
    </dxf>
    <dxf>
      <alignment vertical="center"/>
    </dxf>
    <dxf>
      <alignment horizontal="center"/>
    </dxf>
    <dxf>
      <alignment wrapText="1"/>
    </dxf>
    <dxf>
      <alignment horizontal="center" vertical="center" wrapText="1"/>
    </dxf>
    <dxf>
      <alignment vertical="center"/>
    </dxf>
    <dxf>
      <alignment horizontal="center"/>
    </dxf>
    <dxf>
      <alignment wrapText="1"/>
    </dxf>
    <dxf>
      <alignment wrapText="1"/>
    </dxf>
    <dxf>
      <alignment vertical="center"/>
    </dxf>
    <dxf>
      <alignment horizontal="center"/>
    </dxf>
    <dxf>
      <alignment horizontal="center"/>
    </dxf>
    <dxf>
      <alignment vertical="center"/>
    </dxf>
    <dxf>
      <alignment wrapText="1"/>
    </dxf>
    <dxf>
      <alignment vertical="center"/>
    </dxf>
    <dxf>
      <alignment horizontal="center"/>
    </dxf>
    <dxf>
      <alignment wrapText="1"/>
    </dxf>
    <dxf>
      <alignment vertical="center"/>
    </dxf>
    <dxf>
      <alignment horizontal="center"/>
    </dxf>
    <dxf>
      <alignment wrapText="1"/>
    </dxf>
    <dxf>
      <alignment vertical="center"/>
    </dxf>
    <dxf>
      <alignment wrapText="1"/>
    </dxf>
    <dxf>
      <numFmt numFmtId="180" formatCode="0.0000;[Red]0.0000"/>
    </dxf>
    <dxf>
      <alignment horizontal="center"/>
    </dxf>
    <dxf>
      <alignment horizontal="center"/>
    </dxf>
    <dxf>
      <alignment vertical="center"/>
    </dxf>
    <dxf>
      <alignment wrapText="1"/>
    </dxf>
    <dxf>
      <alignment horizontal="center"/>
    </dxf>
    <dxf>
      <alignment horizontal="center"/>
    </dxf>
    <dxf>
      <numFmt numFmtId="8" formatCode="#,##0.00_);[Red]\(#,##0.00\)"/>
    </dxf>
    <dxf>
      <alignment vertical="center"/>
    </dxf>
    <dxf>
      <alignment wrapText="1"/>
    </dxf>
    <dxf>
      <numFmt numFmtId="169" formatCode="0.0000"/>
    </dxf>
    <dxf>
      <alignment wrapText="1"/>
    </dxf>
    <dxf>
      <alignment horizontal="center"/>
    </dxf>
    <dxf>
      <alignment horizontal="center"/>
    </dxf>
    <dxf>
      <alignment vertical="bottom"/>
    </dxf>
    <dxf>
      <alignment vertical="center"/>
    </dxf>
    <dxf>
      <numFmt numFmtId="169" formatCode="0.0000"/>
    </dxf>
    <dxf>
      <alignment vertical="center"/>
    </dxf>
    <dxf>
      <alignment wrapText="1"/>
    </dxf>
    <dxf>
      <alignment horizontal="center"/>
    </dxf>
    <dxf>
      <alignment horizontal="center"/>
    </dxf>
    <dxf>
      <numFmt numFmtId="181" formatCode="0.0000_);[Red]\(0.0000\)"/>
    </dxf>
    <dxf>
      <alignment horizontal="center"/>
    </dxf>
    <dxf>
      <alignment horizontal="center"/>
    </dxf>
    <dxf>
      <alignment vertical="center"/>
    </dxf>
    <dxf>
      <alignment wrapText="1"/>
    </dxf>
    <dxf>
      <alignment vertical="center"/>
    </dxf>
    <dxf>
      <alignment wrapText="1"/>
    </dxf>
    <dxf>
      <numFmt numFmtId="8" formatCode="#,##0.00_);[Red]\(#,##0.00\)"/>
    </dxf>
    <dxf>
      <alignment vertical="center"/>
    </dxf>
    <dxf>
      <alignment wrapText="1"/>
    </dxf>
    <dxf>
      <numFmt numFmtId="178" formatCode="#,##0.00_);[Red]\(#,##0.00\);_(&quot;-&quot;_);_(@_)"/>
    </dxf>
    <dxf>
      <alignment vertical="center"/>
    </dxf>
    <dxf>
      <alignment horizontal="center"/>
    </dxf>
    <dxf>
      <alignment wrapText="1"/>
    </dxf>
    <dxf>
      <numFmt numFmtId="178" formatCode="#,##0.00_);[Red]\(#,##0.00\);_(&quot;-&quot;_);_(@_)"/>
    </dxf>
    <dxf>
      <alignment vertical="center"/>
    </dxf>
    <dxf>
      <alignment wrapText="1"/>
    </dxf>
    <dxf>
      <alignment horizontal="center"/>
    </dxf>
    <dxf>
      <alignment horizontal="center"/>
    </dxf>
    <dxf>
      <numFmt numFmtId="178" formatCode="#,##0.00_);[Red]\(#,##0.00\);_(&quot;-&quot;_);_(@_)"/>
    </dxf>
    <dxf>
      <alignment vertical="center"/>
    </dxf>
    <dxf>
      <alignment horizontal="center"/>
    </dxf>
    <dxf>
      <alignment wrapText="1"/>
    </dxf>
    <dxf>
      <numFmt numFmtId="178" formatCode="#,##0.00_);[Red]\(#,##0.00\);_(&quot;-&quot;_);_(@_)"/>
    </dxf>
    <dxf>
      <numFmt numFmtId="169" formatCode="0.0000"/>
    </dxf>
    <dxf>
      <alignment vertical="center"/>
    </dxf>
    <dxf>
      <alignment horizontal="center"/>
    </dxf>
    <dxf>
      <alignment wrapText="1"/>
    </dxf>
    <dxf>
      <fill>
        <patternFill patternType="solid">
          <bgColor theme="4" tint="0.79998168889431442"/>
        </patternFill>
      </fill>
    </dxf>
    <dxf>
      <fill>
        <patternFill patternType="solid">
          <bgColor theme="4" tint="0.59999389629810485"/>
        </patternFill>
      </fill>
    </dxf>
    <dxf>
      <fill>
        <patternFill patternType="solid">
          <bgColor theme="4" tint="0.39997558519241921"/>
        </patternFill>
      </fill>
    </dxf>
    <dxf>
      <fill>
        <patternFill patternType="solid">
          <bgColor theme="4" tint="-0.249977111117893"/>
        </patternFill>
      </fill>
    </dxf>
    <dxf>
      <alignment vertical="center"/>
    </dxf>
    <dxf>
      <font>
        <color theme="0"/>
      </font>
    </dxf>
    <dxf>
      <fill>
        <patternFill patternType="solid">
          <bgColor theme="4" tint="-0.499984740745262"/>
        </patternFill>
      </fill>
    </dxf>
    <dxf>
      <alignment vertical="center"/>
    </dxf>
    <dxf>
      <font>
        <color theme="0"/>
      </font>
    </dxf>
    <dxf>
      <alignment horizontal="cent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tint="0.79998168889431442"/>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rgb="FF468694"/>
        </patternFill>
      </fill>
    </dxf>
    <dxf>
      <fill>
        <patternFill>
          <bgColor theme="1"/>
        </patternFill>
      </fill>
    </dxf>
    <dxf>
      <alignment horizontal="general"/>
    </dxf>
    <dxf>
      <alignment horizontal="general"/>
    </dxf>
    <dxf>
      <alignment horizontal="general"/>
    </dxf>
    <dxf>
      <alignment horizontal="general"/>
    </dxf>
    <dxf>
      <alignment horizontal="general"/>
    </dxf>
    <dxf>
      <alignment horizontal="center"/>
    </dxf>
    <dxf>
      <numFmt numFmtId="169" formatCode="0.0000"/>
    </dxf>
    <dxf>
      <font>
        <color rgb="FF468694"/>
      </font>
    </dxf>
    <dxf>
      <font>
        <color rgb="FF468694"/>
      </font>
    </dxf>
    <dxf>
      <font>
        <color rgb="FF468694"/>
      </font>
    </dxf>
    <dxf>
      <font>
        <color rgb="FF468694"/>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rgb="FF468694"/>
      </font>
    </dxf>
    <dxf>
      <font>
        <color rgb="FF468694"/>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1"/>
      </font>
    </dxf>
    <dxf>
      <font>
        <color theme="1"/>
      </font>
    </dxf>
    <dxf>
      <font>
        <color theme="1"/>
      </font>
    </dxf>
    <dxf>
      <font>
        <color theme="1"/>
      </font>
    </dxf>
    <dxf>
      <font>
        <color theme="1"/>
      </font>
    </dxf>
    <dxf>
      <font>
        <sz val="10"/>
        <color theme="0"/>
      </font>
      <fill>
        <patternFill patternType="solid">
          <fgColor indexed="64"/>
          <bgColor rgb="FF468694"/>
        </patternFill>
      </fill>
      <alignment horizontal="center" vertical="center" wrapText="1"/>
    </dxf>
    <dxf>
      <font>
        <color theme="0"/>
      </font>
    </dxf>
    <dxf>
      <font>
        <b val="0"/>
      </font>
    </dxf>
    <dxf>
      <font>
        <b/>
      </font>
    </dxf>
    <dxf>
      <font>
        <b/>
      </font>
    </dxf>
    <dxf>
      <font>
        <b/>
      </font>
    </dxf>
    <dxf>
      <font>
        <b/>
      </font>
    </dxf>
    <dxf>
      <font>
        <color theme="0"/>
      </font>
    </dxf>
    <dxf>
      <alignment horizontal="left"/>
    </dxf>
    <dxf>
      <alignment horizontal="center"/>
    </dxf>
    <dxf>
      <font>
        <color theme="6" tint="0.79998168889431442"/>
      </font>
    </dxf>
    <dxf>
      <font>
        <color theme="6" tint="0.79998168889431442"/>
      </font>
    </dxf>
    <dxf>
      <font>
        <color theme="6" tint="0.59999389629810485"/>
      </font>
    </dxf>
    <dxf>
      <font>
        <color theme="6" tint="0.59999389629810485"/>
      </font>
    </dxf>
    <dxf>
      <font>
        <color theme="6" tint="0.59999389629810485"/>
      </font>
    </dxf>
    <dxf>
      <font>
        <color theme="6" tint="0.39997558519241921"/>
      </font>
    </dxf>
    <dxf>
      <font>
        <color theme="6" tint="0.39997558519241921"/>
      </font>
    </dxf>
    <dxf>
      <font>
        <color theme="6" tint="0.39997558519241921"/>
      </font>
    </dxf>
    <dxf>
      <font>
        <color rgb="FF468694"/>
      </font>
    </dxf>
    <dxf>
      <font>
        <color rgb="FF468694"/>
      </font>
    </dxf>
    <dxf>
      <font>
        <color rgb="FF468694"/>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center"/>
    </dxf>
    <dxf>
      <alignment horizontal="right"/>
    </dxf>
    <dxf>
      <alignment horizontal="center"/>
    </dxf>
    <dxf>
      <font>
        <name val="Helvetica Ligera"/>
      </font>
    </dxf>
    <dxf>
      <font>
        <name val="Helvetica Ligera"/>
      </font>
    </dxf>
    <dxf>
      <font>
        <name val="Helvetica Ligera"/>
      </font>
    </dxf>
    <dxf>
      <font>
        <name val="Helvetica Ligera"/>
      </font>
    </dxf>
    <dxf>
      <font>
        <name val="Helvetica Ligera"/>
      </font>
    </dxf>
    <dxf>
      <alignment wrapText="1"/>
    </dxf>
    <dxf>
      <alignment wrapText="1"/>
    </dxf>
    <dxf>
      <alignment horizontal="center"/>
    </dxf>
    <dxf>
      <alignment horizontal="center"/>
    </dxf>
    <dxf>
      <alignment vertical="center"/>
    </dxf>
    <dxf>
      <alignment vertical="center"/>
    </dxf>
    <dxf>
      <fill>
        <patternFill patternType="solid">
          <bgColor theme="8" tint="-0.499984740745262"/>
        </patternFill>
      </fill>
    </dxf>
    <dxf>
      <fill>
        <patternFill patternType="solid">
          <bgColor theme="8" tint="-0.499984740745262"/>
        </patternFill>
      </fill>
    </dxf>
    <dxf>
      <font>
        <color theme="0"/>
      </font>
    </dxf>
    <dxf>
      <font>
        <color theme="0"/>
      </font>
    </dxf>
    <dxf>
      <font>
        <color theme="8" tint="-0.499984740745262"/>
      </font>
    </dxf>
    <dxf>
      <font>
        <color theme="8" tint="-0.499984740745262"/>
      </font>
    </dxf>
    <dxf>
      <font>
        <color theme="8" tint="-0.499984740745262"/>
      </font>
    </dxf>
    <dxf>
      <fill>
        <patternFill patternType="solid">
          <bgColor theme="4" tint="0.59999389629810485"/>
        </patternFill>
      </fill>
    </dxf>
    <dxf>
      <alignment horizontal="center"/>
    </dxf>
    <dxf>
      <alignment vertical="center"/>
    </dxf>
    <dxf>
      <alignment vertical="center"/>
    </dxf>
    <dxf>
      <alignment vertical="center"/>
    </dxf>
    <dxf>
      <alignment horizontal="center"/>
    </dxf>
    <dxf>
      <alignment wrapText="1"/>
    </dxf>
    <dxf>
      <alignment wrapText="1"/>
    </dxf>
    <dxf>
      <font>
        <name val="Helvetica Light"/>
      </font>
    </dxf>
    <dxf>
      <font>
        <name val="Helvetica Light"/>
      </font>
    </dxf>
    <dxf>
      <font>
        <name val="Helvetica Light"/>
      </font>
    </dxf>
    <dxf>
      <alignment horizontal="center" vertical="center" wrapText="1"/>
    </dxf>
    <dxf>
      <alignment horizontal="center" vertical="center" wrapText="1"/>
    </dxf>
    <dxf>
      <numFmt numFmtId="179" formatCode="[$-409]dd\-mmm\-yy;@"/>
    </dxf>
    <dxf>
      <alignment horizontal="center"/>
    </dxf>
    <dxf>
      <alignment wrapText="1"/>
    </dxf>
    <dxf>
      <alignment vertical="center"/>
    </dxf>
    <dxf>
      <alignment horizontal="center"/>
    </dxf>
    <dxf>
      <alignment horizontal="center"/>
    </dxf>
    <dxf>
      <alignment wrapText="1"/>
    </dxf>
    <dxf>
      <alignment vertical="center"/>
    </dxf>
    <dxf>
      <alignment horizontal="center"/>
    </dxf>
    <dxf>
      <numFmt numFmtId="7" formatCode="#,##0.00_);\(#,##0.00\)"/>
    </dxf>
    <dxf>
      <numFmt numFmtId="176" formatCode="0.0000_);\(0.0000\)"/>
    </dxf>
    <dxf>
      <numFmt numFmtId="8" formatCode="#,##0.00_);[Red]\(#,##0.00\)"/>
    </dxf>
    <dxf>
      <alignment horizontal="center" vertical="center" wrapText="1"/>
    </dxf>
    <dxf>
      <alignment horizontal="center" vertical="center" wrapText="1"/>
    </dxf>
    <dxf>
      <fill>
        <patternFill patternType="solid">
          <bgColor theme="4" tint="0.79998168889431442"/>
        </patternFill>
      </fill>
    </dxf>
    <dxf>
      <alignment horizontal="center" vertical="center" wrapText="1"/>
    </dxf>
    <dxf>
      <alignment horizontal="center"/>
    </dxf>
    <dxf>
      <alignment horizontal="center"/>
    </dxf>
    <dxf>
      <alignment horizontal="center"/>
    </dxf>
    <dxf>
      <alignment horizontal="center"/>
    </dxf>
    <dxf>
      <numFmt numFmtId="167" formatCode="[$-409]d\-mmm\-yy;@"/>
    </dxf>
    <dxf>
      <alignment horizontal="center"/>
    </dxf>
    <dxf>
      <alignment horizontal="center"/>
    </dxf>
    <dxf>
      <numFmt numFmtId="7" formatCode="#,##0.00_);\(#,##0.00\)"/>
    </dxf>
    <dxf>
      <alignment horizontal="center" vertical="center" wrapText="1"/>
    </dxf>
    <dxf>
      <alignment horizontal="center"/>
    </dxf>
    <dxf>
      <alignment wrapText="1"/>
    </dxf>
    <dxf>
      <alignment vertical="center"/>
    </dxf>
    <dxf>
      <alignment horizontal="center"/>
    </dxf>
    <dxf>
      <numFmt numFmtId="8" formatCode="#,##0.00_);[Red]\(#,##0.00\)"/>
    </dxf>
    <dxf>
      <alignment horizontal="center" vertical="center" wrapText="1"/>
    </dxf>
    <dxf>
      <font>
        <name val="Helvetica Light"/>
      </font>
    </dxf>
    <dxf>
      <font>
        <b/>
      </font>
    </dxf>
    <dxf>
      <fill>
        <patternFill patternType="solid">
          <bgColor theme="4" tint="0.39997558519241921"/>
        </patternFill>
      </fill>
    </dxf>
    <dxf>
      <fill>
        <patternFill patternType="solid">
          <bgColor theme="4" tint="-0.249977111117893"/>
        </patternFill>
      </fill>
    </dxf>
    <dxf>
      <font>
        <color theme="0"/>
      </font>
    </dxf>
    <dxf>
      <alignment vertical="cent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tint="0.79998168889431442"/>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rgb="FF468694"/>
        </patternFill>
      </fill>
    </dxf>
    <dxf>
      <fill>
        <patternFill>
          <bgColor theme="1"/>
        </patternFill>
      </fill>
    </dxf>
    <dxf>
      <font>
        <sz val="10"/>
      </font>
    </dxf>
    <dxf>
      <font>
        <sz val="10"/>
      </font>
    </dxf>
    <dxf>
      <font>
        <sz val="10"/>
      </font>
    </dxf>
    <dxf>
      <font>
        <sz val="10"/>
      </font>
    </dxf>
    <dxf>
      <font>
        <sz val="10"/>
      </font>
    </dxf>
    <dxf>
      <font>
        <sz val="10"/>
      </font>
    </dxf>
    <dxf>
      <font>
        <sz val="10"/>
      </font>
    </dxf>
    <dxf>
      <font>
        <sz val="10"/>
      </font>
    </dxf>
    <dxf>
      <font>
        <sz val="10"/>
      </font>
    </dxf>
    <dxf>
      <alignment horizontal="left"/>
    </dxf>
    <dxf>
      <numFmt numFmtId="8" formatCode="#,##0.00_);[Red]\(#,##0.00\)"/>
    </dxf>
    <dxf>
      <font>
        <sz val="10"/>
        <color theme="0"/>
      </font>
      <fill>
        <patternFill patternType="solid">
          <fgColor indexed="64"/>
          <bgColor rgb="FF468694"/>
        </patternFill>
      </fill>
      <alignment horizontal="center" vertical="center" wrapText="1"/>
    </dxf>
    <dxf>
      <numFmt numFmtId="169" formatCode="0.0000"/>
    </dxf>
    <dxf>
      <alignment horizontal="center"/>
    </dxf>
    <dxf>
      <numFmt numFmtId="169" formatCode="0.0000"/>
    </dxf>
    <dxf>
      <alignment horizontal="center"/>
    </dxf>
    <dxf>
      <font>
        <color auto="1"/>
      </font>
    </dxf>
    <dxf>
      <font>
        <color theme="6" tint="0.79998168889431442"/>
      </font>
    </dxf>
    <dxf>
      <font>
        <color theme="6" tint="0.59999389629810485"/>
      </font>
    </dxf>
    <dxf>
      <font>
        <color theme="6" tint="0.39997558519241921"/>
      </font>
    </dxf>
    <dxf>
      <font>
        <color auto="1"/>
      </font>
    </dxf>
    <dxf>
      <font>
        <color rgb="FF366872"/>
      </font>
    </dxf>
    <dxf>
      <font>
        <color auto="1"/>
      </font>
    </dxf>
    <dxf>
      <font>
        <color rgb="FF468694"/>
      </font>
    </dxf>
    <dxf>
      <font>
        <color rgb="FF468694"/>
      </font>
    </dxf>
    <dxf>
      <font>
        <color rgb="FF468694"/>
      </font>
    </dxf>
    <dxf>
      <numFmt numFmtId="169" formatCode="0.0000"/>
    </dxf>
    <dxf>
      <numFmt numFmtId="8" formatCode="#,##0.00_);[Red]\(#,##0.00\)"/>
    </dxf>
    <dxf>
      <font>
        <sz val="10"/>
        <color theme="0"/>
      </font>
      <fill>
        <patternFill patternType="solid">
          <fgColor indexed="64"/>
          <bgColor rgb="FF468694"/>
        </patternFill>
      </fill>
      <alignment horizontal="center" vertical="center" wrapText="1"/>
    </dxf>
    <dxf>
      <font>
        <color auto="1"/>
      </font>
    </dxf>
    <dxf>
      <font>
        <color auto="1"/>
      </font>
    </dxf>
    <dxf>
      <font>
        <color rgb="FF468694"/>
      </font>
    </dxf>
    <dxf>
      <font>
        <color theme="6" tint="0.39997558519241921"/>
      </font>
    </dxf>
    <dxf>
      <font>
        <color theme="6" tint="0.59999389629810485"/>
      </font>
    </dxf>
    <dxf>
      <font>
        <color theme="6" tint="0.79998168889431442"/>
      </font>
    </dxf>
    <dxf>
      <font>
        <color theme="6" tint="0.79998168889431442"/>
      </font>
      <numFmt numFmtId="176" formatCode="0.0000_);\(0.0000\)"/>
    </dxf>
    <dxf>
      <font>
        <color theme="6" tint="0.79998168889431442"/>
      </font>
    </dxf>
    <dxf>
      <numFmt numFmtId="8" formatCode="#,##0.00_);[Red]\(#,##0.00\)"/>
    </dxf>
    <dxf>
      <font>
        <color theme="6" tint="0.59999389629810485"/>
      </font>
    </dxf>
    <dxf>
      <font>
        <color theme="6" tint="0.59999389629810485"/>
      </font>
    </dxf>
    <dxf>
      <font>
        <color theme="6" tint="0.39997558519241921"/>
      </font>
    </dxf>
    <dxf>
      <font>
        <color theme="6" tint="0.39997558519241921"/>
      </font>
    </dxf>
    <dxf>
      <font>
        <color rgb="FF468694"/>
      </font>
    </dxf>
    <dxf>
      <font>
        <color rgb="FF468694"/>
      </font>
    </dxf>
    <dxf>
      <font>
        <color theme="1"/>
      </font>
    </dxf>
    <dxf>
      <numFmt numFmtId="8" formatCode="#,##0.00_);[Red]\(#,##0.00\)"/>
    </dxf>
    <dxf>
      <numFmt numFmtId="8" formatCode="#,##0.00_);[Red]\(#,##0.00\)"/>
    </dxf>
    <dxf>
      <alignment horizontal="center"/>
    </dxf>
    <dxf>
      <alignment horizontal="center"/>
    </dxf>
    <dxf>
      <numFmt numFmtId="8" formatCode="#,##0.00_);[Red]\(#,##0.00\)"/>
    </dxf>
    <dxf>
      <font>
        <b/>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alignment wrapText="1"/>
    </dxf>
    <dxf>
      <alignment vertical="center"/>
    </dxf>
    <dxf>
      <alignment horizontal="center"/>
    </dxf>
    <dxf>
      <alignment wrapText="1"/>
    </dxf>
    <dxf>
      <alignment vertical="center"/>
    </dxf>
    <dxf>
      <alignment horizontal="center"/>
    </dxf>
    <dxf>
      <alignment horizontal="center" vertical="center" wrapText="1"/>
    </dxf>
    <dxf>
      <alignment vertical="center"/>
    </dxf>
    <dxf>
      <alignment horizontal="center"/>
    </dxf>
    <dxf>
      <alignment wrapText="1"/>
    </dxf>
    <dxf>
      <alignment vertical="center"/>
    </dxf>
    <dxf>
      <alignment horizontal="center"/>
    </dxf>
    <dxf>
      <alignment wrapText="1"/>
    </dxf>
    <dxf>
      <alignment horizontal="center" vertical="center" wrapText="1"/>
    </dxf>
    <dxf>
      <alignment vertical="center"/>
    </dxf>
    <dxf>
      <alignment horizontal="center"/>
    </dxf>
    <dxf>
      <alignment wrapText="1"/>
    </dxf>
    <dxf>
      <alignment wrapText="1"/>
    </dxf>
    <dxf>
      <alignment vertical="center"/>
    </dxf>
    <dxf>
      <alignment horizontal="center"/>
    </dxf>
    <dxf>
      <alignment horizontal="center"/>
    </dxf>
    <dxf>
      <alignment vertical="center"/>
    </dxf>
    <dxf>
      <alignment wrapText="1"/>
    </dxf>
    <dxf>
      <alignment vertical="center"/>
    </dxf>
    <dxf>
      <alignment horizontal="center"/>
    </dxf>
    <dxf>
      <alignment wrapText="1"/>
    </dxf>
    <dxf>
      <alignment vertical="center"/>
    </dxf>
    <dxf>
      <alignment wrapText="1"/>
    </dxf>
    <dxf>
      <alignment vertical="center"/>
    </dxf>
    <dxf>
      <alignment wrapText="1"/>
    </dxf>
    <dxf>
      <numFmt numFmtId="8" formatCode="#,##0.00_);[Red]\(#,##0.00\)"/>
    </dxf>
    <dxf>
      <alignment vertical="center"/>
    </dxf>
    <dxf>
      <alignment wrapText="1"/>
    </dxf>
    <dxf>
      <numFmt numFmtId="178" formatCode="#,##0.00_);[Red]\(#,##0.00\);_(&quot;-&quot;_);_(@_)"/>
    </dxf>
    <dxf>
      <numFmt numFmtId="178" formatCode="#,##0.00_);[Red]\(#,##0.00\);_(&quot;-&quot;_);_(@_)"/>
    </dxf>
    <dxf>
      <alignment wrapText="1"/>
    </dxf>
    <dxf>
      <numFmt numFmtId="178" formatCode="#,##0.00_);[Red]\(#,##0.00\);_(&quot;-&quot;_);_(@_)"/>
    </dxf>
    <dxf>
      <alignment vertical="center"/>
    </dxf>
    <dxf>
      <alignment wrapText="1"/>
    </dxf>
    <dxf>
      <fill>
        <patternFill patternType="solid">
          <bgColor theme="4" tint="0.79998168889431442"/>
        </patternFill>
      </fill>
    </dxf>
    <dxf>
      <fill>
        <patternFill patternType="solid">
          <bgColor theme="4" tint="0.59999389629810485"/>
        </patternFill>
      </fill>
    </dxf>
    <dxf>
      <fill>
        <patternFill patternType="solid">
          <bgColor theme="4" tint="0.39997558519241921"/>
        </patternFill>
      </fill>
    </dxf>
    <dxf>
      <fill>
        <patternFill patternType="solid">
          <bgColor theme="4" tint="-0.249977111117893"/>
        </patternFill>
      </fill>
    </dxf>
    <dxf>
      <alignment vertical="center"/>
    </dxf>
    <dxf>
      <font>
        <color theme="0"/>
      </font>
    </dxf>
    <dxf>
      <fill>
        <patternFill patternType="solid">
          <bgColor theme="4" tint="-0.499984740745262"/>
        </patternFill>
      </fill>
    </dxf>
    <dxf>
      <alignment vertical="center"/>
    </dxf>
    <dxf>
      <font>
        <color theme="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tint="0.79998168889431442"/>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rgb="FF468694"/>
        </patternFill>
      </fill>
    </dxf>
    <dxf>
      <fill>
        <patternFill>
          <bgColor theme="1"/>
        </patternFill>
      </fill>
    </dxf>
    <dxf>
      <alignment horizontal="general"/>
    </dxf>
    <dxf>
      <alignment horizontal="general"/>
    </dxf>
    <dxf>
      <alignment horizontal="general"/>
    </dxf>
    <dxf>
      <alignment horizontal="general"/>
    </dxf>
    <dxf>
      <alignment horizontal="general"/>
    </dxf>
    <dxf>
      <alignment horizontal="center"/>
    </dxf>
    <dxf>
      <font>
        <color theme="6" tint="0.79998168889431442"/>
      </font>
    </dxf>
    <dxf>
      <font>
        <sz val="10"/>
        <color theme="0"/>
      </font>
      <fill>
        <patternFill patternType="solid">
          <fgColor indexed="64"/>
          <bgColor rgb="FF468694"/>
        </patternFill>
      </fill>
      <alignment horizontal="center" vertical="center" wrapText="1"/>
    </dxf>
    <dxf>
      <alignment horizontal="left"/>
    </dxf>
    <dxf>
      <alignment vertical="center"/>
    </dxf>
    <dxf>
      <alignment horizontal="left"/>
    </dxf>
    <dxf>
      <alignment vertical="cent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alignment horizontal="right"/>
    </dxf>
    <dxf>
      <alignment horizontal="right"/>
    </dxf>
    <dxf>
      <font>
        <b/>
      </font>
    </dxf>
    <dxf>
      <font>
        <b/>
      </font>
    </dxf>
    <dxf>
      <font>
        <b/>
      </font>
    </dxf>
    <dxf>
      <font>
        <b/>
      </font>
    </dxf>
    <dxf>
      <font>
        <b val="0"/>
      </font>
    </dxf>
    <dxf>
      <font>
        <sz val="10"/>
        <color theme="0"/>
      </font>
      <fill>
        <patternFill patternType="solid">
          <fgColor indexed="64"/>
          <bgColor rgb="FF468694"/>
        </patternFill>
      </fill>
      <alignment horizontal="center" vertical="center" wrapText="1"/>
    </dxf>
    <dxf>
      <numFmt numFmtId="178" formatCode="#,##0.00_);[Red]\(#,##0.00\);_(&quot;-&quot;_);_(@_)"/>
    </dxf>
    <dxf>
      <alignment horizontal="right"/>
    </dxf>
    <dxf>
      <font>
        <color rgb="FF468694"/>
      </font>
    </dxf>
    <dxf>
      <alignment horizontal="center"/>
    </dxf>
    <dxf>
      <border>
        <top style="thin">
          <color rgb="FF8BC1FF"/>
        </top>
      </border>
    </dxf>
    <dxf>
      <border>
        <top style="thin">
          <color rgb="FF8BC1FF"/>
        </top>
      </border>
    </dxf>
    <dxf>
      <alignment horizontal="right"/>
    </dxf>
    <dxf>
      <alignment horizontal="general"/>
    </dxf>
    <dxf>
      <font>
        <color theme="0"/>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center"/>
    </dxf>
    <dxf>
      <alignment horizontal="right"/>
    </dxf>
    <dxf>
      <alignment horizontal="center"/>
    </dxf>
    <dxf>
      <alignment horizontal="right"/>
    </dxf>
    <dxf>
      <alignment horizontal="center"/>
    </dxf>
    <dxf>
      <alignment horizontal="right"/>
    </dxf>
    <dxf>
      <alignment vertical="center"/>
    </dxf>
    <dxf>
      <alignment horizontal="center"/>
    </dxf>
    <dxf>
      <alignment horizontal="right"/>
    </dxf>
    <dxf>
      <alignment horizontal="center"/>
    </dxf>
    <dxf>
      <fill>
        <patternFill patternType="solid">
          <bgColor theme="4" tint="0.39997558519241921"/>
        </patternFill>
      </fill>
    </dxf>
    <dxf>
      <font>
        <name val="Helvetica Ligera"/>
        <scheme val="none"/>
      </font>
    </dxf>
    <dxf>
      <fill>
        <patternFill>
          <bgColor theme="8" tint="-0.499984740745262"/>
        </patternFill>
      </fill>
    </dxf>
    <dxf>
      <fill>
        <patternFill>
          <bgColor theme="8" tint="-0.499984740745262"/>
        </patternFill>
      </fill>
    </dxf>
    <dxf>
      <font>
        <color theme="0"/>
      </font>
    </dxf>
    <dxf>
      <font>
        <name val="Helvetica Light"/>
        <scheme val="none"/>
      </font>
    </dxf>
    <dxf>
      <fill>
        <patternFill patternType="solid">
          <bgColor theme="4" tint="0.79998168889431442"/>
        </patternFill>
      </fill>
    </dxf>
    <dxf>
      <numFmt numFmtId="8" formatCode="#,##0.00_);[Red]\(#,##0.00\)"/>
    </dxf>
    <dxf>
      <alignment vertical="center"/>
    </dxf>
    <dxf>
      <alignment horizontal="center"/>
    </dxf>
    <dxf>
      <alignment wrapText="1"/>
    </dxf>
    <dxf>
      <alignment vertical="center"/>
    </dxf>
    <dxf>
      <alignment wrapText="1"/>
    </dxf>
    <dxf>
      <alignment horizontal="center"/>
    </dxf>
    <dxf>
      <numFmt numFmtId="7" formatCode="#,##0.00_);\(#,##0.00\)"/>
    </dxf>
    <dxf>
      <numFmt numFmtId="8" formatCode="#,##0.00_);[Red]\(#,##0.00\)"/>
    </dxf>
    <dxf>
      <alignment horizontal="center" vertical="center" wrapText="1"/>
    </dxf>
    <dxf>
      <alignment horizontal="center"/>
    </dxf>
    <dxf>
      <alignment vertical="center"/>
    </dxf>
    <dxf>
      <alignment wrapText="1"/>
    </dxf>
    <dxf>
      <numFmt numFmtId="8" formatCode="#,##0.00_);[Red]\(#,##0.00\)"/>
    </dxf>
    <dxf>
      <numFmt numFmtId="7" formatCode="#,##0.00_);\(#,##0.00\)"/>
    </dxf>
    <dxf>
      <alignment vertical="center"/>
    </dxf>
    <dxf>
      <alignment wrapText="1"/>
    </dxf>
    <dxf>
      <alignment horizontal="center"/>
    </dxf>
    <dxf>
      <alignment horizontal="center"/>
    </dxf>
    <dxf>
      <alignment vertical="center"/>
    </dxf>
    <dxf>
      <alignment wrapText="1"/>
    </dxf>
    <dxf>
      <numFmt numFmtId="178" formatCode="#,##0.00_);[Red]\(#,##0.00\);_(&quot;-&quot;_);_(@_)"/>
    </dxf>
    <dxf>
      <fill>
        <patternFill patternType="solid">
          <bgColor theme="4" tint="0.59999389629810485"/>
        </patternFill>
      </fill>
    </dxf>
    <dxf>
      <fill>
        <patternFill patternType="solid">
          <bgColor theme="4" tint="0.39997558519241921"/>
        </patternFill>
      </fill>
    </dxf>
    <dxf>
      <font>
        <b/>
      </font>
    </dxf>
    <dxf>
      <font>
        <b/>
      </font>
    </dxf>
    <dxf>
      <alignment wrapText="1"/>
    </dxf>
    <dxf>
      <fill>
        <patternFill patternType="none">
          <bgColor auto="1"/>
        </patternFill>
      </fill>
    </dxf>
    <dxf>
      <font>
        <name val="Segoe UI"/>
        <family val="2"/>
      </font>
    </dxf>
    <dxf>
      <font>
        <name val="Segoe UI"/>
        <family val="2"/>
      </font>
    </dxf>
    <dxf>
      <font>
        <name val="Segoe UI"/>
        <family val="2"/>
      </font>
    </dxf>
    <dxf>
      <font>
        <name val="Segoe UI"/>
        <family val="2"/>
      </font>
    </dxf>
    <dxf>
      <font>
        <name val="Segoe UI"/>
        <family val="2"/>
      </font>
    </dxf>
    <dxf>
      <font>
        <sz val="10"/>
      </font>
    </dxf>
    <dxf>
      <font>
        <sz val="10"/>
      </font>
    </dxf>
    <dxf>
      <fill>
        <patternFill patternType="solid">
          <bgColor rgb="FF468694"/>
        </patternFill>
      </fill>
    </dxf>
    <dxf>
      <fill>
        <patternFill patternType="solid">
          <bgColor rgb="FF468694"/>
        </patternFill>
      </fill>
    </dxf>
    <dxf>
      <font>
        <color theme="0"/>
      </font>
    </dxf>
    <dxf>
      <font>
        <color theme="0"/>
      </font>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39997558519241921"/>
        </patternFill>
      </fill>
    </dxf>
    <dxf>
      <fill>
        <patternFill>
          <bgColor theme="1"/>
        </patternFill>
      </fill>
    </dxf>
    <dxf>
      <alignment horizontal="center"/>
    </dxf>
    <dxf>
      <alignment horizontal="center"/>
    </dxf>
    <dxf>
      <font>
        <sz val="10"/>
        <color theme="0"/>
      </font>
      <fill>
        <patternFill patternType="solid">
          <fgColor indexed="64"/>
          <bgColor rgb="FF468694"/>
        </patternFill>
      </fill>
      <alignment horizontal="center" vertical="center" wrapText="1"/>
    </dxf>
    <dxf>
      <numFmt numFmtId="8" formatCode="#,##0.00_);[Red]\(#,##0.00\)"/>
    </dxf>
    <dxf>
      <fill>
        <patternFill>
          <bgColor theme="6" tint="0.79998168889431442"/>
        </patternFill>
      </fill>
    </dxf>
    <dxf>
      <alignment horizontal="center"/>
    </dxf>
    <dxf>
      <alignment horizontal="right"/>
    </dxf>
    <dxf>
      <alignment horizontal="center"/>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color rgb="FF468694"/>
      </font>
    </dxf>
    <dxf>
      <font>
        <color rgb="FF468694"/>
      </font>
    </dxf>
    <dxf>
      <font>
        <color rgb="FF468694"/>
      </font>
    </dxf>
    <dxf>
      <font>
        <color theme="6" tint="0.39997558519241921"/>
      </font>
    </dxf>
    <dxf>
      <font>
        <color theme="6" tint="0.39997558519241921"/>
      </font>
    </dxf>
    <dxf>
      <font>
        <color theme="6" tint="0.39997558519241921"/>
      </font>
    </dxf>
    <dxf>
      <font>
        <color theme="6" tint="0.59999389629810485"/>
      </font>
    </dxf>
    <dxf>
      <font>
        <color theme="6" tint="0.59999389629810485"/>
      </font>
    </dxf>
    <dxf>
      <font>
        <color theme="6" tint="0.59999389629810485"/>
      </font>
    </dxf>
    <dxf>
      <font>
        <color theme="6" tint="0.79998168889431442"/>
      </font>
    </dxf>
    <dxf>
      <font>
        <color theme="6" tint="0.79998168889431442"/>
      </font>
    </dxf>
    <dxf>
      <alignment horizontal="center"/>
    </dxf>
    <dxf>
      <alignment horizontal="left"/>
    </dxf>
    <dxf>
      <font>
        <color theme="0"/>
      </font>
    </dxf>
    <dxf>
      <font>
        <b/>
      </font>
    </dxf>
    <dxf>
      <font>
        <b/>
      </font>
    </dxf>
    <dxf>
      <font>
        <b/>
      </font>
    </dxf>
    <dxf>
      <font>
        <b/>
      </font>
    </dxf>
    <dxf>
      <font>
        <b val="0"/>
      </font>
    </dxf>
    <dxf>
      <font>
        <color theme="0"/>
      </font>
    </dxf>
    <dxf>
      <font>
        <sz val="10"/>
        <color theme="0"/>
      </font>
      <fill>
        <patternFill patternType="solid">
          <fgColor indexed="64"/>
          <bgColor rgb="FF468694"/>
        </patternFill>
      </fill>
      <alignment horizontal="center" vertical="center" wrapText="1"/>
    </dxf>
    <dxf>
      <font>
        <color theme="1"/>
      </font>
    </dxf>
    <dxf>
      <font>
        <color theme="1"/>
      </font>
    </dxf>
    <dxf>
      <font>
        <color theme="1"/>
      </font>
    </dxf>
    <dxf>
      <font>
        <color theme="1"/>
      </font>
    </dxf>
    <dxf>
      <font>
        <color theme="1"/>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rgb="FF468694"/>
      </font>
    </dxf>
    <dxf>
      <font>
        <color rgb="FF468694"/>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rgb="FF468694"/>
      </font>
    </dxf>
    <dxf>
      <font>
        <color rgb="FF468694"/>
      </font>
    </dxf>
    <dxf>
      <font>
        <color rgb="FF468694"/>
      </font>
    </dxf>
    <dxf>
      <font>
        <color rgb="FF468694"/>
      </font>
    </dxf>
    <dxf>
      <numFmt numFmtId="169" formatCode="0.0000"/>
    </dxf>
    <dxf>
      <alignment horizontal="center"/>
    </dxf>
    <dxf>
      <alignment horizontal="general"/>
    </dxf>
    <dxf>
      <alignment horizontal="general"/>
    </dxf>
    <dxf>
      <alignment horizontal="general"/>
    </dxf>
    <dxf>
      <alignment horizontal="general"/>
    </dxf>
    <dxf>
      <alignment horizontal="general"/>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alignment horizontal="center"/>
    </dxf>
    <dxf>
      <font>
        <color theme="0"/>
      </font>
    </dxf>
    <dxf>
      <alignment vertical="center"/>
    </dxf>
    <dxf>
      <fill>
        <patternFill patternType="solid">
          <bgColor theme="4" tint="-0.499984740745262"/>
        </patternFill>
      </fill>
    </dxf>
    <dxf>
      <font>
        <color theme="0"/>
      </font>
    </dxf>
    <dxf>
      <alignment vertical="center"/>
    </dxf>
    <dxf>
      <fill>
        <patternFill patternType="solid">
          <bgColor theme="4" tint="-0.249977111117893"/>
        </patternFill>
      </fill>
    </dxf>
    <dxf>
      <fill>
        <patternFill patternType="solid">
          <bgColor theme="4" tint="0.39997558519241921"/>
        </patternFill>
      </fill>
    </dxf>
    <dxf>
      <fill>
        <patternFill patternType="solid">
          <bgColor theme="4" tint="0.59999389629810485"/>
        </patternFill>
      </fill>
    </dxf>
    <dxf>
      <fill>
        <patternFill patternType="solid">
          <bgColor theme="4" tint="0.79998168889431442"/>
        </patternFill>
      </fill>
    </dxf>
    <dxf>
      <alignment wrapText="1"/>
    </dxf>
    <dxf>
      <alignment horizontal="center"/>
    </dxf>
    <dxf>
      <alignment vertical="center"/>
    </dxf>
    <dxf>
      <numFmt numFmtId="169" formatCode="0.0000"/>
    </dxf>
    <dxf>
      <numFmt numFmtId="178" formatCode="#,##0.00_);[Red]\(#,##0.00\);_(&quot;-&quot;_);_(@_)"/>
    </dxf>
    <dxf>
      <alignment wrapText="1"/>
    </dxf>
    <dxf>
      <alignment horizontal="center"/>
    </dxf>
    <dxf>
      <alignment vertical="center"/>
    </dxf>
    <dxf>
      <numFmt numFmtId="178" formatCode="#,##0.00_);[Red]\(#,##0.00\);_(&quot;-&quot;_);_(@_)"/>
    </dxf>
    <dxf>
      <alignment horizontal="center"/>
    </dxf>
    <dxf>
      <alignment horizontal="center"/>
    </dxf>
    <dxf>
      <alignment wrapText="1"/>
    </dxf>
    <dxf>
      <alignment vertical="center"/>
    </dxf>
    <dxf>
      <numFmt numFmtId="178" formatCode="#,##0.00_);[Red]\(#,##0.00\);_(&quot;-&quot;_);_(@_)"/>
    </dxf>
    <dxf>
      <alignment wrapText="1"/>
    </dxf>
    <dxf>
      <alignment horizontal="center"/>
    </dxf>
    <dxf>
      <alignment vertical="center"/>
    </dxf>
    <dxf>
      <numFmt numFmtId="178" formatCode="#,##0.00_);[Red]\(#,##0.00\);_(&quot;-&quot;_);_(@_)"/>
    </dxf>
    <dxf>
      <alignment wrapText="1"/>
    </dxf>
    <dxf>
      <alignment vertical="center"/>
    </dxf>
    <dxf>
      <numFmt numFmtId="8" formatCode="#,##0.00_);[Red]\(#,##0.00\)"/>
    </dxf>
    <dxf>
      <alignment wrapText="1"/>
    </dxf>
    <dxf>
      <alignment vertical="center"/>
    </dxf>
    <dxf>
      <alignment wrapText="1"/>
    </dxf>
    <dxf>
      <alignment vertical="center"/>
    </dxf>
    <dxf>
      <alignment horizontal="center"/>
    </dxf>
    <dxf>
      <alignment horizontal="center"/>
    </dxf>
    <dxf>
      <numFmt numFmtId="181" formatCode="0.0000_);[Red]\(0.0000\)"/>
    </dxf>
    <dxf>
      <alignment horizontal="center"/>
    </dxf>
    <dxf>
      <alignment horizontal="center"/>
    </dxf>
    <dxf>
      <alignment wrapText="1"/>
    </dxf>
    <dxf>
      <alignment vertical="center"/>
    </dxf>
    <dxf>
      <numFmt numFmtId="169" formatCode="0.0000"/>
    </dxf>
    <dxf>
      <alignment vertical="center"/>
    </dxf>
    <dxf>
      <alignment vertical="bottom"/>
    </dxf>
    <dxf>
      <alignment horizontal="center"/>
    </dxf>
    <dxf>
      <alignment horizontal="center"/>
    </dxf>
    <dxf>
      <alignment wrapText="1"/>
    </dxf>
    <dxf>
      <numFmt numFmtId="169" formatCode="0.0000"/>
    </dxf>
    <dxf>
      <alignment wrapText="1"/>
    </dxf>
    <dxf>
      <alignment vertical="center"/>
    </dxf>
    <dxf>
      <numFmt numFmtId="8" formatCode="#,##0.00_);[Red]\(#,##0.00\)"/>
    </dxf>
    <dxf>
      <alignment horizontal="center"/>
    </dxf>
    <dxf>
      <alignment horizontal="center"/>
    </dxf>
    <dxf>
      <alignment wrapText="1"/>
    </dxf>
    <dxf>
      <alignment vertical="center"/>
    </dxf>
    <dxf>
      <alignment horizontal="center"/>
    </dxf>
    <dxf>
      <alignment horizontal="center"/>
    </dxf>
    <dxf>
      <numFmt numFmtId="180" formatCode="0.0000;[Red]0.0000"/>
    </dxf>
    <dxf>
      <alignment wrapText="1"/>
    </dxf>
    <dxf>
      <alignment vertical="center"/>
    </dxf>
    <dxf>
      <alignment wrapText="1"/>
    </dxf>
    <dxf>
      <alignment horizontal="center"/>
    </dxf>
    <dxf>
      <alignment vertical="center"/>
    </dxf>
    <dxf>
      <alignment wrapText="1"/>
    </dxf>
    <dxf>
      <alignment horizontal="center"/>
    </dxf>
    <dxf>
      <alignment vertical="center"/>
    </dxf>
    <dxf>
      <alignment wrapText="1"/>
    </dxf>
    <dxf>
      <alignment vertical="center"/>
    </dxf>
    <dxf>
      <alignment horizontal="center"/>
    </dxf>
    <dxf>
      <alignment horizontal="center"/>
    </dxf>
    <dxf>
      <alignment vertical="center"/>
    </dxf>
    <dxf>
      <alignment wrapText="1"/>
    </dxf>
    <dxf>
      <alignment wrapText="1"/>
    </dxf>
    <dxf>
      <alignment horizontal="center"/>
    </dxf>
    <dxf>
      <alignment vertical="center"/>
    </dxf>
    <dxf>
      <alignment horizontal="center" vertical="center" wrapText="1"/>
    </dxf>
    <dxf>
      <alignment wrapText="1"/>
    </dxf>
    <dxf>
      <alignment horizontal="center"/>
    </dxf>
    <dxf>
      <alignment vertical="center"/>
    </dxf>
    <dxf>
      <alignment wrapText="1"/>
    </dxf>
    <dxf>
      <alignment horizontal="center"/>
    </dxf>
    <dxf>
      <alignment vertical="center"/>
    </dxf>
    <dxf>
      <alignment horizontal="center" vertical="center" wrapText="1"/>
    </dxf>
    <dxf>
      <alignment horizontal="center"/>
    </dxf>
    <dxf>
      <alignment vertical="center"/>
    </dxf>
    <dxf>
      <alignment wrapText="1"/>
    </dxf>
    <dxf>
      <alignment horizontal="center"/>
    </dxf>
    <dxf>
      <alignment vertical="center"/>
    </dxf>
    <dxf>
      <alignment wrapText="1"/>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alignment horizontal="center"/>
    </dxf>
    <dxf>
      <font>
        <b/>
      </font>
    </dxf>
    <dxf>
      <numFmt numFmtId="8" formatCode="#,##0.00_);[Red]\(#,##0.00\)"/>
    </dxf>
    <dxf>
      <alignment horizontal="center"/>
    </dxf>
    <dxf>
      <alignment horizontal="center"/>
    </dxf>
    <dxf>
      <numFmt numFmtId="8" formatCode="#,##0.00_);[Red]\(#,##0.00\)"/>
    </dxf>
    <dxf>
      <numFmt numFmtId="8" formatCode="#,##0.00_);[Red]\(#,##0.00\)"/>
    </dxf>
    <dxf>
      <alignment horizontal="center"/>
    </dxf>
    <dxf>
      <alignment horizontal="center"/>
    </dxf>
    <dxf>
      <numFmt numFmtId="179" formatCode="[$-409]dd\-mmm\-yy;@"/>
    </dxf>
    <dxf>
      <alignment horizontal="center"/>
    </dxf>
    <dxf>
      <numFmt numFmtId="167" formatCode="[$-409]d\-mmm\-yy;@"/>
    </dxf>
    <dxf>
      <font>
        <color theme="1"/>
      </font>
    </dxf>
    <dxf>
      <font>
        <color rgb="FF468694"/>
      </font>
    </dxf>
    <dxf>
      <font>
        <color rgb="FF468694"/>
      </font>
    </dxf>
    <dxf>
      <font>
        <color theme="6" tint="0.39997558519241921"/>
      </font>
    </dxf>
    <dxf>
      <font>
        <color theme="6" tint="0.39997558519241921"/>
      </font>
    </dxf>
    <dxf>
      <font>
        <color theme="6" tint="0.59999389629810485"/>
      </font>
    </dxf>
    <dxf>
      <font>
        <color theme="6" tint="0.59999389629810485"/>
      </font>
    </dxf>
    <dxf>
      <numFmt numFmtId="8" formatCode="#,##0.00_);[Red]\(#,##0.00\)"/>
    </dxf>
    <dxf>
      <font>
        <color theme="6" tint="0.79998168889431442"/>
      </font>
    </dxf>
    <dxf>
      <font>
        <color theme="6" tint="0.79998168889431442"/>
      </font>
      <numFmt numFmtId="176" formatCode="0.0000_);\(0.0000\)"/>
    </dxf>
    <dxf>
      <font>
        <color theme="6" tint="0.79998168889431442"/>
      </font>
    </dxf>
    <dxf>
      <font>
        <color theme="6" tint="0.59999389629810485"/>
      </font>
    </dxf>
    <dxf>
      <font>
        <color theme="6" tint="0.39997558519241921"/>
      </font>
    </dxf>
    <dxf>
      <font>
        <color rgb="FF468694"/>
      </font>
    </dxf>
    <dxf>
      <font>
        <color auto="1"/>
      </font>
    </dxf>
    <dxf>
      <font>
        <color auto="1"/>
      </font>
    </dxf>
    <dxf>
      <font>
        <sz val="10"/>
        <color theme="0"/>
      </font>
      <fill>
        <patternFill patternType="solid">
          <fgColor indexed="64"/>
          <bgColor rgb="FF468694"/>
        </patternFill>
      </fill>
      <alignment horizontal="center" vertical="center" wrapText="1"/>
    </dxf>
    <dxf>
      <numFmt numFmtId="8" formatCode="#,##0.00_);[Red]\(#,##0.00\)"/>
    </dxf>
    <dxf>
      <numFmt numFmtId="169" formatCode="0.0000"/>
    </dxf>
    <dxf>
      <font>
        <color rgb="FF468694"/>
      </font>
    </dxf>
    <dxf>
      <font>
        <color rgb="FF468694"/>
      </font>
    </dxf>
    <dxf>
      <font>
        <color rgb="FF468694"/>
      </font>
    </dxf>
    <dxf>
      <font>
        <color auto="1"/>
      </font>
    </dxf>
    <dxf>
      <font>
        <color rgb="FF366872"/>
      </font>
    </dxf>
    <dxf>
      <font>
        <color auto="1"/>
      </font>
    </dxf>
    <dxf>
      <font>
        <color theme="6" tint="0.39997558519241921"/>
      </font>
    </dxf>
    <dxf>
      <font>
        <color theme="6" tint="0.59999389629810485"/>
      </font>
    </dxf>
    <dxf>
      <font>
        <color theme="6" tint="0.79998168889431442"/>
      </font>
    </dxf>
    <dxf>
      <font>
        <color auto="1"/>
      </font>
    </dxf>
    <dxf>
      <alignment horizontal="center"/>
    </dxf>
    <dxf>
      <numFmt numFmtId="169" formatCode="0.0000"/>
    </dxf>
    <dxf>
      <alignment horizontal="center"/>
    </dxf>
    <dxf>
      <numFmt numFmtId="169" formatCode="0.0000"/>
    </dxf>
    <dxf>
      <font>
        <sz val="10"/>
        <color theme="0"/>
      </font>
      <fill>
        <patternFill patternType="solid">
          <fgColor indexed="64"/>
          <bgColor rgb="FF468694"/>
        </patternFill>
      </fill>
      <alignment horizontal="center" vertical="center" wrapText="1"/>
    </dxf>
    <dxf>
      <numFmt numFmtId="8" formatCode="#,##0.00_);[Red]\(#,##0.00\)"/>
    </dxf>
    <dxf>
      <alignment horizontal="lef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alignment vertical="center"/>
    </dxf>
    <dxf>
      <font>
        <color theme="0"/>
      </font>
    </dxf>
    <dxf>
      <fill>
        <patternFill patternType="solid">
          <bgColor theme="4" tint="-0.249977111117893"/>
        </patternFill>
      </fill>
    </dxf>
    <dxf>
      <fill>
        <patternFill patternType="solid">
          <bgColor theme="4" tint="0.39997558519241921"/>
        </patternFill>
      </fill>
    </dxf>
    <dxf>
      <font>
        <b/>
      </font>
    </dxf>
    <dxf>
      <font>
        <name val="Helvetica Light"/>
      </font>
    </dxf>
    <dxf>
      <alignment horizontal="center" vertical="center" wrapText="1"/>
    </dxf>
    <dxf>
      <numFmt numFmtId="8" formatCode="#,##0.00_);[Red]\(#,##0.00\)"/>
    </dxf>
    <dxf>
      <alignment horizontal="center"/>
    </dxf>
    <dxf>
      <alignment vertical="center"/>
    </dxf>
    <dxf>
      <alignment wrapText="1"/>
    </dxf>
    <dxf>
      <alignment horizontal="center"/>
    </dxf>
    <dxf>
      <alignment horizontal="center" vertical="center" wrapText="1"/>
    </dxf>
    <dxf>
      <numFmt numFmtId="7" formatCode="#,##0.00_);\(#,##0.00\)"/>
    </dxf>
    <dxf>
      <alignment horizontal="center"/>
    </dxf>
    <dxf>
      <alignment horizontal="center"/>
    </dxf>
    <dxf>
      <numFmt numFmtId="167" formatCode="[$-409]d\-mmm\-yy;@"/>
    </dxf>
    <dxf>
      <alignment horizontal="center"/>
    </dxf>
    <dxf>
      <alignment horizontal="center"/>
    </dxf>
    <dxf>
      <alignment horizontal="center"/>
    </dxf>
    <dxf>
      <alignment horizontal="center"/>
    </dxf>
    <dxf>
      <alignment horizontal="center" vertical="center" wrapText="1"/>
    </dxf>
    <dxf>
      <fill>
        <patternFill patternType="solid">
          <bgColor theme="4" tint="0.79998168889431442"/>
        </patternFill>
      </fill>
    </dxf>
    <dxf>
      <alignment horizontal="center" vertical="center" wrapText="1"/>
    </dxf>
    <dxf>
      <alignment horizontal="center" vertical="center" wrapText="1"/>
    </dxf>
    <dxf>
      <numFmt numFmtId="8" formatCode="#,##0.00_);[Red]\(#,##0.00\)"/>
    </dxf>
    <dxf>
      <numFmt numFmtId="176" formatCode="0.0000_);\(0.0000\)"/>
    </dxf>
    <dxf>
      <numFmt numFmtId="7" formatCode="#,##0.00_);\(#,##0.00\)"/>
    </dxf>
    <dxf>
      <alignment horizontal="center"/>
    </dxf>
    <dxf>
      <alignment vertical="center"/>
    </dxf>
    <dxf>
      <alignment wrapText="1"/>
    </dxf>
    <dxf>
      <alignment horizontal="center"/>
    </dxf>
    <dxf>
      <alignment horizontal="center"/>
    </dxf>
    <dxf>
      <alignment vertical="center"/>
    </dxf>
    <dxf>
      <alignment wrapText="1"/>
    </dxf>
    <dxf>
      <alignment horizontal="center"/>
    </dxf>
    <dxf>
      <numFmt numFmtId="179" formatCode="[$-409]dd\-mmm\-yy;@"/>
    </dxf>
    <dxf>
      <alignment horizontal="center" vertical="center" wrapText="1"/>
    </dxf>
    <dxf>
      <alignment horizontal="center" vertical="center" wrapText="1"/>
    </dxf>
    <dxf>
      <font>
        <name val="Helvetica Light"/>
      </font>
    </dxf>
    <dxf>
      <font>
        <name val="Helvetica Light"/>
      </font>
    </dxf>
    <dxf>
      <font>
        <name val="Helvetica Light"/>
      </font>
    </dxf>
    <dxf>
      <alignment wrapText="1"/>
    </dxf>
    <dxf>
      <alignment wrapText="1"/>
    </dxf>
    <dxf>
      <alignment horizontal="center"/>
    </dxf>
    <dxf>
      <alignment vertical="center"/>
    </dxf>
    <dxf>
      <alignment vertical="center"/>
    </dxf>
    <dxf>
      <alignment vertical="center"/>
    </dxf>
    <dxf>
      <alignment horizontal="center"/>
    </dxf>
    <dxf>
      <fill>
        <patternFill patternType="solid">
          <bgColor theme="4" tint="0.59999389629810485"/>
        </patternFill>
      </fill>
    </dxf>
    <dxf>
      <font>
        <color theme="8" tint="-0.499984740745262"/>
      </font>
    </dxf>
    <dxf>
      <font>
        <color theme="8" tint="-0.499984740745262"/>
      </font>
    </dxf>
    <dxf>
      <font>
        <color theme="8" tint="-0.499984740745262"/>
      </font>
    </dxf>
    <dxf>
      <font>
        <color theme="0"/>
      </font>
    </dxf>
    <dxf>
      <font>
        <color theme="0"/>
      </font>
    </dxf>
    <dxf>
      <fill>
        <patternFill patternType="solid">
          <bgColor theme="8" tint="-0.499984740745262"/>
        </patternFill>
      </fill>
    </dxf>
    <dxf>
      <fill>
        <patternFill patternType="solid">
          <bgColor theme="8" tint="-0.499984740745262"/>
        </patternFill>
      </fill>
    </dxf>
    <dxf>
      <alignment vertical="center"/>
    </dxf>
    <dxf>
      <alignment vertical="center"/>
    </dxf>
    <dxf>
      <alignment horizontal="center"/>
    </dxf>
    <dxf>
      <alignment horizontal="center"/>
    </dxf>
    <dxf>
      <alignment wrapText="1"/>
    </dxf>
    <dxf>
      <alignment wrapText="1"/>
    </dxf>
    <dxf>
      <font>
        <name val="Helvetica Ligera"/>
      </font>
    </dxf>
    <dxf>
      <font>
        <name val="Helvetica Ligera"/>
      </font>
    </dxf>
    <dxf>
      <font>
        <name val="Helvetica Ligera"/>
      </font>
    </dxf>
    <dxf>
      <font>
        <name val="Helvetica Ligera"/>
      </font>
    </dxf>
    <dxf>
      <font>
        <name val="Helvetica Ligera"/>
      </font>
    </dxf>
    <dxf>
      <alignment horizontal="center"/>
    </dxf>
    <dxf>
      <alignment horizontal="right"/>
    </dxf>
    <dxf>
      <alignment horizontal="center"/>
    </dxf>
    <dxf>
      <alignment vertical="center"/>
    </dxf>
    <dxf>
      <alignment horizontal="right"/>
    </dxf>
    <dxf>
      <alignment horizontal="center"/>
    </dxf>
    <dxf>
      <alignment horizontal="right"/>
    </dxf>
    <dxf>
      <alignment horizontal="center"/>
    </dxf>
    <dxf>
      <alignment horizontal="right"/>
    </dxf>
    <dxf>
      <alignment horizontal="center"/>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color theme="0"/>
      </font>
    </dxf>
    <dxf>
      <alignment horizontal="general"/>
    </dxf>
    <dxf>
      <alignment horizontal="right"/>
    </dxf>
    <dxf>
      <border>
        <top style="thin">
          <color rgb="FF8BC1FF"/>
        </top>
      </border>
    </dxf>
    <dxf>
      <border>
        <top style="thin">
          <color rgb="FF8BC1FF"/>
        </top>
      </border>
    </dxf>
    <dxf>
      <alignment horizontal="center"/>
    </dxf>
    <dxf>
      <font>
        <color rgb="FF468694"/>
      </font>
    </dxf>
    <dxf>
      <alignment horizontal="right"/>
    </dxf>
    <dxf>
      <numFmt numFmtId="178" formatCode="#,##0.00_);[Red]\(#,##0.00\);_(&quot;-&quot;_);_(@_)"/>
    </dxf>
    <dxf>
      <font>
        <sz val="10"/>
        <color theme="0"/>
      </font>
      <fill>
        <patternFill patternType="solid">
          <fgColor indexed="64"/>
          <bgColor rgb="FF468694"/>
        </patternFill>
      </fill>
      <alignment horizontal="center" vertical="center" wrapText="1"/>
    </dxf>
    <dxf>
      <font>
        <b val="0"/>
      </font>
    </dxf>
    <dxf>
      <font>
        <b/>
      </font>
    </dxf>
    <dxf>
      <font>
        <b/>
      </font>
    </dxf>
    <dxf>
      <font>
        <b/>
      </font>
    </dxf>
    <dxf>
      <font>
        <b/>
      </font>
    </dxf>
    <dxf>
      <alignment horizontal="right"/>
    </dxf>
    <dxf>
      <alignment horizontal="right"/>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alignment vertical="center"/>
    </dxf>
    <dxf>
      <alignment horizontal="left"/>
    </dxf>
    <dxf>
      <alignment vertical="center"/>
    </dxf>
    <dxf>
      <alignment horizontal="left"/>
    </dxf>
    <dxf>
      <font>
        <sz val="10"/>
        <color theme="0"/>
      </font>
      <fill>
        <patternFill patternType="solid">
          <fgColor indexed="64"/>
          <bgColor rgb="FF468694"/>
        </patternFill>
      </fill>
      <alignment horizontal="center" vertical="center" wrapText="1"/>
    </dxf>
    <dxf>
      <font>
        <color theme="6" tint="0.79998168889431442"/>
      </font>
    </dxf>
    <dxf>
      <alignment horizontal="center"/>
    </dxf>
    <dxf>
      <alignment horizontal="general"/>
    </dxf>
    <dxf>
      <alignment horizontal="general"/>
    </dxf>
    <dxf>
      <alignment horizontal="general"/>
    </dxf>
    <dxf>
      <alignment horizontal="general"/>
    </dxf>
    <dxf>
      <alignment horizontal="general"/>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color theme="0"/>
      </font>
    </dxf>
    <dxf>
      <alignment vertical="center"/>
    </dxf>
    <dxf>
      <fill>
        <patternFill patternType="solid">
          <bgColor theme="4" tint="-0.499984740745262"/>
        </patternFill>
      </fill>
    </dxf>
    <dxf>
      <font>
        <color theme="0"/>
      </font>
    </dxf>
    <dxf>
      <alignment vertical="center"/>
    </dxf>
    <dxf>
      <fill>
        <patternFill patternType="solid">
          <bgColor theme="4" tint="-0.249977111117893"/>
        </patternFill>
      </fill>
    </dxf>
    <dxf>
      <fill>
        <patternFill patternType="solid">
          <bgColor theme="4" tint="0.39997558519241921"/>
        </patternFill>
      </fill>
    </dxf>
    <dxf>
      <fill>
        <patternFill patternType="solid">
          <bgColor theme="4" tint="0.59999389629810485"/>
        </patternFill>
      </fill>
    </dxf>
    <dxf>
      <fill>
        <patternFill patternType="solid">
          <bgColor theme="4" tint="0.79998168889431442"/>
        </patternFill>
      </fill>
    </dxf>
    <dxf>
      <alignment wrapText="1"/>
    </dxf>
    <dxf>
      <alignment vertical="center"/>
    </dxf>
    <dxf>
      <numFmt numFmtId="178" formatCode="#,##0.00_);[Red]\(#,##0.00\);_(&quot;-&quot;_);_(@_)"/>
    </dxf>
    <dxf>
      <alignment wrapText="1"/>
    </dxf>
    <dxf>
      <numFmt numFmtId="178" formatCode="#,##0.00_);[Red]\(#,##0.00\);_(&quot;-&quot;_);_(@_)"/>
    </dxf>
    <dxf>
      <numFmt numFmtId="178" formatCode="#,##0.00_);[Red]\(#,##0.00\);_(&quot;-&quot;_);_(@_)"/>
    </dxf>
    <dxf>
      <alignment wrapText="1"/>
    </dxf>
    <dxf>
      <alignment vertical="center"/>
    </dxf>
    <dxf>
      <numFmt numFmtId="8" formatCode="#,##0.00_);[Red]\(#,##0.00\)"/>
    </dxf>
    <dxf>
      <alignment wrapText="1"/>
    </dxf>
    <dxf>
      <alignment vertical="center"/>
    </dxf>
    <dxf>
      <alignment wrapText="1"/>
    </dxf>
    <dxf>
      <alignment vertical="center"/>
    </dxf>
    <dxf>
      <alignment wrapText="1"/>
    </dxf>
    <dxf>
      <alignment horizontal="center"/>
    </dxf>
    <dxf>
      <alignment vertical="center"/>
    </dxf>
    <dxf>
      <alignment wrapText="1"/>
    </dxf>
    <dxf>
      <alignment vertical="center"/>
    </dxf>
    <dxf>
      <alignment horizontal="center"/>
    </dxf>
    <dxf>
      <alignment horizontal="center"/>
    </dxf>
    <dxf>
      <alignment vertical="center"/>
    </dxf>
    <dxf>
      <alignment wrapText="1"/>
    </dxf>
    <dxf>
      <alignment wrapText="1"/>
    </dxf>
    <dxf>
      <alignment horizontal="center"/>
    </dxf>
    <dxf>
      <alignment vertical="center"/>
    </dxf>
    <dxf>
      <alignment horizontal="center" vertical="center" wrapText="1"/>
    </dxf>
    <dxf>
      <alignment wrapText="1"/>
    </dxf>
    <dxf>
      <alignment horizontal="center"/>
    </dxf>
    <dxf>
      <alignment vertical="center"/>
    </dxf>
    <dxf>
      <alignment wrapText="1"/>
    </dxf>
    <dxf>
      <alignment horizontal="center"/>
    </dxf>
    <dxf>
      <alignment vertical="center"/>
    </dxf>
    <dxf>
      <alignment horizontal="center" vertical="center" wrapText="1"/>
    </dxf>
    <dxf>
      <alignment horizontal="center"/>
    </dxf>
    <dxf>
      <alignment vertical="center"/>
    </dxf>
    <dxf>
      <alignment wrapText="1"/>
    </dxf>
    <dxf>
      <alignment horizontal="center"/>
    </dxf>
    <dxf>
      <alignment vertical="center"/>
    </dxf>
    <dxf>
      <alignment wrapText="1"/>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b/>
      </font>
    </dxf>
    <dxf>
      <numFmt numFmtId="8" formatCode="#,##0.00_);[Red]\(#,##0.00\)"/>
    </dxf>
    <dxf>
      <alignment horizontal="center"/>
    </dxf>
    <dxf>
      <alignment horizontal="center"/>
    </dxf>
    <dxf>
      <numFmt numFmtId="8" formatCode="#,##0.00_);[Red]\(#,##0.00\)"/>
    </dxf>
    <dxf>
      <numFmt numFmtId="8" formatCode="#,##0.00_);[Red]\(#,##0.00\)"/>
    </dxf>
    <dxf>
      <fill>
        <patternFill>
          <bgColor theme="6" tint="0.79998168889431442"/>
        </patternFill>
      </fill>
    </dxf>
    <dxf>
      <numFmt numFmtId="8" formatCode="#,##0.00_);[Red]\(#,##0.00\)"/>
    </dxf>
    <dxf>
      <font>
        <sz val="10"/>
        <color theme="0"/>
      </font>
      <fill>
        <patternFill patternType="solid">
          <fgColor indexed="64"/>
          <bgColor rgb="FF468694"/>
        </patternFill>
      </fill>
      <alignment horizontal="center" vertical="center" wrapText="1"/>
    </dxf>
    <dxf>
      <alignment horizontal="center"/>
    </dxf>
    <dxf>
      <alignment horizontal="center"/>
    </dxf>
    <dxf>
      <fill>
        <patternFill>
          <bgColor theme="1"/>
        </patternFill>
      </fill>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ont>
        <color theme="0"/>
      </font>
    </dxf>
    <dxf>
      <font>
        <color theme="0"/>
      </font>
    </dxf>
    <dxf>
      <fill>
        <patternFill patternType="solid">
          <bgColor rgb="FF468694"/>
        </patternFill>
      </fill>
    </dxf>
    <dxf>
      <fill>
        <patternFill patternType="solid">
          <bgColor rgb="FF468694"/>
        </patternFill>
      </fill>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ill>
        <patternFill patternType="none">
          <bgColor auto="1"/>
        </patternFill>
      </fill>
    </dxf>
    <dxf>
      <alignment wrapText="1"/>
    </dxf>
    <dxf>
      <font>
        <b/>
      </font>
    </dxf>
    <dxf>
      <font>
        <b/>
      </font>
    </dxf>
    <dxf>
      <fill>
        <patternFill patternType="solid">
          <bgColor theme="4" tint="0.39997558519241921"/>
        </patternFill>
      </fill>
    </dxf>
    <dxf>
      <fill>
        <patternFill patternType="solid">
          <bgColor theme="4" tint="0.59999389629810485"/>
        </patternFill>
      </fill>
    </dxf>
    <dxf>
      <numFmt numFmtId="178" formatCode="#,##0.00_);[Red]\(#,##0.00\);_(&quot;-&quot;_);_(@_)"/>
    </dxf>
    <dxf>
      <alignment wrapText="1"/>
    </dxf>
    <dxf>
      <alignment vertical="center"/>
    </dxf>
    <dxf>
      <alignment horizontal="center"/>
    </dxf>
    <dxf>
      <alignment horizontal="center"/>
    </dxf>
    <dxf>
      <alignment wrapText="1"/>
    </dxf>
    <dxf>
      <alignment vertical="center"/>
    </dxf>
    <dxf>
      <numFmt numFmtId="7" formatCode="#,##0.00_);\(#,##0.00\)"/>
    </dxf>
    <dxf>
      <numFmt numFmtId="8" formatCode="#,##0.00_);[Red]\(#,##0.00\)"/>
    </dxf>
    <dxf>
      <alignment wrapText="1"/>
    </dxf>
    <dxf>
      <alignment vertical="center"/>
    </dxf>
    <dxf>
      <alignment horizontal="center"/>
    </dxf>
    <dxf>
      <alignment horizontal="center" vertical="center" wrapText="1"/>
    </dxf>
    <dxf>
      <numFmt numFmtId="8" formatCode="#,##0.00_);[Red]\(#,##0.00\)"/>
    </dxf>
    <dxf>
      <numFmt numFmtId="7" formatCode="#,##0.00_);\(#,##0.00\)"/>
    </dxf>
    <dxf>
      <alignment horizontal="center"/>
    </dxf>
    <dxf>
      <alignment wrapText="1"/>
    </dxf>
    <dxf>
      <alignment vertical="center"/>
    </dxf>
    <dxf>
      <alignment wrapText="1"/>
    </dxf>
    <dxf>
      <alignment horizontal="center"/>
    </dxf>
    <dxf>
      <alignment vertical="center"/>
    </dxf>
    <dxf>
      <numFmt numFmtId="8" formatCode="#,##0.00_);[Red]\(#,##0.00\)"/>
    </dxf>
    <dxf>
      <fill>
        <patternFill patternType="solid">
          <bgColor theme="4" tint="0.79998168889431442"/>
        </patternFill>
      </fill>
    </dxf>
    <dxf>
      <font>
        <name val="Helvetica Light"/>
        <scheme val="none"/>
      </font>
    </dxf>
    <dxf>
      <font>
        <color theme="0"/>
      </font>
    </dxf>
    <dxf>
      <fill>
        <patternFill>
          <bgColor theme="8" tint="-0.499984740745262"/>
        </patternFill>
      </fill>
    </dxf>
    <dxf>
      <fill>
        <patternFill>
          <bgColor theme="8" tint="-0.499984740745262"/>
        </patternFill>
      </fill>
    </dxf>
    <dxf>
      <font>
        <name val="Helvetica Ligera"/>
        <scheme val="none"/>
      </font>
    </dxf>
    <dxf>
      <fill>
        <patternFill patternType="solid">
          <bgColor theme="4" tint="0.39997558519241921"/>
        </patternFill>
      </fill>
    </dxf>
    <dxf>
      <font>
        <sz val="10"/>
        <color theme="0"/>
      </font>
      <fill>
        <patternFill patternType="solid">
          <fgColor indexed="64"/>
          <bgColor rgb="FF468694"/>
        </patternFill>
      </fill>
      <alignment horizontal="center" vertical="center" wrapText="1"/>
    </dxf>
    <dxf>
      <numFmt numFmtId="8" formatCode="#,##0.00_);[Red]\(#,##0.00\)"/>
    </dxf>
    <dxf>
      <fill>
        <patternFill>
          <bgColor theme="1"/>
        </patternFill>
      </fill>
    </dxf>
    <dxf>
      <fill>
        <patternFill>
          <bgColor theme="1"/>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ill>
        <patternFill patternType="solid">
          <bgColor rgb="FF468694"/>
        </patternFill>
      </fill>
    </dxf>
    <dxf>
      <fill>
        <patternFill patternType="solid">
          <bgColor rgb="FF468694"/>
        </patternFill>
      </fill>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none">
          <bgColor auto="1"/>
        </patternFill>
      </fill>
    </dxf>
    <dxf>
      <fill>
        <patternFill>
          <bgColor auto="1"/>
        </patternFill>
      </fill>
    </dxf>
    <dxf>
      <alignment wrapText="1"/>
    </dxf>
    <dxf>
      <font>
        <b/>
      </font>
    </dxf>
    <dxf>
      <font>
        <b/>
      </font>
    </dxf>
    <dxf>
      <fill>
        <patternFill patternType="solid">
          <bgColor theme="4" tint="0.39997558519241921"/>
        </patternFill>
      </fill>
    </dxf>
    <dxf>
      <fill>
        <patternFill patternType="solid">
          <bgColor theme="4" tint="0.59999389629810485"/>
        </patternFill>
      </fill>
    </dxf>
    <dxf>
      <numFmt numFmtId="178" formatCode="#,##0.00_);[Red]\(#,##0.00\);_(&quot;-&quot;_);_(@_)"/>
    </dxf>
    <dxf>
      <alignment wrapText="1"/>
    </dxf>
    <dxf>
      <alignment horizontal="center"/>
    </dxf>
    <dxf>
      <alignment vertical="center"/>
    </dxf>
    <dxf>
      <alignment horizontal="center"/>
    </dxf>
    <dxf>
      <alignment wrapText="1"/>
    </dxf>
    <dxf>
      <alignment vertical="center"/>
    </dxf>
    <dxf>
      <numFmt numFmtId="7" formatCode="#,##0.00_);\(#,##0.00\)"/>
    </dxf>
    <dxf>
      <numFmt numFmtId="8" formatCode="#,##0.00_);[Red]\(#,##0.00\)"/>
    </dxf>
    <dxf>
      <alignment wrapText="1"/>
    </dxf>
    <dxf>
      <alignment vertical="center"/>
    </dxf>
    <dxf>
      <alignment horizontal="center"/>
    </dxf>
    <dxf>
      <alignment horizontal="center" vertical="center" wrapText="1"/>
    </dxf>
    <dxf>
      <numFmt numFmtId="8" formatCode="#,##0.00_);[Red]\(#,##0.00\)"/>
    </dxf>
    <dxf>
      <numFmt numFmtId="7" formatCode="#,##0.00_);\(#,##0.00\)"/>
    </dxf>
    <dxf>
      <alignment horizontal="center"/>
    </dxf>
    <dxf>
      <alignment wrapText="1"/>
    </dxf>
    <dxf>
      <alignment vertical="center"/>
    </dxf>
    <dxf>
      <alignment wrapText="1"/>
    </dxf>
    <dxf>
      <alignment horizontal="center"/>
    </dxf>
    <dxf>
      <alignment vertical="center"/>
    </dxf>
    <dxf>
      <numFmt numFmtId="8" formatCode="#,##0.00_);[Red]\(#,##0.00\)"/>
    </dxf>
    <dxf>
      <fill>
        <patternFill patternType="solid">
          <bgColor theme="4" tint="0.79998168889431442"/>
        </patternFill>
      </fill>
    </dxf>
    <dxf>
      <font>
        <name val="Helvetica Light"/>
        <scheme val="none"/>
      </font>
    </dxf>
    <dxf>
      <font>
        <color theme="0"/>
      </font>
    </dxf>
    <dxf>
      <fill>
        <patternFill>
          <bgColor theme="8" tint="-0.499984740745262"/>
        </patternFill>
      </fill>
    </dxf>
    <dxf>
      <font>
        <name val="Helvetica Ligera"/>
        <scheme val="none"/>
      </font>
    </dxf>
    <dxf>
      <fill>
        <patternFill patternType="solid">
          <bgColor theme="4" tint="0.39997558519241921"/>
        </patternFill>
      </fill>
    </dxf>
  </dxfs>
  <tableStyles count="0" defaultTableStyle="TableStyleMedium9" defaultPivotStyle="PivotStyleMedium7"/>
  <colors>
    <mruColors>
      <color rgb="FF73FB79"/>
      <color rgb="FF468694"/>
      <color rgb="FF8BC1FF"/>
      <color rgb="FFFFD579"/>
      <color rgb="FF366872"/>
      <color rgb="FF8BC0FF"/>
      <color rgb="FF10A1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pivotCacheDefinition" Target="pivotCache/pivotCacheDefinition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pi.box.com/Users/Usuario%20OK/Box/CL122-2021/E390%20Ezequiel%20Investments%20LP/01%20Ca&#769;lculo%20Extranjero/CL122%20Ezequiel%20Investments%20LP%202021%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entas"/>
      <sheetName val="Sumaria Ingresos"/>
      <sheetName val="1 Ingresos Acum &amp; No Acum"/>
      <sheetName val="2 Ingresos BMV &amp; SIC"/>
      <sheetName val="3 Ingresos 10% Ad - Dividendos"/>
      <sheetName val="Cap Gain Summary S-I"/>
      <sheetName val="Cap Gain Summary S-II"/>
      <sheetName val="OFD Summary"/>
      <sheetName val="CGDet Cap IV SI &amp; SII - NO OFD "/>
      <sheetName val="CG OFD Cap IV SII &amp; Cap IX"/>
      <sheetName val="Intereses percibidos"/>
      <sheetName val="Intereses en Compra Venta Bonos"/>
      <sheetName val="Ganancias Cambiarias - Contrato"/>
      <sheetName val="AAI"/>
      <sheetName val="Saldos Cash"/>
      <sheetName val="Inventario de bonos"/>
      <sheetName val="239"/>
      <sheetName val="Otros Ingresos"/>
      <sheetName val="Dividendos Nacionales"/>
      <sheetName val="Reducciones de Capital"/>
      <sheetName val="Dividendos Extranjero"/>
      <sheetName val="Dividendos Extranjeros - Ret"/>
      <sheetName val="PE - Real Gain Loss"/>
      <sheetName val="PE - Retenciones"/>
      <sheetName val="PE - Inventario"/>
      <sheetName val="Otras Retenciones"/>
      <sheetName val="Swap"/>
      <sheetName val="FWD"/>
      <sheetName val="Ventas Acciones &amp; Bonos"/>
      <sheetName val="Inventario"/>
      <sheetName val="Inventario Previo"/>
      <sheetName val="Ventas OFD"/>
      <sheetName val="Transactions"/>
      <sheetName val="Equivalencia"/>
      <sheetName val="TC"/>
      <sheetName val="INPC"/>
      <sheetName val="Rev J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P2" t="str">
            <v>Intereses - Commitment</v>
          </cell>
        </row>
        <row r="3">
          <cell r="P3" t="str">
            <v>Intereses - Bonos</v>
          </cell>
        </row>
        <row r="4">
          <cell r="P4" t="str">
            <v>Intereses - Cash</v>
          </cell>
        </row>
        <row r="5">
          <cell r="P5">
            <v>3</v>
          </cell>
        </row>
        <row r="6">
          <cell r="P6">
            <v>4</v>
          </cell>
        </row>
        <row r="7">
          <cell r="P7">
            <v>5</v>
          </cell>
        </row>
        <row r="8">
          <cell r="P8">
            <v>6</v>
          </cell>
        </row>
      </sheetData>
      <sheetData sheetId="11" refreshError="1"/>
      <sheetData sheetId="12"/>
      <sheetData sheetId="13" refreshError="1"/>
      <sheetData sheetId="14" refreshError="1"/>
      <sheetData sheetId="15" refreshError="1"/>
      <sheetData sheetId="16" refreshError="1"/>
      <sheetData sheetId="17">
        <row r="3">
          <cell r="P3" t="str">
            <v>Otros Ingresos</v>
          </cell>
        </row>
      </sheetData>
      <sheetData sheetId="18"/>
      <sheetData sheetId="19" refreshError="1"/>
      <sheetData sheetId="20" refreshError="1"/>
      <sheetData sheetId="21" refreshError="1"/>
      <sheetData sheetId="22">
        <row r="3">
          <cell r="O3" t="str">
            <v>Realized Gain or (Losses)</v>
          </cell>
        </row>
        <row r="4">
          <cell r="O4" t="str">
            <v>Other Income from Commitment</v>
          </cell>
        </row>
      </sheetData>
      <sheetData sheetId="23" refreshError="1"/>
      <sheetData sheetId="24" refreshError="1"/>
      <sheetData sheetId="25">
        <row r="3">
          <cell r="P3" t="str">
            <v>Reversal</v>
          </cell>
        </row>
        <row r="4">
          <cell r="P4" t="str">
            <v>Retención</v>
          </cell>
        </row>
      </sheetData>
      <sheetData sheetId="26" refreshError="1"/>
      <sheetData sheetId="27" refreshError="1"/>
      <sheetData sheetId="28">
        <row r="3">
          <cell r="AU3" t="str">
            <v>Sale</v>
          </cell>
        </row>
        <row r="4">
          <cell r="AU4" t="str">
            <v>Maturiry</v>
          </cell>
        </row>
        <row r="5">
          <cell r="AU5" t="str">
            <v>Redemption</v>
          </cell>
        </row>
        <row r="6">
          <cell r="AU6" t="str">
            <v>Exchange</v>
          </cell>
        </row>
        <row r="7">
          <cell r="AU7" t="str">
            <v>Transfer</v>
          </cell>
        </row>
        <row r="8">
          <cell r="AU8" t="str">
            <v>Cash in Lieu</v>
          </cell>
        </row>
        <row r="9">
          <cell r="AU9" t="str">
            <v>Purchase</v>
          </cell>
        </row>
        <row r="10">
          <cell r="AU10" t="str">
            <v>Transfer In</v>
          </cell>
        </row>
        <row r="11">
          <cell r="AU11" t="str">
            <v>Transfer out</v>
          </cell>
        </row>
        <row r="12">
          <cell r="AU12" t="str">
            <v>Gift</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Vazquez" refreshedDate="44966.774660416668" missingItemsLimit="0" createdVersion="6" refreshedVersion="8" minRefreshableVersion="3" recordCount="560" xr:uid="{62195649-B814-1343-8894-84944C4E8B05}">
  <cacheSource type="worksheet">
    <worksheetSource ref="B1:AL1048576" sheet="Ventas Acciones &amp; Bonos"/>
  </cacheSource>
  <cacheFields count="38">
    <cacheField name="Account Number" numFmtId="0">
      <sharedItems containsBlank="1" count="4">
        <m/>
        <s v="35D051771768"/>
        <s v="35D043931768"/>
        <s v="GS 029-27051-9"/>
      </sharedItems>
    </cacheField>
    <cacheField name="Tipo de adquisición" numFmtId="0">
      <sharedItems containsBlank="1"/>
    </cacheField>
    <cacheField name="Nombre del Activo" numFmtId="0">
      <sharedItems containsBlank="1" count="32">
        <m/>
        <s v="ISHARES USD CORP BOND INTERE USD_A"/>
        <s v="ISHARES US MORTGAGE BACKED S C"/>
        <s v="ISHARES US AGGREGATE BOND AG C"/>
        <s v="ISHARES USD HY CORP BOND UCITS ETF"/>
        <s v="ISHARES CORE FTSE 100 UCITS  USD H"/>
        <s v="ISHARES DEVELOPED MARKETS PR C"/>
        <s v="ISHARES  TREASURY BOND 20+Y C"/>
        <s v="ISHR JPM USD EM CRP BD USD "/>
        <s v="ISHARES USD TREASURY BOND 1- C"/>
        <s v="ISHARES CORE S&amp;P 500 UCITS ETF USD"/>
        <s v="ISHARES J.P. MORGAN  EM BON C"/>
        <s v="ISHARES TREASURY BD 1 3 YR UCITS US"/>
        <s v="ISHARES IV PLC USD SHORT DUR CORP BD"/>
        <s v="ISHARES II PLC USD FLOATING RATE BON"/>
        <s v="ISH CORE MSCI JPN IMI ETF  "/>
        <s v="ISH MSCI ACWI ETF  "/>
        <s v="ISH MSCI CANADA ETF  "/>
        <s v="ISHARES  TIPS UCITS ETF"/>
        <s v="ISHARES CORE MSCI EMU AGGREG USDA"/>
        <s v="ISHARES EDGE S&amp;P 500 MIN VOL"/>
        <s v="ISHARES PHYSICAL GOLD"/>
        <s v="ISHARES IV PLC USD ULTRASHORT BD UCITS ETF"/>
        <s v="ISHARES II PLC USD FLOATING RATE BOND"/>
        <s v="ISHARES CORE MSCI EM IMI UCITS ETF"/>
        <s v="ISHARES IV PLC ISH MSCI USA"/>
        <s v="ISHARES USD CORP BD INT RT HDG ETF"/>
        <s v="SPDR S&amp;P 500 ETF"/>
        <s v="ISHARES II PLC USD HIGH YIELD CORP"/>
        <s v="ISHARES CORE MSCI EMU AGGREG USD"/>
        <s v="ISHARES MSCI USA ESG ENHANCED UCIT"/>
        <s v="ISHARES VII PLC USD TSY BD 3-7 UCITS ETF"/>
      </sharedItems>
    </cacheField>
    <cacheField name="Clasificación del Activo - Fiscal" numFmtId="0">
      <sharedItems containsBlank="1" count="2">
        <m/>
        <s v="Acciones Extranjeras - SIC"/>
      </sharedItems>
    </cacheField>
    <cacheField name="Moneda de Adquisición" numFmtId="0">
      <sharedItems containsBlank="1"/>
    </cacheField>
    <cacheField name="Fecha de Adquisición" numFmtId="0">
      <sharedItems containsNonDate="0" containsDate="1" containsString="0" containsBlank="1" minDate="2017-11-09T00:00:00" maxDate="2022-07-28T00:00:00"/>
    </cacheField>
    <cacheField name="Costo de Adquisición en Moneda Original" numFmtId="0">
      <sharedItems containsString="0" containsBlank="1" containsNumber="1" minValue="182.66600000000003" maxValue="15842626.5"/>
    </cacheField>
    <cacheField name="Sección LISR" numFmtId="0">
      <sharedItems containsBlank="1" containsMixedTypes="1" containsNumber="1" containsInteger="1" minValue="0" maxValue="0" count="3">
        <n v="0"/>
        <s v="Ingresos Sección II LISR (SIC &amp; BMV)"/>
        <m/>
      </sharedItems>
    </cacheField>
    <cacheField name="Unidades Adquiridas" numFmtId="0">
      <sharedItems containsString="0" containsBlank="1" containsNumber="1" containsInteger="1" minValue="0" maxValue="167349"/>
    </cacheField>
    <cacheField name="Costo Unitario en Moneda Original" numFmtId="0">
      <sharedItems containsString="0" containsBlank="1" containsNumber="1" minValue="0" maxValue="425.01"/>
    </cacheField>
    <cacheField name="Equivalencia" numFmtId="0">
      <sharedItems containsString="0" containsBlank="1" containsNumber="1" minValue="0" maxValue="1"/>
    </cacheField>
    <cacheField name="Costo de Adquisición en USD" numFmtId="0">
      <sharedItems containsString="0" containsBlank="1" containsNumber="1" minValue="0" maxValue="860993.59253059712"/>
    </cacheField>
    <cacheField name="Tipo de Cambio de la Fecha de Adquisición" numFmtId="0">
      <sharedItems containsString="0" containsBlank="1" containsNumber="1" minValue="0" maxValue="24.3812"/>
    </cacheField>
    <cacheField name="Costo de Adquisición en MXN" numFmtId="0">
      <sharedItems containsString="0" containsBlank="1" containsNumber="1" minValue="0" maxValue="15842626.5"/>
    </cacheField>
    <cacheField name="INPC de Adquisición" numFmtId="0">
      <sharedItems containsString="0" containsBlank="1" containsNumber="1" minValue="0" maxValue="122.94799999999999"/>
    </cacheField>
    <cacheField name="INPC de Enajenación" numFmtId="0">
      <sharedItems containsString="0" containsBlank="1" containsNumber="1" minValue="0" maxValue="125.997"/>
    </cacheField>
    <cacheField name="Factor " numFmtId="0">
      <sharedItems containsString="0" containsBlank="1" containsNumber="1" minValue="0" maxValue="1.2749999999999999"/>
    </cacheField>
    <cacheField name="Costo Actualizado Total en MXN" numFmtId="0">
      <sharedItems containsString="0" containsBlank="1" containsNumber="1" minValue="0" maxValue="19194926.2674"/>
    </cacheField>
    <cacheField name="Costo Unitario Actualizado Total en MXN" numFmtId="0">
      <sharedItems containsString="0" containsBlank="1" containsNumber="1" minValue="0" maxValue="8680.5566749999998"/>
    </cacheField>
    <cacheField name="S" numFmtId="0">
      <sharedItems containsNonDate="0" containsString="0" containsBlank="1"/>
    </cacheField>
    <cacheField name="Unidades Vendidas" numFmtId="4">
      <sharedItems containsString="0" containsBlank="1" containsNumber="1" containsInteger="1" minValue="3" maxValue="167349"/>
    </cacheField>
    <cacheField name="Tipo de Enajenación" numFmtId="0">
      <sharedItems containsBlank="1"/>
    </cacheField>
    <cacheField name="Fecha de Venta" numFmtId="0">
      <sharedItems containsNonDate="0" containsDate="1" containsString="0" containsBlank="1" minDate="2022-01-24T00:00:00" maxDate="2022-12-03T00:00:00" count="15">
        <m/>
        <d v="2022-02-11T00:00:00"/>
        <d v="2022-01-24T00:00:00"/>
        <d v="2022-04-12T00:00:00"/>
        <d v="2022-05-16T00:00:00"/>
        <d v="2022-04-20T00:00:00"/>
        <d v="2022-07-27T00:00:00"/>
        <d v="2022-05-25T00:00:00"/>
        <d v="2022-06-21T00:00:00"/>
        <d v="2022-06-23T00:00:00"/>
        <d v="2022-07-11T00:00:00"/>
        <d v="2022-07-12T00:00:00"/>
        <d v="2022-10-05T00:00:00"/>
        <d v="2022-10-28T00:00:00"/>
        <d v="2022-12-02T00:00:00"/>
      </sharedItems>
      <fieldGroup par="37" base="22">
        <rangePr groupBy="days" startDate="2022-01-24T00:00:00" endDate="2022-12-03T00:00:00"/>
        <groupItems count="368">
          <s v="(en blanco)"/>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3/12/22"/>
        </groupItems>
      </fieldGroup>
    </cacheField>
    <cacheField name="Moneda de Venta" numFmtId="0">
      <sharedItems containsBlank="1"/>
    </cacheField>
    <cacheField name="Valor de Venta en Moneda Original del Activo" numFmtId="0">
      <sharedItems containsString="0" containsBlank="1" containsNumber="1" minValue="236.2574043622599" maxValue="17915624.18"/>
    </cacheField>
    <cacheField name="Equivalencia2" numFmtId="0">
      <sharedItems containsString="0" containsBlank="1" containsNumber="1" minValue="0" maxValue="1"/>
    </cacheField>
    <cacheField name="Valor de Venta en USD" numFmtId="0">
      <sharedItems containsString="0" containsBlank="1" containsNumber="1" minValue="0" maxValue="890438.5775347912"/>
    </cacheField>
    <cacheField name="Tipo de Cambio de Fecha Venta" numFmtId="0">
      <sharedItems containsString="0" containsBlank="1" containsNumber="1" minValue="0" maxValue="20.6022"/>
    </cacheField>
    <cacheField name="Precio de Venta en MXN" numFmtId="0">
      <sharedItems containsString="0" containsBlank="1" containsNumber="1" minValue="0" maxValue="17915624.18"/>
    </cacheField>
    <cacheField name="Costo Actualizado Total en MXN2" numFmtId="0">
      <sharedItems containsString="0" containsBlank="1" containsNumber="1" minValue="0" maxValue="19194926.2674"/>
    </cacheField>
    <cacheField name="Ganancia / (Pérdida) en MXN" numFmtId="0">
      <sharedItems containsString="0" containsBlank="1" containsNumber="1" minValue="-2006905.2837112257" maxValue="467981.46711553726"/>
    </cacheField>
    <cacheField name="Años de Tenencia" numFmtId="0">
      <sharedItems containsString="0" containsBlank="1" containsNumber="1" minValue="0" maxValue="4.9068493150684933"/>
    </cacheField>
    <cacheField name="Años Completos" numFmtId="0">
      <sharedItems containsString="0" containsBlank="1" containsNumber="1" containsInteger="1" minValue="1" maxValue="1"/>
    </cacheField>
    <cacheField name="Ganancia Acumulable / (Pérdida deducible)" numFmtId="0">
      <sharedItems containsString="0" containsBlank="1" containsNumber="1" minValue="-2006905.2837112257" maxValue="467981.46711553726"/>
    </cacheField>
    <cacheField name="Ganancia No Acumulable / (Pérdida Acreditable)" numFmtId="0">
      <sharedItems containsString="0" containsBlank="1" containsNumber="1" containsInteger="1" minValue="0" maxValue="0"/>
    </cacheField>
    <cacheField name="N" numFmtId="0">
      <sharedItems containsNonDate="0" containsString="0" containsBlank="1"/>
    </cacheField>
    <cacheField name="Gain / Loss in USD" numFmtId="0">
      <sharedItems containsString="0" containsBlank="1" containsNumber="1" minValue="-85840.162089618098" maxValue="59347.101760125603"/>
    </cacheField>
    <cacheField name="Months" numFmtId="0" databaseField="0">
      <fieldGroup base="22">
        <rangePr groupBy="months" startDate="2022-01-24T00:00:00" endDate="2022-12-03T00:00:00"/>
        <groupItems count="14">
          <s v="&lt;24/01/22"/>
          <s v="ene"/>
          <s v="feb"/>
          <s v="mar"/>
          <s v="abr"/>
          <s v="may"/>
          <s v="jun"/>
          <s v="jul"/>
          <s v="ago"/>
          <s v="sep"/>
          <s v="oct"/>
          <s v="nov"/>
          <s v="dic"/>
          <s v="&gt;03/12/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Vazquez" refreshedDate="44966.777003009258" missingItemsLimit="0" createdVersion="6" refreshedVersion="8" minRefreshableVersion="3" recordCount="500" xr:uid="{3B79379F-0A2B-0649-90C1-C32FE32FBAA7}">
  <cacheSource type="worksheet">
    <worksheetSource ref="B1:AO1048576" sheet="Ventas OFD"/>
  </cacheSource>
  <cacheFields count="40">
    <cacheField name="Número de Cuenta" numFmtId="0">
      <sharedItems containsBlank="1" count="2">
        <s v="029-27051-9"/>
        <m/>
      </sharedItems>
    </cacheField>
    <cacheField name="Seleccionar la Operación Financiera Derivada (OFD) de que se trata" numFmtId="0">
      <sharedItems containsBlank="1" count="2">
        <s v="Derivados Extranjero - SIC"/>
        <m/>
      </sharedItems>
    </cacheField>
    <cacheField name="Seleccionar el Tipo de Operación Inicial" numFmtId="0">
      <sharedItems containsBlank="1" count="2">
        <s v="Sale Option"/>
        <m/>
      </sharedItems>
    </cacheField>
    <cacheField name="Nombre de la OFD" numFmtId="0">
      <sharedItems containsBlank="1" count="63">
        <s v="PUT/SPY @ 409 EXP 03/18/2022"/>
        <s v="PUT/SPY @ 419 EXP 03/18/2022"/>
        <s v="PUT/SPY @ 420 EXP 01/21/2022"/>
        <s v="PUT/SPY @ 433 EXP 02/18/2022"/>
        <s v="PUT/SPY @ 447 EXP 02/18/2022"/>
        <s v="PUT/SPY @ 457 EXP 02/04/2022"/>
        <s v="PUT/SPY @ 456 EXP 02/11/2022"/>
        <s v="PUT/SPY @ 426 EXP 04/14/2022"/>
        <s v="PUT/SPY @ 420 EXP 03/04/2022"/>
        <s v="PUT/SPY @ 395 EXP 01/21/2022"/>
        <s v="PUT/SPY @ 443 EXP 01/14/2022"/>
        <s v="PUT/SPY @ 422 EXP 05/20/2022"/>
        <s v="PUT/SPY @ 429 EXP 04/14/2022"/>
        <s v="PUT/SPY @ 433 EXP 03/31/2022"/>
        <s v="PUT/SPY @ 380 EXP 06/17/2022"/>
        <s v="PUT/SPY @ 390 EXP 05/20/2022"/>
        <s v="PUT/SPY @ 385 EXP 06/17/2022"/>
        <s v="PUT/SPY @ 415 EXP 04/29/2022"/>
        <s v="PUT/SPY @ 433 EXP 05/06/2022"/>
        <s v="PUT/SPY @ 425 EXP 05/27/2022"/>
        <s v="PUT/SPY @ 415 EXP 07/15/2022"/>
        <s v="PUT/SPY @ 420 EXP 06/30/2022"/>
        <s v="PUT/SPY @ 390 EXP 08/19/2022"/>
        <s v="PUT/SPY @ 400 EXP 06/10/2022"/>
        <s v="PUT/SPY @ 370 EXP 08/19/2022"/>
        <s v="PUT/SPY @ 378 EXP 07/15/2022"/>
        <m/>
        <s v="PUT/SPY @ 360 EXP 09/30/2022"/>
        <s v="PUT/SPY @ 365 EXP 09/16/2022"/>
        <s v="PUT/SPY @ 385 EXP 07/29/2022"/>
        <s v="PUT/SPY @ 335 EXP 10/21/2022"/>
        <s v="PUT/SPY @ 320 EXP 09/16/2022"/>
        <s v="PUT/SPY @ 315 EXP 10/21/2022"/>
        <s v="PUT/SPY @ 352 EXP 10/21/2022"/>
        <s v="PUT/SPY @ 336 EXP 09/30/2022"/>
        <s v="PUT/SPY @ 340 EXP 11/18/2022"/>
        <s v="PUT/SPY @ 345 EXP 11/18/2022"/>
        <s v="PUT/SPY @ 378 EXP 08/26/2022"/>
        <s v="PUT/SPY @ 355 EXP 11/18/2022"/>
        <s v="PUT/SPY @ 375 EXP 10/21/2022"/>
        <s v="PUT/SPY @ 399 EXP 09/23/2022"/>
        <s v="PUT/SPY @ 380 EXP 11/18/2022"/>
        <s v="PUT/SPY @ 403 EXP 09/16/2022"/>
        <s v="PUT/SPY @ 390 EXP 10/07/2022"/>
        <s v="PUT/SPY @ 360 EXP 11/04/2022"/>
        <s v="PUT/SPY @ 345 EXP 12/02/2022"/>
        <s v="PUT/SPY @ 350 EXP 12/02/2022"/>
        <s v="PUT/SPY @ 355 EXP 12/09/2022"/>
        <s v="PUT/SPY @ 368 EXP 10/28/2022"/>
        <s v="PUT/SPY @ 360 EXP 12/16/2022"/>
        <s v="PUT/SPY @ 335 EXP 12/16/2022"/>
        <s v="PUT/SPY @ 355 EXP 01/20/2023"/>
        <s v="PUT/SPY @ 335 EXP 01/20/2023"/>
        <s v="PUT/SPY @ 340 EXP 02/17/2023"/>
        <s v="PUT/SPY @ 344 EXP 02/17/2023"/>
        <s v="PUT/SPY @ 365 EXP 12/23/2022"/>
        <s v="PUT/SPY @ 372 EXP 12/23/2022"/>
        <s v="PUT/SPY @ 375 EXP 01/06/2023"/>
        <s v="PUT/SPY @ 380 EXP 01/13/2023"/>
        <s v="PUT/SPY @ 370 EXP 01/27/2023 "/>
        <s v="PUT/SPY @ 358 EXP 03/17/2023"/>
        <s v="PUT/SPY @ 323 EXP 03/17/2023 "/>
        <s v="PUT/SPY @ 340 EXP 02/03/2023 "/>
      </sharedItems>
    </cacheField>
    <cacheField name="Moneda Original - Mov Inicial" numFmtId="0">
      <sharedItems containsBlank="1"/>
    </cacheField>
    <cacheField name="Fecha de Operación Inicial" numFmtId="0">
      <sharedItems containsNonDate="0" containsDate="1" containsString="0" containsBlank="1" minDate="2021-10-07T00:00:00" maxDate="2022-12-23T00:00:00" count="49">
        <d v="2021-12-21T00:00:00"/>
        <d v="2021-12-07T00:00:00"/>
        <d v="2021-10-21T00:00:00"/>
        <d v="2021-11-02T00:00:00"/>
        <d v="2021-11-22T00:00:00"/>
        <d v="2021-12-28T00:00:00"/>
        <d v="2022-01-05T00:00:00"/>
        <d v="2022-01-11T00:00:00"/>
        <d v="2022-01-18T00:00:00"/>
        <d v="2021-10-07T00:00:00"/>
        <d v="2021-12-13T00:00:00"/>
        <d v="2022-02-03T00:00:00"/>
        <d v="2022-02-10T00:00:00"/>
        <d v="2022-02-17T00:00:00"/>
        <d v="2022-03-03T00:00:00"/>
        <d v="2022-03-17T00:00:00"/>
        <d v="2022-03-28T00:00:00"/>
        <d v="2022-04-08T00:00:00"/>
        <d v="2022-04-12T00:00:00"/>
        <d v="2022-04-21T00:00:00"/>
        <d v="2022-05-05T00:00:00"/>
        <d v="2022-05-16T00:00:00"/>
        <m/>
        <d v="2022-05-26T00:00:00"/>
        <d v="2022-06-09T00:00:00"/>
        <d v="2022-06-16T00:00:00"/>
        <d v="2022-06-21T00:00:00"/>
        <d v="2022-06-23T00:00:00"/>
        <d v="2022-06-29T00:00:00"/>
        <d v="2022-07-12T00:00:00"/>
        <d v="2022-07-17T00:00:00"/>
        <d v="2022-07-26T00:00:00"/>
        <d v="2022-08-05T00:00:00"/>
        <d v="2022-08-12T00:00:00"/>
        <d v="2022-08-16T00:00:00"/>
        <d v="2022-08-25T00:00:00"/>
        <d v="2022-10-04T00:00:00"/>
        <d v="2022-10-19T00:00:00"/>
        <d v="2022-10-27T00:00:00"/>
        <d v="2022-09-15T00:00:00"/>
        <d v="2022-09-19T00:00:00"/>
        <d v="2022-09-28T00:00:00"/>
        <d v="2022-11-03T00:00:00"/>
        <d v="2022-11-14T00:00:00"/>
        <d v="2022-11-23T00:00:00"/>
        <d v="2022-12-02T00:00:00"/>
        <d v="2022-12-08T00:00:00"/>
        <d v="2022-12-15T00:00:00"/>
        <d v="2022-12-22T00:00:00"/>
      </sharedItems>
    </cacheField>
    <cacheField name="Número de Títulos Operación Inicial" numFmtId="0">
      <sharedItems containsString="0" containsBlank="1" containsNumber="1" containsInteger="1" minValue="-8" maxValue="-1" count="9">
        <n v="-6"/>
        <n v="-5"/>
        <n v="-7"/>
        <n v="-1"/>
        <n v="-2"/>
        <m/>
        <n v="-4"/>
        <n v="-8"/>
        <n v="-3"/>
      </sharedItems>
    </cacheField>
    <cacheField name="Monto Inicial en Moneda Original" numFmtId="0">
      <sharedItems containsString="0" containsBlank="1" containsNumber="1" minValue="479.98" maxValue="10366.94"/>
    </cacheField>
    <cacheField name="Tipo de Activo" numFmtId="0">
      <sharedItems containsBlank="1" containsMixedTypes="1" containsNumber="1" containsInteger="1" minValue="0" maxValue="0" count="3">
        <s v="Derivados Cap IV, Sec II - SIC &amp; BMV"/>
        <n v="0"/>
        <m/>
      </sharedItems>
    </cacheField>
    <cacheField name="Equivalencia - Movimiento Inicial" numFmtId="0">
      <sharedItems containsBlank="1" containsMixedTypes="1" containsNumber="1" containsInteger="1" minValue="1" maxValue="1"/>
    </cacheField>
    <cacheField name="Monto Inicial en USD" numFmtId="0">
      <sharedItems containsBlank="1" containsMixedTypes="1" containsNumber="1" minValue="479.98" maxValue="10366.94"/>
    </cacheField>
    <cacheField name="Tipo de Cambio de Operación Inicial" numFmtId="0">
      <sharedItems containsString="0" containsBlank="1" containsNumber="1" minValue="0" maxValue="21.4177"/>
    </cacheField>
    <cacheField name="Monto Inicial en MXN" numFmtId="0">
      <sharedItems containsBlank="1" containsMixedTypes="1" containsNumber="1" minValue="9478.7410360000013" maxValue="210811.72490000003"/>
    </cacheField>
    <cacheField name="INPC Operación Inicial" numFmtId="0">
      <sharedItems containsString="0" containsBlank="1" containsNumber="1" minValue="0" maxValue="126.47799999999999"/>
    </cacheField>
    <cacheField name="INPC Operación Final" numFmtId="0">
      <sharedItems containsString="0" containsBlank="1" containsNumber="1" minValue="0" maxValue="126.47799999999999"/>
    </cacheField>
    <cacheField name="Factor " numFmtId="0">
      <sharedItems containsString="0" containsBlank="1" containsNumber="1" minValue="0" maxValue="1.0293000000000001"/>
    </cacheField>
    <cacheField name="Operación Original Actualizada en MXN" numFmtId="0">
      <sharedItems containsBlank="1" containsMixedTypes="1" containsNumber="1" minValue="0" maxValue="215639.31340021003"/>
    </cacheField>
    <cacheField name="Valor Unitario en MXN" numFmtId="0">
      <sharedItems containsString="0" containsBlank="1" containsNumber="1" minValue="0" maxValue="30805.616200030003"/>
    </cacheField>
    <cacheField name="Realizado" numFmtId="0">
      <sharedItems containsBlank="1" count="3">
        <s v="SI"/>
        <s v="NO"/>
        <m/>
      </sharedItems>
    </cacheField>
    <cacheField name="Número de Títulos - Operación Final" numFmtId="0">
      <sharedItems containsString="0" containsBlank="1" containsNumber="1" containsInteger="1" minValue="1" maxValue="8" count="9">
        <n v="6"/>
        <n v="5"/>
        <n v="7"/>
        <n v="1"/>
        <n v="2"/>
        <m/>
        <n v="4"/>
        <n v="8"/>
        <n v="3"/>
      </sharedItems>
    </cacheField>
    <cacheField name="Seleccionar el Tipo de Operación Final" numFmtId="0">
      <sharedItems containsBlank="1" count="3">
        <s v="Purchase Option"/>
        <m/>
        <s v="Assignment Option"/>
      </sharedItems>
    </cacheField>
    <cacheField name="Fecha de Operación Final" numFmtId="0">
      <sharedItems containsNonDate="0" containsDate="1" containsString="0" containsBlank="1" minDate="2022-01-05T00:00:00" maxDate="2022-12-23T00:00:00" count="43">
        <d v="2022-03-17T00:00:00"/>
        <d v="2022-01-18T00:00:00"/>
        <d v="2022-02-17T00:00:00"/>
        <d v="2022-02-03T00:00:00"/>
        <d v="2022-02-10T00:00:00"/>
        <d v="2022-04-08T00:00:00"/>
        <d v="2022-03-03T00:00:00"/>
        <d v="2022-01-05T00:00:00"/>
        <d v="2022-01-11T00:00:00"/>
        <d v="2022-05-16T00:00:00"/>
        <d v="2022-04-12T00:00:00"/>
        <d v="2022-03-28T00:00:00"/>
        <d v="2022-06-16T00:00:00"/>
        <d v="2022-04-21T00:00:00"/>
        <d v="2022-05-05T00:00:00"/>
        <d v="2022-05-26T00:00:00"/>
        <d v="2022-07-14T00:00:00"/>
        <d v="2022-06-29T00:00:00"/>
        <d v="2022-08-12T00:00:00"/>
        <d v="2022-06-09T00:00:00"/>
        <d v="2022-08-16T00:00:00"/>
        <m/>
        <d v="2022-09-28T00:00:00"/>
        <d v="2022-09-15T00:00:00"/>
        <d v="2022-07-26T00:00:00"/>
        <d v="2022-08-05T00:00:00"/>
        <d v="2022-10-19T00:00:00"/>
        <d v="2022-11-03T00:00:00"/>
        <d v="2022-11-14T00:00:00"/>
        <d v="2022-08-25T00:00:00"/>
        <d v="2022-09-19T00:00:00"/>
        <d v="2022-10-04T00:00:00"/>
        <d v="2022-05-24T00:00:00"/>
        <d v="2022-06-17T00:00:00"/>
        <d v="2022-06-22T00:00:00"/>
        <d v="2022-07-08T00:00:00"/>
        <d v="2022-07-11T00:00:00"/>
        <d v="2022-11-23T00:00:00"/>
        <d v="2022-12-02T00:00:00"/>
        <d v="2022-10-27T00:00:00"/>
        <d v="2022-12-15T00:00:00"/>
        <d v="2022-12-08T00:00:00"/>
        <d v="2022-12-22T00:00:00"/>
      </sharedItems>
    </cacheField>
    <cacheField name="Moneda Original - Mov Final" numFmtId="0">
      <sharedItems containsBlank="1"/>
    </cacheField>
    <cacheField name="Monto Final en Moneda Original" numFmtId="0">
      <sharedItems containsString="0" containsBlank="1" containsNumber="1" minValue="-12670.74" maxValue="0"/>
    </cacheField>
    <cacheField name="Equivalencia" numFmtId="0">
      <sharedItems containsString="0" containsBlank="1" containsNumber="1" containsInteger="1" minValue="0" maxValue="1"/>
    </cacheField>
    <cacheField name="Monto Final en USD" numFmtId="0">
      <sharedItems containsString="0" containsBlank="1" containsNumber="1" minValue="-12670.74" maxValue="0"/>
    </cacheField>
    <cacheField name="Tipo de Cambio Operación Final" numFmtId="0">
      <sharedItems containsString="0" containsBlank="1" containsNumber="1" minValue="0" maxValue="20.874300000000002"/>
    </cacheField>
    <cacheField name="Monto Final en MXN" numFmtId="0">
      <sharedItems containsString="0" containsBlank="1" containsNumber="1" minValue="-257469.4368" maxValue="0"/>
    </cacheField>
    <cacheField name="Operación Original Actualizada en MXN2" numFmtId="0">
      <sharedItems containsString="0" containsBlank="1" containsNumber="1" minValue="0" maxValue="215639.31340021003"/>
    </cacheField>
    <cacheField name="Ganancia / (Pérdida) en MXN" numFmtId="0">
      <sharedItems containsString="0" containsBlank="1" containsNumber="1" minValue="-170458.05781735084" maxValue="214521.76620021003"/>
    </cacheField>
    <cacheField name="Years held" numFmtId="0">
      <sharedItems containsString="0" containsBlank="1" containsNumber="1" containsInteger="1" minValue="0" maxValue="1"/>
    </cacheField>
    <cacheField name="Complete years" numFmtId="0">
      <sharedItems containsString="0" containsBlank="1" containsNumber="1" containsInteger="1" minValue="1" maxValue="1"/>
    </cacheField>
    <cacheField name="Taxable gain/ Loss deductible MXN " numFmtId="0">
      <sharedItems containsString="0" containsBlank="1" containsNumber="1" minValue="-170458.05781735084" maxValue="214521.76620021003"/>
    </cacheField>
    <cacheField name="No taxable gain/ Creditable loss MXN " numFmtId="0">
      <sharedItems containsString="0" containsBlank="1" containsNumber="1" containsInteger="1" minValue="0" maxValue="0"/>
    </cacheField>
    <cacheField name="N" numFmtId="0">
      <sharedItems containsNonDate="0" containsString="0" containsBlank="1"/>
    </cacheField>
    <cacheField name="Gain / Loss in USD" numFmtId="0">
      <sharedItems containsBlank="1" containsMixedTypes="1" containsNumber="1" minValue="-8372.2400000000016" maxValue="10310.94"/>
    </cacheField>
    <cacheField name="ADD" numFmtId="0">
      <sharedItems containsNonDate="0" containsString="0" containsBlank="1"/>
    </cacheField>
    <cacheField name="% De ganancia" numFmtId="0">
      <sharedItems containsNonDate="0" containsString="0" containsBlank="1"/>
    </cacheField>
    <cacheField name="B" numFmtId="0">
      <sharedItems containsNonDate="0" containsString="0" containsBlank="1"/>
    </cacheField>
    <cacheField name="C"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Vazquez" refreshedDate="44966.77703449074" missingItemsLimit="0" createdVersion="6" refreshedVersion="8" minRefreshableVersion="3" recordCount="560" xr:uid="{1CC77A83-6BC6-9A46-A482-3CBFCF9B4B77}">
  <cacheSource type="worksheet">
    <worksheetSource ref="B1:AO1048576" sheet="Ventas Acciones &amp; Bonos"/>
  </cacheSource>
  <cacheFields count="40">
    <cacheField name="Account Number" numFmtId="0">
      <sharedItems containsBlank="1" count="4">
        <m/>
        <s v="35D051771768"/>
        <s v="35D043931768"/>
        <s v="GS 029-27051-9"/>
      </sharedItems>
    </cacheField>
    <cacheField name="Tipo de adquisición" numFmtId="0">
      <sharedItems containsBlank="1"/>
    </cacheField>
    <cacheField name="Nombre del Activo" numFmtId="0">
      <sharedItems containsBlank="1" count="32">
        <m/>
        <s v="ISHARES USD CORP BOND INTERE USD_A"/>
        <s v="ISHARES US MORTGAGE BACKED S C"/>
        <s v="ISHARES US AGGREGATE BOND AG C"/>
        <s v="ISHARES USD HY CORP BOND UCITS ETF"/>
        <s v="ISHARES CORE FTSE 100 UCITS  USD H"/>
        <s v="ISHARES DEVELOPED MARKETS PR C"/>
        <s v="ISHARES  TREASURY BOND 20+Y C"/>
        <s v="ISHR JPM USD EM CRP BD USD "/>
        <s v="ISHARES USD TREASURY BOND 1- C"/>
        <s v="ISHARES CORE S&amp;P 500 UCITS ETF USD"/>
        <s v="ISHARES J.P. MORGAN  EM BON C"/>
        <s v="ISHARES TREASURY BD 1 3 YR UCITS US"/>
        <s v="ISHARES IV PLC USD SHORT DUR CORP BD"/>
        <s v="ISHARES II PLC USD FLOATING RATE BON"/>
        <s v="ISH CORE MSCI JPN IMI ETF  "/>
        <s v="ISH MSCI ACWI ETF  "/>
        <s v="ISH MSCI CANADA ETF  "/>
        <s v="ISHARES  TIPS UCITS ETF"/>
        <s v="ISHARES CORE MSCI EMU AGGREG USDA"/>
        <s v="ISHARES EDGE S&amp;P 500 MIN VOL"/>
        <s v="ISHARES PHYSICAL GOLD"/>
        <s v="ISHARES IV PLC USD ULTRASHORT BD UCITS ETF"/>
        <s v="ISHARES II PLC USD FLOATING RATE BOND"/>
        <s v="ISHARES CORE MSCI EM IMI UCITS ETF"/>
        <s v="ISHARES IV PLC ISH MSCI USA"/>
        <s v="ISHARES USD CORP BD INT RT HDG ETF"/>
        <s v="SPDR S&amp;P 500 ETF"/>
        <s v="ISHARES II PLC USD HIGH YIELD CORP"/>
        <s v="ISHARES CORE MSCI EMU AGGREG USD"/>
        <s v="ISHARES MSCI USA ESG ENHANCED UCIT"/>
        <s v="ISHARES VII PLC USD TSY BD 3-7 UCITS ETF"/>
      </sharedItems>
    </cacheField>
    <cacheField name="Clasificación del Activo - Fiscal" numFmtId="0">
      <sharedItems containsBlank="1" count="2">
        <m/>
        <s v="Acciones Extranjeras - SIC"/>
      </sharedItems>
    </cacheField>
    <cacheField name="Moneda de Adquisición" numFmtId="0">
      <sharedItems containsBlank="1" count="3">
        <m/>
        <s v="USD"/>
        <s v="MXN"/>
      </sharedItems>
    </cacheField>
    <cacheField name="Fecha de Adquisición" numFmtId="0">
      <sharedItems containsNonDate="0" containsDate="1" containsString="0" containsBlank="1" minDate="2017-11-09T00:00:00" maxDate="2022-07-28T00:00:00" count="29">
        <m/>
        <d v="2021-01-22T00:00:00"/>
        <d v="2021-04-07T00:00:00"/>
        <d v="2021-06-23T00:00:00"/>
        <d v="2021-09-02T00:00:00"/>
        <d v="2021-10-22T00:00:00"/>
        <d v="2021-04-16T00:00:00"/>
        <d v="2021-02-04T00:00:00"/>
        <d v="2020-10-14T00:00:00"/>
        <d v="2020-11-23T00:00:00"/>
        <d v="2020-05-06T00:00:00"/>
        <d v="2017-11-10T00:00:00"/>
        <d v="2018-02-02T00:00:00"/>
        <d v="2017-11-09T00:00:00"/>
        <d v="2018-02-09T00:00:00"/>
        <d v="2017-11-17T00:00:00"/>
        <d v="2017-11-14T00:00:00"/>
        <d v="2018-02-06T00:00:00"/>
        <d v="2022-01-25T00:00:00"/>
        <d v="2020-06-03T00:00:00"/>
        <d v="2021-04-08T00:00:00"/>
        <d v="2022-02-11T00:00:00"/>
        <d v="2022-04-20T00:00:00"/>
        <d v="2022-05-24T00:00:00"/>
        <d v="2022-06-17T00:00:00"/>
        <d v="2022-06-22T00:00:00"/>
        <d v="2022-07-08T00:00:00"/>
        <d v="2022-07-11T00:00:00"/>
        <d v="2022-07-27T00:00:00"/>
      </sharedItems>
    </cacheField>
    <cacheField name="Costo de Adquisición en Moneda Original" numFmtId="0">
      <sharedItems containsString="0" containsBlank="1" containsNumber="1" minValue="182.66600000000003" maxValue="15842626.5"/>
    </cacheField>
    <cacheField name="Sección LISR" numFmtId="0">
      <sharedItems containsBlank="1" containsMixedTypes="1" containsNumber="1" containsInteger="1" minValue="0" maxValue="0" count="3">
        <n v="0"/>
        <s v="Ingresos Sección II LISR (SIC &amp; BMV)"/>
        <m/>
      </sharedItems>
    </cacheField>
    <cacheField name="Unidades Adquiridas" numFmtId="0">
      <sharedItems containsString="0" containsBlank="1" containsNumber="1" containsInteger="1" minValue="0" maxValue="167349"/>
    </cacheField>
    <cacheField name="Costo Unitario en Moneda Original" numFmtId="0">
      <sharedItems containsString="0" containsBlank="1" containsNumber="1" minValue="0" maxValue="425.01"/>
    </cacheField>
    <cacheField name="Equivalencia" numFmtId="0">
      <sharedItems containsString="0" containsBlank="1" containsNumber="1" minValue="0" maxValue="1"/>
    </cacheField>
    <cacheField name="Costo de Adquisición en USD" numFmtId="0">
      <sharedItems containsString="0" containsBlank="1" containsNumber="1" minValue="0" maxValue="860993.59253059712"/>
    </cacheField>
    <cacheField name="Tipo de Cambio de la Fecha de Adquisición" numFmtId="0">
      <sharedItems containsString="0" containsBlank="1" containsNumber="1" minValue="0" maxValue="24.3812"/>
    </cacheField>
    <cacheField name="Costo de Adquisición en MXN" numFmtId="0">
      <sharedItems containsString="0" containsBlank="1" containsNumber="1" minValue="0" maxValue="15842626.5"/>
    </cacheField>
    <cacheField name="INPC de Adquisición" numFmtId="0">
      <sharedItems containsString="0" containsBlank="1" containsNumber="1" minValue="0" maxValue="122.94799999999999"/>
    </cacheField>
    <cacheField name="INPC de Enajenación" numFmtId="0">
      <sharedItems containsString="0" containsBlank="1" containsNumber="1" minValue="0" maxValue="125.997"/>
    </cacheField>
    <cacheField name="Factor " numFmtId="0">
      <sharedItems containsString="0" containsBlank="1" containsNumber="1" minValue="0" maxValue="1.2749999999999999"/>
    </cacheField>
    <cacheField name="Costo Actualizado Total en MXN" numFmtId="0">
      <sharedItems containsString="0" containsBlank="1" containsNumber="1" minValue="0" maxValue="19194926.2674"/>
    </cacheField>
    <cacheField name="Costo Unitario Actualizado Total en MXN" numFmtId="0">
      <sharedItems containsString="0" containsBlank="1" containsNumber="1" minValue="0" maxValue="8680.5566749999998"/>
    </cacheField>
    <cacheField name="S" numFmtId="0">
      <sharedItems containsNonDate="0" containsString="0" containsBlank="1"/>
    </cacheField>
    <cacheField name="Unidades Vendidas" numFmtId="4">
      <sharedItems containsString="0" containsBlank="1" containsNumber="1" containsInteger="1" minValue="3" maxValue="167349"/>
    </cacheField>
    <cacheField name="Tipo de Enajenación" numFmtId="0">
      <sharedItems containsBlank="1"/>
    </cacheField>
    <cacheField name="Fecha de Venta" numFmtId="0">
      <sharedItems containsNonDate="0" containsDate="1" containsString="0" containsBlank="1" minDate="2022-01-24T00:00:00" maxDate="2022-12-03T00:00:00" count="15">
        <m/>
        <d v="2022-02-11T00:00:00"/>
        <d v="2022-01-24T00:00:00"/>
        <d v="2022-04-12T00:00:00"/>
        <d v="2022-05-16T00:00:00"/>
        <d v="2022-04-20T00:00:00"/>
        <d v="2022-07-27T00:00:00"/>
        <d v="2022-05-25T00:00:00"/>
        <d v="2022-06-21T00:00:00"/>
        <d v="2022-06-23T00:00:00"/>
        <d v="2022-07-11T00:00:00"/>
        <d v="2022-07-12T00:00:00"/>
        <d v="2022-10-05T00:00:00"/>
        <d v="2022-10-28T00:00:00"/>
        <d v="2022-12-02T00:00:00"/>
      </sharedItems>
    </cacheField>
    <cacheField name="Moneda de Venta" numFmtId="0">
      <sharedItems containsBlank="1" count="3">
        <m/>
        <s v="USD"/>
        <s v="MXN"/>
      </sharedItems>
    </cacheField>
    <cacheField name="Valor de Venta en Moneda Original del Activo" numFmtId="0">
      <sharedItems containsString="0" containsBlank="1" containsNumber="1" minValue="236.2574043622599" maxValue="17915624.18"/>
    </cacheField>
    <cacheField name="Equivalencia2" numFmtId="0">
      <sharedItems containsString="0" containsBlank="1" containsNumber="1" minValue="0" maxValue="1"/>
    </cacheField>
    <cacheField name="Valor de Venta en USD" numFmtId="0">
      <sharedItems containsString="0" containsBlank="1" containsNumber="1" minValue="0" maxValue="890438.5775347912"/>
    </cacheField>
    <cacheField name="Tipo de Cambio de Fecha Venta" numFmtId="0">
      <sharedItems containsString="0" containsBlank="1" containsNumber="1" minValue="0" maxValue="20.6022"/>
    </cacheField>
    <cacheField name="Precio de Venta en MXN" numFmtId="0">
      <sharedItems containsString="0" containsBlank="1" containsNumber="1" minValue="0" maxValue="17915624.18"/>
    </cacheField>
    <cacheField name="Costo Actualizado Total en MXN2" numFmtId="0">
      <sharedItems containsString="0" containsBlank="1" containsNumber="1" minValue="0" maxValue="19194926.2674"/>
    </cacheField>
    <cacheField name="Ganancia / (Pérdida) en MXN" numFmtId="0">
      <sharedItems containsString="0" containsBlank="1" containsNumber="1" minValue="-2006905.2837112257" maxValue="467981.46711553726"/>
    </cacheField>
    <cacheField name="Años de Tenencia" numFmtId="0">
      <sharedItems containsString="0" containsBlank="1" containsNumber="1" minValue="0" maxValue="4.9068493150684933"/>
    </cacheField>
    <cacheField name="Años Completos" numFmtId="0">
      <sharedItems containsString="0" containsBlank="1" containsNumber="1" containsInteger="1" minValue="1" maxValue="1"/>
    </cacheField>
    <cacheField name="Ganancia Acumulable / (Pérdida deducible)" numFmtId="0">
      <sharedItems containsString="0" containsBlank="1" containsNumber="1" minValue="-2006905.2837112257" maxValue="467981.46711553726"/>
    </cacheField>
    <cacheField name="Ganancia No Acumulable / (Pérdida Acreditable)" numFmtId="0">
      <sharedItems containsString="0" containsBlank="1" containsNumber="1" containsInteger="1" minValue="0" maxValue="0"/>
    </cacheField>
    <cacheField name="N" numFmtId="0">
      <sharedItems containsNonDate="0" containsString="0" containsBlank="1"/>
    </cacheField>
    <cacheField name="Gain / Loss in USD" numFmtId="0">
      <sharedItems containsString="0" containsBlank="1" containsNumber="1" minValue="-85840.162089618098" maxValue="59347.101760125603"/>
    </cacheField>
    <cacheField name="ADD" numFmtId="0">
      <sharedItems containsNonDate="0" containsString="0" containsBlank="1"/>
    </cacheField>
    <cacheField name="% De ganancia" numFmtId="0">
      <sharedItems containsString="0" containsBlank="1" containsNumber="1" minValue="-0.21524138495688686" maxValue="0.61030921005011463"/>
    </cacheField>
    <cacheField name="B"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
  <r>
    <x v="0"/>
    <m/>
    <x v="0"/>
    <x v="0"/>
    <m/>
    <m/>
    <m/>
    <x v="0"/>
    <n v="0"/>
    <n v="0"/>
    <n v="0"/>
    <n v="0"/>
    <n v="0"/>
    <n v="0"/>
    <n v="0"/>
    <n v="0"/>
    <n v="0"/>
    <n v="0"/>
    <n v="0"/>
    <m/>
    <m/>
    <m/>
    <x v="0"/>
    <m/>
    <m/>
    <n v="0"/>
    <n v="0"/>
    <n v="0"/>
    <n v="0"/>
    <n v="0"/>
    <n v="0"/>
    <n v="0"/>
    <n v="1"/>
    <n v="0"/>
    <n v="0"/>
    <m/>
    <n v="0"/>
  </r>
  <r>
    <x v="1"/>
    <s v="Purchase"/>
    <x v="1"/>
    <x v="1"/>
    <s v="USD"/>
    <d v="2021-01-22T00:00:00"/>
    <n v="227758.02275159437"/>
    <x v="1"/>
    <n v="41209"/>
    <n v="5.5269000158119432"/>
    <n v="1"/>
    <n v="227758.02275159437"/>
    <n v="19.5793"/>
    <n v="4459342.6548602916"/>
    <n v="110.21"/>
    <n v="118.002"/>
    <n v="1.0707"/>
    <n v="4774618.1805589143"/>
    <n v="115.86348080659357"/>
    <m/>
    <n v="41209"/>
    <s v="Sale"/>
    <x v="1"/>
    <s v="USD"/>
    <n v="226711.31336324479"/>
    <n v="1"/>
    <n v="226711.31336324479"/>
    <n v="20.500800000000002"/>
    <n v="4647763.2929972094"/>
    <n v="4774618.1805589143"/>
    <n v="-126854.88756170496"/>
    <n v="1.0547945205479452"/>
    <n v="1"/>
    <n v="-126854.88756170496"/>
    <n v="0"/>
    <m/>
    <n v="-1046.7093883495836"/>
  </r>
  <r>
    <x v="1"/>
    <s v="Purchase"/>
    <x v="1"/>
    <x v="1"/>
    <s v="USD"/>
    <d v="2021-04-07T00:00:00"/>
    <n v="578372.30000000005"/>
    <x v="1"/>
    <n v="103386"/>
    <n v="5.5943000019344984"/>
    <n v="1"/>
    <n v="578372.30000000005"/>
    <n v="20.2483"/>
    <n v="11711055.842090001"/>
    <n v="112.19"/>
    <n v="118.002"/>
    <n v="1.0518000000000001"/>
    <n v="12317688.534710264"/>
    <n v="119.14271308214133"/>
    <m/>
    <n v="103386"/>
    <s v="Sale"/>
    <x v="1"/>
    <s v="USD"/>
    <n v="568778.07865690568"/>
    <n v="1"/>
    <n v="568778.07865690568"/>
    <n v="20.500800000000002"/>
    <n v="11660405.634929493"/>
    <n v="12317688.534710264"/>
    <n v="-657282.89978077076"/>
    <n v="0.84931506849315064"/>
    <n v="1"/>
    <n v="-657282.89978077076"/>
    <n v="0"/>
    <m/>
    <n v="-9594.2213430943666"/>
  </r>
  <r>
    <x v="1"/>
    <s v="Purchase"/>
    <x v="1"/>
    <x v="1"/>
    <s v="USD"/>
    <d v="2021-06-23T00:00:00"/>
    <n v="8658.2800000000007"/>
    <x v="1"/>
    <n v="1536"/>
    <n v="5.6369010416666674"/>
    <n v="1"/>
    <n v="8658.2800000000007"/>
    <n v="20.6"/>
    <n v="178360.56800000003"/>
    <n v="113.018"/>
    <n v="118.002"/>
    <n v="1.044"/>
    <n v="186208.43299200005"/>
    <n v="121.22944856250002"/>
    <m/>
    <n v="1536"/>
    <s v="Sale"/>
    <x v="1"/>
    <s v="USD"/>
    <n v="8450.3039949026661"/>
    <n v="1"/>
    <n v="8450.3039949026661"/>
    <n v="20.500800000000002"/>
    <n v="173237.99213870059"/>
    <n v="186208.43299200005"/>
    <n v="-12970.440853299457"/>
    <n v="0.63835616438356169"/>
    <n v="1"/>
    <n v="-12970.440853299457"/>
    <n v="0"/>
    <m/>
    <n v="-207.97600509733456"/>
  </r>
  <r>
    <x v="1"/>
    <s v="Purchase"/>
    <x v="1"/>
    <x v="1"/>
    <s v="USD"/>
    <d v="2021-09-02T00:00:00"/>
    <n v="11603.34"/>
    <x v="1"/>
    <n v="2068"/>
    <n v="5.6108994197292068"/>
    <n v="1"/>
    <n v="11603.34"/>
    <n v="20.060500000000001"/>
    <n v="232768.80207000001"/>
    <n v="114.601"/>
    <n v="118.002"/>
    <n v="1.0296000000000001"/>
    <n v="239658.75861127203"/>
    <n v="115.88914826463831"/>
    <m/>
    <n v="2068"/>
    <s v="Sale"/>
    <x v="1"/>
    <s v="USD"/>
    <n v="11377.101993137185"/>
    <n v="1"/>
    <n v="11377.101993137185"/>
    <n v="20.500800000000002"/>
    <n v="233239.69254090681"/>
    <n v="239658.75861127203"/>
    <n v="-6419.0660703652247"/>
    <n v="0.44383561643835617"/>
    <n v="1"/>
    <n v="-6419.0660703652247"/>
    <n v="0"/>
    <m/>
    <n v="-226.23800686281538"/>
  </r>
  <r>
    <x v="1"/>
    <s v="Purchase"/>
    <x v="1"/>
    <x v="1"/>
    <s v="USD"/>
    <d v="2021-10-22T00:00:00"/>
    <n v="13923.72"/>
    <x v="1"/>
    <n v="2468"/>
    <n v="5.641701782820097"/>
    <n v="1"/>
    <n v="13923.72"/>
    <n v="20.184999999999999"/>
    <n v="281050.28819999995"/>
    <n v="115.56100000000001"/>
    <n v="118.002"/>
    <n v="1.0210999999999999"/>
    <n v="286980.44928101992"/>
    <n v="116.28057102148294"/>
    <m/>
    <n v="2468"/>
    <s v="Sale"/>
    <x v="1"/>
    <s v="USD"/>
    <n v="13577.701991809754"/>
    <n v="1"/>
    <n v="13577.701991809754"/>
    <n v="20.500800000000002"/>
    <n v="278353.7529936934"/>
    <n v="286980.44928101992"/>
    <n v="-8626.6962873265147"/>
    <n v="0.30684931506849317"/>
    <n v="1"/>
    <n v="-8626.6962873265147"/>
    <n v="0"/>
    <m/>
    <n v="-346.01800819024538"/>
  </r>
  <r>
    <x v="1"/>
    <s v="Purchase"/>
    <x v="2"/>
    <x v="1"/>
    <s v="USD"/>
    <d v="2021-04-16T00:00:00"/>
    <n v="405584.64000000001"/>
    <x v="1"/>
    <n v="72960"/>
    <n v="5.5590000000000002"/>
    <n v="1"/>
    <n v="405584.64000000001"/>
    <n v="20.058299999999999"/>
    <n v="8135338.3845119998"/>
    <n v="112.19"/>
    <n v="118.002"/>
    <n v="1.0518000000000001"/>
    <n v="8556748.9128297213"/>
    <n v="117.28000154646"/>
    <m/>
    <n v="72960"/>
    <s v="Sale"/>
    <x v="1"/>
    <s v="USD"/>
    <n v="389723.13258093485"/>
    <n v="1"/>
    <n v="389723.13258093485"/>
    <n v="20.500800000000002"/>
    <n v="7989635.9964152295"/>
    <n v="8556748.9128297213"/>
    <n v="-567112.91641449183"/>
    <n v="0.8246575342465754"/>
    <n v="1"/>
    <n v="-567112.91641449183"/>
    <n v="0"/>
    <m/>
    <n v="-15861.507419065165"/>
  </r>
  <r>
    <x v="1"/>
    <s v="Purchase"/>
    <x v="2"/>
    <x v="1"/>
    <s v="USD"/>
    <d v="2021-06-23T00:00:00"/>
    <n v="7719.59"/>
    <x v="1"/>
    <n v="1393"/>
    <n v="5.5417013639626704"/>
    <n v="1"/>
    <n v="7719.59"/>
    <n v="20.6"/>
    <n v="159023.554"/>
    <n v="113.018"/>
    <n v="118.002"/>
    <n v="1.044"/>
    <n v="166020.59037600001"/>
    <n v="119.18204621392678"/>
    <m/>
    <n v="1393"/>
    <s v="Sale"/>
    <x v="1"/>
    <s v="USD"/>
    <n v="7440.8487347209739"/>
    <n v="1"/>
    <n v="7440.8487347209739"/>
    <n v="20.500800000000002"/>
    <n v="152543.35174076774"/>
    <n v="166020.59037600001"/>
    <n v="-13477.238635232265"/>
    <n v="0.63835616438356169"/>
    <n v="1"/>
    <n v="-13477.238635232265"/>
    <n v="0"/>
    <m/>
    <n v="-278.74126527902627"/>
  </r>
  <r>
    <x v="1"/>
    <s v="Purchase"/>
    <x v="2"/>
    <x v="1"/>
    <s v="USD"/>
    <d v="2021-09-02T00:00:00"/>
    <n v="11671.27"/>
    <x v="1"/>
    <n v="2097"/>
    <n v="5.565698617072008"/>
    <n v="1"/>
    <n v="11671.27"/>
    <n v="20.060500000000001"/>
    <n v="234131.51183500001"/>
    <n v="114.601"/>
    <n v="118.002"/>
    <n v="1.0296000000000001"/>
    <n v="241061.80458531601"/>
    <n v="114.95555774216309"/>
    <m/>
    <n v="2097"/>
    <s v="Sale"/>
    <x v="1"/>
    <s v="USD"/>
    <n v="11201.335101729996"/>
    <n v="1"/>
    <n v="11201.335101729996"/>
    <n v="20.500800000000002"/>
    <n v="229636.33065354632"/>
    <n v="241061.80458531601"/>
    <n v="-11425.473931769695"/>
    <n v="0.44383561643835617"/>
    <n v="1"/>
    <n v="-11425.473931769695"/>
    <n v="0"/>
    <m/>
    <n v="-469.93489827000485"/>
  </r>
  <r>
    <x v="1"/>
    <s v="Purchase"/>
    <x v="2"/>
    <x v="1"/>
    <s v="USD"/>
    <d v="2021-10-22T00:00:00"/>
    <n v="2047.99"/>
    <x v="1"/>
    <n v="371"/>
    <n v="5.5201886792452832"/>
    <n v="1"/>
    <n v="2047.99"/>
    <n v="20.184999999999999"/>
    <n v="41338.67815"/>
    <n v="115.56100000000001"/>
    <n v="118.002"/>
    <n v="1.0210999999999999"/>
    <n v="42210.924258964995"/>
    <n v="113.77607616971697"/>
    <m/>
    <n v="371"/>
    <s v="Sale"/>
    <x v="1"/>
    <s v="USD"/>
    <n v="1981.7335826141289"/>
    <n v="1"/>
    <n v="1981.7335826141289"/>
    <n v="20.500800000000002"/>
    <n v="40627.123830455734"/>
    <n v="42210.924258964995"/>
    <n v="-1583.8004285092611"/>
    <n v="0.30684931506849317"/>
    <n v="1"/>
    <n v="-1583.8004285092611"/>
    <n v="0"/>
    <m/>
    <n v="-66.256417385871146"/>
  </r>
  <r>
    <x v="1"/>
    <s v="Purchase"/>
    <x v="3"/>
    <x v="1"/>
    <s v="USD"/>
    <d v="2021-02-04T00:00:00"/>
    <n v="689746.47"/>
    <x v="1"/>
    <n v="117980"/>
    <n v="5.8462999660959483"/>
    <n v="1"/>
    <n v="689746.47"/>
    <n v="20.1722"/>
    <n v="13913703.742133999"/>
    <n v="110.907"/>
    <n v="118.002"/>
    <n v="1.0639000000000001"/>
    <n v="14802789.411256364"/>
    <n v="125.46863376213226"/>
    <m/>
    <n v="117980"/>
    <s v="Sale"/>
    <x v="1"/>
    <s v="USD"/>
    <n v="657478.94170113793"/>
    <n v="1"/>
    <n v="657478.94170113793"/>
    <n v="20.500800000000002"/>
    <n v="13478844.288026689"/>
    <n v="14802789.411256364"/>
    <n v="-1323945.123229675"/>
    <n v="1.0191780821917809"/>
    <n v="1"/>
    <n v="-1323945.123229675"/>
    <n v="0"/>
    <m/>
    <n v="-32267.528298862046"/>
  </r>
  <r>
    <x v="1"/>
    <s v="Purchase"/>
    <x v="3"/>
    <x v="1"/>
    <s v="USD"/>
    <d v="2021-04-07T00:00:00"/>
    <n v="722062.04"/>
    <x v="1"/>
    <n v="125933"/>
    <n v="5.7336999833244668"/>
    <n v="1"/>
    <n v="722062.04"/>
    <n v="20.2483"/>
    <n v="14620528.804532001"/>
    <n v="112.19"/>
    <n v="118.002"/>
    <n v="1.0518000000000001"/>
    <n v="15377872.196606759"/>
    <n v="122.11153706023647"/>
    <m/>
    <n v="125933"/>
    <s v="Sale"/>
    <x v="1"/>
    <s v="USD"/>
    <n v="701799.41994617216"/>
    <n v="1"/>
    <n v="701799.41994617216"/>
    <n v="20.500800000000002"/>
    <n v="14387449.548432488"/>
    <n v="15377872.196606759"/>
    <n v="-990422.64817427099"/>
    <n v="0.84931506849315064"/>
    <n v="1"/>
    <n v="-990422.64817427099"/>
    <n v="0"/>
    <m/>
    <n v="-20262.620053827879"/>
  </r>
  <r>
    <x v="1"/>
    <s v="Purchase"/>
    <x v="3"/>
    <x v="1"/>
    <s v="USD"/>
    <d v="2021-04-16T00:00:00"/>
    <n v="13970.954498429168"/>
    <x v="1"/>
    <n v="2428"/>
    <n v="5.7540998757945498"/>
    <n v="1"/>
    <n v="13970.954498429168"/>
    <n v="20.058299999999999"/>
    <n v="280233.59661584179"/>
    <n v="112.19"/>
    <n v="118.002"/>
    <n v="1.0518000000000001"/>
    <n v="294749.6969205424"/>
    <n v="121.3960860463519"/>
    <m/>
    <n v="2428"/>
    <s v="Sale"/>
    <x v="1"/>
    <s v="USD"/>
    <n v="13530.758352689971"/>
    <n v="1"/>
    <n v="13530.758352689971"/>
    <n v="20.500800000000002"/>
    <n v="277391.37083682657"/>
    <n v="294749.6969205424"/>
    <n v="-17358.32608371583"/>
    <n v="0.8246575342465754"/>
    <n v="1"/>
    <n v="-17358.32608371583"/>
    <n v="0"/>
    <m/>
    <n v="-440.19614573919716"/>
  </r>
  <r>
    <x v="1"/>
    <s v="Purchase"/>
    <x v="4"/>
    <x v="1"/>
    <s v="USD"/>
    <d v="2021-04-07T00:00:00"/>
    <n v="72516.826253348132"/>
    <x v="1"/>
    <n v="11896"/>
    <n v="6.09589998767217"/>
    <n v="1"/>
    <n v="72516.826253348132"/>
    <n v="20.2483"/>
    <n v="1468342.4530256691"/>
    <n v="112.19"/>
    <n v="118.002"/>
    <n v="1.0518000000000001"/>
    <n v="1544402.5920923988"/>
    <n v="129.82536920749823"/>
    <m/>
    <n v="11896"/>
    <s v="Sale"/>
    <x v="1"/>
    <s v="USD"/>
    <n v="71481.873275240854"/>
    <n v="1"/>
    <n v="71481.873275240854"/>
    <n v="20.500800000000002"/>
    <n v="1465435.5876410578"/>
    <n v="1544402.592092399"/>
    <n v="-78967.004451341229"/>
    <n v="0.84931506849315064"/>
    <n v="1"/>
    <n v="-78967.004451341229"/>
    <n v="0"/>
    <m/>
    <n v="-1034.9529781072779"/>
  </r>
  <r>
    <x v="1"/>
    <s v="Purchase"/>
    <x v="4"/>
    <x v="1"/>
    <s v="USD"/>
    <d v="2021-04-16T00:00:00"/>
    <n v="166546.08362036344"/>
    <x v="1"/>
    <n v="27237"/>
    <n v="6.1146999897332099"/>
    <n v="1"/>
    <n v="166546.08362036344"/>
    <n v="20.058299999999999"/>
    <n v="3340631.3090823358"/>
    <n v="112.19"/>
    <n v="118.002"/>
    <n v="1.0518000000000001"/>
    <n v="3513676.010892801"/>
    <n v="129.00378202051624"/>
    <m/>
    <n v="27237"/>
    <s v="Sale"/>
    <x v="1"/>
    <s v="USD"/>
    <n v="163664.40672475917"/>
    <n v="1"/>
    <n v="163664.40672475917"/>
    <n v="20.500800000000002"/>
    <n v="3355251.2693829429"/>
    <n v="3513676.010892801"/>
    <n v="-158424.74150985805"/>
    <n v="0.8246575342465754"/>
    <n v="1"/>
    <n v="-158424.74150985805"/>
    <n v="0"/>
    <m/>
    <n v="-2881.6768956042652"/>
  </r>
  <r>
    <x v="1"/>
    <s v="Purchase"/>
    <x v="5"/>
    <x v="1"/>
    <s v="USD"/>
    <d v="2021-01-22T00:00:00"/>
    <n v="117216.80901112485"/>
    <x v="1"/>
    <n v="22442"/>
    <n v="5.2230999470245454"/>
    <n v="1"/>
    <n v="117216.80901112485"/>
    <n v="19.5793"/>
    <n v="2295023.0686715166"/>
    <n v="110.21"/>
    <n v="118.002"/>
    <n v="1.0707"/>
    <n v="2457281.1996265929"/>
    <n v="109.49475089682706"/>
    <m/>
    <n v="22442"/>
    <s v="Sale"/>
    <x v="1"/>
    <s v="USD"/>
    <n v="138305.55614343664"/>
    <n v="1"/>
    <n v="138305.55614343664"/>
    <n v="20.500800000000002"/>
    <n v="2835374.5453853663"/>
    <n v="2457281.1996265929"/>
    <n v="378093.34575877339"/>
    <n v="1.0547945205479452"/>
    <n v="1"/>
    <n v="378093.34575877339"/>
    <n v="0"/>
    <m/>
    <n v="21088.747132311793"/>
  </r>
  <r>
    <x v="1"/>
    <s v="Purchase"/>
    <x v="5"/>
    <x v="1"/>
    <s v="USD"/>
    <d v="2021-02-04T00:00:00"/>
    <n v="23830.930000000004"/>
    <x v="1"/>
    <n v="4704"/>
    <n v="5.0660990646258508"/>
    <n v="1"/>
    <n v="23830.930000000004"/>
    <n v="20.1722"/>
    <n v="480722.28614600009"/>
    <n v="110.907"/>
    <n v="118.002"/>
    <n v="1.0639000000000001"/>
    <n v="511440.44023072952"/>
    <n v="108.72458338238297"/>
    <m/>
    <n v="4704"/>
    <s v="Sale"/>
    <x v="1"/>
    <s v="USD"/>
    <n v="28989.810894694143"/>
    <n v="1"/>
    <n v="28989.810894694143"/>
    <n v="20.500800000000002"/>
    <n v="594314.31518994574"/>
    <n v="511440.44023072952"/>
    <n v="82873.87495921622"/>
    <n v="1.0191780821917809"/>
    <n v="1"/>
    <n v="82873.87495921622"/>
    <n v="0"/>
    <m/>
    <n v="5158.880894694139"/>
  </r>
  <r>
    <x v="1"/>
    <s v="Purchase"/>
    <x v="5"/>
    <x v="1"/>
    <s v="USD"/>
    <d v="2021-04-07T00:00:00"/>
    <n v="19937.712434686113"/>
    <x v="1"/>
    <n v="3669"/>
    <n v="5.4340998731769181"/>
    <n v="1"/>
    <n v="19937.712434686113"/>
    <n v="20.2483"/>
    <n v="403704.7826912548"/>
    <n v="112.19"/>
    <n v="118.002"/>
    <n v="1.0518000000000001"/>
    <n v="424616.69043466181"/>
    <n v="115.73090499718229"/>
    <m/>
    <n v="3669"/>
    <s v="Sale"/>
    <x v="1"/>
    <s v="USD"/>
    <n v="22611.312961869218"/>
    <n v="1"/>
    <n v="22611.312961869218"/>
    <n v="20.500800000000002"/>
    <n v="463550.00476868852"/>
    <n v="424616.69043466181"/>
    <n v="38933.314334026712"/>
    <n v="0.84931506849315064"/>
    <n v="1"/>
    <n v="38933.314334026712"/>
    <n v="0"/>
    <m/>
    <n v="2673.6005271831054"/>
  </r>
  <r>
    <x v="1"/>
    <s v="Purchase"/>
    <x v="6"/>
    <x v="1"/>
    <s v="USD"/>
    <d v="2020-10-14T00:00:00"/>
    <n v="182.66600000000003"/>
    <x v="1"/>
    <n v="38"/>
    <n v="4.8070000000000004"/>
    <n v="1"/>
    <n v="182.66600000000003"/>
    <n v="21.218299999999999"/>
    <n v="3875.8619878000004"/>
    <n v="108.774"/>
    <n v="118.002"/>
    <n v="1.0848"/>
    <n v="4204.5350843654405"/>
    <n v="110.64566011488002"/>
    <m/>
    <n v="38"/>
    <s v="Sale"/>
    <x v="1"/>
    <s v="USD"/>
    <n v="236.2574043622599"/>
    <n v="1"/>
    <n v="236.2574043622599"/>
    <n v="20.500800000000002"/>
    <n v="4843.4657953498181"/>
    <n v="4204.5350843654405"/>
    <n v="638.93071098437758"/>
    <n v="1.3287671232876712"/>
    <n v="1"/>
    <n v="638.93071098437758"/>
    <n v="0"/>
    <m/>
    <n v="53.59140436225988"/>
  </r>
  <r>
    <x v="1"/>
    <s v="Purchase"/>
    <x v="6"/>
    <x v="1"/>
    <s v="USD"/>
    <d v="2020-11-23T00:00:00"/>
    <n v="22290.79"/>
    <x v="1"/>
    <n v="4301"/>
    <n v="5.1826993722390142"/>
    <n v="1"/>
    <n v="22290.79"/>
    <n v="20.1858"/>
    <n v="449957.42878200003"/>
    <n v="108.85599999999999"/>
    <n v="118.002"/>
    <n v="1.0840000000000001"/>
    <n v="487753.85279968806"/>
    <n v="113.40475535914626"/>
    <m/>
    <n v="4301"/>
    <s v="Sale"/>
    <x v="1"/>
    <s v="USD"/>
    <n v="26740.607793738945"/>
    <n v="1"/>
    <n v="26740.607793738945"/>
    <n v="20.500800000000002"/>
    <n v="548203.85225788341"/>
    <n v="487753.85279968806"/>
    <n v="60449.999458195351"/>
    <n v="1.2191780821917808"/>
    <n v="1"/>
    <n v="60449.999458195351"/>
    <n v="0"/>
    <m/>
    <n v="4449.8177937389446"/>
  </r>
  <r>
    <x v="1"/>
    <s v="Purchase"/>
    <x v="6"/>
    <x v="1"/>
    <s v="USD"/>
    <d v="2021-01-22T00:00:00"/>
    <n v="147261.38788514325"/>
    <x v="1"/>
    <n v="27892"/>
    <n v="5.2796998381307638"/>
    <n v="1"/>
    <n v="147261.38788514325"/>
    <n v="19.5793"/>
    <n v="2883274.8918195851"/>
    <n v="110.21"/>
    <n v="118.002"/>
    <n v="1.0707"/>
    <n v="3087122.4266712298"/>
    <n v="110.6812859124921"/>
    <m/>
    <n v="27892"/>
    <s v="Sale"/>
    <x v="1"/>
    <s v="USD"/>
    <n v="173412.93480189878"/>
    <n v="1"/>
    <n v="173412.93480189878"/>
    <n v="20.500800000000002"/>
    <n v="3555103.893786767"/>
    <n v="3087122.4266712298"/>
    <n v="467981.46711553726"/>
    <n v="1.0547945205479452"/>
    <n v="1"/>
    <n v="467981.46711553726"/>
    <n v="0"/>
    <m/>
    <n v="26151.546916755527"/>
  </r>
  <r>
    <x v="1"/>
    <s v="Purchase"/>
    <x v="7"/>
    <x v="1"/>
    <s v="USD"/>
    <d v="2021-01-22T00:00:00"/>
    <n v="222805.76837402699"/>
    <x v="1"/>
    <n v="32767"/>
    <n v="6.7996999534295783"/>
    <n v="1"/>
    <n v="222805.76837402699"/>
    <n v="19.5793"/>
    <n v="4362380.9807255864"/>
    <n v="110.21"/>
    <n v="118.002"/>
    <n v="1.0707"/>
    <n v="4670801.3160628853"/>
    <n v="142.54589422476533"/>
    <m/>
    <n v="32767"/>
    <s v="Sale"/>
    <x v="1"/>
    <s v="USD"/>
    <n v="204856.0082021475"/>
    <n v="1"/>
    <n v="204856.0082021475"/>
    <n v="20.500800000000002"/>
    <n v="4199712.0529505853"/>
    <n v="4670801.3160628853"/>
    <n v="-471089.26311230008"/>
    <n v="1.0547945205479452"/>
    <n v="1"/>
    <n v="-471089.26311230008"/>
    <n v="0"/>
    <m/>
    <n v="-17949.76017187949"/>
  </r>
  <r>
    <x v="1"/>
    <s v="Purchase"/>
    <x v="7"/>
    <x v="1"/>
    <s v="USD"/>
    <d v="2021-04-07T00:00:00"/>
    <n v="250870.09"/>
    <x v="1"/>
    <n v="40491"/>
    <n v="6.1957000321058997"/>
    <n v="1"/>
    <n v="250870.09"/>
    <n v="20.2483"/>
    <n v="5079692.843347"/>
    <n v="112.19"/>
    <n v="118.002"/>
    <n v="1.0518000000000001"/>
    <n v="5342820.9326323746"/>
    <n v="131.95082691542254"/>
    <m/>
    <n v="40491"/>
    <s v="Sale"/>
    <x v="1"/>
    <s v="USD"/>
    <n v="253145.68401480617"/>
    <n v="1"/>
    <n v="253145.68401480617"/>
    <n v="20.500800000000002"/>
    <n v="5189689.0388507387"/>
    <n v="5342820.9326323736"/>
    <n v="-153131.89378163498"/>
    <n v="0.84931506849315064"/>
    <n v="1"/>
    <n v="-153131.89378163498"/>
    <n v="0"/>
    <m/>
    <n v="2275.5940148061782"/>
  </r>
  <r>
    <x v="1"/>
    <s v="Purchase"/>
    <x v="7"/>
    <x v="1"/>
    <s v="USD"/>
    <d v="2021-09-02T00:00:00"/>
    <n v="37474.620000000003"/>
    <x v="1"/>
    <n v="5549"/>
    <n v="6.7534006127230137"/>
    <n v="1"/>
    <n v="37474.620000000003"/>
    <n v="20.060500000000001"/>
    <n v="751759.6145100001"/>
    <n v="114.601"/>
    <n v="118.002"/>
    <n v="1.0296000000000001"/>
    <n v="774011.69909949612"/>
    <n v="139.48670014407932"/>
    <m/>
    <n v="5549"/>
    <s v="Sale"/>
    <x v="1"/>
    <s v="USD"/>
    <n v="34691.793252776159"/>
    <n v="1"/>
    <n v="34691.793252776159"/>
    <n v="20.500800000000002"/>
    <n v="711209.51511651347"/>
    <n v="774011.69909949612"/>
    <n v="-62802.183982982649"/>
    <n v="0.44383561643835617"/>
    <n v="1"/>
    <n v="-62802.183982982649"/>
    <n v="0"/>
    <m/>
    <n v="-2782.826747223844"/>
  </r>
  <r>
    <x v="1"/>
    <s v="Purchase"/>
    <x v="7"/>
    <x v="1"/>
    <s v="USD"/>
    <d v="2021-10-22T00:00:00"/>
    <n v="125476.97"/>
    <x v="1"/>
    <n v="19260"/>
    <n v="6.5148997923156804"/>
    <n v="1"/>
    <n v="125476.97"/>
    <n v="20.184999999999999"/>
    <n v="2532752.6394499997"/>
    <n v="115.56100000000001"/>
    <n v="118.002"/>
    <n v="1.0210999999999999"/>
    <n v="2586193.7201423943"/>
    <n v="134.2779709315885"/>
    <m/>
    <n v="19260"/>
    <s v="Sale"/>
    <x v="1"/>
    <s v="USD"/>
    <n v="120411.59453027011"/>
    <n v="1"/>
    <n v="120411.59453027011"/>
    <n v="20.500800000000002"/>
    <n v="2468534.0171461618"/>
    <n v="2586193.7201423943"/>
    <n v="-117659.70299623255"/>
    <n v="0.30684931506849317"/>
    <n v="1"/>
    <n v="-117659.70299623255"/>
    <n v="0"/>
    <m/>
    <n v="-5065.3754697298864"/>
  </r>
  <r>
    <x v="1"/>
    <s v="Purchase"/>
    <x v="8"/>
    <x v="1"/>
    <s v="USD"/>
    <d v="2020-05-06T00:00:00"/>
    <n v="397.83881068399205"/>
    <x v="1"/>
    <n v="74"/>
    <n v="5.376200144378271"/>
    <n v="1"/>
    <n v="397.83881068399205"/>
    <n v="24.3812"/>
    <n v="9699.7876110485468"/>
    <n v="106.16200000000001"/>
    <n v="118.002"/>
    <n v="1.1114999999999999"/>
    <n v="10781.313929680458"/>
    <n v="145.69343148216836"/>
    <m/>
    <n v="74"/>
    <s v="Sale"/>
    <x v="1"/>
    <s v="USD"/>
    <n v="438.36120341033467"/>
    <n v="1"/>
    <n v="438.36120341033467"/>
    <n v="20.500800000000002"/>
    <n v="8986.7553588745905"/>
    <n v="10781.313929680458"/>
    <n v="-1794.5585708058679"/>
    <n v="1.7698630136986302"/>
    <n v="1"/>
    <n v="-1794.5585708058679"/>
    <n v="0"/>
    <m/>
    <n v="40.522392726342616"/>
  </r>
  <r>
    <x v="1"/>
    <s v="Purchase"/>
    <x v="8"/>
    <x v="1"/>
    <s v="USD"/>
    <d v="2020-10-14T00:00:00"/>
    <n v="29737.07"/>
    <x v="1"/>
    <n v="5007"/>
    <n v="5.9390992610345519"/>
    <n v="1"/>
    <n v="29737.07"/>
    <n v="21.218299999999999"/>
    <n v="630970.07238099992"/>
    <n v="108.774"/>
    <n v="118.002"/>
    <n v="1.0848"/>
    <n v="684476.33451890876"/>
    <n v="136.70388146972414"/>
    <m/>
    <n v="5007"/>
    <s v="Sale"/>
    <x v="1"/>
    <s v="USD"/>
    <n v="29660.466830750618"/>
    <n v="1"/>
    <n v="29660.466830750618"/>
    <n v="20.500800000000002"/>
    <n v="608063.29840385227"/>
    <n v="684476.33451890876"/>
    <n v="-76413.036115056486"/>
    <n v="1.3287671232876712"/>
    <n v="1"/>
    <n v="-76413.036115056486"/>
    <n v="0"/>
    <m/>
    <n v="-76.603169249381608"/>
  </r>
  <r>
    <x v="1"/>
    <s v="Purchase"/>
    <x v="8"/>
    <x v="1"/>
    <s v="USD"/>
    <d v="2020-11-23T00:00:00"/>
    <n v="16785.939999999999"/>
    <x v="1"/>
    <n v="2783"/>
    <n v="6.0315989938914836"/>
    <n v="1"/>
    <n v="16785.939999999999"/>
    <n v="20.1858"/>
    <n v="338837.627652"/>
    <n v="108.85599999999999"/>
    <n v="118.002"/>
    <n v="1.0840000000000001"/>
    <n v="367299.988374768"/>
    <n v="131.97987365244987"/>
    <m/>
    <n v="2783"/>
    <s v="Sale"/>
    <x v="1"/>
    <s v="USD"/>
    <n v="16485.935528256236"/>
    <n v="1"/>
    <n v="16485.935528256236"/>
    <n v="20.500800000000002"/>
    <n v="337974.86707767547"/>
    <n v="367299.988374768"/>
    <n v="-29325.121297092526"/>
    <n v="1.2191780821917808"/>
    <n v="1"/>
    <n v="-29325.121297092526"/>
    <n v="0"/>
    <m/>
    <n v="-300.00447174376313"/>
  </r>
  <r>
    <x v="1"/>
    <s v="Purchase"/>
    <x v="8"/>
    <x v="1"/>
    <s v="USD"/>
    <d v="2021-01-22T00:00:00"/>
    <n v="188076.36"/>
    <x v="1"/>
    <n v="30746"/>
    <n v="6.1171001105834897"/>
    <n v="1"/>
    <n v="188076.36"/>
    <n v="19.5793"/>
    <n v="3682403.4753479995"/>
    <n v="110.21"/>
    <n v="118.002"/>
    <n v="1.0707"/>
    <n v="3942749.4010551032"/>
    <n v="128.23617384554424"/>
    <m/>
    <n v="30746"/>
    <s v="Sale"/>
    <x v="1"/>
    <s v="USD"/>
    <n v="182133.15621694797"/>
    <n v="1"/>
    <n v="182133.15621694797"/>
    <n v="20.500800000000002"/>
    <n v="3733875.4089724072"/>
    <n v="3942749.4010551032"/>
    <n v="-208873.99208269594"/>
    <n v="1.0547945205479452"/>
    <n v="1"/>
    <n v="-208873.99208269594"/>
    <n v="0"/>
    <m/>
    <n v="-5943.203783052013"/>
  </r>
  <r>
    <x v="1"/>
    <s v="Purchase"/>
    <x v="8"/>
    <x v="1"/>
    <s v="USD"/>
    <d v="2021-04-07T00:00:00"/>
    <n v="246363.87999999998"/>
    <x v="1"/>
    <n v="40636"/>
    <n v="6.0627000689044195"/>
    <n v="1"/>
    <n v="246363.87999999998"/>
    <n v="20.2483"/>
    <n v="4988449.7514039995"/>
    <n v="112.19"/>
    <n v="118.002"/>
    <n v="1.0518000000000001"/>
    <n v="5246851.448526727"/>
    <n v="129.11830516110658"/>
    <m/>
    <n v="40636"/>
    <s v="Sale"/>
    <x v="1"/>
    <s v="USD"/>
    <n v="240719.5386727346"/>
    <n v="1"/>
    <n v="240719.5386727346"/>
    <n v="20.500800000000002"/>
    <n v="4934943.1184219979"/>
    <n v="5246851.448526727"/>
    <n v="-311908.33010472916"/>
    <n v="0.84931506849315064"/>
    <n v="1"/>
    <n v="-311908.33010472916"/>
    <n v="0"/>
    <m/>
    <n v="-5644.3413272653706"/>
  </r>
  <r>
    <x v="1"/>
    <s v="Purchase"/>
    <x v="8"/>
    <x v="1"/>
    <s v="USD"/>
    <d v="2021-04-16T00:00:00"/>
    <n v="106915.41"/>
    <x v="1"/>
    <n v="17612"/>
    <n v="6.0706001589825123"/>
    <n v="1"/>
    <n v="106915.41"/>
    <n v="20.058299999999999"/>
    <n v="2144541.3684029998"/>
    <n v="112.19"/>
    <n v="118.002"/>
    <n v="1.0518000000000001"/>
    <n v="2255628.6112862756"/>
    <n v="128.07339378186893"/>
    <m/>
    <n v="17612"/>
    <s v="Sale"/>
    <x v="1"/>
    <s v="USD"/>
    <n v="104329.96641165965"/>
    <n v="1"/>
    <n v="104329.96641165965"/>
    <n v="20.500800000000002"/>
    <n v="2138847.7754121525"/>
    <n v="2255628.6112862756"/>
    <n v="-116780.83587412303"/>
    <n v="0.8246575342465754"/>
    <n v="1"/>
    <n v="-116780.83587412303"/>
    <n v="0"/>
    <m/>
    <n v="-2585.4435883403494"/>
  </r>
  <r>
    <x v="1"/>
    <s v="Purchase"/>
    <x v="8"/>
    <x v="1"/>
    <s v="USD"/>
    <d v="2021-06-23T00:00:00"/>
    <n v="21743.9"/>
    <x v="1"/>
    <n v="3531"/>
    <n v="6.1580005664117818"/>
    <n v="1"/>
    <n v="21743.9"/>
    <n v="20.6"/>
    <n v="447924.34000000008"/>
    <n v="113.018"/>
    <n v="118.002"/>
    <n v="1.044"/>
    <n v="467633.0109600001"/>
    <n v="132.43642338147836"/>
    <m/>
    <n v="3531"/>
    <s v="Sale"/>
    <x v="1"/>
    <s v="USD"/>
    <n v="20916.937962728265"/>
    <n v="1"/>
    <n v="20916.937962728265"/>
    <n v="20.500800000000002"/>
    <n v="428813.96178629965"/>
    <n v="467633.0109600001"/>
    <n v="-38819.049173700449"/>
    <n v="0.63835616438356169"/>
    <n v="1"/>
    <n v="-38819.049173700449"/>
    <n v="0"/>
    <m/>
    <n v="-826.96203727173634"/>
  </r>
  <r>
    <x v="1"/>
    <s v="Purchase"/>
    <x v="8"/>
    <x v="1"/>
    <s v="USD"/>
    <d v="2021-09-02T00:00:00"/>
    <n v="14420.19"/>
    <x v="1"/>
    <n v="2320"/>
    <n v="6.2155991379310347"/>
    <n v="1"/>
    <n v="14420.19"/>
    <n v="20.060500000000001"/>
    <n v="289276.22149500001"/>
    <n v="114.601"/>
    <n v="118.002"/>
    <n v="1.0296000000000001"/>
    <n v="297838.79765125201"/>
    <n v="128.37879209105691"/>
    <m/>
    <n v="2320"/>
    <s v="Sale"/>
    <x v="1"/>
    <s v="USD"/>
    <n v="13743.2161069186"/>
    <n v="1"/>
    <n v="13743.2161069186"/>
    <n v="20.500800000000002"/>
    <n v="281746.92476471688"/>
    <n v="297838.79765125201"/>
    <n v="-16091.87288653513"/>
    <n v="0.44383561643835617"/>
    <n v="1"/>
    <n v="-16091.87288653513"/>
    <n v="0"/>
    <m/>
    <n v="-676.97389308140009"/>
  </r>
  <r>
    <x v="1"/>
    <s v="Purchase"/>
    <x v="8"/>
    <x v="1"/>
    <s v="USD"/>
    <d v="2021-10-22T00:00:00"/>
    <n v="8817.5300000000007"/>
    <x v="1"/>
    <n v="1445"/>
    <n v="6.1020968858131495"/>
    <n v="1"/>
    <n v="8817.5300000000007"/>
    <n v="20.184999999999999"/>
    <n v="177981.84305"/>
    <n v="115.56100000000001"/>
    <n v="118.002"/>
    <n v="1.0210999999999999"/>
    <n v="181737.25993835498"/>
    <n v="125.76973006114531"/>
    <m/>
    <n v="1445"/>
    <s v="Sale"/>
    <x v="1"/>
    <s v="USD"/>
    <n v="8559.8910665936983"/>
    <n v="1"/>
    <n v="8559.8910665936983"/>
    <n v="20.500800000000002"/>
    <n v="175484.61477802412"/>
    <n v="181737.25993835498"/>
    <n v="-6252.6451603308669"/>
    <n v="0.30684931506849317"/>
    <n v="1"/>
    <n v="-6252.6451603308669"/>
    <n v="0"/>
    <m/>
    <n v="-257.63893340630239"/>
  </r>
  <r>
    <x v="1"/>
    <s v="Purchase"/>
    <x v="9"/>
    <x v="1"/>
    <s v="USD"/>
    <d v="2021-01-22T00:00:00"/>
    <n v="65597.509553773678"/>
    <x v="1"/>
    <n v="12108"/>
    <n v="5.4176998310021212"/>
    <n v="1"/>
    <n v="65597.509553773678"/>
    <n v="19.5793"/>
    <n v="1284353.318806201"/>
    <n v="110.21"/>
    <n v="118.002"/>
    <n v="1.0707"/>
    <n v="1375157.0984457994"/>
    <n v="113.57425656143042"/>
    <m/>
    <n v="12108"/>
    <s v="Sale"/>
    <x v="1"/>
    <s v="USD"/>
    <n v="64275.317753531737"/>
    <n v="1"/>
    <n v="64275.317753531737"/>
    <n v="20.500800000000002"/>
    <n v="1317695.4342016035"/>
    <n v="1375157.0984457994"/>
    <n v="-57461.664244195912"/>
    <n v="1.0547945205479452"/>
    <n v="1"/>
    <n v="-57461.664244195912"/>
    <n v="0"/>
    <m/>
    <n v="-1322.1918002419407"/>
  </r>
  <r>
    <x v="1"/>
    <s v="Purchase"/>
    <x v="9"/>
    <x v="1"/>
    <s v="USD"/>
    <d v="2021-02-04T00:00:00"/>
    <n v="137927"/>
    <x v="1"/>
    <n v="25460"/>
    <n v="5.4173998428908092"/>
    <n v="1"/>
    <n v="137927"/>
    <n v="20.1722"/>
    <n v="2782291.0293999999"/>
    <n v="110.907"/>
    <n v="118.002"/>
    <n v="1.0639000000000001"/>
    <n v="2960079.4261786602"/>
    <n v="116.26392090253968"/>
    <m/>
    <n v="25460"/>
    <s v="Sale"/>
    <x v="1"/>
    <s v="USD"/>
    <n v="135154.40948174082"/>
    <n v="1"/>
    <n v="135154.40948174082"/>
    <n v="20.500800000000002"/>
    <n v="2770773.5179032725"/>
    <n v="2960079.4261786602"/>
    <n v="-189305.90827538772"/>
    <n v="1.0191780821917809"/>
    <n v="1"/>
    <n v="-189305.90827538772"/>
    <n v="0"/>
    <m/>
    <n v="-2772.5905182591814"/>
  </r>
  <r>
    <x v="1"/>
    <s v="Purchase"/>
    <x v="9"/>
    <x v="1"/>
    <s v="USD"/>
    <d v="2021-04-07T00:00:00"/>
    <n v="344391.16"/>
    <x v="1"/>
    <n v="63603"/>
    <n v="5.4146999355376311"/>
    <n v="1"/>
    <n v="344391.16"/>
    <n v="20.2483"/>
    <n v="6973335.5250279997"/>
    <n v="112.19"/>
    <n v="118.002"/>
    <n v="1.0518000000000001"/>
    <n v="7334554.3052244503"/>
    <n v="115.3177413836525"/>
    <m/>
    <n v="63603"/>
    <s v="Sale"/>
    <x v="1"/>
    <s v="USD"/>
    <n v="337636.52420530881"/>
    <n v="1"/>
    <n v="337636.52420530881"/>
    <n v="20.500800000000002"/>
    <n v="6921818.8554281956"/>
    <n v="7334554.3052244503"/>
    <n v="-412735.44979625475"/>
    <n v="0.84931506849315064"/>
    <n v="1"/>
    <n v="-412735.44979625475"/>
    <n v="0"/>
    <m/>
    <n v="-6754.6357946911594"/>
  </r>
  <r>
    <x v="1"/>
    <s v="Purchase"/>
    <x v="9"/>
    <x v="1"/>
    <s v="USD"/>
    <d v="2021-06-23T00:00:00"/>
    <n v="110926.98"/>
    <x v="1"/>
    <n v="20498"/>
    <n v="5.4116001561127911"/>
    <n v="1"/>
    <n v="110926.98"/>
    <n v="20.6"/>
    <n v="2285095.7880000002"/>
    <n v="113.018"/>
    <n v="118.002"/>
    <n v="1.044"/>
    <n v="2385640.0026720003"/>
    <n v="116.38403759742415"/>
    <m/>
    <n v="20498"/>
    <s v="Sale"/>
    <x v="1"/>
    <s v="USD"/>
    <n v="108813.6325827464"/>
    <n v="1"/>
    <n v="108813.6325827464"/>
    <n v="20.500800000000002"/>
    <n v="2230766.5188523675"/>
    <n v="2385640.0026720003"/>
    <n v="-154873.48381963279"/>
    <n v="0.63835616438356169"/>
    <n v="1"/>
    <n v="-154873.48381963279"/>
    <n v="0"/>
    <m/>
    <n v="-2113.3474172535934"/>
  </r>
  <r>
    <x v="1"/>
    <s v="Purchase"/>
    <x v="9"/>
    <x v="1"/>
    <s v="USD"/>
    <d v="2021-09-02T00:00:00"/>
    <n v="405182.53"/>
    <x v="1"/>
    <n v="74779"/>
    <n v="5.4183999518581425"/>
    <n v="1"/>
    <n v="405182.53"/>
    <n v="20.060500000000001"/>
    <n v="8128164.1430650009"/>
    <n v="114.601"/>
    <n v="118.002"/>
    <n v="1.0296000000000001"/>
    <n v="8368757.8016997259"/>
    <n v="111.9132082763841"/>
    <m/>
    <n v="74779"/>
    <s v="Sale"/>
    <x v="1"/>
    <s v="USD"/>
    <n v="396964.31997781218"/>
    <n v="1"/>
    <n v="396964.31997781218"/>
    <n v="20.500800000000002"/>
    <n v="8138086.1310011325"/>
    <n v="8368757.8016997268"/>
    <n v="-230671.6706985943"/>
    <n v="0.44383561643835617"/>
    <n v="1"/>
    <n v="-230671.6706985943"/>
    <n v="0"/>
    <m/>
    <n v="-8218.21002218785"/>
  </r>
  <r>
    <x v="1"/>
    <s v="Purchase"/>
    <x v="9"/>
    <x v="1"/>
    <s v="USD"/>
    <d v="2021-10-22T00:00:00"/>
    <n v="302.11"/>
    <x v="1"/>
    <n v="56"/>
    <n v="5.3948214285714284"/>
    <n v="1"/>
    <n v="302.11"/>
    <n v="20.184999999999999"/>
    <n v="6098.0903499999995"/>
    <n v="115.56100000000001"/>
    <n v="118.002"/>
    <n v="1.0210999999999999"/>
    <n v="6226.7600563849992"/>
    <n v="111.19214386401784"/>
    <m/>
    <n v="56"/>
    <s v="Sale"/>
    <x v="1"/>
    <s v="USD"/>
    <n v="297.27599886007408"/>
    <n v="1"/>
    <n v="297.27599886007408"/>
    <n v="20.500800000000002"/>
    <n v="6094.3957974306077"/>
    <n v="6226.7600563849992"/>
    <n v="-132.36425895439152"/>
    <n v="0.30684931506849317"/>
    <n v="1"/>
    <n v="-132.36425895439152"/>
    <n v="0"/>
    <m/>
    <n v="-4.8340011399259311"/>
  </r>
  <r>
    <x v="1"/>
    <s v="Purchase"/>
    <x v="10"/>
    <x v="1"/>
    <s v="USD"/>
    <d v="2020-05-06T00:00:00"/>
    <n v="28893.897960474307"/>
    <x v="1"/>
    <n v="101"/>
    <n v="286.0781976284585"/>
    <n v="1"/>
    <n v="28893.897960474307"/>
    <n v="24.3812"/>
    <n v="704467.90495391621"/>
    <n v="106.16200000000001"/>
    <n v="118.002"/>
    <n v="1.1114999999999999"/>
    <n v="783016.0763562778"/>
    <n v="7752.6344193690875"/>
    <m/>
    <n v="101"/>
    <s v="Sale"/>
    <x v="1"/>
    <s v="USD"/>
    <n v="46528.11"/>
    <n v="1"/>
    <n v="46528.11"/>
    <n v="20.500800000000002"/>
    <n v="953863.47748800006"/>
    <n v="783016.0763562778"/>
    <n v="170847.40113172226"/>
    <n v="1.7698630136986302"/>
    <n v="1"/>
    <n v="170847.40113172226"/>
    <n v="0"/>
    <m/>
    <n v="17634.212039525693"/>
  </r>
  <r>
    <x v="1"/>
    <s v="Purchase"/>
    <x v="11"/>
    <x v="1"/>
    <s v="USD"/>
    <d v="2021-06-23T00:00:00"/>
    <n v="248466.09850739007"/>
    <x v="1"/>
    <n v="41305"/>
    <n v="6.0154000364941309"/>
    <n v="1"/>
    <n v="248466.09850739007"/>
    <n v="20.6"/>
    <n v="5118401.6292522354"/>
    <n v="113.018"/>
    <n v="118.002"/>
    <n v="1.044"/>
    <n v="5343611.3009393336"/>
    <n v="129.36959934485736"/>
    <m/>
    <n v="41305"/>
    <s v="Sale"/>
    <x v="1"/>
    <s v="USD"/>
    <n v="234562.83438475154"/>
    <n v="1"/>
    <n v="234562.83438475154"/>
    <n v="20.500800000000002"/>
    <n v="4808725.7551549142"/>
    <n v="5343611.3009393336"/>
    <n v="-534885.5457844194"/>
    <n v="0.63835616438356169"/>
    <n v="1"/>
    <n v="-534885.5457844194"/>
    <n v="0"/>
    <m/>
    <n v="-13903.264122638531"/>
  </r>
  <r>
    <x v="1"/>
    <s v="Purchase"/>
    <x v="11"/>
    <x v="1"/>
    <s v="USD"/>
    <d v="2021-09-02T00:00:00"/>
    <n v="10019.91"/>
    <x v="1"/>
    <n v="1637"/>
    <n v="6.1208979841172875"/>
    <n v="1"/>
    <n v="10019.91"/>
    <n v="20.060500000000001"/>
    <n v="201004.40455500002"/>
    <n v="114.601"/>
    <n v="118.002"/>
    <n v="1.0296000000000001"/>
    <n v="206954.13492982803"/>
    <n v="126.42280692109226"/>
    <m/>
    <n v="1637"/>
    <s v="Sale"/>
    <x v="1"/>
    <s v="USD"/>
    <n v="9296.1956152484745"/>
    <n v="1"/>
    <n v="9296.1956152484745"/>
    <n v="20.500800000000002"/>
    <n v="190579.44706908593"/>
    <n v="206954.13492982803"/>
    <n v="-16374.687860742095"/>
    <n v="0.44383561643835617"/>
    <n v="1"/>
    <n v="-16374.687860742095"/>
    <n v="0"/>
    <m/>
    <n v="-723.71438475152536"/>
  </r>
  <r>
    <x v="0"/>
    <m/>
    <x v="0"/>
    <x v="0"/>
    <m/>
    <m/>
    <m/>
    <x v="0"/>
    <n v="0"/>
    <n v="0"/>
    <n v="0"/>
    <n v="0"/>
    <n v="0"/>
    <n v="0"/>
    <n v="0"/>
    <n v="0"/>
    <n v="0"/>
    <n v="0"/>
    <n v="0"/>
    <m/>
    <m/>
    <m/>
    <x v="0"/>
    <m/>
    <m/>
    <n v="0"/>
    <n v="0"/>
    <n v="0"/>
    <n v="0"/>
    <n v="0"/>
    <n v="0"/>
    <n v="0"/>
    <n v="1"/>
    <n v="0"/>
    <n v="0"/>
    <m/>
    <n v="0"/>
  </r>
  <r>
    <x v="2"/>
    <s v="Purchase"/>
    <x v="12"/>
    <x v="1"/>
    <s v="MXN"/>
    <d v="2017-11-10T00:00:00"/>
    <n v="1396527.48"/>
    <x v="1"/>
    <n v="14500"/>
    <n v="96.312240000000003"/>
    <n v="5.2433435753311171E-2"/>
    <n v="73224.733900313557"/>
    <n v="19.0718"/>
    <n v="1396527.48"/>
    <n v="97.695173988822006"/>
    <n v="117.30800000000001"/>
    <n v="1.2007000000000001"/>
    <n v="1676810.5452360001"/>
    <n v="115.642106568"/>
    <m/>
    <n v="14500"/>
    <s v="Sale"/>
    <x v="2"/>
    <s v="MXN"/>
    <n v="1594270.07"/>
    <n v="4.8898081728253801E-2"/>
    <n v="77956.748179768911"/>
    <n v="20.450700000000001"/>
    <n v="1594270.07"/>
    <n v="1676810.5452360001"/>
    <n v="-82540.475236000028"/>
    <n v="4.2082191780821914"/>
    <n v="1"/>
    <n v="-82540.475236000028"/>
    <n v="0"/>
    <m/>
    <n v="4732.014279455354"/>
  </r>
  <r>
    <x v="2"/>
    <s v="Purchase"/>
    <x v="12"/>
    <x v="1"/>
    <s v="MXN"/>
    <d v="2018-02-02T00:00:00"/>
    <n v="10563658.24"/>
    <x v="1"/>
    <n v="112753"/>
    <n v="93.688489352833187"/>
    <n v="5.3743503753983742E-2"/>
    <n v="567728.00627724128"/>
    <n v="18.6069"/>
    <n v="10563658.24"/>
    <n v="99.171374481640001"/>
    <n v="117.30800000000001"/>
    <n v="1.1828000000000001"/>
    <n v="12494694.966272"/>
    <n v="110.81474520653109"/>
    <m/>
    <n v="112753"/>
    <s v="Sale"/>
    <x v="2"/>
    <s v="MXN"/>
    <n v="12397154.02"/>
    <n v="4.8898081728253801E-2"/>
    <n v="606197.05046771013"/>
    <n v="20.450700000000001"/>
    <n v="12397154.02"/>
    <n v="12494694.966272"/>
    <n v="-97540.94627200067"/>
    <n v="3.978082191780822"/>
    <n v="1"/>
    <n v="-97540.94627200067"/>
    <n v="0"/>
    <m/>
    <n v="38469.044190468849"/>
  </r>
  <r>
    <x v="2"/>
    <s v="Purchase"/>
    <x v="12"/>
    <x v="1"/>
    <s v="MXN"/>
    <d v="2017-11-09T00:00:00"/>
    <n v="1444683.6"/>
    <x v="1"/>
    <n v="15000"/>
    <n v="96.312240000000003"/>
    <n v="5.2260529190118581E-2"/>
    <n v="75499.929448285606"/>
    <n v="19.134899999999998"/>
    <n v="1444683.6"/>
    <n v="97.695173988822006"/>
    <n v="117.30800000000001"/>
    <n v="1.2007000000000001"/>
    <n v="1734631.5985200002"/>
    <n v="115.64210656800002"/>
    <m/>
    <n v="15000"/>
    <s v="Sale"/>
    <x v="2"/>
    <s v="MXN"/>
    <n v="1649244.9"/>
    <n v="4.8898081728253801E-2"/>
    <n v="80644.911910105759"/>
    <n v="20.450700000000001"/>
    <n v="1649244.9"/>
    <n v="1734631.5985200002"/>
    <n v="-85386.698520000326"/>
    <n v="4.2109589041095887"/>
    <n v="1"/>
    <n v="-85386.698520000326"/>
    <n v="0"/>
    <m/>
    <n v="5144.9824618201528"/>
  </r>
  <r>
    <x v="2"/>
    <s v="Purchase"/>
    <x v="12"/>
    <x v="1"/>
    <s v="MXN"/>
    <d v="2018-02-09T00:00:00"/>
    <n v="2607990.9900000002"/>
    <x v="1"/>
    <n v="27707"/>
    <n v="94.127512541956918"/>
    <n v="5.3621603071445423E-2"/>
    <n v="139844.657679686"/>
    <n v="18.6492"/>
    <n v="2607990.9900000002"/>
    <n v="99.171374481640001"/>
    <n v="117.30800000000001"/>
    <n v="1.1828000000000001"/>
    <n v="3084731.7429720005"/>
    <n v="111.33402183462664"/>
    <m/>
    <n v="27707"/>
    <s v="Sale"/>
    <x v="2"/>
    <s v="MXN"/>
    <n v="3046375.23"/>
    <n v="4.8898081728253801E-2"/>
    <n v="148961.90497146797"/>
    <n v="20.450700000000001"/>
    <n v="3046375.2300000004"/>
    <n v="3084731.7429720005"/>
    <n v="-38356.512972000055"/>
    <n v="3.9589041095890409"/>
    <n v="1"/>
    <n v="-38356.512972000055"/>
    <n v="0"/>
    <m/>
    <n v="9117.2472917819687"/>
  </r>
  <r>
    <x v="2"/>
    <s v="Purchase"/>
    <x v="13"/>
    <x v="1"/>
    <s v="MXN"/>
    <d v="2017-11-09T00:00:00"/>
    <n v="5364958.5"/>
    <x v="1"/>
    <n v="55000"/>
    <n v="97.544700000000006"/>
    <n v="5.2260529190118581E-2"/>
    <n v="280375.57029302482"/>
    <n v="19.134899999999998"/>
    <n v="5364958.5"/>
    <n v="97.695173988822006"/>
    <n v="117.30800000000001"/>
    <n v="1.2007000000000001"/>
    <n v="6441705.6709500002"/>
    <n v="117.12192129"/>
    <m/>
    <n v="55000"/>
    <s v="Sale"/>
    <x v="2"/>
    <s v="MXN"/>
    <n v="6280513.7999999998"/>
    <n v="4.8898081728253801E-2"/>
    <n v="307105.07708782586"/>
    <n v="20.450700000000001"/>
    <n v="6280513.8000000007"/>
    <n v="6441705.6709500002"/>
    <n v="-161191.87094999943"/>
    <n v="4.2109589041095887"/>
    <n v="1"/>
    <n v="-161191.87094999943"/>
    <n v="0"/>
    <m/>
    <n v="26729.50679480104"/>
  </r>
  <r>
    <x v="2"/>
    <s v="Purchase"/>
    <x v="13"/>
    <x v="1"/>
    <s v="MXN"/>
    <d v="2017-11-17T00:00:00"/>
    <n v="3852489.6"/>
    <x v="1"/>
    <n v="40000"/>
    <n v="96.312240000000003"/>
    <n v="5.2010735015707237E-2"/>
    <n v="200370.81573636798"/>
    <n v="19.226800000000001"/>
    <n v="3852489.6"/>
    <n v="97.695173988822006"/>
    <n v="117.30800000000001"/>
    <n v="1.2007000000000001"/>
    <n v="4625684.2627200009"/>
    <n v="115.64210656800002"/>
    <m/>
    <n v="40000"/>
    <s v="Sale"/>
    <x v="2"/>
    <s v="MXN"/>
    <n v="4567646.4000000004"/>
    <n v="4.8898081728253801E-2"/>
    <n v="223349.14697296426"/>
    <n v="20.450700000000001"/>
    <n v="4567646.4000000004"/>
    <n v="4625684.2627200009"/>
    <n v="-58037.862720000558"/>
    <n v="4.1890410958904107"/>
    <n v="1"/>
    <n v="-58037.862720000558"/>
    <n v="0"/>
    <m/>
    <n v="22978.331236596277"/>
  </r>
  <r>
    <x v="2"/>
    <s v="Purchase"/>
    <x v="13"/>
    <x v="1"/>
    <s v="MXN"/>
    <d v="2018-02-09T00:00:00"/>
    <n v="11511740.35"/>
    <x v="1"/>
    <n v="121178"/>
    <n v="94.998599993398145"/>
    <n v="5.3621603071445423E-2"/>
    <n v="617277.97170924221"/>
    <n v="18.6492"/>
    <n v="11511740.35"/>
    <n v="99.171374481640001"/>
    <n v="117.30800000000001"/>
    <n v="1.1828000000000001"/>
    <n v="13616086.48598"/>
    <n v="112.36434407219133"/>
    <m/>
    <n v="121178"/>
    <s v="Sale"/>
    <x v="2"/>
    <s v="MXN"/>
    <n v="13837456.390000001"/>
    <n v="4.8898081728253801E-2"/>
    <n v="676625.07346936781"/>
    <n v="20.450700000000001"/>
    <n v="13837456.390000001"/>
    <n v="13616086.48598"/>
    <n v="221369.90402000025"/>
    <n v="3.9589041095890409"/>
    <n v="1"/>
    <n v="221369.90402000025"/>
    <n v="0"/>
    <m/>
    <n v="59347.101760125603"/>
  </r>
  <r>
    <x v="2"/>
    <s v="Purchase"/>
    <x v="13"/>
    <x v="1"/>
    <s v="MXN"/>
    <d v="2018-02-09T00:00:00"/>
    <n v="1692020.06"/>
    <x v="1"/>
    <n v="17811"/>
    <n v="94.998599741732647"/>
    <n v="5.3621603071445423E-2"/>
    <n v="90728.828046243274"/>
    <n v="18.6492"/>
    <n v="1692020.06"/>
    <n v="99.171374481640001"/>
    <n v="120.15900000000001"/>
    <n v="1.2116"/>
    <n v="2050051.5046960001"/>
    <n v="115.10030344708328"/>
    <m/>
    <n v="17811"/>
    <s v="Sale"/>
    <x v="3"/>
    <s v="MXN"/>
    <n v="1906764.8"/>
    <n v="4.9701789264413515E-2"/>
    <n v="94769.62226640158"/>
    <n v="20.12"/>
    <n v="1906764.7999999998"/>
    <n v="2050051.5046960004"/>
    <n v="-143286.70469600055"/>
    <n v="4.1726027397260275"/>
    <n v="1"/>
    <n v="-143286.70469600055"/>
    <n v="0"/>
    <m/>
    <n v="4040.7942201583064"/>
  </r>
  <r>
    <x v="2"/>
    <s v="Purchase"/>
    <x v="13"/>
    <x v="1"/>
    <s v="MXN"/>
    <d v="2017-11-10T00:00:00"/>
    <n v="487723.5"/>
    <x v="1"/>
    <n v="5000"/>
    <n v="97.544700000000006"/>
    <n v="5.2433435753311171E-2"/>
    <n v="25573.01880263006"/>
    <n v="19.0718"/>
    <n v="487723.5"/>
    <n v="97.695173988822006"/>
    <n v="120.15900000000001"/>
    <n v="1.2299"/>
    <n v="599851.13265000004"/>
    <n v="119.97022653000001"/>
    <m/>
    <n v="5000"/>
    <s v="Sale"/>
    <x v="3"/>
    <s v="MXN"/>
    <n v="535277.30000000005"/>
    <n v="4.9701789264413515E-2"/>
    <n v="26604.239562624254"/>
    <n v="20.12"/>
    <n v="535277.30000000005"/>
    <n v="599851.13265000004"/>
    <n v="-64573.832649999997"/>
    <n v="4.4219178082191783"/>
    <n v="1"/>
    <n v="-64573.832649999997"/>
    <n v="0"/>
    <m/>
    <n v="1031.2207599941939"/>
  </r>
  <r>
    <x v="2"/>
    <s v="Purchase"/>
    <x v="13"/>
    <x v="1"/>
    <s v="MXN"/>
    <d v="2017-11-14T00:00:00"/>
    <n v="1811350.07"/>
    <x v="1"/>
    <n v="18623"/>
    <n v="97.264139504913288"/>
    <n v="5.2486274839129564E-2"/>
    <n v="95071.017603896573"/>
    <n v="19.052600000000002"/>
    <n v="1811350.07"/>
    <n v="97.695173988822006"/>
    <n v="120.15900000000001"/>
    <n v="1.2299"/>
    <n v="2227779.4510929999"/>
    <n v="119.62516517709284"/>
    <m/>
    <n v="18623"/>
    <s v="Sale"/>
    <x v="3"/>
    <s v="MXN"/>
    <n v="1993693.83"/>
    <n v="4.9701789264413515E-2"/>
    <n v="99090.150596421474"/>
    <n v="20.12"/>
    <n v="1993693.83"/>
    <n v="2227779.4510929999"/>
    <n v="-234085.62109299982"/>
    <n v="4.4109589041095889"/>
    <n v="1"/>
    <n v="-234085.62109299982"/>
    <n v="0"/>
    <m/>
    <n v="4019.1329925249011"/>
  </r>
  <r>
    <x v="2"/>
    <s v="Purchase"/>
    <x v="13"/>
    <x v="1"/>
    <s v="MXN"/>
    <d v="2018-02-06T00:00:00"/>
    <n v="15842626.5"/>
    <x v="1"/>
    <n v="167349"/>
    <n v="94.668187440618112"/>
    <n v="5.4346644638160038E-2"/>
    <n v="860993.59253059712"/>
    <n v="18.400400000000001"/>
    <n v="15842626.5"/>
    <n v="99.171374481640001"/>
    <n v="120.15900000000001"/>
    <n v="1.2116"/>
    <n v="19194926.2674"/>
    <n v="114.6999759030529"/>
    <m/>
    <n v="167349"/>
    <s v="Sale"/>
    <x v="3"/>
    <s v="MXN"/>
    <n v="17915624.18"/>
    <n v="4.9701789264413515E-2"/>
    <n v="890438.5775347912"/>
    <n v="20.12"/>
    <n v="17915624.18"/>
    <n v="19194926.2674"/>
    <n v="-1279302.0874000005"/>
    <n v="4.1808219178082195"/>
    <n v="1"/>
    <n v="-1279302.0874000005"/>
    <n v="0"/>
    <m/>
    <n v="29444.985004194081"/>
  </r>
  <r>
    <x v="2"/>
    <s v="Purchase"/>
    <x v="14"/>
    <x v="1"/>
    <s v="USD"/>
    <d v="2022-01-25T00:00:00"/>
    <n v="10121.31"/>
    <x v="1"/>
    <n v="1895"/>
    <n v="5.3410606860158305"/>
    <n v="1"/>
    <n v="10121.31"/>
    <n v="20.459800000000001"/>
    <n v="207079.97833800002"/>
    <n v="118.002"/>
    <n v="120.809"/>
    <n v="1.0237000000000001"/>
    <n v="211987.77382461063"/>
    <n v="111.86689911588951"/>
    <m/>
    <n v="1895"/>
    <s v="Sale"/>
    <x v="4"/>
    <s v="USD"/>
    <n v="9978.5"/>
    <n v="1"/>
    <n v="9978.5"/>
    <n v="20.32"/>
    <n v="202763.12"/>
    <n v="211987.77382461063"/>
    <n v="-9224.6538246106356"/>
    <n v="0.30410958904109592"/>
    <n v="1"/>
    <n v="-9224.6538246106356"/>
    <n v="0"/>
    <m/>
    <n v="-142.80999999999949"/>
  </r>
  <r>
    <x v="0"/>
    <m/>
    <x v="0"/>
    <x v="0"/>
    <m/>
    <m/>
    <m/>
    <x v="0"/>
    <n v="0"/>
    <n v="0"/>
    <n v="0"/>
    <n v="0"/>
    <n v="0"/>
    <n v="0"/>
    <n v="0"/>
    <n v="0"/>
    <n v="0"/>
    <n v="0"/>
    <n v="0"/>
    <m/>
    <m/>
    <m/>
    <x v="0"/>
    <m/>
    <m/>
    <n v="0"/>
    <n v="0"/>
    <n v="0"/>
    <n v="0"/>
    <n v="0"/>
    <n v="0"/>
    <n v="0"/>
    <n v="1"/>
    <n v="0"/>
    <n v="0"/>
    <m/>
    <n v="0"/>
  </r>
  <r>
    <x v="1"/>
    <s v="Purchase"/>
    <x v="15"/>
    <x v="1"/>
    <s v="USD"/>
    <d v="2021-01-22T00:00:00"/>
    <n v="36601.971153740749"/>
    <x v="1"/>
    <n v="708"/>
    <n v="51.697699369690326"/>
    <n v="1"/>
    <n v="36601.971153740749"/>
    <n v="19.5793"/>
    <n v="716640.9738104362"/>
    <n v="110.21"/>
    <n v="120.15900000000001"/>
    <n v="1.0902000000000001"/>
    <n v="781281.98964813759"/>
    <n v="1103.5056350962395"/>
    <m/>
    <n v="708"/>
    <s v="Sale"/>
    <x v="5"/>
    <s v="USD"/>
    <n v="31558.037698723405"/>
    <n v="1"/>
    <n v="31558.037698723405"/>
    <n v="19.9377"/>
    <n v="629194.68822583766"/>
    <n v="781281.98964813759"/>
    <n v="-152087.30142229993"/>
    <n v="1.2410958904109588"/>
    <n v="1"/>
    <n v="-152087.30142229993"/>
    <n v="0"/>
    <m/>
    <n v="-5043.9334550173444"/>
  </r>
  <r>
    <x v="1"/>
    <s v="Purchase"/>
    <x v="15"/>
    <x v="1"/>
    <s v="USD"/>
    <d v="2021-04-07T00:00:00"/>
    <n v="269715.84808701754"/>
    <x v="1"/>
    <n v="5167"/>
    <n v="52.199699649122806"/>
    <n v="1"/>
    <n v="269715.84808701754"/>
    <n v="20.2483"/>
    <n v="5461287.4068203578"/>
    <n v="112.19"/>
    <n v="120.15900000000001"/>
    <n v="1.071"/>
    <n v="5849038.8127046032"/>
    <n v="1131.998996072112"/>
    <m/>
    <n v="5167"/>
    <s v="Sale"/>
    <x v="5"/>
    <s v="USD"/>
    <n v="230311.27230127659"/>
    <n v="1"/>
    <n v="230311.27230127659"/>
    <n v="19.9377"/>
    <n v="4591877.0537611619"/>
    <n v="5849038.8127046032"/>
    <n v="-1257161.7589434413"/>
    <n v="1.0356164383561643"/>
    <n v="1"/>
    <n v="-1257161.7589434413"/>
    <n v="0"/>
    <m/>
    <n v="-39404.575785740948"/>
  </r>
  <r>
    <x v="1"/>
    <s v="Purchase"/>
    <x v="15"/>
    <x v="1"/>
    <s v="USD"/>
    <d v="2021-04-07T00:00:00"/>
    <n v="102207.01191298246"/>
    <x v="1"/>
    <n v="1958"/>
    <n v="52.199699649122806"/>
    <n v="1"/>
    <n v="102207.01191298246"/>
    <n v="20.2483"/>
    <n v="2069518.2393176428"/>
    <n v="112.19"/>
    <n v="122.044"/>
    <n v="1.0878000000000001"/>
    <n v="2251221.9407297322"/>
    <n v="1149.7558430693218"/>
    <m/>
    <n v="1958"/>
    <s v="Sale"/>
    <x v="6"/>
    <s v="USD"/>
    <n v="83068.736285097184"/>
    <n v="1"/>
    <n v="83068.736285097184"/>
    <n v="20.465199999999999"/>
    <n v="1700018.3018217708"/>
    <n v="2251221.9407297322"/>
    <n v="-551203.63890796131"/>
    <n v="1.3041095890410959"/>
    <n v="1"/>
    <n v="-551203.63890796131"/>
    <n v="0"/>
    <m/>
    <n v="-19138.275627885276"/>
  </r>
  <r>
    <x v="1"/>
    <s v="Purchase"/>
    <x v="15"/>
    <x v="1"/>
    <s v="USD"/>
    <d v="2021-04-16T00:00:00"/>
    <n v="165809.52037198743"/>
    <x v="1"/>
    <n v="3135"/>
    <n v="52.889799161718479"/>
    <n v="1"/>
    <n v="165809.52037198743"/>
    <n v="20.058299999999999"/>
    <n v="3325857.102477435"/>
    <n v="112.19"/>
    <n v="122.044"/>
    <n v="1.0878000000000001"/>
    <n v="3617867.3560749544"/>
    <n v="1154.0246749840364"/>
    <m/>
    <n v="3135"/>
    <s v="Sale"/>
    <x v="6"/>
    <s v="USD"/>
    <n v="133003.31371490279"/>
    <n v="1"/>
    <n v="133003.31371490279"/>
    <n v="20.465199999999999"/>
    <n v="2721939.4158382285"/>
    <n v="3617867.3560749544"/>
    <n v="-895927.94023672584"/>
    <n v="1.2794520547945205"/>
    <n v="1"/>
    <n v="-895927.94023672584"/>
    <n v="0"/>
    <m/>
    <n v="-32806.206657084636"/>
  </r>
  <r>
    <x v="1"/>
    <s v="Purchase"/>
    <x v="16"/>
    <x v="1"/>
    <s v="USD"/>
    <d v="2021-02-04T00:00:00"/>
    <n v="154701.06862625026"/>
    <x v="1"/>
    <n v="2360"/>
    <n v="65.551300265360283"/>
    <n v="1"/>
    <n v="154701.06862625026"/>
    <n v="20.1722"/>
    <n v="3120660.8965424453"/>
    <n v="110.907"/>
    <n v="120.15900000000001"/>
    <n v="1.0833999999999999"/>
    <n v="3380924.0153140849"/>
    <n v="1432.5949217432562"/>
    <m/>
    <n v="2360"/>
    <s v="Sale"/>
    <x v="5"/>
    <s v="USD"/>
    <n v="166211.5"/>
    <n v="1"/>
    <n v="166211.5"/>
    <n v="19.9377"/>
    <n v="3313875.02355"/>
    <n v="3380924.0153140849"/>
    <n v="-67048.991764084902"/>
    <n v="1.2054794520547945"/>
    <n v="1"/>
    <n v="-67048.991764084902"/>
    <n v="0"/>
    <m/>
    <n v="11510.431373749743"/>
  </r>
  <r>
    <x v="1"/>
    <s v="Purchase"/>
    <x v="17"/>
    <x v="1"/>
    <s v="USD"/>
    <d v="2021-04-16T00:00:00"/>
    <n v="30685.421792452828"/>
    <x v="1"/>
    <n v="184"/>
    <n v="166.76859669811319"/>
    <n v="1"/>
    <n v="30685.421792452828"/>
    <n v="20.058299999999999"/>
    <n v="615497.39593955653"/>
    <n v="112.19"/>
    <n v="120.15900000000001"/>
    <n v="1.071"/>
    <n v="659197.71105126501"/>
    <n v="3582.5962557133967"/>
    <m/>
    <n v="184"/>
    <s v="Sale"/>
    <x v="5"/>
    <s v="USD"/>
    <n v="35458.492489451477"/>
    <n v="1"/>
    <n v="35458.492489451477"/>
    <n v="19.9377"/>
    <n v="706960.78570693673"/>
    <n v="659197.71105126501"/>
    <n v="47763.07465567172"/>
    <n v="1.010958904109589"/>
    <n v="1"/>
    <n v="47763.07465567172"/>
    <n v="0"/>
    <m/>
    <n v="4773.0706969986495"/>
  </r>
  <r>
    <x v="1"/>
    <s v="Purchase"/>
    <x v="17"/>
    <x v="1"/>
    <s v="USD"/>
    <d v="2021-06-23T00:00:00"/>
    <n v="9445.7395254074781"/>
    <x v="1"/>
    <n v="53"/>
    <n v="178.22150047938638"/>
    <n v="1"/>
    <n v="9445.7395254074781"/>
    <n v="20.6"/>
    <n v="194582.23422339407"/>
    <n v="113.018"/>
    <n v="120.15900000000001"/>
    <n v="1.0630999999999999"/>
    <n v="206860.37320289022"/>
    <n v="3903.0259094884946"/>
    <m/>
    <n v="53"/>
    <s v="Sale"/>
    <x v="5"/>
    <s v="USD"/>
    <n v="10213.587510548523"/>
    <n v="1"/>
    <n v="10213.587510548523"/>
    <n v="19.9377"/>
    <n v="203635.44370906329"/>
    <n v="206860.37320289022"/>
    <n v="-3224.9294938269304"/>
    <n v="0.8246575342465754"/>
    <n v="1"/>
    <n v="-3224.9294938269304"/>
    <n v="0"/>
    <m/>
    <n v="767.84798514104477"/>
  </r>
  <r>
    <x v="1"/>
    <s v="Purchase"/>
    <x v="18"/>
    <x v="1"/>
    <s v="USD"/>
    <d v="2020-05-06T00:00:00"/>
    <n v="4135.2213127413124"/>
    <x v="1"/>
    <n v="18"/>
    <n v="229.73451737451737"/>
    <n v="1"/>
    <n v="4135.2213127413124"/>
    <n v="24.3812"/>
    <n v="100821.65787020848"/>
    <n v="106.16200000000001"/>
    <n v="120.15900000000001"/>
    <n v="1.1317999999999999"/>
    <n v="114109.95237750195"/>
    <n v="6339.4417987501083"/>
    <m/>
    <n v="18"/>
    <s v="Sale"/>
    <x v="5"/>
    <s v="USD"/>
    <n v="4394.58"/>
    <n v="1"/>
    <n v="4394.58"/>
    <n v="19.9377"/>
    <n v="87617.817666000003"/>
    <n v="114109.95237750195"/>
    <n v="-26492.134711501945"/>
    <n v="1.9561643835616438"/>
    <n v="1"/>
    <n v="-26492.134711501945"/>
    <n v="0"/>
    <m/>
    <n v="259.3586872586875"/>
  </r>
  <r>
    <x v="1"/>
    <s v="Purchase"/>
    <x v="18"/>
    <x v="1"/>
    <s v="USD"/>
    <d v="2020-05-06T00:00:00"/>
    <n v="51001.062857142853"/>
    <x v="1"/>
    <n v="222"/>
    <n v="229.73451737451737"/>
    <n v="1"/>
    <n v="51001.062857142853"/>
    <n v="24.3812"/>
    <n v="1243467.1137325712"/>
    <n v="106.16200000000001"/>
    <n v="122.044"/>
    <n v="1.1496"/>
    <n v="1429489.7939469637"/>
    <n v="6439.143215977314"/>
    <m/>
    <n v="222"/>
    <s v="Sale"/>
    <x v="6"/>
    <s v="USD"/>
    <n v="53180.768475836434"/>
    <n v="1"/>
    <n v="53180.768475836434"/>
    <n v="20.465199999999999"/>
    <n v="1088355.0630116877"/>
    <n v="1429489.7939469637"/>
    <n v="-341134.73093527602"/>
    <n v="2.2246575342465755"/>
    <n v="1"/>
    <n v="-341134.73093527602"/>
    <n v="0"/>
    <m/>
    <n v="2179.7056186935806"/>
  </r>
  <r>
    <x v="1"/>
    <s v="Purchase"/>
    <x v="18"/>
    <x v="1"/>
    <s v="USD"/>
    <d v="2020-06-03T00:00:00"/>
    <n v="2766.38"/>
    <x v="1"/>
    <n v="12"/>
    <n v="230.53166666666667"/>
    <n v="1"/>
    <n v="2766.38"/>
    <n v="22.0168"/>
    <n v="60906.835184000003"/>
    <n v="106.74299999999999"/>
    <n v="122.044"/>
    <n v="1.1433"/>
    <n v="69634.784665867206"/>
    <n v="5802.8987221556008"/>
    <m/>
    <n v="12"/>
    <s v="Sale"/>
    <x v="6"/>
    <s v="USD"/>
    <n v="2874.6361338289962"/>
    <n v="1"/>
    <n v="2874.6361338289962"/>
    <n v="20.465199999999999"/>
    <n v="58830.003406037169"/>
    <n v="69634.784665867206"/>
    <n v="-10804.781259830037"/>
    <n v="2.1479452054794521"/>
    <n v="1"/>
    <n v="-10804.781259830037"/>
    <n v="0"/>
    <m/>
    <n v="108.2561338289961"/>
  </r>
  <r>
    <x v="1"/>
    <s v="Purchase"/>
    <x v="18"/>
    <x v="1"/>
    <s v="USD"/>
    <d v="2020-10-14T00:00:00"/>
    <n v="2654.98"/>
    <x v="1"/>
    <n v="11"/>
    <n v="241.36181818181819"/>
    <n v="1"/>
    <n v="2654.98"/>
    <n v="21.218299999999999"/>
    <n v="56334.162133999998"/>
    <n v="108.774"/>
    <n v="122.044"/>
    <n v="1.1218999999999999"/>
    <n v="63201.296498134594"/>
    <n v="5745.5724089213263"/>
    <m/>
    <n v="11"/>
    <s v="Sale"/>
    <x v="6"/>
    <s v="USD"/>
    <n v="2635.0831226765799"/>
    <n v="1"/>
    <n v="2635.0831226765799"/>
    <n v="20.465199999999999"/>
    <n v="53927.503122200746"/>
    <n v="63201.296498134587"/>
    <n v="-9273.7933759338412"/>
    <n v="1.7835616438356163"/>
    <n v="1"/>
    <n v="-9273.7933759338412"/>
    <n v="0"/>
    <m/>
    <n v="-19.896877323420085"/>
  </r>
  <r>
    <x v="1"/>
    <s v="Purchase"/>
    <x v="18"/>
    <x v="1"/>
    <s v="USD"/>
    <d v="2020-11-23T00:00:00"/>
    <n v="2162.4899999999998"/>
    <x v="1"/>
    <n v="9"/>
    <n v="240.27666666666664"/>
    <n v="1"/>
    <n v="2162.4899999999998"/>
    <n v="20.1858"/>
    <n v="43651.590641999996"/>
    <n v="108.85599999999999"/>
    <n v="122.044"/>
    <n v="1.1211"/>
    <n v="48937.798268746192"/>
    <n v="5437.5331409717992"/>
    <m/>
    <n v="9"/>
    <s v="Sale"/>
    <x v="6"/>
    <s v="USD"/>
    <n v="2155.9771003717474"/>
    <n v="1"/>
    <n v="2155.9771003717474"/>
    <n v="20.465199999999999"/>
    <n v="44122.502554527884"/>
    <n v="48937.798268746192"/>
    <n v="-4815.2957142183077"/>
    <n v="1.6739726027397259"/>
    <n v="1"/>
    <n v="-4815.2957142183077"/>
    <n v="0"/>
    <m/>
    <n v="-6.5128996282523985"/>
  </r>
  <r>
    <x v="1"/>
    <s v="Purchase"/>
    <x v="18"/>
    <x v="1"/>
    <s v="USD"/>
    <d v="2021-01-22T00:00:00"/>
    <n v="3672.9839869281045"/>
    <x v="1"/>
    <n v="15"/>
    <n v="244.86559912854031"/>
    <n v="1"/>
    <n v="3672.9839869281045"/>
    <n v="19.5793"/>
    <n v="71914.45537526143"/>
    <n v="110.21"/>
    <n v="122.044"/>
    <n v="1.1073"/>
    <n v="79630.876437026978"/>
    <n v="5308.7250958017985"/>
    <m/>
    <n v="15"/>
    <s v="Sale"/>
    <x v="6"/>
    <s v="USD"/>
    <n v="3593.2951672862455"/>
    <n v="1"/>
    <n v="3593.2951672862455"/>
    <n v="20.465199999999999"/>
    <n v="73537.504257546476"/>
    <n v="79630.876437026978"/>
    <n v="-6093.3721794805024"/>
    <n v="1.5095890410958903"/>
    <n v="1"/>
    <n v="-6093.3721794805024"/>
    <n v="0"/>
    <m/>
    <n v="-79.688819641859027"/>
  </r>
  <r>
    <x v="1"/>
    <s v="Purchase"/>
    <x v="5"/>
    <x v="1"/>
    <s v="USD"/>
    <d v="2021-04-07T00:00:00"/>
    <n v="82989.573263157887"/>
    <x v="1"/>
    <n v="15272"/>
    <n v="5.4340998731769172"/>
    <n v="1"/>
    <n v="82989.573263157887"/>
    <n v="20.2483"/>
    <n v="1680397.7763043998"/>
    <n v="112.19"/>
    <n v="122.044"/>
    <n v="1.0878000000000001"/>
    <n v="1827936.7010639263"/>
    <n v="119.69203123781602"/>
    <m/>
    <n v="15272"/>
    <s v="Sale"/>
    <x v="6"/>
    <s v="USD"/>
    <n v="92485.7"/>
    <n v="1"/>
    <n v="92485.7"/>
    <n v="20.465199999999999"/>
    <n v="1892738.3476399998"/>
    <n v="1827936.7010639263"/>
    <n v="64801.646576073486"/>
    <n v="1.3041095890410959"/>
    <n v="1"/>
    <n v="64801.646576073486"/>
    <n v="0"/>
    <m/>
    <n v="9496.1267368421104"/>
  </r>
  <r>
    <x v="1"/>
    <s v="Purchase"/>
    <x v="19"/>
    <x v="1"/>
    <s v="USD"/>
    <d v="2021-02-04T00:00:00"/>
    <n v="131938.98340886761"/>
    <x v="1"/>
    <n v="22473"/>
    <n v="5.8710000181937261"/>
    <n v="1"/>
    <n v="131938.98340886761"/>
    <n v="20.1722"/>
    <n v="2661499.5611203592"/>
    <n v="110.907"/>
    <n v="122.044"/>
    <n v="1.1004"/>
    <n v="2928714.1170568434"/>
    <n v="130.32145761833505"/>
    <m/>
    <n v="22473"/>
    <s v="Sale"/>
    <x v="6"/>
    <s v="USD"/>
    <n v="136752.70145325226"/>
    <n v="1"/>
    <n v="136752.70145325226"/>
    <n v="20.465199999999999"/>
    <n v="2798671.3857810982"/>
    <n v="2928714.1170568434"/>
    <n v="-130042.7312757452"/>
    <n v="1.473972602739726"/>
    <n v="1"/>
    <n v="-130042.7312757452"/>
    <n v="0"/>
    <m/>
    <n v="4813.7180443846446"/>
  </r>
  <r>
    <x v="1"/>
    <s v="Purchase"/>
    <x v="19"/>
    <x v="1"/>
    <s v="USD"/>
    <d v="2021-04-08T00:00:00"/>
    <n v="164733.09879415893"/>
    <x v="1"/>
    <n v="26032"/>
    <n v="6.3280999844099162"/>
    <n v="1"/>
    <n v="164733.09879415893"/>
    <n v="20.161200000000001"/>
    <n v="3321216.9514087969"/>
    <n v="112.19"/>
    <n v="122.044"/>
    <n v="1.0878000000000001"/>
    <n v="3612819.7997424896"/>
    <n v="138.78379685550436"/>
    <m/>
    <n v="26032"/>
    <s v="Sale"/>
    <x v="6"/>
    <s v="USD"/>
    <n v="158409.92854674777"/>
    <n v="1"/>
    <n v="158409.92854674777"/>
    <n v="20.465199999999999"/>
    <n v="3241890.8696949026"/>
    <n v="3612819.7997424896"/>
    <n v="-370928.93004758703"/>
    <n v="1.3013698630136987"/>
    <n v="1"/>
    <n v="-370928.93004758703"/>
    <n v="0"/>
    <m/>
    <n v="-6323.1702474111516"/>
  </r>
  <r>
    <x v="1"/>
    <s v="Purchase"/>
    <x v="10"/>
    <x v="1"/>
    <s v="USD"/>
    <d v="2020-05-06T00:00:00"/>
    <n v="38906.634877470358"/>
    <x v="1"/>
    <n v="136"/>
    <n v="286.0781976284585"/>
    <n v="1"/>
    <n v="38906.634877470358"/>
    <n v="24.3812"/>
    <n v="948590.44627458032"/>
    <n v="106.16200000000001"/>
    <n v="120.15900000000001"/>
    <n v="1.1317999999999999"/>
    <n v="1073614.6670935699"/>
    <n v="7894.2254933350723"/>
    <m/>
    <n v="136"/>
    <s v="Sale"/>
    <x v="5"/>
    <s v="USD"/>
    <n v="62443.28"/>
    <n v="1"/>
    <n v="62443.28"/>
    <n v="19.9377"/>
    <n v="1244975.383656"/>
    <n v="1073614.6670935699"/>
    <n v="171360.71656243014"/>
    <n v="1.9561643835616438"/>
    <n v="1"/>
    <n v="171360.71656243014"/>
    <n v="0"/>
    <m/>
    <n v="23536.645122529641"/>
  </r>
  <r>
    <x v="1"/>
    <s v="Purchase"/>
    <x v="10"/>
    <x v="1"/>
    <s v="USD"/>
    <d v="2020-05-06T00:00:00"/>
    <n v="70375.236616600785"/>
    <x v="1"/>
    <n v="246"/>
    <n v="286.0781976284585"/>
    <n v="1"/>
    <n v="70375.236616600785"/>
    <n v="24.3812"/>
    <n v="1715832.7189966671"/>
    <n v="106.16200000000001"/>
    <n v="122.044"/>
    <n v="1.1496"/>
    <n v="1972521.2937585684"/>
    <n v="8018.3792429210098"/>
    <m/>
    <n v="246"/>
    <s v="Sale"/>
    <x v="6"/>
    <s v="USD"/>
    <n v="100064.26"/>
    <n v="1"/>
    <n v="100064.26"/>
    <n v="20.465199999999999"/>
    <n v="2047835.0937519998"/>
    <n v="1972521.2937585684"/>
    <n v="75313.799993431428"/>
    <n v="2.2246575342465755"/>
    <n v="1"/>
    <n v="75313.799993431428"/>
    <n v="0"/>
    <m/>
    <n v="29689.02338339921"/>
  </r>
  <r>
    <x v="1"/>
    <s v="Purchase"/>
    <x v="6"/>
    <x v="1"/>
    <s v="USD"/>
    <d v="2021-01-22T00:00:00"/>
    <n v="2777.1221148567811"/>
    <x v="1"/>
    <n v="526"/>
    <n v="5.2796998381307629"/>
    <n v="1"/>
    <n v="2777.1221148567811"/>
    <n v="19.5793"/>
    <n v="54374.107023415374"/>
    <n v="110.21"/>
    <n v="120.15900000000001"/>
    <n v="1.0902000000000001"/>
    <n v="59278.651476927444"/>
    <n v="112.69705603978602"/>
    <m/>
    <n v="526"/>
    <s v="Sale"/>
    <x v="5"/>
    <s v="USD"/>
    <n v="3362.9803926096997"/>
    <n v="1"/>
    <n v="3362.9803926096997"/>
    <n v="19.9377"/>
    <n v="67050.094173734411"/>
    <n v="59278.651476927444"/>
    <n v="7771.4426968069674"/>
    <n v="1.2410958904109588"/>
    <n v="1"/>
    <n v="7771.4426968069674"/>
    <n v="0"/>
    <m/>
    <n v="585.85827775291864"/>
  </r>
  <r>
    <x v="1"/>
    <s v="Purchase"/>
    <x v="6"/>
    <x v="1"/>
    <s v="USD"/>
    <d v="2021-04-07T00:00:00"/>
    <n v="6952.3489196057772"/>
    <x v="1"/>
    <n v="1206"/>
    <n v="5.764800099175603"/>
    <n v="1"/>
    <n v="6952.3489196057772"/>
    <n v="20.2483"/>
    <n v="140773.24662885367"/>
    <n v="112.19"/>
    <n v="120.15900000000001"/>
    <n v="1.071"/>
    <n v="150768.14713950228"/>
    <n v="125.01504737935512"/>
    <m/>
    <n v="1206"/>
    <s v="Sale"/>
    <x v="5"/>
    <s v="USD"/>
    <n v="7710.5596073903007"/>
    <n v="1"/>
    <n v="7710.5596073903007"/>
    <n v="19.9377"/>
    <n v="153730.8242842656"/>
    <n v="150768.14713950228"/>
    <n v="2962.6771447633218"/>
    <n v="1.0356164383561643"/>
    <n v="1"/>
    <n v="2962.6771447633218"/>
    <n v="0"/>
    <m/>
    <n v="758.21068778452354"/>
  </r>
  <r>
    <x v="1"/>
    <s v="Purchase"/>
    <x v="20"/>
    <x v="1"/>
    <s v="USD"/>
    <d v="2021-01-22T00:00:00"/>
    <n v="66622.24040385618"/>
    <x v="1"/>
    <n v="978"/>
    <n v="68.120900208441896"/>
    <n v="1"/>
    <n v="66622.24040385618"/>
    <n v="19.5793"/>
    <n v="1304416.8315392213"/>
    <n v="110.21"/>
    <n v="120.15900000000001"/>
    <n v="1.0902000000000001"/>
    <n v="1422075.2297440593"/>
    <n v="1454.0646520900402"/>
    <m/>
    <n v="978"/>
    <s v="Sale"/>
    <x v="5"/>
    <s v="USD"/>
    <n v="80837.08"/>
    <n v="1"/>
    <n v="80837.08"/>
    <n v="19.9377"/>
    <n v="1611705.449916"/>
    <n v="1422075.2297440593"/>
    <n v="189630.22017194075"/>
    <n v="1.2410958904109588"/>
    <n v="1"/>
    <n v="189630.22017194075"/>
    <n v="0"/>
    <m/>
    <n v="14214.839596143822"/>
  </r>
  <r>
    <x v="1"/>
    <s v="Purchase"/>
    <x v="20"/>
    <x v="1"/>
    <s v="USD"/>
    <d v="2021-01-22T00:00:00"/>
    <n v="3814.7704116727464"/>
    <x v="1"/>
    <n v="56"/>
    <n v="68.120900208441896"/>
    <n v="1"/>
    <n v="3814.7704116727464"/>
    <n v="19.5793"/>
    <n v="74690.534321264204"/>
    <n v="110.21"/>
    <n v="122.044"/>
    <n v="1.1073"/>
    <n v="82704.828653935852"/>
    <n v="1476.8719402488546"/>
    <m/>
    <n v="56"/>
    <s v="Sale"/>
    <x v="6"/>
    <s v="USD"/>
    <n v="4214.7299999999996"/>
    <n v="1"/>
    <n v="4214.7299999999996"/>
    <n v="20.465199999999999"/>
    <n v="86255.29239599999"/>
    <n v="82704.828653935852"/>
    <n v="3550.4637420641375"/>
    <n v="1.5095890410958903"/>
    <n v="1"/>
    <n v="3550.4637420641375"/>
    <n v="0"/>
    <m/>
    <n v="399.95958832725319"/>
  </r>
  <r>
    <x v="1"/>
    <s v="Purchase"/>
    <x v="21"/>
    <x v="1"/>
    <s v="USD"/>
    <d v="2020-05-06T00:00:00"/>
    <n v="36920.439059876888"/>
    <x v="1"/>
    <n v="1115"/>
    <n v="33.112501398992727"/>
    <n v="1"/>
    <n v="36920.439059876888"/>
    <n v="24.3812"/>
    <n v="900164.60880667041"/>
    <n v="106.16200000000001"/>
    <n v="120.15900000000001"/>
    <n v="1.1317999999999999"/>
    <n v="1018806.3042473895"/>
    <n v="913.72762712770361"/>
    <m/>
    <n v="1115"/>
    <s v="Sale"/>
    <x v="5"/>
    <s v="USD"/>
    <n v="42360.408690828401"/>
    <n v="1"/>
    <n v="42360.408690828401"/>
    <n v="19.9377"/>
    <n v="844569.12035512936"/>
    <n v="1018806.3042473895"/>
    <n v="-174237.18389226019"/>
    <n v="1.9561643835616438"/>
    <n v="1"/>
    <n v="-174237.18389226019"/>
    <n v="0"/>
    <m/>
    <n v="5439.969630951513"/>
  </r>
  <r>
    <x v="1"/>
    <s v="Purchase"/>
    <x v="21"/>
    <x v="1"/>
    <s v="USD"/>
    <d v="2020-06-03T00:00:00"/>
    <n v="1770.86"/>
    <x v="1"/>
    <n v="53"/>
    <n v="33.412452830188677"/>
    <n v="1"/>
    <n v="1770.86"/>
    <n v="22.0168"/>
    <n v="38988.670447999997"/>
    <n v="106.74299999999999"/>
    <n v="120.15900000000001"/>
    <n v="1.1255999999999999"/>
    <n v="43885.647456268794"/>
    <n v="828.03108408054334"/>
    <m/>
    <n v="53"/>
    <s v="Sale"/>
    <x v="5"/>
    <s v="USD"/>
    <n v="2013.5440902366863"/>
    <n v="1"/>
    <n v="2013.5440902366863"/>
    <n v="19.9377"/>
    <n v="40145.43800791198"/>
    <n v="43885.647456268794"/>
    <n v="-3740.2094483568144"/>
    <n v="1.8794520547945206"/>
    <n v="1"/>
    <n v="-3740.2094483568144"/>
    <n v="0"/>
    <m/>
    <n v="242.68409023668642"/>
  </r>
  <r>
    <x v="1"/>
    <s v="Purchase"/>
    <x v="21"/>
    <x v="1"/>
    <s v="USD"/>
    <d v="2021-01-22T00:00:00"/>
    <n v="6658.2607471264364"/>
    <x v="1"/>
    <n v="184"/>
    <n v="36.186199712643678"/>
    <n v="1"/>
    <n v="6658.2607471264364"/>
    <n v="19.5793"/>
    <n v="130364.08464621264"/>
    <n v="110.21"/>
    <n v="120.15900000000001"/>
    <n v="1.0902000000000001"/>
    <n v="142122.92508130101"/>
    <n v="772.40720152880988"/>
    <m/>
    <n v="184"/>
    <s v="Sale"/>
    <x v="5"/>
    <s v="USD"/>
    <n v="6990.417218934911"/>
    <n v="1"/>
    <n v="6990.417218934911"/>
    <n v="19.9377"/>
    <n v="139372.84138595857"/>
    <n v="142122.92508130101"/>
    <n v="-2750.0836953424441"/>
    <n v="1.2410958904109588"/>
    <n v="1"/>
    <n v="-2750.0836953424441"/>
    <n v="0"/>
    <m/>
    <n v="332.15647180847463"/>
  </r>
  <r>
    <x v="1"/>
    <s v="Purchase"/>
    <x v="3"/>
    <x v="1"/>
    <s v="USD"/>
    <d v="2021-04-16T00:00:00"/>
    <n v="143541.77550157084"/>
    <x v="1"/>
    <n v="24946"/>
    <n v="5.7540998757945498"/>
    <n v="1"/>
    <n v="143541.77550157084"/>
    <n v="20.058299999999999"/>
    <n v="2879203.9955431581"/>
    <n v="112.19"/>
    <n v="120.15900000000001"/>
    <n v="1.071"/>
    <n v="3083627.4792267224"/>
    <n v="123.61210130789395"/>
    <m/>
    <n v="24946"/>
    <s v="Sale"/>
    <x v="5"/>
    <s v="USD"/>
    <n v="131101.20815618435"/>
    <n v="1"/>
    <n v="131101.20815618435"/>
    <n v="19.9377"/>
    <n v="2613856.5578555567"/>
    <n v="3083627.4792267224"/>
    <n v="-469770.92137116566"/>
    <n v="1.010958904109589"/>
    <n v="1"/>
    <n v="-469770.92137116566"/>
    <n v="0"/>
    <m/>
    <n v="-12440.567345386487"/>
  </r>
  <r>
    <x v="1"/>
    <s v="Purchase"/>
    <x v="3"/>
    <x v="1"/>
    <s v="USD"/>
    <d v="2021-06-23T00:00:00"/>
    <n v="35077.9"/>
    <x v="1"/>
    <n v="6057"/>
    <n v="5.7912993230972427"/>
    <n v="1"/>
    <n v="35077.9"/>
    <n v="20.6"/>
    <n v="722604.74000000011"/>
    <n v="113.018"/>
    <n v="120.15900000000001"/>
    <n v="1.0630999999999999"/>
    <n v="768201.09909400006"/>
    <n v="126.82864439392439"/>
    <m/>
    <n v="6057"/>
    <s v="Sale"/>
    <x v="5"/>
    <s v="USD"/>
    <n v="31831.957740800473"/>
    <n v="1"/>
    <n v="31831.957740800473"/>
    <n v="19.9377"/>
    <n v="634656.02384875761"/>
    <n v="768201.09909400006"/>
    <n v="-133545.07524524245"/>
    <n v="0.8246575342465754"/>
    <n v="1"/>
    <n v="-133545.07524524245"/>
    <n v="0"/>
    <m/>
    <n v="-3245.9422591995281"/>
  </r>
  <r>
    <x v="1"/>
    <s v="Purchase"/>
    <x v="3"/>
    <x v="1"/>
    <s v="USD"/>
    <d v="2021-09-02T00:00:00"/>
    <n v="28985.8"/>
    <x v="1"/>
    <n v="4949"/>
    <n v="5.8569003839159421"/>
    <n v="1"/>
    <n v="28985.8"/>
    <n v="20.060500000000001"/>
    <n v="581469.6409"/>
    <n v="114.601"/>
    <n v="120.15900000000001"/>
    <n v="1.0484"/>
    <n v="609612.77151956002"/>
    <n v="123.17897989888058"/>
    <m/>
    <n v="4949"/>
    <s v="Sale"/>
    <x v="5"/>
    <s v="USD"/>
    <n v="26008.974551629773"/>
    <n v="1"/>
    <n v="26008.974551629773"/>
    <n v="19.9377"/>
    <n v="518559.13191802893"/>
    <n v="609612.77151956002"/>
    <n v="-91053.639601531089"/>
    <n v="0.63013698630136983"/>
    <n v="1"/>
    <n v="-91053.639601531089"/>
    <n v="0"/>
    <m/>
    <n v="-2976.8254483702258"/>
  </r>
  <r>
    <x v="1"/>
    <s v="Purchase"/>
    <x v="3"/>
    <x v="1"/>
    <s v="USD"/>
    <d v="2021-10-22T00:00:00"/>
    <n v="28673.119999999999"/>
    <x v="1"/>
    <n v="4974"/>
    <n v="5.7645999195818254"/>
    <n v="1"/>
    <n v="28673.119999999999"/>
    <n v="20.184999999999999"/>
    <n v="578766.92719999992"/>
    <n v="115.56100000000001"/>
    <n v="120.15900000000001"/>
    <n v="1.0397000000000001"/>
    <n v="601743.97420983994"/>
    <n v="120.97787981701647"/>
    <m/>
    <n v="4974"/>
    <s v="Sale"/>
    <x v="5"/>
    <s v="USD"/>
    <n v="26140.359551385431"/>
    <n v="1"/>
    <n v="26140.359551385431"/>
    <n v="19.9377"/>
    <n v="521178.64662765729"/>
    <n v="601743.97420983994"/>
    <n v="-80565.327582182654"/>
    <n v="0.49315068493150682"/>
    <n v="1"/>
    <n v="-80565.327582182654"/>
    <n v="0"/>
    <m/>
    <n v="-2532.7604486145683"/>
  </r>
  <r>
    <x v="1"/>
    <s v="Purchase"/>
    <x v="4"/>
    <x v="1"/>
    <s v="USD"/>
    <d v="2021-04-16T00:00:00"/>
    <n v="18221.805969404966"/>
    <x v="1"/>
    <n v="2980"/>
    <n v="6.1146999897332099"/>
    <n v="1"/>
    <n v="18221.805969404966"/>
    <n v="20.058299999999999"/>
    <n v="365498.45067611564"/>
    <n v="112.19"/>
    <n v="120.15900000000001"/>
    <n v="1.071"/>
    <n v="391448.84067411983"/>
    <n v="131.3586713671543"/>
    <m/>
    <n v="2980"/>
    <s v="Sale"/>
    <x v="5"/>
    <s v="USD"/>
    <n v="17483.96"/>
    <n v="1"/>
    <n v="17483.96"/>
    <n v="19.9377"/>
    <n v="348589.94929199998"/>
    <n v="391448.84067411983"/>
    <n v="-42858.891382119851"/>
    <n v="1.010958904109589"/>
    <n v="1"/>
    <n v="-42858.891382119851"/>
    <n v="0"/>
    <m/>
    <n v="-737.84596940496704"/>
  </r>
  <r>
    <x v="1"/>
    <s v="Purchase"/>
    <x v="4"/>
    <x v="1"/>
    <s v="USD"/>
    <d v="2021-04-16T00:00:00"/>
    <n v="232138.47041023159"/>
    <x v="1"/>
    <n v="37964"/>
    <n v="6.1146999897332099"/>
    <n v="1"/>
    <n v="232138.47041023159"/>
    <n v="20.058299999999999"/>
    <n v="4656303.0810295483"/>
    <n v="112.19"/>
    <n v="122.044"/>
    <n v="1.0878000000000001"/>
    <n v="5065126.4915439431"/>
    <n v="133.41919954546262"/>
    <m/>
    <n v="37964"/>
    <s v="Sale"/>
    <x v="6"/>
    <s v="USD"/>
    <n v="218349.94497470339"/>
    <n v="1"/>
    <n v="218349.94497470339"/>
    <n v="20.465199999999999"/>
    <n v="4468575.2938962998"/>
    <n v="5065126.4915439431"/>
    <n v="-596551.19764764328"/>
    <n v="1.2794520547945205"/>
    <n v="1"/>
    <n v="-596551.19764764328"/>
    <n v="0"/>
    <m/>
    <n v="-13788.525435528194"/>
  </r>
  <r>
    <x v="1"/>
    <s v="Purchase"/>
    <x v="4"/>
    <x v="1"/>
    <s v="USD"/>
    <d v="2021-09-02T00:00:00"/>
    <n v="436743.9"/>
    <x v="1"/>
    <n v="69744"/>
    <n v="6.2620999655884377"/>
    <n v="1"/>
    <n v="436743.9"/>
    <n v="20.060500000000001"/>
    <n v="8761301.0059500001"/>
    <n v="114.601"/>
    <n v="122.044"/>
    <n v="1.0649"/>
    <n v="9329909.4412361551"/>
    <n v="133.77364993743052"/>
    <m/>
    <n v="69744"/>
    <s v="Sale"/>
    <x v="6"/>
    <s v="USD"/>
    <n v="401132.61411641852"/>
    <n v="1"/>
    <n v="401132.61411641852"/>
    <n v="20.465199999999999"/>
    <n v="8209259.1744153285"/>
    <n v="9329909.4412361532"/>
    <n v="-1120650.2668208247"/>
    <n v="0.89863013698630134"/>
    <n v="1"/>
    <n v="-1120650.2668208247"/>
    <n v="0"/>
    <m/>
    <n v="-35611.285883581499"/>
  </r>
  <r>
    <x v="1"/>
    <s v="Purchase"/>
    <x v="4"/>
    <x v="1"/>
    <s v="USD"/>
    <d v="2021-10-22T00:00:00"/>
    <n v="20976.5"/>
    <x v="1"/>
    <n v="3374"/>
    <n v="6.2171013633669236"/>
    <n v="1"/>
    <n v="20976.5"/>
    <n v="20.184999999999999"/>
    <n v="423410.65249999997"/>
    <n v="115.56100000000001"/>
    <n v="122.044"/>
    <n v="1.0561"/>
    <n v="447163.99010524998"/>
    <n v="132.53230293575874"/>
    <m/>
    <n v="3374"/>
    <s v="Sale"/>
    <x v="6"/>
    <s v="USD"/>
    <n v="19405.560908878128"/>
    <n v="1"/>
    <n v="19405.560908878128"/>
    <n v="20.465199999999999"/>
    <n v="397138.68511237262"/>
    <n v="447163.99010524998"/>
    <n v="-50025.304992877354"/>
    <n v="0.76164383561643834"/>
    <n v="1"/>
    <n v="-50025.304992877354"/>
    <n v="0"/>
    <m/>
    <n v="-1570.9390911218725"/>
  </r>
  <r>
    <x v="1"/>
    <s v="Purchase"/>
    <x v="22"/>
    <x v="1"/>
    <s v="USD"/>
    <d v="2022-02-11T00:00:00"/>
    <n v="227917.46"/>
    <x v="1"/>
    <n v="43074"/>
    <n v="5.2913000882202716"/>
    <n v="1"/>
    <n v="227917.46"/>
    <n v="20.500800000000002"/>
    <n v="4672490.2639680002"/>
    <n v="118.98099999999999"/>
    <n v="120.15900000000001"/>
    <n v="1.0099"/>
    <n v="4718747.9175812835"/>
    <n v="109.54979610858716"/>
    <m/>
    <n v="43074"/>
    <s v="Sale"/>
    <x v="5"/>
    <s v="USD"/>
    <n v="227086.12999999998"/>
    <n v="1"/>
    <n v="227086.12999999998"/>
    <n v="19.9377"/>
    <n v="4527575.1341009997"/>
    <n v="4718747.9175812835"/>
    <n v="-191172.7834802838"/>
    <n v="0.18630136986301371"/>
    <n v="1"/>
    <n v="-191172.7834802838"/>
    <n v="0"/>
    <m/>
    <n v="-831.3300000000163"/>
  </r>
  <r>
    <x v="1"/>
    <s v="Purchase"/>
    <x v="23"/>
    <x v="1"/>
    <s v="USD"/>
    <d v="2022-02-11T00:00:00"/>
    <n v="15772.920454741869"/>
    <x v="1"/>
    <n v="2956"/>
    <n v="5.3359000185188998"/>
    <n v="1"/>
    <n v="15772.920454741869"/>
    <n v="20.500800000000002"/>
    <n v="323357.48765857215"/>
    <n v="118.98099999999999"/>
    <n v="120.15900000000001"/>
    <n v="1.0099"/>
    <n v="326558.72678639204"/>
    <n v="110.47318226873885"/>
    <m/>
    <n v="2956"/>
    <s v="Sale"/>
    <x v="5"/>
    <s v="USD"/>
    <n v="15721.19"/>
    <n v="1"/>
    <n v="15721.19"/>
    <n v="19.9377"/>
    <n v="313444.369863"/>
    <n v="326558.72678639204"/>
    <n v="-13114.356923392043"/>
    <n v="0.18630136986301371"/>
    <n v="1"/>
    <n v="-13114.356923392043"/>
    <n v="0"/>
    <m/>
    <n v="-51.730454741868016"/>
  </r>
  <r>
    <x v="1"/>
    <s v="Purchase"/>
    <x v="23"/>
    <x v="1"/>
    <s v="USD"/>
    <d v="2022-02-11T00:00:00"/>
    <n v="87257.973002839572"/>
    <x v="1"/>
    <n v="16353"/>
    <n v="5.3359000185188998"/>
    <n v="1"/>
    <n v="87257.973002839572"/>
    <n v="20.500800000000002"/>
    <n v="1788858.2529366137"/>
    <n v="118.98099999999999"/>
    <n v="122.044"/>
    <n v="1.0257000000000001"/>
    <n v="1834831.9100370847"/>
    <n v="112.20154773051334"/>
    <m/>
    <n v="16353"/>
    <s v="Sale"/>
    <x v="6"/>
    <s v="USD"/>
    <n v="86409.25"/>
    <n v="1"/>
    <n v="86409.25"/>
    <n v="20.465199999999999"/>
    <n v="1768382.5830999999"/>
    <n v="1834831.9100370847"/>
    <n v="-66449.326937084785"/>
    <n v="0.45479452054794522"/>
    <n v="1"/>
    <n v="-66449.326937084785"/>
    <n v="0"/>
    <m/>
    <n v="-848.72300283957156"/>
  </r>
  <r>
    <x v="1"/>
    <s v="Purchase"/>
    <x v="24"/>
    <x v="1"/>
    <s v="USD"/>
    <d v="2022-02-11T00:00:00"/>
    <n v="444768.51999999996"/>
    <x v="1"/>
    <n v="12373"/>
    <n v="35.946700072739027"/>
    <n v="1"/>
    <n v="444768.51999999996"/>
    <n v="20.500800000000002"/>
    <n v="9118110.4748160001"/>
    <n v="118.98099999999999"/>
    <n v="122.044"/>
    <n v="1.0257000000000001"/>
    <n v="9352445.9140187725"/>
    <n v="755.87536684868439"/>
    <m/>
    <n v="12373"/>
    <s v="Sale"/>
    <x v="6"/>
    <s v="USD"/>
    <n v="358928.35791038186"/>
    <n v="1"/>
    <n v="358928.35791038186"/>
    <n v="20.465199999999999"/>
    <n v="7345540.6303075468"/>
    <n v="9352445.9140187725"/>
    <n v="-2006905.2837112257"/>
    <n v="0.45479452054794522"/>
    <n v="1"/>
    <n v="-2006905.2837112257"/>
    <n v="0"/>
    <m/>
    <n v="-85840.162089618098"/>
  </r>
  <r>
    <x v="1"/>
    <s v="Purchase"/>
    <x v="24"/>
    <x v="1"/>
    <s v="USD"/>
    <d v="2022-04-20T00:00:00"/>
    <n v="39086.22913417052"/>
    <x v="1"/>
    <n v="1218"/>
    <n v="32.09050011015642"/>
    <n v="1"/>
    <n v="39086.22913417052"/>
    <n v="19.9377"/>
    <n v="779289.51060835156"/>
    <n v="120.809"/>
    <n v="122.044"/>
    <n v="1.0102"/>
    <n v="787238.26361655677"/>
    <n v="646.33683383953758"/>
    <m/>
    <n v="1218"/>
    <s v="Sale"/>
    <x v="6"/>
    <s v="USD"/>
    <n v="35332.96208961813"/>
    <n v="1"/>
    <n v="35332.96208961813"/>
    <n v="20.465199999999999"/>
    <n v="723096.13575645292"/>
    <n v="787238.26361655677"/>
    <n v="-64142.12786010385"/>
    <n v="0.26849315068493151"/>
    <n v="1"/>
    <n v="-64142.12786010385"/>
    <n v="0"/>
    <m/>
    <n v="-3753.2670445523909"/>
  </r>
  <r>
    <x v="1"/>
    <s v="Purchase"/>
    <x v="25"/>
    <x v="1"/>
    <s v="USD"/>
    <d v="2022-02-11T00:00:00"/>
    <n v="88866.109488753369"/>
    <x v="1"/>
    <n v="10128"/>
    <n v="8.7742999100269916"/>
    <n v="1"/>
    <n v="88866.109488753369"/>
    <n v="20.500800000000002"/>
    <n v="1821826.3374070353"/>
    <n v="118.98099999999999"/>
    <n v="122.044"/>
    <n v="1.0257000000000001"/>
    <n v="1868647.2742783963"/>
    <n v="184.50308790268525"/>
    <m/>
    <n v="10128"/>
    <s v="Sale"/>
    <x v="6"/>
    <s v="USD"/>
    <n v="77497.429999999993"/>
    <n v="1"/>
    <n v="77497.429999999993"/>
    <n v="20.465199999999999"/>
    <n v="1586000.4044359999"/>
    <n v="1868647.2742783963"/>
    <n v="-282646.86984239635"/>
    <n v="0.45479452054794522"/>
    <n v="1"/>
    <n v="-282646.86984239635"/>
    <n v="0"/>
    <m/>
    <n v="-11368.679488753376"/>
  </r>
  <r>
    <x v="1"/>
    <s v="Purchase"/>
    <x v="26"/>
    <x v="1"/>
    <s v="USD"/>
    <d v="2022-04-20T00:00:00"/>
    <n v="367824.39"/>
    <x v="1"/>
    <n v="67287"/>
    <n v="5.4665000668777033"/>
    <n v="1"/>
    <n v="367824.39"/>
    <n v="19.9377"/>
    <n v="7333572.3405029997"/>
    <n v="120.809"/>
    <n v="122.044"/>
    <n v="1.0102"/>
    <n v="7408374.7783761304"/>
    <n v="110.10113065489813"/>
    <m/>
    <n v="67287"/>
    <s v="Sale"/>
    <x v="6"/>
    <s v="USD"/>
    <n v="363215.23"/>
    <n v="1"/>
    <n v="363215.23"/>
    <n v="20.465199999999999"/>
    <n v="7433272.3249959992"/>
    <n v="7408374.7783761304"/>
    <n v="24897.546619868837"/>
    <n v="0.26849315068493151"/>
    <n v="1"/>
    <n v="24897.546619868837"/>
    <n v="0"/>
    <m/>
    <n v="-4609.1600000000326"/>
  </r>
  <r>
    <x v="0"/>
    <m/>
    <x v="0"/>
    <x v="0"/>
    <m/>
    <m/>
    <m/>
    <x v="0"/>
    <n v="0"/>
    <n v="0"/>
    <n v="0"/>
    <n v="0"/>
    <n v="0"/>
    <n v="0"/>
    <n v="0"/>
    <n v="0"/>
    <n v="0"/>
    <n v="0"/>
    <n v="0"/>
    <m/>
    <m/>
    <m/>
    <x v="0"/>
    <m/>
    <m/>
    <n v="0"/>
    <n v="0"/>
    <n v="0"/>
    <n v="0"/>
    <n v="0"/>
    <n v="0"/>
    <n v="0"/>
    <n v="1"/>
    <n v="0"/>
    <n v="0"/>
    <m/>
    <n v="0"/>
  </r>
  <r>
    <x v="3"/>
    <s v="Purchase"/>
    <x v="27"/>
    <x v="1"/>
    <s v="USD"/>
    <d v="2022-05-24T00:00:00"/>
    <n v="212505"/>
    <x v="1"/>
    <n v="500"/>
    <n v="425.01"/>
    <n v="1"/>
    <n v="212505"/>
    <n v="19.8657"/>
    <n v="4221560.5784999998"/>
    <n v="121.02200000000001"/>
    <n v="120.809"/>
    <n v="1"/>
    <n v="4221560.5784999998"/>
    <n v="8443.1211569999996"/>
    <m/>
    <n v="500"/>
    <s v="Sale"/>
    <x v="7"/>
    <s v="USD"/>
    <n v="196170.5"/>
    <n v="1"/>
    <n v="196170.5"/>
    <n v="19.828199999999999"/>
    <n v="3889707.9080999997"/>
    <n v="4221560.5784999998"/>
    <n v="-331852.67040000018"/>
    <n v="2.7397260273972603E-3"/>
    <n v="1"/>
    <n v="-331852.67040000018"/>
    <n v="0"/>
    <m/>
    <n v="-16334.5"/>
  </r>
  <r>
    <x v="3"/>
    <s v="Purchase"/>
    <x v="27"/>
    <x v="1"/>
    <s v="USD"/>
    <d v="2022-06-17T00:00:00"/>
    <n v="42001"/>
    <x v="1"/>
    <n v="100"/>
    <n v="420.01"/>
    <n v="1"/>
    <n v="42001"/>
    <n v="20.6675"/>
    <n v="868055.66749999998"/>
    <n v="122.044"/>
    <n v="121.02200000000001"/>
    <n v="1"/>
    <n v="868055.66749999998"/>
    <n v="8680.5566749999998"/>
    <m/>
    <n v="100"/>
    <s v="Sale"/>
    <x v="8"/>
    <s v="USD"/>
    <n v="37188.14"/>
    <n v="1"/>
    <n v="37188.14"/>
    <n v="20.475999999999999"/>
    <n v="761464.35463999992"/>
    <n v="868055.66749999998"/>
    <n v="-106591.31286000006"/>
    <n v="1.0958904109589041E-2"/>
    <n v="1"/>
    <n v="-106591.31286000006"/>
    <n v="0"/>
    <m/>
    <n v="-4812.8600000000006"/>
  </r>
  <r>
    <x v="3"/>
    <s v="Purchase"/>
    <x v="27"/>
    <x v="1"/>
    <s v="USD"/>
    <d v="2022-06-22T00:00:00"/>
    <n v="126003"/>
    <x v="1"/>
    <n v="300"/>
    <n v="420.01"/>
    <n v="1"/>
    <n v="126003"/>
    <n v="20.244199999999999"/>
    <n v="2550829.9325999999"/>
    <n v="122.044"/>
    <n v="121.02200000000001"/>
    <n v="1"/>
    <n v="2550829.9325999999"/>
    <n v="8502.7664420000001"/>
    <m/>
    <n v="300"/>
    <s v="Sale"/>
    <x v="9"/>
    <s v="USD"/>
    <n v="113001.41"/>
    <n v="1"/>
    <n v="113001.41"/>
    <n v="20.196300000000001"/>
    <n v="2282210.3767830003"/>
    <n v="2550829.9325999999"/>
    <n v="-268619.55581699964"/>
    <n v="2.7397260273972603E-3"/>
    <n v="1"/>
    <n v="-268619.55581699964"/>
    <n v="0"/>
    <m/>
    <n v="-13001.589999999997"/>
  </r>
  <r>
    <x v="3"/>
    <s v="Purchase"/>
    <x v="27"/>
    <x v="1"/>
    <s v="USD"/>
    <d v="2022-07-08T00:00:00"/>
    <n v="83002"/>
    <x v="1"/>
    <n v="200"/>
    <n v="415.01"/>
    <n v="1"/>
    <n v="83002"/>
    <n v="20.722799999999999"/>
    <n v="1720033.8455999999"/>
    <n v="122.94799999999999"/>
    <n v="122.044"/>
    <n v="1"/>
    <n v="1720033.8455999999"/>
    <n v="8600.1692279999988"/>
    <m/>
    <n v="200"/>
    <s v="Sale"/>
    <x v="10"/>
    <s v="USD"/>
    <n v="77178.23"/>
    <n v="1"/>
    <n v="77178.23"/>
    <n v="20.6022"/>
    <n v="1590041.330106"/>
    <n v="1720033.8455999997"/>
    <n v="-129992.5154939997"/>
    <n v="8.21917808219178E-3"/>
    <n v="1"/>
    <n v="-129992.5154939997"/>
    <n v="0"/>
    <m/>
    <n v="-5823.7700000000041"/>
  </r>
  <r>
    <x v="3"/>
    <s v="Purchase"/>
    <x v="27"/>
    <x v="1"/>
    <s v="USD"/>
    <d v="2022-07-11T00:00:00"/>
    <n v="124503"/>
    <x v="1"/>
    <n v="300"/>
    <n v="415.01"/>
    <n v="1"/>
    <n v="124503"/>
    <n v="20.6022"/>
    <n v="2565035.7066000002"/>
    <n v="122.94799999999999"/>
    <n v="122.044"/>
    <n v="1"/>
    <n v="2565035.7066000002"/>
    <n v="8550.1190220000008"/>
    <m/>
    <n v="300"/>
    <s v="Sale"/>
    <x v="11"/>
    <s v="USD"/>
    <n v="115092.36"/>
    <n v="1"/>
    <n v="115092.36"/>
    <n v="20.442299999999999"/>
    <n v="2352752.5508280001"/>
    <n v="2565035.7066000002"/>
    <n v="-212283.15577200009"/>
    <n v="2.7397260273972603E-3"/>
    <n v="1"/>
    <n v="-212283.15577200009"/>
    <n v="0"/>
    <m/>
    <n v="-9410.64"/>
  </r>
  <r>
    <x v="0"/>
    <m/>
    <x v="0"/>
    <x v="0"/>
    <m/>
    <m/>
    <m/>
    <x v="0"/>
    <n v="0"/>
    <n v="0"/>
    <n v="0"/>
    <n v="0"/>
    <n v="0"/>
    <n v="0"/>
    <n v="0"/>
    <n v="0"/>
    <n v="0"/>
    <n v="0"/>
    <n v="0"/>
    <m/>
    <m/>
    <m/>
    <x v="0"/>
    <m/>
    <m/>
    <n v="0"/>
    <n v="0"/>
    <n v="0"/>
    <n v="0"/>
    <n v="0"/>
    <n v="0"/>
    <n v="0"/>
    <n v="1"/>
    <n v="0"/>
    <n v="0"/>
    <m/>
    <n v="0"/>
  </r>
  <r>
    <x v="2"/>
    <s v="Purchase"/>
    <x v="28"/>
    <x v="1"/>
    <s v="MXN"/>
    <d v="2017-11-09T00:00:00"/>
    <n v="8886666.1799999997"/>
    <x v="1"/>
    <n v="89712"/>
    <n v="99.05772003745318"/>
    <n v="5.2260529190118581E-2"/>
    <n v="464421.87730272958"/>
    <n v="19.134899999999998"/>
    <n v="8886666.1799999997"/>
    <n v="97.695173988822006"/>
    <n v="124.571"/>
    <n v="1.2749999999999999"/>
    <n v="11330499.379499998"/>
    <n v="126.29859304775279"/>
    <m/>
    <n v="89712"/>
    <s v="Sale"/>
    <x v="12"/>
    <s v="MXN"/>
    <n v="9986463.5299999993"/>
    <n v="4.9998000079996795E-2"/>
    <n v="499303.20437182504"/>
    <n v="20.000800000000002"/>
    <n v="9986463.5299999993"/>
    <n v="11330499.379499998"/>
    <n v="-1344035.8494999986"/>
    <n v="4.9068493150684933"/>
    <n v="1"/>
    <n v="-1344035.8494999986"/>
    <n v="0"/>
    <m/>
    <n v="34881.327069095452"/>
  </r>
  <r>
    <x v="0"/>
    <m/>
    <x v="0"/>
    <x v="0"/>
    <m/>
    <m/>
    <m/>
    <x v="0"/>
    <n v="0"/>
    <n v="0"/>
    <n v="0"/>
    <n v="0"/>
    <n v="0"/>
    <n v="0"/>
    <n v="0"/>
    <n v="0"/>
    <n v="0"/>
    <n v="0"/>
    <n v="0"/>
    <m/>
    <m/>
    <m/>
    <x v="0"/>
    <m/>
    <m/>
    <n v="0"/>
    <n v="0"/>
    <n v="0"/>
    <n v="0"/>
    <n v="0"/>
    <n v="0"/>
    <n v="0"/>
    <n v="1"/>
    <n v="0"/>
    <n v="0"/>
    <m/>
    <n v="0"/>
  </r>
  <r>
    <x v="1"/>
    <s v="Purchase"/>
    <x v="16"/>
    <x v="1"/>
    <s v="USD"/>
    <d v="2021-02-04T00:00:00"/>
    <n v="13110.260053072056"/>
    <x v="1"/>
    <n v="200"/>
    <n v="65.551300265360283"/>
    <n v="1"/>
    <n v="13110.260053072056"/>
    <n v="20.1722"/>
    <n v="264462.78784258012"/>
    <n v="110.907"/>
    <n v="124.571"/>
    <n v="1.1232"/>
    <n v="297044.60330478597"/>
    <n v="1485.2230165239298"/>
    <m/>
    <n v="200"/>
    <s v="Sale"/>
    <x v="13"/>
    <s v="USD"/>
    <n v="11903.14"/>
    <n v="1"/>
    <n v="11903.14"/>
    <n v="19.8553"/>
    <n v="236340.41564199998"/>
    <n v="297044.60330478597"/>
    <n v="-60704.187662785989"/>
    <n v="1.7287671232876711"/>
    <n v="1"/>
    <n v="-60704.187662785989"/>
    <n v="0"/>
    <m/>
    <n v="-1207.1200530720562"/>
  </r>
  <r>
    <x v="1"/>
    <s v="Purchase"/>
    <x v="17"/>
    <x v="1"/>
    <s v="USD"/>
    <d v="2021-06-23T00:00:00"/>
    <n v="255213.1886864813"/>
    <x v="1"/>
    <n v="1432"/>
    <n v="178.22150047938638"/>
    <n v="1"/>
    <n v="255213.1886864813"/>
    <n v="20.6"/>
    <n v="5257391.6869415147"/>
    <n v="113.018"/>
    <n v="124.571"/>
    <n v="1.1022000000000001"/>
    <n v="5794697.1173469378"/>
    <n v="4046.5761992646212"/>
    <m/>
    <n v="1432"/>
    <s v="Sale"/>
    <x v="13"/>
    <s v="USD"/>
    <n v="225921.06"/>
    <n v="1"/>
    <n v="225921.06"/>
    <n v="19.8553"/>
    <n v="4485730.4226179998"/>
    <n v="5794697.1173469378"/>
    <n v="-1308966.6947289379"/>
    <n v="1.3479452054794521"/>
    <n v="1"/>
    <n v="-1308966.6947289379"/>
    <n v="0"/>
    <m/>
    <n v="-29292.128686481301"/>
  </r>
  <r>
    <x v="1"/>
    <s v="Purchase"/>
    <x v="17"/>
    <x v="1"/>
    <s v="USD"/>
    <d v="2021-06-23T00:00:00"/>
    <n v="107111.12178811121"/>
    <x v="1"/>
    <n v="601"/>
    <n v="178.22150047938638"/>
    <n v="1"/>
    <n v="107111.12178811121"/>
    <n v="20.6"/>
    <n v="2206489.1088350909"/>
    <n v="113.018"/>
    <n v="125.997"/>
    <n v="1.1148"/>
    <n v="2459794.0585293593"/>
    <n v="4092.8353719290503"/>
    <m/>
    <n v="601"/>
    <s v="Sale"/>
    <x v="14"/>
    <s v="USD"/>
    <n v="100864.80759675967"/>
    <n v="1"/>
    <n v="100864.80759675967"/>
    <n v="19.3965"/>
    <n v="1956424.2405505488"/>
    <n v="2459794.0585293593"/>
    <n v="-503369.81797881052"/>
    <n v="1.4438356164383561"/>
    <n v="1"/>
    <n v="-503369.81797881052"/>
    <n v="0"/>
    <m/>
    <n v="-6246.3141913515428"/>
  </r>
  <r>
    <x v="1"/>
    <s v="Purchase"/>
    <x v="17"/>
    <x v="1"/>
    <s v="USD"/>
    <d v="2021-10-22T00:00:00"/>
    <n v="188524.2"/>
    <x v="1"/>
    <n v="1006"/>
    <n v="187.39980119284294"/>
    <n v="1"/>
    <n v="188524.2"/>
    <n v="20.184999999999999"/>
    <n v="3805360.977"/>
    <n v="115.56100000000001"/>
    <n v="125.997"/>
    <n v="1.0903"/>
    <n v="4148985.0732231"/>
    <n v="4124.2396354106359"/>
    <m/>
    <n v="1006"/>
    <s v="Sale"/>
    <x v="14"/>
    <s v="USD"/>
    <n v="168835.26862286229"/>
    <n v="1"/>
    <n v="168835.26862286229"/>
    <n v="19.3965"/>
    <n v="3274813.2878433485"/>
    <n v="4148985.0732230996"/>
    <n v="-874171.78537975112"/>
    <n v="1.1123287671232878"/>
    <n v="1"/>
    <n v="-874171.78537975112"/>
    <n v="0"/>
    <m/>
    <n v="-19688.93137713772"/>
  </r>
  <r>
    <x v="1"/>
    <s v="Purchase"/>
    <x v="17"/>
    <x v="1"/>
    <s v="USD"/>
    <d v="2022-02-11T00:00:00"/>
    <n v="114498.17631375579"/>
    <x v="1"/>
    <n v="615"/>
    <n v="186.17589644513137"/>
    <n v="1"/>
    <n v="114498.17631375579"/>
    <n v="20.500800000000002"/>
    <n v="2347304.2129730447"/>
    <n v="118.98099999999999"/>
    <n v="125.997"/>
    <n v="1.0589"/>
    <n v="2485560.431117157"/>
    <n v="4041.5616766132634"/>
    <m/>
    <n v="615"/>
    <s v="Sale"/>
    <x v="14"/>
    <s v="USD"/>
    <n v="103214.40378037804"/>
    <n v="1"/>
    <n v="103214.40378037804"/>
    <n v="19.3965"/>
    <n v="2001998.1829261025"/>
    <n v="2485560.431117157"/>
    <n v="-483562.24819105444"/>
    <n v="0.80547945205479454"/>
    <n v="1"/>
    <n v="-483562.24819105444"/>
    <n v="0"/>
    <m/>
    <n v="-11283.772533377749"/>
  </r>
  <r>
    <x v="1"/>
    <s v="Purchase"/>
    <x v="18"/>
    <x v="1"/>
    <s v="USD"/>
    <d v="2021-01-22T00:00:00"/>
    <n v="159652.37063180827"/>
    <x v="1"/>
    <n v="652"/>
    <n v="244.86559912854028"/>
    <n v="1"/>
    <n v="159652.37063180827"/>
    <n v="19.5793"/>
    <n v="3125881.6603113636"/>
    <n v="110.21"/>
    <n v="125.997"/>
    <n v="1.1432"/>
    <n v="3573507.914067951"/>
    <n v="5480.8403589999252"/>
    <m/>
    <n v="652"/>
    <s v="Sale"/>
    <x v="14"/>
    <s v="USD"/>
    <n v="149798.29999999999"/>
    <n v="1"/>
    <n v="149798.29999999999"/>
    <n v="19.3965"/>
    <n v="2905562.7259499999"/>
    <n v="3573507.914067951"/>
    <n v="-667945.18811795115"/>
    <n v="1.8602739726027397"/>
    <n v="1"/>
    <n v="-667945.18811795115"/>
    <n v="0"/>
    <m/>
    <n v="-9854.0706318082812"/>
  </r>
  <r>
    <x v="1"/>
    <s v="Purchase"/>
    <x v="29"/>
    <x v="1"/>
    <s v="USD"/>
    <d v="2021-04-08T00:00:00"/>
    <n v="33830.022516655408"/>
    <x v="1"/>
    <n v="5346"/>
    <n v="6.3280999844099153"/>
    <n v="1"/>
    <n v="33830.022516655408"/>
    <n v="20.161200000000001"/>
    <n v="682053.84996279306"/>
    <n v="112.19"/>
    <n v="125.997"/>
    <n v="1.123"/>
    <n v="765946.47350821656"/>
    <n v="143.27468640258448"/>
    <m/>
    <n v="5346"/>
    <s v="Sale"/>
    <x v="14"/>
    <s v="USD"/>
    <n v="35614.519999999997"/>
    <n v="1"/>
    <n v="35614.519999999997"/>
    <n v="19.3965"/>
    <n v="690797.03717999987"/>
    <n v="765946.47350821667"/>
    <n v="-75149.436328216805"/>
    <n v="1.6520547945205479"/>
    <n v="1"/>
    <n v="-75149.436328216805"/>
    <n v="0"/>
    <m/>
    <n v="1784.4974833445885"/>
  </r>
  <r>
    <x v="1"/>
    <s v="Purchase"/>
    <x v="10"/>
    <x v="1"/>
    <s v="USD"/>
    <d v="2020-05-06T00:00:00"/>
    <n v="10012.736916996048"/>
    <x v="1"/>
    <n v="35"/>
    <n v="286.0781976284585"/>
    <n v="1"/>
    <n v="10012.736916996048"/>
    <n v="24.3812"/>
    <n v="244122.54132066402"/>
    <n v="106.16200000000001"/>
    <n v="125.997"/>
    <n v="1.1868000000000001"/>
    <n v="289724.63203936408"/>
    <n v="8277.846629696116"/>
    <m/>
    <n v="35"/>
    <s v="Sale"/>
    <x v="14"/>
    <s v="USD"/>
    <n v="14540.722368421051"/>
    <n v="1"/>
    <n v="14540.722368421051"/>
    <n v="19.3965"/>
    <n v="282039.1214190789"/>
    <n v="289724.63203936408"/>
    <n v="-7685.5106202851748"/>
    <n v="2.5753424657534247"/>
    <n v="1"/>
    <n v="-7685.5106202851748"/>
    <n v="0"/>
    <m/>
    <n v="4527.9854514250037"/>
  </r>
  <r>
    <x v="1"/>
    <s v="Purchase"/>
    <x v="10"/>
    <x v="1"/>
    <s v="USD"/>
    <d v="2020-11-23T00:00:00"/>
    <n v="1081.0066666666667"/>
    <x v="1"/>
    <n v="3"/>
    <n v="360.33555555555557"/>
    <n v="1"/>
    <n v="1081.0066666666667"/>
    <n v="20.1858"/>
    <n v="21820.984371999999"/>
    <n v="108.85599999999999"/>
    <n v="125.997"/>
    <n v="1.1574"/>
    <n v="25255.607312152799"/>
    <n v="8418.535770717599"/>
    <m/>
    <n v="3"/>
    <s v="Sale"/>
    <x v="14"/>
    <s v="USD"/>
    <n v="1246.3476315789474"/>
    <n v="1"/>
    <n v="1246.3476315789474"/>
    <n v="19.3965"/>
    <n v="24174.781835921051"/>
    <n v="25255.607312152795"/>
    <n v="-1080.8254762317447"/>
    <n v="2.0246575342465754"/>
    <n v="1"/>
    <n v="-1080.8254762317447"/>
    <n v="0"/>
    <m/>
    <n v="165.3409649122807"/>
  </r>
  <r>
    <x v="1"/>
    <s v="Purchase"/>
    <x v="6"/>
    <x v="1"/>
    <s v="USD"/>
    <d v="2021-04-07T00:00:00"/>
    <n v="1106.8416190417158"/>
    <x v="1"/>
    <n v="192"/>
    <n v="5.764800099175603"/>
    <n v="1"/>
    <n v="1106.8416190417158"/>
    <n v="20.2483"/>
    <n v="22411.661154842375"/>
    <n v="112.19"/>
    <n v="124.571"/>
    <n v="1.1103000000000001"/>
    <n v="24883.66738022149"/>
    <n v="129.60243427198694"/>
    <m/>
    <n v="192"/>
    <s v="Sale"/>
    <x v="13"/>
    <s v="USD"/>
    <n v="930.43"/>
    <n v="1"/>
    <n v="930.43"/>
    <n v="19.8553"/>
    <n v="18473.966778999998"/>
    <n v="24883.667380221494"/>
    <n v="-6409.7006012214952"/>
    <n v="1.558904109589041"/>
    <n v="1"/>
    <n v="-6409.7006012214952"/>
    <n v="0"/>
    <m/>
    <n v="-176.41161904171588"/>
  </r>
  <r>
    <x v="1"/>
    <s v="Purchase"/>
    <x v="20"/>
    <x v="1"/>
    <s v="USD"/>
    <d v="2021-01-22T00:00:00"/>
    <n v="37398.374214434603"/>
    <x v="1"/>
    <n v="549"/>
    <n v="68.120900208441896"/>
    <n v="1"/>
    <n v="37398.374214434603"/>
    <n v="19.5793"/>
    <n v="732233.98825667938"/>
    <n v="110.21"/>
    <n v="125.997"/>
    <n v="1.1432"/>
    <n v="837089.89537503582"/>
    <n v="1524.7539077869505"/>
    <m/>
    <n v="549"/>
    <s v="Sale"/>
    <x v="14"/>
    <s v="USD"/>
    <n v="42282.223850425769"/>
    <n v="1"/>
    <n v="42282.223850425769"/>
    <n v="19.3965"/>
    <n v="820127.15491478343"/>
    <n v="837089.89537503582"/>
    <n v="-16962.740460252389"/>
    <n v="1.8602739726027397"/>
    <n v="1"/>
    <n v="-16962.740460252389"/>
    <n v="0"/>
    <m/>
    <n v="4883.849635991166"/>
  </r>
  <r>
    <x v="1"/>
    <s v="Purchase"/>
    <x v="20"/>
    <x v="1"/>
    <s v="USD"/>
    <d v="2021-04-07T00:00:00"/>
    <n v="154951.9643504532"/>
    <x v="1"/>
    <n v="2152"/>
    <n v="72.00370090634442"/>
    <n v="1"/>
    <n v="154951.9643504532"/>
    <n v="20.2483"/>
    <n v="3137513.8597572814"/>
    <n v="112.19"/>
    <n v="125.997"/>
    <n v="1.123"/>
    <n v="3523428.0645074272"/>
    <n v="1637.2806991205516"/>
    <m/>
    <n v="2152"/>
    <s v="Sale"/>
    <x v="14"/>
    <s v="USD"/>
    <n v="165740.15614957426"/>
    <n v="1"/>
    <n v="165740.15614957426"/>
    <n v="19.3965"/>
    <n v="3214778.938755217"/>
    <n v="3523428.0645074272"/>
    <n v="-308649.12575221015"/>
    <n v="1.6547945205479453"/>
    <n v="1"/>
    <n v="-308649.12575221015"/>
    <n v="0"/>
    <m/>
    <n v="10788.191799121065"/>
  </r>
  <r>
    <x v="1"/>
    <s v="Purchase"/>
    <x v="30"/>
    <x v="1"/>
    <s v="USD"/>
    <d v="2021-02-04T00:00:00"/>
    <n v="392796.83244607155"/>
    <x v="1"/>
    <n v="55039"/>
    <n v="7.1367000208228992"/>
    <n v="1"/>
    <n v="392796.83244607155"/>
    <n v="20.1722"/>
    <n v="7923576.2634686446"/>
    <n v="110.907"/>
    <n v="124.571"/>
    <n v="1.1232"/>
    <n v="8899760.8591279816"/>
    <n v="161.69917438776108"/>
    <m/>
    <n v="55039"/>
    <s v="Sale"/>
    <x v="13"/>
    <s v="USD"/>
    <n v="377677.62"/>
    <n v="1"/>
    <n v="377677.62"/>
    <n v="19.8553"/>
    <n v="7498902.4483859995"/>
    <n v="8899760.8591279816"/>
    <n v="-1400858.4107419821"/>
    <n v="1.7287671232876711"/>
    <n v="1"/>
    <n v="-1400858.4107419821"/>
    <n v="0"/>
    <m/>
    <n v="-15119.212446071557"/>
  </r>
  <r>
    <x v="1"/>
    <s v="Purchase"/>
    <x v="30"/>
    <x v="1"/>
    <s v="USD"/>
    <d v="2021-02-04T00:00:00"/>
    <n v="40921.837919398502"/>
    <x v="1"/>
    <n v="5734"/>
    <n v="7.1367000208228992"/>
    <n v="1"/>
    <n v="40921.837919398502"/>
    <n v="20.1722"/>
    <n v="825483.49887769052"/>
    <n v="110.907"/>
    <n v="125.997"/>
    <n v="1.1359999999999999"/>
    <n v="937749.25472505635"/>
    <n v="163.54190002180962"/>
    <m/>
    <n v="5734"/>
    <s v="Sale"/>
    <x v="14"/>
    <s v="USD"/>
    <n v="41476.32"/>
    <n v="1"/>
    <n v="41476.32"/>
    <n v="19.3965"/>
    <n v="804495.44088000001"/>
    <n v="937749.25472505635"/>
    <n v="-133253.81384505634"/>
    <n v="1.8246575342465754"/>
    <n v="1"/>
    <n v="-133253.81384505634"/>
    <n v="0"/>
    <m/>
    <n v="554.48208060149773"/>
  </r>
  <r>
    <x v="1"/>
    <s v="Purchase"/>
    <x v="21"/>
    <x v="1"/>
    <s v="USD"/>
    <d v="2021-01-22T00:00:00"/>
    <n v="144455.30925287356"/>
    <x v="1"/>
    <n v="3992"/>
    <n v="36.186199712643678"/>
    <n v="1"/>
    <n v="144455.30925287356"/>
    <n v="19.5793"/>
    <n v="2828333.8364547873"/>
    <n v="110.21"/>
    <n v="124.571"/>
    <n v="1.1303000000000001"/>
    <n v="3196865.7353448463"/>
    <n v="800.81806997616388"/>
    <m/>
    <n v="3992"/>
    <s v="Sale"/>
    <x v="13"/>
    <s v="USD"/>
    <n v="127740.00800000002"/>
    <n v="1"/>
    <n v="127740.00800000002"/>
    <n v="19.8553"/>
    <n v="2536316.1808424001"/>
    <n v="3196865.7353448463"/>
    <n v="-660549.5545024462"/>
    <n v="1.7643835616438357"/>
    <n v="1"/>
    <n v="-660549.5545024462"/>
    <n v="0"/>
    <m/>
    <n v="-16715.301252873542"/>
  </r>
  <r>
    <x v="1"/>
    <s v="Purchase"/>
    <x v="21"/>
    <x v="1"/>
    <s v="USD"/>
    <d v="2021-02-04T00:00:00"/>
    <n v="3562.3200000000006"/>
    <x v="1"/>
    <n v="102"/>
    <n v="34.924705882352946"/>
    <n v="1"/>
    <n v="3562.3200000000006"/>
    <n v="20.1722"/>
    <n v="71859.831504000016"/>
    <n v="110.907"/>
    <n v="124.571"/>
    <n v="1.1232"/>
    <n v="80712.962745292811"/>
    <n v="791.3035563264001"/>
    <m/>
    <n v="102"/>
    <s v="Sale"/>
    <x v="13"/>
    <s v="USD"/>
    <n v="3263.8980000000001"/>
    <n v="1"/>
    <n v="3263.8980000000001"/>
    <n v="19.8553"/>
    <n v="64805.673959400003"/>
    <n v="80712.962745292811"/>
    <n v="-15907.288785892808"/>
    <n v="1.7287671232876711"/>
    <n v="1"/>
    <n v="-15907.288785892808"/>
    <n v="0"/>
    <m/>
    <n v="-298.42200000000048"/>
  </r>
  <r>
    <x v="1"/>
    <s v="Purchase"/>
    <x v="21"/>
    <x v="1"/>
    <s v="USD"/>
    <d v="2021-04-07T00:00:00"/>
    <n v="51470.171577934576"/>
    <x v="1"/>
    <n v="1516"/>
    <n v="33.951300513149455"/>
    <n v="1"/>
    <n v="51470.171577934576"/>
    <n v="20.2483"/>
    <n v="1042183.4751614927"/>
    <n v="112.19"/>
    <n v="124.571"/>
    <n v="1.1103000000000001"/>
    <n v="1157136.3124718054"/>
    <n v="763.28252801570272"/>
    <m/>
    <n v="1516"/>
    <s v="Sale"/>
    <x v="13"/>
    <s v="USD"/>
    <n v="48510.484000000004"/>
    <n v="1"/>
    <n v="48510.484000000004"/>
    <n v="19.8553"/>
    <n v="963190.21296520007"/>
    <n v="1157136.3124718054"/>
    <n v="-193946.0995066053"/>
    <n v="1.558904109589041"/>
    <n v="1"/>
    <n v="-193946.0995066053"/>
    <n v="0"/>
    <m/>
    <n v="-2959.6875779345719"/>
  </r>
  <r>
    <x v="1"/>
    <s v="Purchase"/>
    <x v="21"/>
    <x v="1"/>
    <s v="USD"/>
    <d v="2021-04-07T00:00:00"/>
    <n v="160250.13842206541"/>
    <x v="1"/>
    <n v="4720"/>
    <n v="33.951300513149455"/>
    <n v="1"/>
    <n v="160250.13842206541"/>
    <n v="20.2483"/>
    <n v="3244792.8778115073"/>
    <n v="112.19"/>
    <n v="125.997"/>
    <n v="1.123"/>
    <n v="3643902.4017823227"/>
    <n v="772.01322071659376"/>
    <m/>
    <n v="4720"/>
    <s v="Sale"/>
    <x v="14"/>
    <s v="USD"/>
    <n v="163804.29685352623"/>
    <n v="1"/>
    <n v="163804.29685352623"/>
    <n v="19.3965"/>
    <n v="3177230.0439194217"/>
    <n v="3643902.4017823227"/>
    <n v="-466672.35786290094"/>
    <n v="1.6547945205479453"/>
    <n v="1"/>
    <n v="-466672.35786290094"/>
    <n v="0"/>
    <m/>
    <n v="3554.158431460819"/>
  </r>
  <r>
    <x v="1"/>
    <s v="Purchase"/>
    <x v="21"/>
    <x v="1"/>
    <s v="USD"/>
    <d v="2021-06-23T00:00:00"/>
    <n v="4864.8599999999997"/>
    <x v="1"/>
    <n v="139"/>
    <n v="34.998992805755393"/>
    <n v="1"/>
    <n v="4864.8599999999997"/>
    <n v="20.6"/>
    <n v="100216.11599999999"/>
    <n v="113.018"/>
    <n v="125.997"/>
    <n v="1.1148"/>
    <n v="111720.92611679999"/>
    <n v="803.74766990503588"/>
    <m/>
    <n v="139"/>
    <s v="Sale"/>
    <x v="14"/>
    <s v="USD"/>
    <n v="4823.8977251356246"/>
    <n v="1"/>
    <n v="4823.8977251356246"/>
    <n v="19.3965"/>
    <n v="93566.732225593136"/>
    <n v="111720.92611679999"/>
    <n v="-18154.193891206858"/>
    <n v="1.4438356164383561"/>
    <n v="1"/>
    <n v="-18154.193891206858"/>
    <n v="0"/>
    <m/>
    <n v="-40.962274864375104"/>
  </r>
  <r>
    <x v="1"/>
    <s v="Purchase"/>
    <x v="21"/>
    <x v="1"/>
    <s v="USD"/>
    <d v="2021-09-02T00:00:00"/>
    <n v="7110.8600000000006"/>
    <x v="1"/>
    <n v="201"/>
    <n v="35.377412935323385"/>
    <n v="1"/>
    <n v="7110.8600000000006"/>
    <n v="20.060500000000001"/>
    <n v="142647.40703000003"/>
    <n v="114.601"/>
    <n v="125.997"/>
    <n v="1.0993999999999999"/>
    <n v="156826.55928878204"/>
    <n v="780.23163825264692"/>
    <m/>
    <n v="201"/>
    <s v="Sale"/>
    <x v="14"/>
    <s v="USD"/>
    <n v="6975.5643363471982"/>
    <n v="1"/>
    <n v="6975.5643363471982"/>
    <n v="19.3965"/>
    <n v="135301.53364995844"/>
    <n v="156826.55928878204"/>
    <n v="-21525.025638823601"/>
    <n v="1.2493150684931507"/>
    <n v="1"/>
    <n v="-21525.025638823601"/>
    <n v="0"/>
    <m/>
    <n v="-135.29566365280243"/>
  </r>
  <r>
    <x v="1"/>
    <s v="Purchase"/>
    <x v="21"/>
    <x v="1"/>
    <s v="USD"/>
    <d v="2021-10-22T00:00:00"/>
    <n v="3528.99"/>
    <x v="1"/>
    <n v="100"/>
    <n v="35.289899999999996"/>
    <n v="1"/>
    <n v="3528.99"/>
    <n v="20.184999999999999"/>
    <n v="71232.663149999993"/>
    <n v="115.56100000000001"/>
    <n v="125.997"/>
    <n v="1.0903"/>
    <n v="77664.972632445002"/>
    <n v="776.64972632445006"/>
    <m/>
    <n v="100"/>
    <s v="Sale"/>
    <x v="14"/>
    <s v="USD"/>
    <n v="3470.4300180831829"/>
    <n v="1"/>
    <n v="3470.4300180831829"/>
    <n v="19.3965"/>
    <n v="67314.195845750452"/>
    <n v="77664.972632445002"/>
    <n v="-10350.776786694551"/>
    <n v="1.1123287671232878"/>
    <n v="1"/>
    <n v="-10350.776786694551"/>
    <n v="0"/>
    <m/>
    <n v="-58.559981916816923"/>
  </r>
  <r>
    <x v="1"/>
    <s v="Purchase"/>
    <x v="21"/>
    <x v="1"/>
    <s v="USD"/>
    <d v="2022-02-11T00:00:00"/>
    <n v="13181.065348399246"/>
    <x v="1"/>
    <n v="370"/>
    <n v="35.624500941619587"/>
    <n v="1"/>
    <n v="13181.065348399246"/>
    <n v="20.500800000000002"/>
    <n v="270222.38449446327"/>
    <n v="118.98099999999999"/>
    <n v="125.997"/>
    <n v="1.0589"/>
    <n v="286138.48294118716"/>
    <n v="773.34725119239772"/>
    <m/>
    <n v="370"/>
    <s v="Sale"/>
    <x v="14"/>
    <s v="USD"/>
    <n v="12840.591066907777"/>
    <n v="1"/>
    <n v="12840.591066907777"/>
    <n v="19.3965"/>
    <n v="249062.52462927668"/>
    <n v="286138.48294118716"/>
    <n v="-37075.958311910479"/>
    <n v="0.80547945205479454"/>
    <n v="1"/>
    <n v="-37075.958311910479"/>
    <n v="0"/>
    <m/>
    <n v="-340.47428149146981"/>
  </r>
  <r>
    <x v="1"/>
    <s v="Purchase"/>
    <x v="23"/>
    <x v="1"/>
    <s v="USD"/>
    <d v="2022-02-11T00:00:00"/>
    <n v="56677.929996707753"/>
    <x v="1"/>
    <n v="10622"/>
    <n v="5.3359000185188998"/>
    <n v="1"/>
    <n v="56677.929996707753"/>
    <n v="20.500800000000002"/>
    <n v="1161942.9072765063"/>
    <n v="118.98099999999999"/>
    <n v="124.571"/>
    <n v="1.0468999999999999"/>
    <n v="1216438.0296277744"/>
    <n v="114.52062037542595"/>
    <m/>
    <n v="10622"/>
    <s v="Sale"/>
    <x v="13"/>
    <s v="USD"/>
    <n v="56662"/>
    <n v="1"/>
    <n v="56662"/>
    <n v="19.8553"/>
    <n v="1125041.0086000001"/>
    <n v="1216438.0296277744"/>
    <n v="-91397.021027774317"/>
    <n v="0.70958904109589038"/>
    <n v="1"/>
    <n v="-91397.021027774317"/>
    <n v="0"/>
    <m/>
    <n v="-15.929996707753162"/>
  </r>
  <r>
    <x v="1"/>
    <s v="Purchase"/>
    <x v="23"/>
    <x v="1"/>
    <s v="USD"/>
    <d v="2022-02-11T00:00:00"/>
    <n v="407401.30231393653"/>
    <x v="1"/>
    <n v="76351"/>
    <n v="5.3359000185188998"/>
    <n v="1"/>
    <n v="407401.30231393653"/>
    <n v="20.500800000000002"/>
    <n v="8352052.6184775503"/>
    <n v="118.98099999999999"/>
    <n v="125.997"/>
    <n v="1.0589"/>
    <n v="8843988.5177058782"/>
    <n v="115.83330300462178"/>
    <m/>
    <n v="76351"/>
    <s v="Sale"/>
    <x v="14"/>
    <s v="USD"/>
    <n v="409981.96"/>
    <n v="1"/>
    <n v="409981.96"/>
    <n v="19.3965"/>
    <n v="7952215.0871400004"/>
    <n v="8843988.5177058782"/>
    <n v="-891773.43056587782"/>
    <n v="0.80547945205479454"/>
    <n v="1"/>
    <n v="-891773.43056587782"/>
    <n v="0"/>
    <m/>
    <n v="2580.6576860634959"/>
  </r>
  <r>
    <x v="1"/>
    <s v="Purchase"/>
    <x v="24"/>
    <x v="1"/>
    <s v="USD"/>
    <d v="2022-04-20T00:00:00"/>
    <n v="37674.247129323638"/>
    <x v="1"/>
    <n v="1174"/>
    <n v="32.09050011015642"/>
    <n v="1"/>
    <n v="37674.247129323638"/>
    <n v="19.9377"/>
    <n v="751137.83699031582"/>
    <n v="120.809"/>
    <n v="124.571"/>
    <n v="1.0310999999999999"/>
    <n v="774498.22372071457"/>
    <n v="659.70887880810437"/>
    <m/>
    <n v="1174"/>
    <s v="Sale"/>
    <x v="13"/>
    <s v="USD"/>
    <n v="29565.19"/>
    <n v="1"/>
    <n v="29565.19"/>
    <n v="19.8553"/>
    <n v="587025.717007"/>
    <n v="774498.22372071457"/>
    <n v="-187472.50671371457"/>
    <n v="0.52328767123287667"/>
    <n v="1"/>
    <n v="-187472.50671371457"/>
    <n v="0"/>
    <m/>
    <n v="-8109.0571293236389"/>
  </r>
  <r>
    <x v="1"/>
    <s v="Purchase"/>
    <x v="25"/>
    <x v="1"/>
    <s v="USD"/>
    <d v="2022-02-11T00:00:00"/>
    <n v="2053.186178946316"/>
    <x v="1"/>
    <n v="234"/>
    <n v="8.7742999100269916"/>
    <n v="1"/>
    <n v="2053.186178946316"/>
    <n v="20.500800000000002"/>
    <n v="42091.959217342635"/>
    <n v="118.98099999999999"/>
    <n v="124.571"/>
    <n v="1.0468999999999999"/>
    <n v="44066.072104636005"/>
    <n v="188.31654745570941"/>
    <m/>
    <n v="234"/>
    <s v="Sale"/>
    <x v="13"/>
    <s v="USD"/>
    <n v="1723.18"/>
    <n v="1"/>
    <n v="1723.18"/>
    <n v="19.8553"/>
    <n v="34214.255854000003"/>
    <n v="44066.072104636005"/>
    <n v="-9851.8162506360022"/>
    <n v="0.70958904109589038"/>
    <n v="1"/>
    <n v="-9851.8162506360022"/>
    <n v="0"/>
    <m/>
    <n v="-330.00617894631591"/>
  </r>
  <r>
    <x v="1"/>
    <s v="Purchase"/>
    <x v="31"/>
    <x v="1"/>
    <s v="USD"/>
    <d v="2022-07-27T00:00:00"/>
    <n v="278241.46000000002"/>
    <x v="1"/>
    <n v="2137"/>
    <n v="130.2018998596163"/>
    <n v="1"/>
    <n v="278241.46000000002"/>
    <n v="20.465199999999999"/>
    <n v="5694267.1271919999"/>
    <n v="122.94799999999999"/>
    <n v="124.571"/>
    <n v="1.0132000000000001"/>
    <n v="5769431.4532709345"/>
    <n v="2699.7807455643119"/>
    <m/>
    <n v="2137"/>
    <s v="Sale"/>
    <x v="13"/>
    <s v="USD"/>
    <n v="264129.14"/>
    <n v="1"/>
    <n v="264129.14"/>
    <n v="19.8553"/>
    <n v="5244363.3134420002"/>
    <n v="5769431.4532709345"/>
    <n v="-525068.13982893433"/>
    <n v="0.25479452054794521"/>
    <n v="1"/>
    <n v="-525068.13982893433"/>
    <n v="0"/>
    <m/>
    <n v="-14112.320000000007"/>
  </r>
  <r>
    <x v="1"/>
    <s v="Purchase"/>
    <x v="22"/>
    <x v="1"/>
    <s v="USD"/>
    <d v="2022-07-27T00:00:00"/>
    <n v="222647.12491616921"/>
    <x v="1"/>
    <n v="42109"/>
    <n v="5.2873999600125678"/>
    <n v="1"/>
    <n v="222647.12491616921"/>
    <n v="20.465199999999999"/>
    <n v="4556517.9408343863"/>
    <n v="122.94799999999999"/>
    <n v="125.997"/>
    <n v="1.0246999999999999"/>
    <n v="4669063.9339729957"/>
    <n v="110.88042779389194"/>
    <m/>
    <n v="42109"/>
    <s v="Sale"/>
    <x v="14"/>
    <s v="USD"/>
    <n v="224727.31"/>
    <n v="1"/>
    <n v="224727.31"/>
    <n v="19.3965"/>
    <n v="4358923.2684150003"/>
    <n v="4669063.9339729957"/>
    <n v="-310140.66555799544"/>
    <n v="0.35068493150684932"/>
    <n v="1"/>
    <n v="-310140.66555799544"/>
    <n v="0"/>
    <m/>
    <n v="2080.1850838307873"/>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r>
    <x v="0"/>
    <m/>
    <x v="0"/>
    <x v="0"/>
    <m/>
    <m/>
    <m/>
    <x v="2"/>
    <m/>
    <m/>
    <m/>
    <m/>
    <m/>
    <m/>
    <m/>
    <m/>
    <m/>
    <m/>
    <m/>
    <m/>
    <m/>
    <m/>
    <x v="0"/>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x v="0"/>
    <s v="USD"/>
    <x v="0"/>
    <x v="0"/>
    <n v="3851.98"/>
    <x v="0"/>
    <n v="1"/>
    <n v="3851.98"/>
    <n v="20.733699999999999"/>
    <n v="79865.79772599999"/>
    <n v="117.30800000000001"/>
    <n v="118.98099999999999"/>
    <n v="1.0142"/>
    <n v="80999.892053709191"/>
    <n v="13499.982008951532"/>
    <x v="0"/>
    <x v="0"/>
    <x v="0"/>
    <x v="0"/>
    <s v="USD"/>
    <n v="-47.34"/>
    <n v="1"/>
    <n v="-47.34"/>
    <n v="20.874300000000002"/>
    <n v="-988.18936200000019"/>
    <n v="80999.892053709191"/>
    <n v="80011.702691709186"/>
    <n v="1"/>
    <n v="1"/>
    <n v="80011.702691709186"/>
    <n v="0"/>
    <m/>
    <n v="3804.64"/>
    <m/>
    <m/>
    <m/>
    <m/>
  </r>
  <r>
    <x v="0"/>
    <x v="0"/>
    <x v="0"/>
    <x v="1"/>
    <s v="USD"/>
    <x v="1"/>
    <x v="0"/>
    <n v="4712.91"/>
    <x v="0"/>
    <n v="1"/>
    <n v="4712.91"/>
    <n v="21.4177"/>
    <n v="100939.692507"/>
    <n v="117.30800000000001"/>
    <n v="120.15900000000001"/>
    <n v="1.0243"/>
    <n v="103392.5270349201"/>
    <n v="17232.087839153352"/>
    <x v="0"/>
    <x v="0"/>
    <x v="0"/>
    <x v="0"/>
    <s v="USD"/>
    <n v="-113.4"/>
    <n v="1"/>
    <n v="-113.4"/>
    <n v="20.874300000000002"/>
    <n v="-2367.1456200000002"/>
    <n v="103392.52703492012"/>
    <n v="101025.38141492012"/>
    <n v="1"/>
    <n v="1"/>
    <n v="101025.38141492012"/>
    <n v="0"/>
    <m/>
    <n v="4599.51"/>
    <m/>
    <m/>
    <m/>
    <m/>
  </r>
  <r>
    <x v="0"/>
    <x v="0"/>
    <x v="0"/>
    <x v="2"/>
    <s v="USD"/>
    <x v="2"/>
    <x v="0"/>
    <n v="3839.02"/>
    <x v="0"/>
    <n v="1"/>
    <n v="3839.02"/>
    <n v="20.264700000000001"/>
    <n v="77796.588594000001"/>
    <n v="115.56100000000001"/>
    <n v="118.002"/>
    <n v="1.0210999999999999"/>
    <n v="79438.096613333386"/>
    <n v="13239.682768888897"/>
    <x v="0"/>
    <x v="0"/>
    <x v="0"/>
    <x v="1"/>
    <s v="USD"/>
    <n v="-60"/>
    <n v="1"/>
    <n v="-60"/>
    <n v="20.311800000000002"/>
    <n v="-1218.7080000000001"/>
    <n v="79438.096613333386"/>
    <n v="78219.388613333387"/>
    <n v="1"/>
    <n v="1"/>
    <n v="78219.388613333387"/>
    <n v="0"/>
    <m/>
    <n v="3779.02"/>
    <m/>
    <m/>
    <m/>
    <m/>
  </r>
  <r>
    <x v="0"/>
    <x v="0"/>
    <x v="0"/>
    <x v="3"/>
    <s v="USD"/>
    <x v="3"/>
    <x v="0"/>
    <n v="5161.47"/>
    <x v="0"/>
    <n v="1"/>
    <n v="5161.47"/>
    <n v="20.529699999999998"/>
    <n v="105963.43065899999"/>
    <n v="116.884"/>
    <n v="118.98099999999999"/>
    <n v="1.0179"/>
    <n v="107860.1760677961"/>
    <n v="17976.696011299351"/>
    <x v="0"/>
    <x v="0"/>
    <x v="0"/>
    <x v="2"/>
    <s v="USD"/>
    <n v="-370.92"/>
    <n v="1"/>
    <n v="-370.92"/>
    <n v="20.3992"/>
    <n v="-7566.4712640000007"/>
    <n v="107860.1760677961"/>
    <n v="100293.70480379609"/>
    <n v="1"/>
    <n v="1"/>
    <n v="100293.70480379609"/>
    <n v="0"/>
    <m/>
    <n v="4790.55"/>
    <m/>
    <m/>
    <m/>
    <m/>
  </r>
  <r>
    <x v="0"/>
    <x v="0"/>
    <x v="0"/>
    <x v="4"/>
    <s v="USD"/>
    <x v="4"/>
    <x v="1"/>
    <n v="4353.72"/>
    <x v="0"/>
    <n v="1"/>
    <n v="4353.72"/>
    <n v="20.762799999999999"/>
    <n v="90395.417616000006"/>
    <n v="116.884"/>
    <n v="118.98099999999999"/>
    <n v="1.0179"/>
    <n v="92013.495591326413"/>
    <n v="18402.699118265282"/>
    <x v="0"/>
    <x v="1"/>
    <x v="0"/>
    <x v="2"/>
    <s v="USD"/>
    <n v="-3169"/>
    <n v="1"/>
    <n v="-3169"/>
    <n v="20.3992"/>
    <n v="-64645.0648"/>
    <n v="92013.495591326413"/>
    <n v="27368.430791326413"/>
    <n v="1"/>
    <n v="1"/>
    <n v="27368.430791326413"/>
    <n v="0"/>
    <m/>
    <n v="1184.7200000000003"/>
    <m/>
    <m/>
    <m/>
    <m/>
  </r>
  <r>
    <x v="0"/>
    <x v="0"/>
    <x v="0"/>
    <x v="5"/>
    <s v="USD"/>
    <x v="5"/>
    <x v="1"/>
    <n v="1979.98"/>
    <x v="0"/>
    <n v="1"/>
    <n v="1979.98"/>
    <n v="20.6112"/>
    <n v="40809.763776"/>
    <n v="117.30800000000001"/>
    <n v="118.98099999999999"/>
    <n v="1.0142"/>
    <n v="41389.262421619198"/>
    <n v="8277.8524843238392"/>
    <x v="0"/>
    <x v="1"/>
    <x v="0"/>
    <x v="3"/>
    <s v="USD"/>
    <n v="-3205"/>
    <n v="1"/>
    <n v="-3205"/>
    <n v="20.58"/>
    <n v="-65958.899999999994"/>
    <n v="41389.262421619198"/>
    <n v="-24569.637578380796"/>
    <n v="1"/>
    <n v="1"/>
    <n v="-24569.637578380796"/>
    <n v="0"/>
    <m/>
    <n v="-1225.02"/>
    <m/>
    <m/>
    <m/>
    <m/>
  </r>
  <r>
    <x v="0"/>
    <x v="0"/>
    <x v="0"/>
    <x v="6"/>
    <s v="USD"/>
    <x v="6"/>
    <x v="0"/>
    <n v="1997.98"/>
    <x v="0"/>
    <n v="1"/>
    <n v="1997.98"/>
    <n v="20.588999999999999"/>
    <n v="41136.410219999998"/>
    <n v="118.002"/>
    <n v="118.98099999999999"/>
    <n v="1.0082"/>
    <n v="41473.728783803999"/>
    <n v="6912.2881306339996"/>
    <x v="0"/>
    <x v="0"/>
    <x v="0"/>
    <x v="4"/>
    <s v="USD"/>
    <n v="-3618"/>
    <n v="1"/>
    <n v="-3618"/>
    <n v="20.641300000000001"/>
    <n v="-74680.223400000003"/>
    <n v="41473.728783803999"/>
    <n v="-33206.494616196003"/>
    <n v="1"/>
    <n v="1"/>
    <n v="-33206.494616196003"/>
    <n v="0"/>
    <m/>
    <n v="-1620.02"/>
    <m/>
    <m/>
    <m/>
    <m/>
  </r>
  <r>
    <x v="0"/>
    <x v="0"/>
    <x v="0"/>
    <x v="7"/>
    <s v="USD"/>
    <x v="7"/>
    <x v="0"/>
    <n v="4055.97"/>
    <x v="0"/>
    <n v="1"/>
    <n v="4055.97"/>
    <n v="20.4237"/>
    <n v="82837.914489000003"/>
    <n v="118.002"/>
    <n v="120.809"/>
    <n v="1.0237000000000001"/>
    <n v="84801.173062389309"/>
    <n v="14133.528843731552"/>
    <x v="0"/>
    <x v="0"/>
    <x v="0"/>
    <x v="5"/>
    <s v="USD"/>
    <n v="-126"/>
    <n v="1"/>
    <n v="-126"/>
    <n v="20.066500000000001"/>
    <n v="-2528.3790000000004"/>
    <n v="84801.173062389309"/>
    <n v="82272.794062389308"/>
    <n v="1"/>
    <n v="1"/>
    <n v="82272.794062389308"/>
    <n v="0"/>
    <m/>
    <n v="3929.97"/>
    <m/>
    <m/>
    <m/>
    <m/>
  </r>
  <r>
    <x v="0"/>
    <x v="0"/>
    <x v="0"/>
    <x v="8"/>
    <s v="USD"/>
    <x v="8"/>
    <x v="0"/>
    <n v="2237.98"/>
    <x v="0"/>
    <n v="1"/>
    <n v="2237.98"/>
    <n v="20.311800000000002"/>
    <n v="45457.402164000006"/>
    <n v="118.002"/>
    <n v="120.15900000000001"/>
    <n v="1.0182"/>
    <n v="46284.726883384807"/>
    <n v="7714.1211472308014"/>
    <x v="0"/>
    <x v="0"/>
    <x v="0"/>
    <x v="6"/>
    <s v="USD"/>
    <n v="-132"/>
    <n v="1"/>
    <n v="-132"/>
    <n v="20.527200000000001"/>
    <n v="-2709.5904"/>
    <n v="46284.726883384807"/>
    <n v="43575.136483384806"/>
    <n v="1"/>
    <n v="1"/>
    <n v="43575.136483384806"/>
    <n v="0"/>
    <m/>
    <n v="2105.98"/>
    <m/>
    <m/>
    <m/>
    <m/>
  </r>
  <r>
    <x v="0"/>
    <x v="0"/>
    <x v="0"/>
    <x v="9"/>
    <s v="USD"/>
    <x v="9"/>
    <x v="2"/>
    <n v="4502.09"/>
    <x v="0"/>
    <n v="1"/>
    <n v="4502.09"/>
    <n v="20.581800000000001"/>
    <n v="92661.115962000011"/>
    <n v="115.56100000000001"/>
    <n v="118.002"/>
    <n v="1.0210999999999999"/>
    <n v="94616.265508798198"/>
    <n v="13516.609358399743"/>
    <x v="0"/>
    <x v="2"/>
    <x v="0"/>
    <x v="7"/>
    <s v="USD"/>
    <n v="-84"/>
    <n v="1"/>
    <n v="-84"/>
    <n v="20.588999999999999"/>
    <n v="-1729.4759999999999"/>
    <n v="94616.265508798198"/>
    <n v="92886.789508798203"/>
    <n v="1"/>
    <n v="1"/>
    <n v="92886.789508798203"/>
    <n v="0"/>
    <m/>
    <n v="4418.09"/>
    <m/>
    <m/>
    <m/>
    <m/>
  </r>
  <r>
    <x v="0"/>
    <x v="0"/>
    <x v="0"/>
    <x v="10"/>
    <s v="USD"/>
    <x v="10"/>
    <x v="0"/>
    <n v="2249.98"/>
    <x v="0"/>
    <n v="1"/>
    <n v="2249.98"/>
    <n v="21.032800000000002"/>
    <n v="47323.379344000001"/>
    <n v="117.30800000000001"/>
    <n v="118.002"/>
    <n v="1.0059"/>
    <n v="47602.5872821296"/>
    <n v="7933.7645470216003"/>
    <x v="0"/>
    <x v="0"/>
    <x v="0"/>
    <x v="8"/>
    <s v="USD"/>
    <n v="-78"/>
    <n v="1"/>
    <n v="-78"/>
    <n v="20.4237"/>
    <n v="-1593.0486000000001"/>
    <n v="47602.5872821296"/>
    <n v="46009.538682129598"/>
    <n v="1"/>
    <n v="1"/>
    <n v="46009.538682129598"/>
    <n v="0"/>
    <m/>
    <n v="2171.98"/>
    <m/>
    <m/>
    <m/>
    <m/>
  </r>
  <r>
    <x v="0"/>
    <x v="0"/>
    <x v="0"/>
    <x v="11"/>
    <s v="USD"/>
    <x v="11"/>
    <x v="0"/>
    <n v="6814.7"/>
    <x v="0"/>
    <n v="1"/>
    <n v="6814.7"/>
    <n v="20.58"/>
    <n v="140246.52599999998"/>
    <n v="118.98099999999999"/>
    <n v="121.02200000000001"/>
    <n v="1.0170999999999999"/>
    <n v="142644.74159459997"/>
    <n v="23774.123599099996"/>
    <x v="0"/>
    <x v="0"/>
    <x v="0"/>
    <x v="9"/>
    <s v="USD"/>
    <n v="-12670.74"/>
    <n v="1"/>
    <n v="-12670.74"/>
    <n v="20.32"/>
    <n v="-257469.4368"/>
    <n v="142644.74159459997"/>
    <n v="-114824.69520540003"/>
    <n v="1"/>
    <n v="1"/>
    <n v="-114824.69520540003"/>
    <n v="0"/>
    <m/>
    <n v="-5856.04"/>
    <m/>
    <m/>
    <m/>
    <m/>
  </r>
  <r>
    <x v="0"/>
    <x v="0"/>
    <x v="0"/>
    <x v="12"/>
    <s v="USD"/>
    <x v="12"/>
    <x v="0"/>
    <n v="5336.79"/>
    <x v="0"/>
    <n v="1"/>
    <n v="5336.79"/>
    <n v="20.641300000000001"/>
    <n v="110158.283427"/>
    <n v="118.98099999999999"/>
    <n v="120.809"/>
    <n v="1.0153000000000001"/>
    <n v="111843.70516343311"/>
    <n v="18640.617527238854"/>
    <x v="0"/>
    <x v="0"/>
    <x v="0"/>
    <x v="10"/>
    <s v="USD"/>
    <n v="-107.4"/>
    <n v="1"/>
    <n v="-107.4"/>
    <n v="20.12"/>
    <n v="-2160.8880000000004"/>
    <n v="111843.70516343313"/>
    <n v="109682.81716343312"/>
    <n v="1"/>
    <n v="1"/>
    <n v="109682.81716343312"/>
    <n v="0"/>
    <m/>
    <n v="5229.3900000000003"/>
    <m/>
    <m/>
    <m/>
    <m/>
  </r>
  <r>
    <x v="0"/>
    <x v="0"/>
    <x v="0"/>
    <x v="13"/>
    <s v="USD"/>
    <x v="12"/>
    <x v="0"/>
    <n v="5003.97"/>
    <x v="0"/>
    <n v="1"/>
    <n v="5003.97"/>
    <n v="20.641300000000001"/>
    <n v="103288.445961"/>
    <n v="118.98099999999999"/>
    <n v="120.15900000000001"/>
    <n v="1.0099"/>
    <n v="104311.00157601391"/>
    <n v="17385.16692933565"/>
    <x v="0"/>
    <x v="0"/>
    <x v="0"/>
    <x v="11"/>
    <s v="USD"/>
    <n v="-143.88"/>
    <n v="1"/>
    <n v="-143.88"/>
    <n v="20.1313"/>
    <n v="-2896.4914439999998"/>
    <n v="104311.00157601389"/>
    <n v="101414.51013201389"/>
    <n v="1"/>
    <n v="1"/>
    <n v="101414.51013201389"/>
    <n v="0"/>
    <m/>
    <n v="4860.09"/>
    <m/>
    <m/>
    <m/>
    <m/>
  </r>
  <r>
    <x v="0"/>
    <x v="0"/>
    <x v="0"/>
    <x v="14"/>
    <s v="USD"/>
    <x v="13"/>
    <x v="2"/>
    <n v="5383.74"/>
    <x v="0"/>
    <n v="1"/>
    <n v="5383.74"/>
    <n v="20.3992"/>
    <n v="109823.989008"/>
    <n v="118.98099999999999"/>
    <n v="122.044"/>
    <n v="1.0257000000000001"/>
    <n v="112646.46552550561"/>
    <n v="16092.352217929374"/>
    <x v="0"/>
    <x v="2"/>
    <x v="0"/>
    <x v="12"/>
    <s v="USD"/>
    <n v="-9971.15"/>
    <n v="1"/>
    <n v="-9971.15"/>
    <n v="20.658300000000001"/>
    <n v="-205987.008045"/>
    <n v="112646.46552550561"/>
    <n v="-93340.542519494382"/>
    <n v="1"/>
    <n v="1"/>
    <n v="-93340.542519494382"/>
    <n v="0"/>
    <m/>
    <n v="-4587.41"/>
    <m/>
    <m/>
    <m/>
    <m/>
  </r>
  <r>
    <x v="0"/>
    <x v="0"/>
    <x v="0"/>
    <x v="15"/>
    <s v="USD"/>
    <x v="13"/>
    <x v="0"/>
    <n v="4231.1099999999997"/>
    <x v="0"/>
    <n v="1"/>
    <n v="4231.1099999999997"/>
    <n v="20.3992"/>
    <n v="86311.259112"/>
    <n v="118.98099999999999"/>
    <n v="121.02200000000001"/>
    <n v="1.0170999999999999"/>
    <n v="87787.181642815194"/>
    <n v="14631.196940469199"/>
    <x v="0"/>
    <x v="0"/>
    <x v="0"/>
    <x v="9"/>
    <s v="USD"/>
    <n v="-1054.56"/>
    <n v="1"/>
    <n v="-1054.56"/>
    <n v="20.32"/>
    <n v="-21428.659199999998"/>
    <n v="87787.181642815194"/>
    <n v="66358.5224428152"/>
    <n v="1"/>
    <n v="1"/>
    <n v="66358.5224428152"/>
    <n v="0"/>
    <m/>
    <n v="3176.5499999999997"/>
    <m/>
    <m/>
    <m/>
    <m/>
  </r>
  <r>
    <x v="0"/>
    <x v="0"/>
    <x v="0"/>
    <x v="16"/>
    <s v="USD"/>
    <x v="14"/>
    <x v="0"/>
    <n v="5399.97"/>
    <x v="0"/>
    <n v="1"/>
    <n v="5399.97"/>
    <n v="20.527200000000001"/>
    <n v="110846.26418400001"/>
    <n v="120.15900000000001"/>
    <n v="122.044"/>
    <n v="1.0156000000000001"/>
    <n v="112575.46590527042"/>
    <n v="18762.577650878404"/>
    <x v="0"/>
    <x v="0"/>
    <x v="0"/>
    <x v="12"/>
    <s v="USD"/>
    <n v="-11412"/>
    <n v="1"/>
    <n v="-11412"/>
    <n v="20.658300000000001"/>
    <n v="-235752.5196"/>
    <n v="112575.46590527042"/>
    <n v="-123177.05369472958"/>
    <n v="1"/>
    <n v="1"/>
    <n v="-123177.05369472958"/>
    <n v="0"/>
    <m/>
    <n v="-6012.03"/>
    <m/>
    <m/>
    <m/>
    <m/>
  </r>
  <r>
    <x v="0"/>
    <x v="0"/>
    <x v="0"/>
    <x v="17"/>
    <s v="USD"/>
    <x v="15"/>
    <x v="0"/>
    <n v="4470.45"/>
    <x v="0"/>
    <n v="1"/>
    <n v="4470.45"/>
    <n v="20.874300000000002"/>
    <n v="93317.514435000005"/>
    <n v="120.15900000000001"/>
    <n v="120.809"/>
    <n v="1.0054000000000001"/>
    <n v="93821.429012949011"/>
    <n v="15636.904835491501"/>
    <x v="0"/>
    <x v="0"/>
    <x v="0"/>
    <x v="13"/>
    <s v="USD"/>
    <n v="-162"/>
    <n v="1"/>
    <n v="-162"/>
    <n v="20.044699999999999"/>
    <n v="-3247.2413999999999"/>
    <n v="93821.429012949011"/>
    <n v="90574.187612949012"/>
    <n v="1"/>
    <n v="1"/>
    <n v="90574.187612949012"/>
    <n v="0"/>
    <m/>
    <n v="4308.45"/>
    <m/>
    <m/>
    <m/>
    <m/>
  </r>
  <r>
    <x v="0"/>
    <x v="0"/>
    <x v="0"/>
    <x v="18"/>
    <s v="USD"/>
    <x v="16"/>
    <x v="0"/>
    <n v="3432.04"/>
    <x v="0"/>
    <n v="1"/>
    <n v="3432.04"/>
    <n v="20.1313"/>
    <n v="69091.426852000004"/>
    <n v="120.15900000000001"/>
    <n v="121.02200000000001"/>
    <n v="1.0071000000000001"/>
    <n v="69581.975982649208"/>
    <n v="11596.995997108201"/>
    <x v="0"/>
    <x v="0"/>
    <x v="0"/>
    <x v="14"/>
    <s v="USD"/>
    <n v="-11804.28"/>
    <n v="1"/>
    <n v="-11804.28"/>
    <n v="20.335000000000001"/>
    <n v="-240040.03380000003"/>
    <n v="69581.975982649208"/>
    <n v="-170458.05781735084"/>
    <n v="1"/>
    <n v="1"/>
    <n v="-170458.05781735084"/>
    <n v="0"/>
    <m/>
    <n v="-8372.2400000000016"/>
    <m/>
    <m/>
    <m/>
    <m/>
  </r>
  <r>
    <x v="0"/>
    <x v="0"/>
    <x v="0"/>
    <x v="19"/>
    <s v="USD"/>
    <x v="17"/>
    <x v="3"/>
    <n v="522.99666666666667"/>
    <x v="0"/>
    <n v="1"/>
    <n v="522.99666666666667"/>
    <n v="20.066500000000001"/>
    <n v="10494.712611666668"/>
    <n v="120.809"/>
    <n v="121.02200000000001"/>
    <n v="1.0017"/>
    <n v="10512.553623106502"/>
    <n v="10512.553623106502"/>
    <x v="0"/>
    <x v="3"/>
    <x v="0"/>
    <x v="15"/>
    <s v="USD"/>
    <n v="-1851.18"/>
    <n v="1"/>
    <n v="-1851.18"/>
    <n v="19.887"/>
    <n v="-36814.416660000003"/>
    <n v="10512.553623106502"/>
    <n v="-26301.863036893501"/>
    <n v="1"/>
    <n v="1"/>
    <n v="-26301.863036893501"/>
    <n v="0"/>
    <m/>
    <n v="-1328.1833333333334"/>
    <m/>
    <m/>
    <m/>
    <m/>
  </r>
  <r>
    <x v="0"/>
    <x v="0"/>
    <x v="0"/>
    <x v="20"/>
    <s v="USD"/>
    <x v="18"/>
    <x v="4"/>
    <n v="2022.1485714285716"/>
    <x v="0"/>
    <n v="1"/>
    <n v="2022.1485714285716"/>
    <n v="20.12"/>
    <n v="40685.629257142864"/>
    <n v="120.809"/>
    <n v="122.94799999999999"/>
    <n v="1.0177"/>
    <n v="41405.764894994296"/>
    <n v="20702.882447497148"/>
    <x v="0"/>
    <x v="4"/>
    <x v="0"/>
    <x v="16"/>
    <s v="USD"/>
    <n v="-7920"/>
    <n v="1"/>
    <n v="-7920"/>
    <n v="20.7882"/>
    <n v="-164642.54399999999"/>
    <n v="41405.764894994296"/>
    <n v="-123236.7791050057"/>
    <n v="1"/>
    <n v="1"/>
    <n v="-123236.7791050057"/>
    <n v="0"/>
    <m/>
    <n v="-5897.8514285714282"/>
    <m/>
    <m/>
    <m/>
    <m/>
  </r>
  <r>
    <x v="0"/>
    <x v="0"/>
    <x v="0"/>
    <x v="21"/>
    <s v="USD"/>
    <x v="19"/>
    <x v="4"/>
    <n v="1509.99"/>
    <x v="0"/>
    <n v="1"/>
    <n v="1509.99"/>
    <n v="20.044699999999999"/>
    <n v="30267.296553"/>
    <n v="120.809"/>
    <n v="122.044"/>
    <n v="1.0102"/>
    <n v="30576.022977840599"/>
    <n v="15288.0114889203"/>
    <x v="0"/>
    <x v="4"/>
    <x v="0"/>
    <x v="17"/>
    <s v="USD"/>
    <n v="-7914.26"/>
    <n v="1"/>
    <n v="-7914.26"/>
    <n v="19.8797"/>
    <n v="-157333.11452199999"/>
    <n v="30576.022977840599"/>
    <n v="-126757.0915441594"/>
    <n v="1"/>
    <n v="1"/>
    <n v="-126757.0915441594"/>
    <n v="0"/>
    <m/>
    <n v="-6404.27"/>
    <m/>
    <m/>
    <m/>
    <m/>
  </r>
  <r>
    <x v="0"/>
    <x v="0"/>
    <x v="0"/>
    <x v="22"/>
    <s v="USD"/>
    <x v="20"/>
    <x v="2"/>
    <n v="10366.94"/>
    <x v="0"/>
    <n v="1"/>
    <n v="10366.94"/>
    <n v="20.335000000000001"/>
    <n v="210811.72490000003"/>
    <n v="121.02200000000001"/>
    <n v="123.803"/>
    <n v="1.0228999999999999"/>
    <n v="215639.31340021003"/>
    <n v="30805.616200030003"/>
    <x v="0"/>
    <x v="2"/>
    <x v="0"/>
    <x v="18"/>
    <s v="USD"/>
    <n v="-56"/>
    <n v="1"/>
    <n v="-56"/>
    <n v="19.956199999999999"/>
    <n v="-1117.5472"/>
    <n v="215639.31340021003"/>
    <n v="214521.76620021003"/>
    <n v="1"/>
    <n v="1"/>
    <n v="214521.76620021003"/>
    <n v="0"/>
    <m/>
    <n v="10310.94"/>
    <m/>
    <m/>
    <m/>
    <m/>
  </r>
  <r>
    <x v="0"/>
    <x v="0"/>
    <x v="0"/>
    <x v="23"/>
    <s v="USD"/>
    <x v="20"/>
    <x v="1"/>
    <n v="4599.97"/>
    <x v="0"/>
    <n v="1"/>
    <n v="4599.97"/>
    <n v="20.335000000000001"/>
    <n v="93540.389950000012"/>
    <n v="121.02200000000001"/>
    <n v="122.044"/>
    <n v="1.0084"/>
    <n v="94326.129225580007"/>
    <n v="18865.225845116001"/>
    <x v="0"/>
    <x v="1"/>
    <x v="0"/>
    <x v="19"/>
    <s v="USD"/>
    <n v="-240"/>
    <n v="1"/>
    <n v="-240"/>
    <n v="19.599799999999998"/>
    <n v="-4703.9519999999993"/>
    <n v="94326.129225580007"/>
    <n v="89622.177225580002"/>
    <n v="1"/>
    <n v="1"/>
    <n v="89622.177225580002"/>
    <n v="0"/>
    <m/>
    <n v="4359.97"/>
    <m/>
    <m/>
    <m/>
    <m/>
  </r>
  <r>
    <x v="0"/>
    <x v="0"/>
    <x v="0"/>
    <x v="24"/>
    <s v="USD"/>
    <x v="21"/>
    <x v="2"/>
    <n v="7344.58"/>
    <x v="0"/>
    <n v="1"/>
    <n v="7344.58"/>
    <n v="20.32"/>
    <n v="149241.86559999999"/>
    <n v="121.02200000000001"/>
    <n v="123.803"/>
    <n v="1.0228999999999999"/>
    <n v="152659.50432223998"/>
    <n v="21808.500617462854"/>
    <x v="0"/>
    <x v="2"/>
    <x v="0"/>
    <x v="20"/>
    <s v="USD"/>
    <n v="-21"/>
    <n v="1"/>
    <n v="-21"/>
    <n v="19.873999999999999"/>
    <n v="-417.35399999999998"/>
    <n v="152659.50432223998"/>
    <n v="152242.15032223999"/>
    <n v="1"/>
    <n v="1"/>
    <n v="152242.15032223999"/>
    <n v="0"/>
    <m/>
    <n v="7323.58"/>
    <m/>
    <m/>
    <m/>
    <m/>
  </r>
  <r>
    <x v="0"/>
    <x v="0"/>
    <x v="0"/>
    <x v="25"/>
    <s v="USD"/>
    <x v="21"/>
    <x v="0"/>
    <n v="5322.95"/>
    <x v="0"/>
    <n v="1"/>
    <n v="5322.95"/>
    <n v="20.32"/>
    <n v="108162.344"/>
    <n v="121.02200000000001"/>
    <n v="122.94799999999999"/>
    <n v="1.0159"/>
    <n v="109882.1252696"/>
    <n v="18313.687544933335"/>
    <x v="0"/>
    <x v="0"/>
    <x v="0"/>
    <x v="16"/>
    <s v="USD"/>
    <n v="-2322"/>
    <n v="1"/>
    <n v="-2322"/>
    <n v="20.7882"/>
    <n v="-48270.200400000002"/>
    <n v="109882.12526960002"/>
    <n v="61611.924869600014"/>
    <n v="1"/>
    <n v="1"/>
    <n v="61611.924869600014"/>
    <n v="0"/>
    <m/>
    <n v="3000.95"/>
    <m/>
    <m/>
    <m/>
    <m/>
  </r>
  <r>
    <x v="1"/>
    <x v="1"/>
    <x v="1"/>
    <x v="26"/>
    <m/>
    <x v="22"/>
    <x v="5"/>
    <m/>
    <x v="1"/>
    <e v="#N/A"/>
    <e v="#N/A"/>
    <n v="0"/>
    <e v="#N/A"/>
    <n v="0"/>
    <n v="0"/>
    <n v="0"/>
    <e v="#N/A"/>
    <n v="0"/>
    <x v="1"/>
    <x v="5"/>
    <x v="1"/>
    <x v="21"/>
    <m/>
    <m/>
    <n v="0"/>
    <n v="0"/>
    <n v="0"/>
    <n v="0"/>
    <n v="0"/>
    <n v="0"/>
    <n v="0"/>
    <n v="1"/>
    <n v="0"/>
    <n v="0"/>
    <m/>
    <e v="#N/A"/>
    <m/>
    <m/>
    <m/>
    <m/>
  </r>
  <r>
    <x v="0"/>
    <x v="0"/>
    <x v="0"/>
    <x v="27"/>
    <s v="USD"/>
    <x v="23"/>
    <x v="0"/>
    <n v="5843.86"/>
    <x v="0"/>
    <n v="1"/>
    <n v="5843.86"/>
    <n v="19.887"/>
    <n v="116216.84381999999"/>
    <n v="121.02200000000001"/>
    <n v="124.571"/>
    <n v="1.0293000000000001"/>
    <n v="119621.99734392601"/>
    <n v="19936.999557321"/>
    <x v="0"/>
    <x v="0"/>
    <x v="0"/>
    <x v="22"/>
    <s v="USD"/>
    <n v="-856.98"/>
    <n v="1"/>
    <n v="-856.98"/>
    <n v="20.351700000000001"/>
    <n v="-17440.999866000002"/>
    <n v="119621.99734392599"/>
    <n v="102180.99747792599"/>
    <n v="1"/>
    <n v="1"/>
    <n v="102180.99747792599"/>
    <n v="0"/>
    <m/>
    <n v="4986.8799999999992"/>
    <m/>
    <m/>
    <m/>
    <m/>
  </r>
  <r>
    <x v="0"/>
    <x v="0"/>
    <x v="0"/>
    <x v="28"/>
    <s v="USD"/>
    <x v="23"/>
    <x v="2"/>
    <n v="6791.38"/>
    <x v="0"/>
    <n v="1"/>
    <n v="6791.38"/>
    <n v="19.887"/>
    <n v="135060.17406000002"/>
    <n v="121.02200000000001"/>
    <n v="124.571"/>
    <n v="1.0293000000000001"/>
    <n v="139017.43715995803"/>
    <n v="19859.633879994006"/>
    <x v="0"/>
    <x v="2"/>
    <x v="0"/>
    <x v="23"/>
    <s v="USD"/>
    <n v="-42"/>
    <n v="1"/>
    <n v="-42"/>
    <n v="20.055"/>
    <n v="-842.31"/>
    <n v="139017.43715995803"/>
    <n v="138175.12715995804"/>
    <n v="1"/>
    <n v="1"/>
    <n v="138175.12715995804"/>
    <n v="0"/>
    <m/>
    <n v="6749.38"/>
    <m/>
    <m/>
    <m/>
    <m/>
  </r>
  <r>
    <x v="0"/>
    <x v="0"/>
    <x v="0"/>
    <x v="29"/>
    <s v="USD"/>
    <x v="24"/>
    <x v="1"/>
    <n v="3271.87"/>
    <x v="0"/>
    <n v="1"/>
    <n v="3271.87"/>
    <n v="19.599799999999998"/>
    <n v="64127.997625999989"/>
    <n v="122.044"/>
    <n v="122.94799999999999"/>
    <n v="1.0074000000000001"/>
    <n v="64602.544808432394"/>
    <n v="12920.508961686479"/>
    <x v="0"/>
    <x v="1"/>
    <x v="0"/>
    <x v="24"/>
    <s v="USD"/>
    <n v="-1250"/>
    <n v="1"/>
    <n v="-1250"/>
    <n v="20.515000000000001"/>
    <n v="-25643.75"/>
    <n v="64602.544808432394"/>
    <n v="38958.794808432394"/>
    <n v="1"/>
    <n v="1"/>
    <n v="38958.794808432394"/>
    <n v="0"/>
    <m/>
    <n v="2021.87"/>
    <m/>
    <m/>
    <m/>
    <m/>
  </r>
  <r>
    <x v="0"/>
    <x v="0"/>
    <x v="0"/>
    <x v="30"/>
    <s v="USD"/>
    <x v="25"/>
    <x v="2"/>
    <n v="8676.23"/>
    <x v="0"/>
    <n v="1"/>
    <n v="8676.23"/>
    <n v="20.658300000000001"/>
    <n v="179236.162209"/>
    <n v="122.044"/>
    <n v="123.803"/>
    <n v="1.0144"/>
    <n v="181817.16294480959"/>
    <n v="25973.880420687085"/>
    <x v="0"/>
    <x v="2"/>
    <x v="0"/>
    <x v="25"/>
    <s v="USD"/>
    <n v="-1321.88"/>
    <n v="1"/>
    <n v="-1321.88"/>
    <n v="20.630500000000001"/>
    <n v="-27271.045340000004"/>
    <n v="181817.16294480959"/>
    <n v="154546.11760480958"/>
    <n v="1"/>
    <n v="1"/>
    <n v="154546.11760480958"/>
    <n v="0"/>
    <m/>
    <n v="7354.3499999999995"/>
    <m/>
    <m/>
    <m/>
    <m/>
  </r>
  <r>
    <x v="0"/>
    <x v="0"/>
    <x v="0"/>
    <x v="31"/>
    <s v="USD"/>
    <x v="26"/>
    <x v="4"/>
    <n v="937.97"/>
    <x v="0"/>
    <n v="1"/>
    <n v="937.97"/>
    <n v="20.475999999999999"/>
    <n v="19205.87372"/>
    <n v="122.044"/>
    <n v="123.803"/>
    <n v="1.0144"/>
    <n v="19482.438301568"/>
    <n v="9741.2191507839998"/>
    <x v="0"/>
    <x v="4"/>
    <x v="0"/>
    <x v="20"/>
    <s v="USD"/>
    <n v="-30"/>
    <n v="1"/>
    <n v="-30"/>
    <n v="19.873999999999999"/>
    <n v="-596.21999999999991"/>
    <n v="19482.438301568"/>
    <n v="18886.218301567998"/>
    <n v="1"/>
    <n v="1"/>
    <n v="18886.218301567998"/>
    <n v="0"/>
    <m/>
    <n v="907.97"/>
    <m/>
    <m/>
    <m/>
    <m/>
  </r>
  <r>
    <x v="0"/>
    <x v="0"/>
    <x v="0"/>
    <x v="32"/>
    <s v="USD"/>
    <x v="27"/>
    <x v="6"/>
    <n v="2275.94"/>
    <x v="0"/>
    <n v="1"/>
    <n v="2275.94"/>
    <n v="20.196300000000001"/>
    <n v="45965.567022000003"/>
    <n v="122.044"/>
    <n v="123.803"/>
    <n v="1.0144"/>
    <n v="46627.471187116804"/>
    <n v="11656.867796779201"/>
    <x v="0"/>
    <x v="6"/>
    <x v="0"/>
    <x v="25"/>
    <s v="USD"/>
    <n v="-432"/>
    <n v="1"/>
    <n v="-432"/>
    <n v="20.630500000000001"/>
    <n v="-8912.3760000000002"/>
    <n v="46627.471187116804"/>
    <n v="37715.095187116807"/>
    <n v="1"/>
    <n v="1"/>
    <n v="37715.095187116807"/>
    <n v="0"/>
    <m/>
    <n v="1843.94"/>
    <m/>
    <m/>
    <m/>
    <m/>
  </r>
  <r>
    <x v="0"/>
    <x v="0"/>
    <x v="0"/>
    <x v="33"/>
    <s v="USD"/>
    <x v="28"/>
    <x v="1"/>
    <n v="5659.87"/>
    <x v="0"/>
    <n v="1"/>
    <n v="5659.87"/>
    <n v="19.8797"/>
    <n v="112516.517639"/>
    <n v="122.044"/>
    <n v="125.276"/>
    <n v="1.0264"/>
    <n v="115486.95370466959"/>
    <n v="23097.390740933919"/>
    <x v="0"/>
    <x v="1"/>
    <x v="0"/>
    <x v="26"/>
    <s v="USD"/>
    <n v="-125"/>
    <n v="1"/>
    <n v="-125"/>
    <n v="19.991299999999999"/>
    <n v="-2498.9124999999999"/>
    <n v="115486.95370466959"/>
    <n v="112988.04120466959"/>
    <n v="1"/>
    <n v="1"/>
    <n v="112988.04120466959"/>
    <n v="0"/>
    <m/>
    <n v="5534.87"/>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0"/>
    <x v="0"/>
    <x v="0"/>
    <x v="34"/>
    <s v="USD"/>
    <x v="29"/>
    <x v="6"/>
    <n v="1885.59"/>
    <x v="0"/>
    <n v="1"/>
    <n v="1885.59"/>
    <n v="20.442299999999999"/>
    <n v="38545.796456999997"/>
    <n v="122.94799999999999"/>
    <n v="124.571"/>
    <n v="1.0132000000000001"/>
    <n v="39054.600970232401"/>
    <n v="9763.6502425581002"/>
    <x v="0"/>
    <x v="6"/>
    <x v="0"/>
    <x v="22"/>
    <s v="USD"/>
    <n v="-16"/>
    <n v="1"/>
    <n v="-16"/>
    <n v="20.351700000000001"/>
    <n v="-325.62720000000002"/>
    <n v="39054.600970232401"/>
    <n v="38728.973770232398"/>
    <n v="1"/>
    <n v="1"/>
    <n v="38728.973770232398"/>
    <n v="0"/>
    <m/>
    <n v="1869.59"/>
    <m/>
    <m/>
    <m/>
    <m/>
  </r>
  <r>
    <x v="0"/>
    <x v="0"/>
    <x v="0"/>
    <x v="35"/>
    <s v="USD"/>
    <x v="30"/>
    <x v="4"/>
    <n v="2049.21"/>
    <x v="0"/>
    <n v="1"/>
    <n v="2049.21"/>
    <n v="20.941500000000001"/>
    <n v="42913.531215000003"/>
    <n v="122.94799999999999"/>
    <n v="125.997"/>
    <n v="1.0246999999999999"/>
    <n v="43973.495436010504"/>
    <n v="21986.747718005252"/>
    <x v="0"/>
    <x v="4"/>
    <x v="0"/>
    <x v="27"/>
    <s v="USD"/>
    <n v="-120"/>
    <n v="1"/>
    <n v="-120"/>
    <n v="19.8245"/>
    <n v="-2378.94"/>
    <n v="43973.495436010504"/>
    <n v="41594.555436010502"/>
    <n v="1"/>
    <n v="1"/>
    <n v="41594.555436010502"/>
    <n v="0"/>
    <m/>
    <n v="1929.21"/>
    <m/>
    <m/>
    <m/>
    <m/>
  </r>
  <r>
    <x v="0"/>
    <x v="0"/>
    <x v="0"/>
    <x v="36"/>
    <s v="USD"/>
    <x v="30"/>
    <x v="7"/>
    <n v="9143.7900000000009"/>
    <x v="0"/>
    <n v="1"/>
    <n v="9143.7900000000009"/>
    <n v="20.941500000000001"/>
    <n v="191484.67828500003"/>
    <n v="122.94799999999999"/>
    <n v="125.997"/>
    <n v="1.0246999999999999"/>
    <n v="196214.34983863952"/>
    <n v="24526.79372982994"/>
    <x v="0"/>
    <x v="7"/>
    <x v="0"/>
    <x v="28"/>
    <s v="USD"/>
    <n v="-24"/>
    <n v="1"/>
    <n v="-24"/>
    <n v="19.393999999999998"/>
    <n v="-465.45599999999996"/>
    <n v="196214.34983863952"/>
    <n v="195748.89383863952"/>
    <n v="1"/>
    <n v="1"/>
    <n v="195748.89383863952"/>
    <n v="0"/>
    <m/>
    <n v="9119.7900000000009"/>
    <m/>
    <m/>
    <m/>
    <m/>
  </r>
  <r>
    <x v="0"/>
    <x v="0"/>
    <x v="0"/>
    <x v="37"/>
    <s v="USD"/>
    <x v="31"/>
    <x v="1"/>
    <n v="3004.93"/>
    <x v="0"/>
    <n v="1"/>
    <n v="3004.93"/>
    <n v="20.515000000000001"/>
    <n v="61646.13895"/>
    <n v="122.94799999999999"/>
    <n v="123.803"/>
    <n v="1.0068999999999999"/>
    <n v="62071.497308754995"/>
    <n v="12414.299461750999"/>
    <x v="0"/>
    <x v="1"/>
    <x v="0"/>
    <x v="29"/>
    <s v="USD"/>
    <n v="-10"/>
    <n v="1"/>
    <n v="-10"/>
    <n v="19.998200000000001"/>
    <n v="-199.982"/>
    <n v="62071.497308754995"/>
    <n v="61871.515308754992"/>
    <n v="1"/>
    <n v="1"/>
    <n v="61871.515308754992"/>
    <n v="0"/>
    <m/>
    <n v="2994.93"/>
    <m/>
    <m/>
    <m/>
    <m/>
  </r>
  <r>
    <x v="0"/>
    <x v="0"/>
    <x v="0"/>
    <x v="38"/>
    <s v="USD"/>
    <x v="32"/>
    <x v="4"/>
    <n v="1019.97"/>
    <x v="0"/>
    <n v="1"/>
    <n v="1019.97"/>
    <n v="20.630500000000001"/>
    <n v="21042.491085000001"/>
    <n v="123.803"/>
    <n v="125.997"/>
    <n v="1.0177"/>
    <n v="21414.943177204503"/>
    <n v="10707.471588602251"/>
    <x v="0"/>
    <x v="4"/>
    <x v="0"/>
    <x v="28"/>
    <s v="USD"/>
    <n v="-8.8000000000000007"/>
    <n v="1"/>
    <n v="-8.8000000000000007"/>
    <n v="19.393999999999998"/>
    <n v="-170.66720000000001"/>
    <n v="21414.943177204503"/>
    <n v="21244.275977204503"/>
    <n v="1"/>
    <n v="1"/>
    <n v="21244.275977204503"/>
    <n v="0"/>
    <m/>
    <n v="1011.1700000000001"/>
    <m/>
    <m/>
    <m/>
    <m/>
  </r>
  <r>
    <x v="0"/>
    <x v="0"/>
    <x v="0"/>
    <x v="39"/>
    <s v="USD"/>
    <x v="32"/>
    <x v="2"/>
    <n v="4171.8999999999996"/>
    <x v="0"/>
    <n v="1"/>
    <n v="4171.8999999999996"/>
    <n v="20.630500000000001"/>
    <n v="86068.382949999999"/>
    <n v="123.803"/>
    <n v="125.276"/>
    <n v="1.0118"/>
    <n v="87083.989868810007"/>
    <n v="12440.569981258572"/>
    <x v="0"/>
    <x v="2"/>
    <x v="0"/>
    <x v="26"/>
    <s v="USD"/>
    <n v="-5866"/>
    <n v="1"/>
    <n v="-5866"/>
    <n v="19.991299999999999"/>
    <n v="-117268.96579999999"/>
    <n v="87083.989868810007"/>
    <n v="-30184.975931189983"/>
    <n v="1"/>
    <n v="1"/>
    <n v="-30184.975931189983"/>
    <n v="0"/>
    <m/>
    <n v="-1694.1000000000004"/>
    <m/>
    <m/>
    <m/>
    <m/>
  </r>
  <r>
    <x v="0"/>
    <x v="0"/>
    <x v="0"/>
    <x v="40"/>
    <s v="USD"/>
    <x v="33"/>
    <x v="0"/>
    <n v="2231.94"/>
    <x v="0"/>
    <n v="1"/>
    <n v="2231.94"/>
    <n v="19.956199999999999"/>
    <n v="44541.041028"/>
    <n v="123.803"/>
    <n v="124.571"/>
    <n v="1.0062"/>
    <n v="44817.195482373601"/>
    <n v="7469.5325803956002"/>
    <x v="0"/>
    <x v="0"/>
    <x v="0"/>
    <x v="30"/>
    <s v="USD"/>
    <n v="-8592"/>
    <n v="1"/>
    <n v="-8592"/>
    <n v="19.976800000000001"/>
    <n v="-171640.66560000001"/>
    <n v="44817.195482373601"/>
    <n v="-126823.47011762641"/>
    <n v="1"/>
    <n v="1"/>
    <n v="-126823.47011762641"/>
    <n v="0"/>
    <m/>
    <n v="-6360.0599999999995"/>
    <m/>
    <m/>
    <m/>
    <m/>
  </r>
  <r>
    <x v="0"/>
    <x v="0"/>
    <x v="0"/>
    <x v="41"/>
    <s v="USD"/>
    <x v="34"/>
    <x v="4"/>
    <n v="971.97"/>
    <x v="0"/>
    <n v="1"/>
    <n v="971.97"/>
    <n v="19.873999999999999"/>
    <n v="19316.931779999999"/>
    <n v="123.803"/>
    <n v="125.997"/>
    <n v="1.0177"/>
    <n v="19658.841472505999"/>
    <n v="9829.4207362529996"/>
    <x v="0"/>
    <x v="4"/>
    <x v="0"/>
    <x v="28"/>
    <s v="USD"/>
    <n v="-48"/>
    <n v="1"/>
    <n v="-48"/>
    <n v="19.393999999999998"/>
    <n v="-930.91199999999992"/>
    <n v="19658.841472505999"/>
    <n v="18727.929472505999"/>
    <n v="1"/>
    <n v="1"/>
    <n v="18727.929472505999"/>
    <n v="0"/>
    <m/>
    <n v="923.97"/>
    <m/>
    <m/>
    <m/>
    <m/>
  </r>
  <r>
    <x v="0"/>
    <x v="0"/>
    <x v="0"/>
    <x v="42"/>
    <s v="USD"/>
    <x v="34"/>
    <x v="0"/>
    <n v="1349.96"/>
    <x v="0"/>
    <n v="1"/>
    <n v="1349.96"/>
    <n v="19.873999999999999"/>
    <n v="26829.105039999999"/>
    <n v="123.803"/>
    <n v="124.571"/>
    <n v="1.0062"/>
    <n v="26995.445491248"/>
    <n v="4499.2409152079999"/>
    <x v="0"/>
    <x v="0"/>
    <x v="0"/>
    <x v="23"/>
    <s v="USD"/>
    <n v="-8584.08"/>
    <n v="1"/>
    <n v="-8584.08"/>
    <n v="20.055"/>
    <n v="-172153.72440000001"/>
    <n v="26995.445491248"/>
    <n v="-145158.27890875202"/>
    <n v="1"/>
    <n v="1"/>
    <n v="-145158.27890875202"/>
    <n v="0"/>
    <m/>
    <n v="-7234.12"/>
    <m/>
    <m/>
    <m/>
    <m/>
  </r>
  <r>
    <x v="0"/>
    <x v="0"/>
    <x v="0"/>
    <x v="43"/>
    <s v="USD"/>
    <x v="35"/>
    <x v="1"/>
    <n v="2229.94"/>
    <x v="0"/>
    <n v="1"/>
    <n v="2229.94"/>
    <n v="19.998200000000001"/>
    <n v="44594.786108"/>
    <n v="123.803"/>
    <n v="125.276"/>
    <n v="1.0118"/>
    <n v="45121.004584074399"/>
    <n v="9024.2009168148797"/>
    <x v="0"/>
    <x v="1"/>
    <x v="0"/>
    <x v="31"/>
    <s v="USD"/>
    <n v="-6700.8"/>
    <n v="1"/>
    <n v="-6700.8"/>
    <n v="20.092500000000001"/>
    <n v="-134635.82400000002"/>
    <n v="45121.004584074399"/>
    <n v="-89514.819415925624"/>
    <n v="1"/>
    <n v="1"/>
    <n v="-89514.819415925624"/>
    <n v="0"/>
    <m/>
    <n v="-4470.8600000000006"/>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0"/>
    <x v="0"/>
    <x v="0"/>
    <x v="19"/>
    <s v="USD"/>
    <x v="17"/>
    <x v="1"/>
    <n v="2614.9833333333336"/>
    <x v="0"/>
    <n v="1"/>
    <n v="2614.9833333333336"/>
    <n v="20.066500000000001"/>
    <n v="52473.56305833334"/>
    <n v="120.809"/>
    <n v="121.02200000000001"/>
    <n v="1.0017"/>
    <n v="52562.768115532512"/>
    <n v="10512.553623106502"/>
    <x v="0"/>
    <x v="1"/>
    <x v="2"/>
    <x v="32"/>
    <s v="USD"/>
    <n v="0"/>
    <n v="0"/>
    <n v="0"/>
    <n v="19.8657"/>
    <n v="0"/>
    <n v="52562.768115532512"/>
    <n v="52562.768115532512"/>
    <n v="1"/>
    <n v="1"/>
    <n v="52562.768115532512"/>
    <n v="0"/>
    <m/>
    <n v="2614.9833333333336"/>
    <m/>
    <m/>
    <m/>
    <m/>
  </r>
  <r>
    <x v="0"/>
    <x v="0"/>
    <x v="0"/>
    <x v="21"/>
    <s v="USD"/>
    <x v="19"/>
    <x v="3"/>
    <n v="754.995"/>
    <x v="0"/>
    <n v="1"/>
    <n v="754.995"/>
    <n v="20.044699999999999"/>
    <n v="15133.6482765"/>
    <n v="120.809"/>
    <n v="122.044"/>
    <n v="1.0102"/>
    <n v="15288.0114889203"/>
    <n v="15288.0114889203"/>
    <x v="0"/>
    <x v="3"/>
    <x v="2"/>
    <x v="33"/>
    <s v="USD"/>
    <n v="0"/>
    <n v="0"/>
    <n v="0"/>
    <n v="20.6675"/>
    <n v="0"/>
    <n v="15288.0114889203"/>
    <n v="15288.0114889203"/>
    <n v="1"/>
    <n v="1"/>
    <n v="15288.0114889203"/>
    <n v="0"/>
    <m/>
    <n v="754.995"/>
    <m/>
    <m/>
    <m/>
    <m/>
  </r>
  <r>
    <x v="0"/>
    <x v="0"/>
    <x v="0"/>
    <x v="21"/>
    <s v="USD"/>
    <x v="19"/>
    <x v="8"/>
    <n v="2264.9850000000001"/>
    <x v="0"/>
    <n v="1"/>
    <n v="2264.9850000000001"/>
    <n v="20.044699999999999"/>
    <n v="45400.944829499997"/>
    <n v="120.809"/>
    <n v="122.044"/>
    <n v="1.0102"/>
    <n v="45864.034466760895"/>
    <n v="15288.011488920298"/>
    <x v="0"/>
    <x v="8"/>
    <x v="2"/>
    <x v="34"/>
    <s v="USD"/>
    <n v="0"/>
    <n v="0"/>
    <n v="0"/>
    <n v="20.244199999999999"/>
    <n v="0"/>
    <n v="45864.034466760895"/>
    <n v="45864.034466760895"/>
    <n v="1"/>
    <n v="1"/>
    <n v="45864.034466760895"/>
    <n v="0"/>
    <m/>
    <n v="2264.9850000000001"/>
    <m/>
    <m/>
    <m/>
    <m/>
  </r>
  <r>
    <x v="0"/>
    <x v="0"/>
    <x v="0"/>
    <x v="20"/>
    <s v="USD"/>
    <x v="18"/>
    <x v="4"/>
    <n v="2022.1485714285716"/>
    <x v="0"/>
    <n v="1"/>
    <n v="2022.1485714285716"/>
    <n v="20.12"/>
    <n v="40685.629257142864"/>
    <n v="120.809"/>
    <n v="122.94799999999999"/>
    <n v="1.0177"/>
    <n v="41405.764894994296"/>
    <n v="20702.882447497148"/>
    <x v="0"/>
    <x v="4"/>
    <x v="2"/>
    <x v="35"/>
    <s v="USD"/>
    <n v="0"/>
    <n v="0"/>
    <n v="0"/>
    <n v="20.722799999999999"/>
    <n v="0"/>
    <n v="41405.764894994296"/>
    <n v="41405.764894994296"/>
    <n v="1"/>
    <n v="1"/>
    <n v="41405.764894994296"/>
    <n v="0"/>
    <m/>
    <n v="2022.1485714285716"/>
    <m/>
    <m/>
    <m/>
    <m/>
  </r>
  <r>
    <x v="0"/>
    <x v="0"/>
    <x v="0"/>
    <x v="20"/>
    <s v="USD"/>
    <x v="18"/>
    <x v="8"/>
    <n v="3033.2228571428573"/>
    <x v="0"/>
    <n v="1"/>
    <n v="3033.2228571428573"/>
    <n v="20.12"/>
    <n v="61028.443885714289"/>
    <n v="120.809"/>
    <n v="122.94799999999999"/>
    <n v="1.0177"/>
    <n v="62108.647342491437"/>
    <n v="20702.882447497144"/>
    <x v="0"/>
    <x v="8"/>
    <x v="2"/>
    <x v="36"/>
    <s v="USD"/>
    <n v="0"/>
    <n v="0"/>
    <n v="0"/>
    <n v="20.6022"/>
    <n v="0"/>
    <n v="62108.647342491429"/>
    <n v="62108.647342491429"/>
    <n v="1"/>
    <n v="1"/>
    <n v="62108.647342491429"/>
    <n v="0"/>
    <m/>
    <n v="3033.2228571428573"/>
    <m/>
    <m/>
    <m/>
    <m/>
  </r>
  <r>
    <x v="1"/>
    <x v="1"/>
    <x v="1"/>
    <x v="26"/>
    <m/>
    <x v="22"/>
    <x v="5"/>
    <m/>
    <x v="1"/>
    <e v="#N/A"/>
    <e v="#N/A"/>
    <n v="0"/>
    <e v="#N/A"/>
    <n v="0"/>
    <n v="0"/>
    <n v="0"/>
    <e v="#N/A"/>
    <n v="0"/>
    <x v="1"/>
    <x v="5"/>
    <x v="1"/>
    <x v="21"/>
    <m/>
    <m/>
    <n v="0"/>
    <n v="0"/>
    <n v="0"/>
    <n v="0"/>
    <n v="0"/>
    <n v="0"/>
    <n v="0"/>
    <n v="1"/>
    <n v="0"/>
    <n v="0"/>
    <m/>
    <e v="#N/A"/>
    <m/>
    <m/>
    <m/>
    <m/>
  </r>
  <r>
    <x v="0"/>
    <x v="0"/>
    <x v="0"/>
    <x v="44"/>
    <s v="USD"/>
    <x v="36"/>
    <x v="1"/>
    <n v="2774.93"/>
    <x v="0"/>
    <n v="1"/>
    <n v="2774.93"/>
    <n v="20.092500000000001"/>
    <n v="55755.281024999997"/>
    <n v="125.276"/>
    <n v="125.997"/>
    <n v="1.0057"/>
    <n v="56073.0861268425"/>
    <n v="11214.6172253685"/>
    <x v="0"/>
    <x v="1"/>
    <x v="0"/>
    <x v="27"/>
    <s v="USD"/>
    <n v="-85"/>
    <n v="1"/>
    <n v="-85"/>
    <n v="19.8245"/>
    <n v="-1685.0825"/>
    <n v="56073.0861268425"/>
    <n v="54388.003626842503"/>
    <n v="1"/>
    <n v="1"/>
    <n v="54388.003626842503"/>
    <n v="0"/>
    <m/>
    <n v="2689.93"/>
    <m/>
    <m/>
    <m/>
    <m/>
  </r>
  <r>
    <x v="0"/>
    <x v="0"/>
    <x v="0"/>
    <x v="45"/>
    <s v="USD"/>
    <x v="37"/>
    <x v="2"/>
    <n v="4171.8999999999996"/>
    <x v="0"/>
    <n v="1"/>
    <n v="4171.8999999999996"/>
    <n v="19.991299999999999"/>
    <n v="83401.704469999982"/>
    <n v="125.276"/>
    <n v="125.997"/>
    <n v="1.0057"/>
    <n v="83877.094185478985"/>
    <n v="11982.442026496998"/>
    <x v="0"/>
    <x v="2"/>
    <x v="0"/>
    <x v="37"/>
    <s v="USD"/>
    <n v="-35"/>
    <n v="1"/>
    <n v="-35"/>
    <n v="19.492999999999999"/>
    <n v="-682.255"/>
    <n v="83877.094185478985"/>
    <n v="83194.839185478981"/>
    <n v="1"/>
    <n v="1"/>
    <n v="83194.839185478981"/>
    <n v="0"/>
    <m/>
    <n v="4136.8999999999996"/>
    <m/>
    <m/>
    <m/>
    <m/>
  </r>
  <r>
    <x v="0"/>
    <x v="0"/>
    <x v="0"/>
    <x v="46"/>
    <s v="USD"/>
    <x v="37"/>
    <x v="6"/>
    <n v="2882.13"/>
    <x v="0"/>
    <n v="1"/>
    <n v="2882.13"/>
    <n v="19.991299999999999"/>
    <n v="57617.525469"/>
    <n v="125.276"/>
    <n v="125.997"/>
    <n v="1.0057"/>
    <n v="57945.945364173305"/>
    <n v="14486.486341043326"/>
    <x v="0"/>
    <x v="6"/>
    <x v="0"/>
    <x v="37"/>
    <s v="USD"/>
    <n v="-24"/>
    <n v="1"/>
    <n v="-24"/>
    <n v="19.492999999999999"/>
    <n v="-467.83199999999999"/>
    <n v="57945.945364173305"/>
    <n v="57478.113364173303"/>
    <n v="1"/>
    <n v="1"/>
    <n v="57478.113364173303"/>
    <n v="0"/>
    <m/>
    <n v="2858.13"/>
    <m/>
    <m/>
    <m/>
    <m/>
  </r>
  <r>
    <x v="0"/>
    <x v="0"/>
    <x v="0"/>
    <x v="47"/>
    <s v="USD"/>
    <x v="38"/>
    <x v="2"/>
    <n v="3036.25"/>
    <x v="0"/>
    <n v="1"/>
    <n v="3036.25"/>
    <n v="19.871200000000002"/>
    <n v="60333.931000000004"/>
    <n v="125.276"/>
    <n v="126.47799999999999"/>
    <n v="1.0095000000000001"/>
    <n v="60907.103344500007"/>
    <n v="8701.0147635000012"/>
    <x v="0"/>
    <x v="2"/>
    <x v="0"/>
    <x v="38"/>
    <s v="USD"/>
    <n v="-35"/>
    <n v="1"/>
    <n v="-35"/>
    <n v="19.3965"/>
    <n v="-678.87749999999994"/>
    <n v="60907.103344500007"/>
    <n v="60228.225844500004"/>
    <n v="1"/>
    <n v="1"/>
    <n v="60228.225844500004"/>
    <n v="0"/>
    <m/>
    <n v="3001.25"/>
    <m/>
    <m/>
    <m/>
    <m/>
  </r>
  <r>
    <x v="0"/>
    <x v="0"/>
    <x v="0"/>
    <x v="48"/>
    <s v="USD"/>
    <x v="39"/>
    <x v="2"/>
    <n v="4061.02"/>
    <x v="0"/>
    <n v="1"/>
    <n v="4061.02"/>
    <n v="20.055"/>
    <n v="81443.756099999999"/>
    <n v="124.571"/>
    <n v="125.276"/>
    <n v="1.0056"/>
    <n v="81899.84113416"/>
    <n v="11699.97730488"/>
    <x v="0"/>
    <x v="2"/>
    <x v="0"/>
    <x v="39"/>
    <s v="USD"/>
    <n v="-98"/>
    <n v="1"/>
    <n v="-98"/>
    <n v="19.871200000000002"/>
    <n v="-1947.3776000000003"/>
    <n v="81899.84113416"/>
    <n v="79952.463534159993"/>
    <n v="1"/>
    <n v="1"/>
    <n v="79952.463534159993"/>
    <n v="0"/>
    <m/>
    <n v="3963.02"/>
    <m/>
    <m/>
    <m/>
    <m/>
  </r>
  <r>
    <x v="0"/>
    <x v="0"/>
    <x v="0"/>
    <x v="49"/>
    <s v="USD"/>
    <x v="39"/>
    <x v="2"/>
    <n v="6291.45"/>
    <x v="0"/>
    <n v="1"/>
    <n v="6291.45"/>
    <n v="20.055"/>
    <n v="126175.02975"/>
    <n v="124.571"/>
    <n v="126.47799999999999"/>
    <n v="1.0153000000000001"/>
    <n v="128105.50770517501"/>
    <n v="18300.786815025003"/>
    <x v="0"/>
    <x v="2"/>
    <x v="0"/>
    <x v="40"/>
    <s v="USD"/>
    <n v="-42"/>
    <n v="1"/>
    <n v="-42"/>
    <n v="19.645800000000001"/>
    <n v="-825.12360000000001"/>
    <n v="128105.50770517503"/>
    <n v="127280.38410517502"/>
    <n v="1"/>
    <n v="1"/>
    <n v="127280.38410517502"/>
    <n v="0"/>
    <m/>
    <n v="6249.45"/>
    <m/>
    <m/>
    <m/>
    <m/>
  </r>
  <r>
    <x v="0"/>
    <x v="0"/>
    <x v="0"/>
    <x v="50"/>
    <s v="USD"/>
    <x v="40"/>
    <x v="2"/>
    <n v="3149.92"/>
    <x v="0"/>
    <n v="1"/>
    <n v="3149.92"/>
    <n v="19.976800000000001"/>
    <n v="62925.321856000002"/>
    <n v="124.571"/>
    <n v="126.47799999999999"/>
    <n v="1.0153000000000001"/>
    <n v="63888.079280396807"/>
    <n v="9126.8684686281158"/>
    <x v="0"/>
    <x v="2"/>
    <x v="0"/>
    <x v="41"/>
    <s v="USD"/>
    <n v="-70"/>
    <n v="1"/>
    <n v="-70"/>
    <n v="19.803000000000001"/>
    <n v="-1386.21"/>
    <n v="63888.079280396807"/>
    <n v="62501.869280396808"/>
    <n v="1"/>
    <n v="1"/>
    <n v="62501.869280396808"/>
    <n v="0"/>
    <m/>
    <n v="3079.92"/>
    <m/>
    <m/>
    <m/>
    <m/>
  </r>
  <r>
    <x v="0"/>
    <x v="0"/>
    <x v="0"/>
    <x v="51"/>
    <s v="USD"/>
    <x v="40"/>
    <x v="2"/>
    <n v="7202.83"/>
    <x v="0"/>
    <n v="1"/>
    <n v="7202.83"/>
    <n v="19.976800000000001"/>
    <n v="143889.49434400001"/>
    <n v="124.571"/>
    <n v="0"/>
    <n v="0"/>
    <n v="0"/>
    <n v="0"/>
    <x v="1"/>
    <x v="5"/>
    <x v="1"/>
    <x v="21"/>
    <m/>
    <m/>
    <n v="0"/>
    <n v="0"/>
    <n v="0"/>
    <n v="0"/>
    <n v="0"/>
    <n v="0"/>
    <n v="1"/>
    <n v="1"/>
    <n v="0"/>
    <n v="0"/>
    <m/>
    <n v="7202.83"/>
    <m/>
    <m/>
    <m/>
    <m/>
  </r>
  <r>
    <x v="0"/>
    <x v="0"/>
    <x v="0"/>
    <x v="52"/>
    <s v="USD"/>
    <x v="41"/>
    <x v="0"/>
    <n v="5795.86"/>
    <x v="0"/>
    <n v="1"/>
    <n v="5795.86"/>
    <n v="20.351700000000001"/>
    <n v="117955.60396199999"/>
    <n v="124.571"/>
    <n v="0"/>
    <n v="0"/>
    <n v="0"/>
    <n v="0"/>
    <x v="1"/>
    <x v="5"/>
    <x v="1"/>
    <x v="21"/>
    <m/>
    <m/>
    <n v="0"/>
    <n v="0"/>
    <n v="0"/>
    <n v="0"/>
    <n v="0"/>
    <n v="0"/>
    <n v="1"/>
    <n v="1"/>
    <n v="0"/>
    <n v="0"/>
    <m/>
    <n v="5795.86"/>
    <m/>
    <m/>
    <m/>
    <m/>
  </r>
  <r>
    <x v="0"/>
    <x v="0"/>
    <x v="0"/>
    <x v="53"/>
    <s v="USD"/>
    <x v="42"/>
    <x v="7"/>
    <n v="6343.85"/>
    <x v="0"/>
    <n v="1"/>
    <n v="6343.85"/>
    <n v="19.8245"/>
    <n v="125763.65432500001"/>
    <n v="125.997"/>
    <n v="0"/>
    <n v="0"/>
    <n v="0"/>
    <n v="0"/>
    <x v="1"/>
    <x v="5"/>
    <x v="1"/>
    <x v="21"/>
    <m/>
    <m/>
    <n v="0"/>
    <n v="0"/>
    <n v="0"/>
    <n v="0"/>
    <n v="0"/>
    <n v="0"/>
    <n v="1"/>
    <n v="1"/>
    <n v="0"/>
    <n v="0"/>
    <m/>
    <n v="6343.85"/>
    <m/>
    <m/>
    <m/>
    <m/>
  </r>
  <r>
    <x v="0"/>
    <x v="0"/>
    <x v="0"/>
    <x v="54"/>
    <s v="USD"/>
    <x v="43"/>
    <x v="1"/>
    <n v="1949.95"/>
    <x v="0"/>
    <n v="1"/>
    <n v="1949.95"/>
    <n v="19.393999999999998"/>
    <n v="37817.330299999994"/>
    <n v="125.997"/>
    <n v="0"/>
    <n v="0"/>
    <n v="0"/>
    <n v="0"/>
    <x v="1"/>
    <x v="5"/>
    <x v="1"/>
    <x v="21"/>
    <m/>
    <m/>
    <n v="0"/>
    <n v="0"/>
    <n v="0"/>
    <n v="0"/>
    <n v="0"/>
    <n v="0"/>
    <n v="1"/>
    <n v="1"/>
    <n v="0"/>
    <n v="0"/>
    <m/>
    <n v="1949.95"/>
    <m/>
    <m/>
    <m/>
    <m/>
  </r>
  <r>
    <x v="0"/>
    <x v="0"/>
    <x v="0"/>
    <x v="55"/>
    <s v="USD"/>
    <x v="43"/>
    <x v="0"/>
    <n v="1493.96"/>
    <x v="0"/>
    <n v="1"/>
    <n v="1493.96"/>
    <n v="19.393999999999998"/>
    <n v="28973.860239999998"/>
    <n v="125.997"/>
    <n v="126.47799999999999"/>
    <n v="1.0038"/>
    <n v="29083.960908911999"/>
    <n v="4847.3268181519998"/>
    <x v="0"/>
    <x v="0"/>
    <x v="0"/>
    <x v="42"/>
    <s v="USD"/>
    <n v="-54"/>
    <n v="1"/>
    <n v="-54"/>
    <n v="19.748200000000001"/>
    <n v="-1066.4028000000001"/>
    <n v="29083.960908911999"/>
    <n v="28017.558108911999"/>
    <n v="1"/>
    <n v="1"/>
    <n v="28017.558108911999"/>
    <n v="0"/>
    <m/>
    <n v="1439.96"/>
    <m/>
    <m/>
    <m/>
    <m/>
  </r>
  <r>
    <x v="0"/>
    <x v="0"/>
    <x v="0"/>
    <x v="56"/>
    <s v="USD"/>
    <x v="44"/>
    <x v="8"/>
    <n v="506.98"/>
    <x v="0"/>
    <n v="1"/>
    <n v="506.98"/>
    <n v="19.492999999999999"/>
    <n v="9882.5611399999998"/>
    <n v="125.997"/>
    <n v="126.47799999999999"/>
    <n v="1.0038"/>
    <n v="9920.1148723320002"/>
    <n v="3306.7049574440002"/>
    <x v="0"/>
    <x v="8"/>
    <x v="0"/>
    <x v="42"/>
    <s v="USD"/>
    <n v="-102"/>
    <n v="1"/>
    <n v="-102"/>
    <n v="19.748200000000001"/>
    <n v="-2014.3164000000002"/>
    <n v="9920.1148723320002"/>
    <n v="7905.7984723320005"/>
    <n v="1"/>
    <n v="1"/>
    <n v="7905.7984723320005"/>
    <n v="0"/>
    <m/>
    <n v="404.98"/>
    <m/>
    <m/>
    <m/>
    <m/>
  </r>
  <r>
    <x v="0"/>
    <x v="0"/>
    <x v="0"/>
    <x v="57"/>
    <s v="USD"/>
    <x v="44"/>
    <x v="2"/>
    <n v="2176.94"/>
    <x v="0"/>
    <n v="1"/>
    <n v="2176.94"/>
    <n v="19.492999999999999"/>
    <n v="42435.091419999997"/>
    <n v="125.997"/>
    <n v="0"/>
    <n v="0"/>
    <n v="0"/>
    <n v="0"/>
    <x v="1"/>
    <x v="5"/>
    <x v="1"/>
    <x v="21"/>
    <m/>
    <m/>
    <n v="0"/>
    <n v="0"/>
    <n v="0"/>
    <n v="0"/>
    <n v="0"/>
    <n v="0"/>
    <n v="1"/>
    <n v="1"/>
    <n v="0"/>
    <n v="0"/>
    <m/>
    <n v="2176.94"/>
    <m/>
    <m/>
    <m/>
    <m/>
  </r>
  <r>
    <x v="1"/>
    <x v="1"/>
    <x v="1"/>
    <x v="26"/>
    <m/>
    <x v="22"/>
    <x v="5"/>
    <m/>
    <x v="1"/>
    <e v="#N/A"/>
    <e v="#N/A"/>
    <n v="0"/>
    <e v="#N/A"/>
    <n v="0"/>
    <n v="0"/>
    <n v="0"/>
    <e v="#N/A"/>
    <n v="0"/>
    <x v="1"/>
    <x v="5"/>
    <x v="1"/>
    <x v="21"/>
    <m/>
    <m/>
    <n v="0"/>
    <n v="0"/>
    <n v="0"/>
    <n v="0"/>
    <n v="0"/>
    <n v="0"/>
    <n v="0"/>
    <n v="1"/>
    <n v="0"/>
    <n v="0"/>
    <m/>
    <e v="#N/A"/>
    <m/>
    <m/>
    <m/>
    <m/>
  </r>
  <r>
    <x v="0"/>
    <x v="0"/>
    <x v="0"/>
    <x v="58"/>
    <s v="USD"/>
    <x v="45"/>
    <x v="2"/>
    <n v="2246.8000000000002"/>
    <x v="0"/>
    <n v="1"/>
    <n v="2246.8000000000002"/>
    <n v="19.3965"/>
    <n v="43580.056199999999"/>
    <n v="126.47799999999999"/>
    <n v="0"/>
    <n v="0"/>
    <n v="0"/>
    <n v="0"/>
    <x v="1"/>
    <x v="5"/>
    <x v="1"/>
    <x v="21"/>
    <m/>
    <m/>
    <n v="0"/>
    <n v="0"/>
    <n v="0"/>
    <n v="0"/>
    <n v="0"/>
    <n v="0"/>
    <n v="1"/>
    <n v="1"/>
    <n v="0"/>
    <n v="0"/>
    <m/>
    <n v="2246.8000000000002"/>
    <m/>
    <m/>
    <m/>
    <m/>
  </r>
  <r>
    <x v="0"/>
    <x v="0"/>
    <x v="0"/>
    <x v="59"/>
    <s v="USD"/>
    <x v="46"/>
    <x v="2"/>
    <n v="3317.92"/>
    <x v="0"/>
    <n v="1"/>
    <n v="3317.92"/>
    <n v="19.803000000000001"/>
    <n v="65704.76976000001"/>
    <n v="126.47799999999999"/>
    <n v="0"/>
    <n v="0"/>
    <n v="0"/>
    <n v="0"/>
    <x v="1"/>
    <x v="5"/>
    <x v="1"/>
    <x v="21"/>
    <m/>
    <m/>
    <n v="0"/>
    <n v="0"/>
    <n v="0"/>
    <n v="0"/>
    <n v="0"/>
    <n v="0"/>
    <n v="1"/>
    <n v="1"/>
    <n v="0"/>
    <n v="0"/>
    <m/>
    <n v="3317.92"/>
    <m/>
    <m/>
    <m/>
    <m/>
  </r>
  <r>
    <x v="0"/>
    <x v="0"/>
    <x v="0"/>
    <x v="60"/>
    <s v="USD"/>
    <x v="47"/>
    <x v="2"/>
    <n v="4976.88"/>
    <x v="0"/>
    <n v="1"/>
    <n v="4976.88"/>
    <n v="19.645800000000001"/>
    <n v="97774.78910400001"/>
    <n v="126.47799999999999"/>
    <n v="0"/>
    <n v="0"/>
    <n v="0"/>
    <n v="0"/>
    <x v="1"/>
    <x v="5"/>
    <x v="1"/>
    <x v="21"/>
    <m/>
    <m/>
    <n v="0"/>
    <n v="0"/>
    <n v="0"/>
    <n v="0"/>
    <n v="0"/>
    <n v="0"/>
    <n v="1"/>
    <n v="1"/>
    <n v="0"/>
    <n v="0"/>
    <m/>
    <n v="4976.88"/>
    <m/>
    <m/>
    <m/>
    <m/>
  </r>
  <r>
    <x v="0"/>
    <x v="0"/>
    <x v="0"/>
    <x v="61"/>
    <s v="USD"/>
    <x v="48"/>
    <x v="4"/>
    <n v="479.98"/>
    <x v="0"/>
    <n v="1"/>
    <n v="479.98"/>
    <n v="19.748200000000001"/>
    <n v="9478.7410360000013"/>
    <n v="126.47799999999999"/>
    <n v="0"/>
    <n v="0"/>
    <n v="0"/>
    <n v="0"/>
    <x v="1"/>
    <x v="5"/>
    <x v="1"/>
    <x v="21"/>
    <m/>
    <m/>
    <n v="0"/>
    <n v="0"/>
    <n v="0"/>
    <n v="0"/>
    <n v="0"/>
    <n v="0"/>
    <n v="1"/>
    <n v="1"/>
    <n v="0"/>
    <n v="0"/>
    <m/>
    <n v="479.98"/>
    <m/>
    <m/>
    <m/>
    <m/>
  </r>
  <r>
    <x v="0"/>
    <x v="0"/>
    <x v="0"/>
    <x v="62"/>
    <s v="USD"/>
    <x v="48"/>
    <x v="7"/>
    <n v="1319.96"/>
    <x v="0"/>
    <n v="1"/>
    <n v="1319.96"/>
    <n v="19.748200000000001"/>
    <n v="26066.834072000001"/>
    <n v="126.47799999999999"/>
    <n v="0"/>
    <n v="0"/>
    <n v="0"/>
    <n v="0"/>
    <x v="1"/>
    <x v="5"/>
    <x v="1"/>
    <x v="21"/>
    <m/>
    <m/>
    <n v="0"/>
    <n v="0"/>
    <n v="0"/>
    <n v="0"/>
    <n v="0"/>
    <n v="0"/>
    <n v="1"/>
    <n v="1"/>
    <n v="0"/>
    <n v="0"/>
    <m/>
    <n v="1319.96"/>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1"/>
    <e v="#N/A"/>
    <e v="#N/A"/>
    <n v="0"/>
    <e v="#N/A"/>
    <n v="0"/>
    <n v="0"/>
    <n v="0"/>
    <e v="#N/A"/>
    <n v="0"/>
    <x v="1"/>
    <x v="5"/>
    <x v="1"/>
    <x v="21"/>
    <m/>
    <m/>
    <n v="0"/>
    <n v="0"/>
    <n v="0"/>
    <n v="0"/>
    <n v="0"/>
    <n v="0"/>
    <n v="0"/>
    <n v="1"/>
    <n v="0"/>
    <n v="0"/>
    <m/>
    <e v="#N/A"/>
    <m/>
    <m/>
    <m/>
    <m/>
  </r>
  <r>
    <x v="1"/>
    <x v="1"/>
    <x v="1"/>
    <x v="26"/>
    <m/>
    <x v="22"/>
    <x v="5"/>
    <m/>
    <x v="2"/>
    <m/>
    <m/>
    <m/>
    <m/>
    <m/>
    <m/>
    <m/>
    <m/>
    <m/>
    <x v="2"/>
    <x v="5"/>
    <x v="1"/>
    <x v="21"/>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
  <r>
    <x v="0"/>
    <m/>
    <x v="0"/>
    <x v="0"/>
    <x v="0"/>
    <x v="0"/>
    <m/>
    <x v="0"/>
    <n v="0"/>
    <n v="0"/>
    <n v="0"/>
    <n v="0"/>
    <n v="0"/>
    <n v="0"/>
    <n v="0"/>
    <n v="0"/>
    <n v="0"/>
    <n v="0"/>
    <n v="0"/>
    <m/>
    <m/>
    <m/>
    <x v="0"/>
    <x v="0"/>
    <m/>
    <n v="0"/>
    <n v="0"/>
    <n v="0"/>
    <n v="0"/>
    <n v="0"/>
    <n v="0"/>
    <n v="0"/>
    <n v="1"/>
    <n v="0"/>
    <n v="0"/>
    <m/>
    <n v="0"/>
    <m/>
    <n v="0"/>
    <m/>
  </r>
  <r>
    <x v="1"/>
    <s v="Purchase"/>
    <x v="1"/>
    <x v="1"/>
    <x v="1"/>
    <x v="1"/>
    <n v="227758.02275159437"/>
    <x v="1"/>
    <n v="41209"/>
    <n v="5.5269000158119432"/>
    <n v="1"/>
    <n v="227758.02275159437"/>
    <n v="19.5793"/>
    <n v="4459342.6548602916"/>
    <n v="110.21"/>
    <n v="118.002"/>
    <n v="1.0707"/>
    <n v="4774618.1805589143"/>
    <n v="115.86348080659357"/>
    <m/>
    <n v="41209"/>
    <s v="Sale"/>
    <x v="1"/>
    <x v="1"/>
    <n v="226711.31336324479"/>
    <n v="1"/>
    <n v="226711.31336324479"/>
    <n v="20.500800000000002"/>
    <n v="4647763.2929972094"/>
    <n v="4774618.1805589143"/>
    <n v="-126854.88756170496"/>
    <n v="1.0547945205479452"/>
    <n v="1"/>
    <n v="-126854.88756170496"/>
    <n v="0"/>
    <m/>
    <n v="-1046.7093883495836"/>
    <m/>
    <n v="-4.5957080927558954E-3"/>
    <m/>
  </r>
  <r>
    <x v="1"/>
    <s v="Purchase"/>
    <x v="1"/>
    <x v="1"/>
    <x v="1"/>
    <x v="2"/>
    <n v="578372.30000000005"/>
    <x v="1"/>
    <n v="103386"/>
    <n v="5.5943000019344984"/>
    <n v="1"/>
    <n v="578372.30000000005"/>
    <n v="20.2483"/>
    <n v="11711055.842090001"/>
    <n v="112.19"/>
    <n v="118.002"/>
    <n v="1.0518000000000001"/>
    <n v="12317688.534710264"/>
    <n v="119.14271308214133"/>
    <m/>
    <n v="103386"/>
    <s v="Sale"/>
    <x v="1"/>
    <x v="1"/>
    <n v="568778.07865690568"/>
    <n v="1"/>
    <n v="568778.07865690568"/>
    <n v="20.500800000000002"/>
    <n v="11660405.634929493"/>
    <n v="12317688.534710264"/>
    <n v="-657282.89978077076"/>
    <n v="0.84931506849315064"/>
    <n v="1"/>
    <n v="-657282.89978077076"/>
    <n v="0"/>
    <m/>
    <n v="-9594.2213430943666"/>
    <m/>
    <n v="-1.658831403767844E-2"/>
    <m/>
  </r>
  <r>
    <x v="1"/>
    <s v="Purchase"/>
    <x v="1"/>
    <x v="1"/>
    <x v="1"/>
    <x v="3"/>
    <n v="8658.2800000000007"/>
    <x v="1"/>
    <n v="1536"/>
    <n v="5.6369010416666674"/>
    <n v="1"/>
    <n v="8658.2800000000007"/>
    <n v="20.6"/>
    <n v="178360.56800000003"/>
    <n v="113.018"/>
    <n v="118.002"/>
    <n v="1.044"/>
    <n v="186208.43299200005"/>
    <n v="121.22944856250002"/>
    <m/>
    <n v="1536"/>
    <s v="Sale"/>
    <x v="1"/>
    <x v="1"/>
    <n v="8450.3039949026661"/>
    <n v="1"/>
    <n v="8450.3039949026661"/>
    <n v="20.500800000000002"/>
    <n v="173237.99213870059"/>
    <n v="186208.43299200005"/>
    <n v="-12970.440853299457"/>
    <n v="0.63835616438356169"/>
    <n v="1"/>
    <n v="-12970.440853299457"/>
    <n v="0"/>
    <m/>
    <n v="-207.97600509733456"/>
    <m/>
    <n v="-2.4020475787030975E-2"/>
    <m/>
  </r>
  <r>
    <x v="1"/>
    <s v="Purchase"/>
    <x v="1"/>
    <x v="1"/>
    <x v="1"/>
    <x v="4"/>
    <n v="11603.34"/>
    <x v="1"/>
    <n v="2068"/>
    <n v="5.6108994197292068"/>
    <n v="1"/>
    <n v="11603.34"/>
    <n v="20.060500000000001"/>
    <n v="232768.80207000001"/>
    <n v="114.601"/>
    <n v="118.002"/>
    <n v="1.0296000000000001"/>
    <n v="239658.75861127203"/>
    <n v="115.88914826463831"/>
    <m/>
    <n v="2068"/>
    <s v="Sale"/>
    <x v="1"/>
    <x v="1"/>
    <n v="11377.101993137185"/>
    <n v="1"/>
    <n v="11377.101993137185"/>
    <n v="20.500800000000002"/>
    <n v="233239.69254090681"/>
    <n v="239658.75861127203"/>
    <n v="-6419.0660703652247"/>
    <n v="0.44383561643835617"/>
    <n v="1"/>
    <n v="-6419.0660703652247"/>
    <n v="0"/>
    <m/>
    <n v="-226.23800686281538"/>
    <m/>
    <n v="-1.9497662471565546E-2"/>
    <m/>
  </r>
  <r>
    <x v="1"/>
    <s v="Purchase"/>
    <x v="1"/>
    <x v="1"/>
    <x v="1"/>
    <x v="5"/>
    <n v="13923.72"/>
    <x v="1"/>
    <n v="2468"/>
    <n v="5.641701782820097"/>
    <n v="1"/>
    <n v="13923.72"/>
    <n v="20.184999999999999"/>
    <n v="281050.28819999995"/>
    <n v="115.56100000000001"/>
    <n v="118.002"/>
    <n v="1.0210999999999999"/>
    <n v="286980.44928101992"/>
    <n v="116.28057102148294"/>
    <m/>
    <n v="2468"/>
    <s v="Sale"/>
    <x v="1"/>
    <x v="1"/>
    <n v="13577.701991809754"/>
    <n v="1"/>
    <n v="13577.701991809754"/>
    <n v="20.500800000000002"/>
    <n v="278353.7529936934"/>
    <n v="286980.44928101992"/>
    <n v="-8626.6962873265147"/>
    <n v="0.30684931506849317"/>
    <n v="1"/>
    <n v="-8626.6962873265147"/>
    <n v="0"/>
    <m/>
    <n v="-346.01800819024538"/>
    <m/>
    <n v="-2.485097432225335E-2"/>
    <m/>
  </r>
  <r>
    <x v="1"/>
    <s v="Purchase"/>
    <x v="2"/>
    <x v="1"/>
    <x v="1"/>
    <x v="6"/>
    <n v="405584.64000000001"/>
    <x v="1"/>
    <n v="72960"/>
    <n v="5.5590000000000002"/>
    <n v="1"/>
    <n v="405584.64000000001"/>
    <n v="20.058299999999999"/>
    <n v="8135338.3845119998"/>
    <n v="112.19"/>
    <n v="118.002"/>
    <n v="1.0518000000000001"/>
    <n v="8556748.9128297213"/>
    <n v="117.28000154646"/>
    <m/>
    <n v="72960"/>
    <s v="Sale"/>
    <x v="1"/>
    <x v="1"/>
    <n v="389723.13258093485"/>
    <n v="1"/>
    <n v="389723.13258093485"/>
    <n v="20.500800000000002"/>
    <n v="7989635.9964152295"/>
    <n v="8556748.9128297213"/>
    <n v="-567112.91641449183"/>
    <n v="0.8246575342465754"/>
    <n v="1"/>
    <n v="-567112.91641449183"/>
    <n v="0"/>
    <m/>
    <n v="-15861.507419065165"/>
    <m/>
    <n v="-3.9107761622987409E-2"/>
    <m/>
  </r>
  <r>
    <x v="1"/>
    <s v="Purchase"/>
    <x v="2"/>
    <x v="1"/>
    <x v="1"/>
    <x v="3"/>
    <n v="7719.59"/>
    <x v="1"/>
    <n v="1393"/>
    <n v="5.5417013639626704"/>
    <n v="1"/>
    <n v="7719.59"/>
    <n v="20.6"/>
    <n v="159023.554"/>
    <n v="113.018"/>
    <n v="118.002"/>
    <n v="1.044"/>
    <n v="166020.59037600001"/>
    <n v="119.18204621392678"/>
    <m/>
    <n v="1393"/>
    <s v="Sale"/>
    <x v="1"/>
    <x v="1"/>
    <n v="7440.8487347209739"/>
    <n v="1"/>
    <n v="7440.8487347209739"/>
    <n v="20.500800000000002"/>
    <n v="152543.35174076774"/>
    <n v="166020.59037600001"/>
    <n v="-13477.238635232265"/>
    <n v="0.63835616438356169"/>
    <n v="1"/>
    <n v="-13477.238635232265"/>
    <n v="0"/>
    <m/>
    <n v="-278.74126527902627"/>
    <m/>
    <n v="-3.6108299181566154E-2"/>
    <m/>
  </r>
  <r>
    <x v="1"/>
    <s v="Purchase"/>
    <x v="2"/>
    <x v="1"/>
    <x v="1"/>
    <x v="4"/>
    <n v="11671.27"/>
    <x v="1"/>
    <n v="2097"/>
    <n v="5.565698617072008"/>
    <n v="1"/>
    <n v="11671.27"/>
    <n v="20.060500000000001"/>
    <n v="234131.51183500001"/>
    <n v="114.601"/>
    <n v="118.002"/>
    <n v="1.0296000000000001"/>
    <n v="241061.80458531601"/>
    <n v="114.95555774216309"/>
    <m/>
    <n v="2097"/>
    <s v="Sale"/>
    <x v="1"/>
    <x v="1"/>
    <n v="11201.335101729996"/>
    <n v="1"/>
    <n v="11201.335101729996"/>
    <n v="20.500800000000002"/>
    <n v="229636.33065354632"/>
    <n v="241061.80458531601"/>
    <n v="-11425.473931769695"/>
    <n v="0.44383561643835617"/>
    <n v="1"/>
    <n v="-11425.473931769695"/>
    <n v="0"/>
    <m/>
    <n v="-469.93489827000485"/>
    <m/>
    <n v="-4.0264247015963546E-2"/>
    <m/>
  </r>
  <r>
    <x v="1"/>
    <s v="Purchase"/>
    <x v="2"/>
    <x v="1"/>
    <x v="1"/>
    <x v="5"/>
    <n v="2047.99"/>
    <x v="1"/>
    <n v="371"/>
    <n v="5.5201886792452832"/>
    <n v="1"/>
    <n v="2047.99"/>
    <n v="20.184999999999999"/>
    <n v="41338.67815"/>
    <n v="115.56100000000001"/>
    <n v="118.002"/>
    <n v="1.0210999999999999"/>
    <n v="42210.924258964995"/>
    <n v="113.77607616971697"/>
    <m/>
    <n v="371"/>
    <s v="Sale"/>
    <x v="1"/>
    <x v="1"/>
    <n v="1981.7335826141289"/>
    <n v="1"/>
    <n v="1981.7335826141289"/>
    <n v="20.500800000000002"/>
    <n v="40627.123830455734"/>
    <n v="42210.924258964995"/>
    <n v="-1583.8004285092611"/>
    <n v="0.30684931506849317"/>
    <n v="1"/>
    <n v="-1583.8004285092611"/>
    <n v="0"/>
    <m/>
    <n v="-66.256417385871146"/>
    <m/>
    <n v="-3.2351924270075119E-2"/>
    <m/>
  </r>
  <r>
    <x v="1"/>
    <s v="Purchase"/>
    <x v="3"/>
    <x v="1"/>
    <x v="1"/>
    <x v="7"/>
    <n v="689746.47"/>
    <x v="1"/>
    <n v="117980"/>
    <n v="5.8462999660959483"/>
    <n v="1"/>
    <n v="689746.47"/>
    <n v="20.1722"/>
    <n v="13913703.742133999"/>
    <n v="110.907"/>
    <n v="118.002"/>
    <n v="1.0639000000000001"/>
    <n v="14802789.411256364"/>
    <n v="125.46863376213226"/>
    <m/>
    <n v="117980"/>
    <s v="Sale"/>
    <x v="1"/>
    <x v="1"/>
    <n v="657478.94170113793"/>
    <n v="1"/>
    <n v="657478.94170113793"/>
    <n v="20.500800000000002"/>
    <n v="13478844.288026689"/>
    <n v="14802789.411256364"/>
    <n v="-1323945.123229675"/>
    <n v="1.0191780821917809"/>
    <n v="1"/>
    <n v="-1323945.123229675"/>
    <n v="0"/>
    <m/>
    <n v="-32267.528298862046"/>
    <m/>
    <n v="-4.6781722998686819E-2"/>
    <m/>
  </r>
  <r>
    <x v="1"/>
    <s v="Purchase"/>
    <x v="3"/>
    <x v="1"/>
    <x v="1"/>
    <x v="2"/>
    <n v="722062.04"/>
    <x v="1"/>
    <n v="125933"/>
    <n v="5.7336999833244668"/>
    <n v="1"/>
    <n v="722062.04"/>
    <n v="20.2483"/>
    <n v="14620528.804532001"/>
    <n v="112.19"/>
    <n v="118.002"/>
    <n v="1.0518000000000001"/>
    <n v="15377872.196606759"/>
    <n v="122.11153706023647"/>
    <m/>
    <n v="125933"/>
    <s v="Sale"/>
    <x v="1"/>
    <x v="1"/>
    <n v="701799.41994617216"/>
    <n v="1"/>
    <n v="701799.41994617216"/>
    <n v="20.500800000000002"/>
    <n v="14387449.548432488"/>
    <n v="15377872.196606759"/>
    <n v="-990422.64817427099"/>
    <n v="0.84931506849315064"/>
    <n v="1"/>
    <n v="-990422.64817427099"/>
    <n v="0"/>
    <m/>
    <n v="-20262.620053827879"/>
    <m/>
    <n v="-2.8062159387063027E-2"/>
    <m/>
  </r>
  <r>
    <x v="1"/>
    <s v="Purchase"/>
    <x v="3"/>
    <x v="1"/>
    <x v="1"/>
    <x v="6"/>
    <n v="13970.954498429168"/>
    <x v="1"/>
    <n v="2428"/>
    <n v="5.7540998757945498"/>
    <n v="1"/>
    <n v="13970.954498429168"/>
    <n v="20.058299999999999"/>
    <n v="280233.59661584179"/>
    <n v="112.19"/>
    <n v="118.002"/>
    <n v="1.0518000000000001"/>
    <n v="294749.6969205424"/>
    <n v="121.3960860463519"/>
    <m/>
    <n v="2428"/>
    <s v="Sale"/>
    <x v="1"/>
    <x v="1"/>
    <n v="13530.758352689971"/>
    <n v="1"/>
    <n v="13530.758352689971"/>
    <n v="20.500800000000002"/>
    <n v="277391.37083682657"/>
    <n v="294749.6969205424"/>
    <n v="-17358.32608371583"/>
    <n v="0.8246575342465754"/>
    <n v="1"/>
    <n v="-17358.32608371583"/>
    <n v="0"/>
    <m/>
    <n v="-440.19614573919716"/>
    <m/>
    <n v="-3.1507950712221622E-2"/>
    <m/>
  </r>
  <r>
    <x v="1"/>
    <s v="Purchase"/>
    <x v="4"/>
    <x v="1"/>
    <x v="1"/>
    <x v="2"/>
    <n v="72516.826253348132"/>
    <x v="1"/>
    <n v="11896"/>
    <n v="6.09589998767217"/>
    <n v="1"/>
    <n v="72516.826253348132"/>
    <n v="20.2483"/>
    <n v="1468342.4530256691"/>
    <n v="112.19"/>
    <n v="118.002"/>
    <n v="1.0518000000000001"/>
    <n v="1544402.5920923988"/>
    <n v="129.82536920749823"/>
    <m/>
    <n v="11896"/>
    <s v="Sale"/>
    <x v="1"/>
    <x v="1"/>
    <n v="71481.873275240854"/>
    <n v="1"/>
    <n v="71481.873275240854"/>
    <n v="20.500800000000002"/>
    <n v="1465435.5876410578"/>
    <n v="1544402.592092399"/>
    <n v="-78967.004451341229"/>
    <n v="0.84931506849315064"/>
    <n v="1"/>
    <n v="-78967.004451341229"/>
    <n v="0"/>
    <m/>
    <n v="-1034.9529781072779"/>
    <m/>
    <n v="-1.4271901179065924E-2"/>
    <m/>
  </r>
  <r>
    <x v="1"/>
    <s v="Purchase"/>
    <x v="4"/>
    <x v="1"/>
    <x v="1"/>
    <x v="6"/>
    <n v="166546.08362036344"/>
    <x v="1"/>
    <n v="27237"/>
    <n v="6.1146999897332099"/>
    <n v="1"/>
    <n v="166546.08362036344"/>
    <n v="20.058299999999999"/>
    <n v="3340631.3090823358"/>
    <n v="112.19"/>
    <n v="118.002"/>
    <n v="1.0518000000000001"/>
    <n v="3513676.010892801"/>
    <n v="129.00378202051624"/>
    <m/>
    <n v="27237"/>
    <s v="Sale"/>
    <x v="1"/>
    <x v="1"/>
    <n v="163664.40672475917"/>
    <n v="1"/>
    <n v="163664.40672475917"/>
    <n v="20.500800000000002"/>
    <n v="3355251.2693829429"/>
    <n v="3513676.010892801"/>
    <n v="-158424.74150985805"/>
    <n v="0.8246575342465754"/>
    <n v="1"/>
    <n v="-158424.74150985805"/>
    <n v="0"/>
    <m/>
    <n v="-2881.6768956042652"/>
    <m/>
    <n v="-1.7302579760283987E-2"/>
    <m/>
  </r>
  <r>
    <x v="1"/>
    <s v="Purchase"/>
    <x v="5"/>
    <x v="1"/>
    <x v="1"/>
    <x v="1"/>
    <n v="117216.80901112485"/>
    <x v="1"/>
    <n v="22442"/>
    <n v="5.2230999470245454"/>
    <n v="1"/>
    <n v="117216.80901112485"/>
    <n v="19.5793"/>
    <n v="2295023.0686715166"/>
    <n v="110.21"/>
    <n v="118.002"/>
    <n v="1.0707"/>
    <n v="2457281.1996265929"/>
    <n v="109.49475089682706"/>
    <m/>
    <n v="22442"/>
    <s v="Sale"/>
    <x v="1"/>
    <x v="1"/>
    <n v="138305.55614343664"/>
    <n v="1"/>
    <n v="138305.55614343664"/>
    <n v="20.500800000000002"/>
    <n v="2835374.5453853663"/>
    <n v="2457281.1996265929"/>
    <n v="378093.34575877339"/>
    <n v="1.0547945205479452"/>
    <n v="1"/>
    <n v="378093.34575877339"/>
    <n v="0"/>
    <m/>
    <n v="21088.747132311793"/>
    <m/>
    <n v="0.17991231215234921"/>
    <m/>
  </r>
  <r>
    <x v="1"/>
    <s v="Purchase"/>
    <x v="5"/>
    <x v="1"/>
    <x v="1"/>
    <x v="7"/>
    <n v="23830.930000000004"/>
    <x v="1"/>
    <n v="4704"/>
    <n v="5.0660990646258508"/>
    <n v="1"/>
    <n v="23830.930000000004"/>
    <n v="20.1722"/>
    <n v="480722.28614600009"/>
    <n v="110.907"/>
    <n v="118.002"/>
    <n v="1.0639000000000001"/>
    <n v="511440.44023072952"/>
    <n v="108.72458338238297"/>
    <m/>
    <n v="4704"/>
    <s v="Sale"/>
    <x v="1"/>
    <x v="1"/>
    <n v="28989.810894694143"/>
    <n v="1"/>
    <n v="28989.810894694143"/>
    <n v="20.500800000000002"/>
    <n v="594314.31518994574"/>
    <n v="511440.44023072952"/>
    <n v="82873.87495921622"/>
    <n v="1.0191780821917809"/>
    <n v="1"/>
    <n v="82873.87495921622"/>
    <n v="0"/>
    <m/>
    <n v="5158.880894694139"/>
    <m/>
    <n v="0.2164783705333421"/>
    <m/>
  </r>
  <r>
    <x v="1"/>
    <s v="Purchase"/>
    <x v="5"/>
    <x v="1"/>
    <x v="1"/>
    <x v="2"/>
    <n v="19937.712434686113"/>
    <x v="1"/>
    <n v="3669"/>
    <n v="5.4340998731769181"/>
    <n v="1"/>
    <n v="19937.712434686113"/>
    <n v="20.2483"/>
    <n v="403704.7826912548"/>
    <n v="112.19"/>
    <n v="118.002"/>
    <n v="1.0518000000000001"/>
    <n v="424616.69043466181"/>
    <n v="115.73090499718229"/>
    <m/>
    <n v="3669"/>
    <s v="Sale"/>
    <x v="1"/>
    <x v="1"/>
    <n v="22611.312961869218"/>
    <n v="1"/>
    <n v="22611.312961869218"/>
    <n v="20.500800000000002"/>
    <n v="463550.00476868852"/>
    <n v="424616.69043466181"/>
    <n v="38933.314334026712"/>
    <n v="0.84931506849315064"/>
    <n v="1"/>
    <n v="38933.314334026712"/>
    <n v="0"/>
    <m/>
    <n v="2673.6005271831054"/>
    <m/>
    <n v="0.13409765718818267"/>
    <m/>
  </r>
  <r>
    <x v="1"/>
    <s v="Purchase"/>
    <x v="6"/>
    <x v="1"/>
    <x v="1"/>
    <x v="8"/>
    <n v="182.66600000000003"/>
    <x v="1"/>
    <n v="38"/>
    <n v="4.8070000000000004"/>
    <n v="1"/>
    <n v="182.66600000000003"/>
    <n v="21.218299999999999"/>
    <n v="3875.8619878000004"/>
    <n v="108.774"/>
    <n v="118.002"/>
    <n v="1.0848"/>
    <n v="4204.5350843654405"/>
    <n v="110.64566011488002"/>
    <m/>
    <n v="38"/>
    <s v="Sale"/>
    <x v="1"/>
    <x v="1"/>
    <n v="236.2574043622599"/>
    <n v="1"/>
    <n v="236.2574043622599"/>
    <n v="20.500800000000002"/>
    <n v="4843.4657953498181"/>
    <n v="4204.5350843654405"/>
    <n v="638.93071098437758"/>
    <n v="1.3287671232876712"/>
    <n v="1"/>
    <n v="638.93071098437758"/>
    <n v="0"/>
    <m/>
    <n v="53.59140436225988"/>
    <m/>
    <n v="0.29338467127029588"/>
    <m/>
  </r>
  <r>
    <x v="1"/>
    <s v="Purchase"/>
    <x v="6"/>
    <x v="1"/>
    <x v="1"/>
    <x v="9"/>
    <n v="22290.79"/>
    <x v="1"/>
    <n v="4301"/>
    <n v="5.1826993722390142"/>
    <n v="1"/>
    <n v="22290.79"/>
    <n v="20.1858"/>
    <n v="449957.42878200003"/>
    <n v="108.85599999999999"/>
    <n v="118.002"/>
    <n v="1.0840000000000001"/>
    <n v="487753.85279968806"/>
    <n v="113.40475535914626"/>
    <m/>
    <n v="4301"/>
    <s v="Sale"/>
    <x v="1"/>
    <x v="1"/>
    <n v="26740.607793738945"/>
    <n v="1"/>
    <n v="26740.607793738945"/>
    <n v="20.500800000000002"/>
    <n v="548203.85225788341"/>
    <n v="487753.85279968806"/>
    <n v="60449.999458195351"/>
    <n v="1.2191780821917808"/>
    <n v="1"/>
    <n v="60449.999458195351"/>
    <n v="0"/>
    <m/>
    <n v="4449.8177937389446"/>
    <m/>
    <n v="0.19962584519162149"/>
    <m/>
  </r>
  <r>
    <x v="1"/>
    <s v="Purchase"/>
    <x v="6"/>
    <x v="1"/>
    <x v="1"/>
    <x v="1"/>
    <n v="147261.38788514325"/>
    <x v="1"/>
    <n v="27892"/>
    <n v="5.2796998381307638"/>
    <n v="1"/>
    <n v="147261.38788514325"/>
    <n v="19.5793"/>
    <n v="2883274.8918195851"/>
    <n v="110.21"/>
    <n v="118.002"/>
    <n v="1.0707"/>
    <n v="3087122.4266712298"/>
    <n v="110.6812859124921"/>
    <m/>
    <n v="27892"/>
    <s v="Sale"/>
    <x v="1"/>
    <x v="1"/>
    <n v="173412.93480189878"/>
    <n v="1"/>
    <n v="173412.93480189878"/>
    <n v="20.500800000000002"/>
    <n v="3555103.893786767"/>
    <n v="3087122.4266712298"/>
    <n v="467981.46711553726"/>
    <n v="1.0547945205479452"/>
    <n v="1"/>
    <n v="467981.46711553726"/>
    <n v="0"/>
    <m/>
    <n v="26151.546916755527"/>
    <m/>
    <n v="0.17758590552706502"/>
    <m/>
  </r>
  <r>
    <x v="1"/>
    <s v="Purchase"/>
    <x v="7"/>
    <x v="1"/>
    <x v="1"/>
    <x v="1"/>
    <n v="222805.76837402699"/>
    <x v="1"/>
    <n v="32767"/>
    <n v="6.7996999534295783"/>
    <n v="1"/>
    <n v="222805.76837402699"/>
    <n v="19.5793"/>
    <n v="4362380.9807255864"/>
    <n v="110.21"/>
    <n v="118.002"/>
    <n v="1.0707"/>
    <n v="4670801.3160628853"/>
    <n v="142.54589422476533"/>
    <m/>
    <n v="32767"/>
    <s v="Sale"/>
    <x v="1"/>
    <x v="1"/>
    <n v="204856.0082021475"/>
    <n v="1"/>
    <n v="204856.0082021475"/>
    <n v="20.500800000000002"/>
    <n v="4199712.0529505853"/>
    <n v="4670801.3160628853"/>
    <n v="-471089.26311230008"/>
    <n v="1.0547945205479452"/>
    <n v="1"/>
    <n v="-471089.26311230008"/>
    <n v="0"/>
    <m/>
    <n v="-17949.76017187949"/>
    <m/>
    <n v="-8.0562367405798002E-2"/>
    <m/>
  </r>
  <r>
    <x v="1"/>
    <s v="Purchase"/>
    <x v="7"/>
    <x v="1"/>
    <x v="1"/>
    <x v="2"/>
    <n v="250870.09"/>
    <x v="1"/>
    <n v="40491"/>
    <n v="6.1957000321058997"/>
    <n v="1"/>
    <n v="250870.09"/>
    <n v="20.2483"/>
    <n v="5079692.843347"/>
    <n v="112.19"/>
    <n v="118.002"/>
    <n v="1.0518000000000001"/>
    <n v="5342820.9326323746"/>
    <n v="131.95082691542254"/>
    <m/>
    <n v="40491"/>
    <s v="Sale"/>
    <x v="1"/>
    <x v="1"/>
    <n v="253145.68401480617"/>
    <n v="1"/>
    <n v="253145.68401480617"/>
    <n v="20.500800000000002"/>
    <n v="5189689.0388507387"/>
    <n v="5342820.9326323736"/>
    <n v="-153131.89378163498"/>
    <n v="0.84931506849315064"/>
    <n v="1"/>
    <n v="-153131.89378163498"/>
    <n v="0"/>
    <m/>
    <n v="2275.5940148061782"/>
    <m/>
    <n v="9.0708063875058927E-3"/>
    <m/>
  </r>
  <r>
    <x v="1"/>
    <s v="Purchase"/>
    <x v="7"/>
    <x v="1"/>
    <x v="1"/>
    <x v="4"/>
    <n v="37474.620000000003"/>
    <x v="1"/>
    <n v="5549"/>
    <n v="6.7534006127230137"/>
    <n v="1"/>
    <n v="37474.620000000003"/>
    <n v="20.060500000000001"/>
    <n v="751759.6145100001"/>
    <n v="114.601"/>
    <n v="118.002"/>
    <n v="1.0296000000000001"/>
    <n v="774011.69909949612"/>
    <n v="139.48670014407932"/>
    <m/>
    <n v="5549"/>
    <s v="Sale"/>
    <x v="1"/>
    <x v="1"/>
    <n v="34691.793252776159"/>
    <n v="1"/>
    <n v="34691.793252776159"/>
    <n v="20.500800000000002"/>
    <n v="711209.51511651347"/>
    <n v="774011.69909949612"/>
    <n v="-62802.183982982649"/>
    <n v="0.44383561643835617"/>
    <n v="1"/>
    <n v="-62802.183982982649"/>
    <n v="0"/>
    <m/>
    <n v="-2782.826747223844"/>
    <m/>
    <n v="-7.4258971731370291E-2"/>
    <m/>
  </r>
  <r>
    <x v="1"/>
    <s v="Purchase"/>
    <x v="7"/>
    <x v="1"/>
    <x v="1"/>
    <x v="5"/>
    <n v="125476.97"/>
    <x v="1"/>
    <n v="19260"/>
    <n v="6.5148997923156804"/>
    <n v="1"/>
    <n v="125476.97"/>
    <n v="20.184999999999999"/>
    <n v="2532752.6394499997"/>
    <n v="115.56100000000001"/>
    <n v="118.002"/>
    <n v="1.0210999999999999"/>
    <n v="2586193.7201423943"/>
    <n v="134.2779709315885"/>
    <m/>
    <n v="19260"/>
    <s v="Sale"/>
    <x v="1"/>
    <x v="1"/>
    <n v="120411.59453027011"/>
    <n v="1"/>
    <n v="120411.59453027011"/>
    <n v="20.500800000000002"/>
    <n v="2468534.0171461618"/>
    <n v="2586193.7201423943"/>
    <n v="-117659.70299623255"/>
    <n v="0.30684931506849317"/>
    <n v="1"/>
    <n v="-117659.70299623255"/>
    <n v="0"/>
    <m/>
    <n v="-5065.3754697298864"/>
    <m/>
    <n v="-4.0368965474141483E-2"/>
    <m/>
  </r>
  <r>
    <x v="1"/>
    <s v="Purchase"/>
    <x v="8"/>
    <x v="1"/>
    <x v="1"/>
    <x v="10"/>
    <n v="397.83881068399205"/>
    <x v="1"/>
    <n v="74"/>
    <n v="5.376200144378271"/>
    <n v="1"/>
    <n v="397.83881068399205"/>
    <n v="24.3812"/>
    <n v="9699.7876110485468"/>
    <n v="106.16200000000001"/>
    <n v="118.002"/>
    <n v="1.1114999999999999"/>
    <n v="10781.313929680458"/>
    <n v="145.69343148216836"/>
    <m/>
    <n v="74"/>
    <s v="Sale"/>
    <x v="1"/>
    <x v="1"/>
    <n v="438.36120341033467"/>
    <n v="1"/>
    <n v="438.36120341033467"/>
    <n v="20.500800000000002"/>
    <n v="8986.7553588745905"/>
    <n v="10781.313929680458"/>
    <n v="-1794.5585708058679"/>
    <n v="1.7698630136986302"/>
    <n v="1"/>
    <n v="-1794.5585708058679"/>
    <n v="0"/>
    <m/>
    <n v="40.522392726342616"/>
    <m/>
    <n v="0.10185630873135205"/>
    <m/>
  </r>
  <r>
    <x v="1"/>
    <s v="Purchase"/>
    <x v="8"/>
    <x v="1"/>
    <x v="1"/>
    <x v="8"/>
    <n v="29737.07"/>
    <x v="1"/>
    <n v="5007"/>
    <n v="5.9390992610345519"/>
    <n v="1"/>
    <n v="29737.07"/>
    <n v="21.218299999999999"/>
    <n v="630970.07238099992"/>
    <n v="108.774"/>
    <n v="118.002"/>
    <n v="1.0848"/>
    <n v="684476.33451890876"/>
    <n v="136.70388146972414"/>
    <m/>
    <n v="5007"/>
    <s v="Sale"/>
    <x v="1"/>
    <x v="1"/>
    <n v="29660.466830750618"/>
    <n v="1"/>
    <n v="29660.466830750618"/>
    <n v="20.500800000000002"/>
    <n v="608063.29840385227"/>
    <n v="684476.33451890876"/>
    <n v="-76413.036115056486"/>
    <n v="1.3287671232876712"/>
    <n v="1"/>
    <n v="-76413.036115056486"/>
    <n v="0"/>
    <m/>
    <n v="-76.603169249381608"/>
    <m/>
    <n v="-2.5760160382102743E-3"/>
    <m/>
  </r>
  <r>
    <x v="1"/>
    <s v="Purchase"/>
    <x v="8"/>
    <x v="1"/>
    <x v="1"/>
    <x v="9"/>
    <n v="16785.939999999999"/>
    <x v="1"/>
    <n v="2783"/>
    <n v="6.0315989938914836"/>
    <n v="1"/>
    <n v="16785.939999999999"/>
    <n v="20.1858"/>
    <n v="338837.627652"/>
    <n v="108.85599999999999"/>
    <n v="118.002"/>
    <n v="1.0840000000000001"/>
    <n v="367299.988374768"/>
    <n v="131.97987365244987"/>
    <m/>
    <n v="2783"/>
    <s v="Sale"/>
    <x v="1"/>
    <x v="1"/>
    <n v="16485.935528256236"/>
    <n v="1"/>
    <n v="16485.935528256236"/>
    <n v="20.500800000000002"/>
    <n v="337974.86707767547"/>
    <n v="367299.988374768"/>
    <n v="-29325.121297092526"/>
    <n v="1.2191780821917808"/>
    <n v="1"/>
    <n v="-29325.121297092526"/>
    <n v="0"/>
    <m/>
    <n v="-300.00447174376313"/>
    <m/>
    <n v="-1.7872366500998046E-2"/>
    <m/>
  </r>
  <r>
    <x v="1"/>
    <s v="Purchase"/>
    <x v="8"/>
    <x v="1"/>
    <x v="1"/>
    <x v="1"/>
    <n v="188076.36"/>
    <x v="1"/>
    <n v="30746"/>
    <n v="6.1171001105834897"/>
    <n v="1"/>
    <n v="188076.36"/>
    <n v="19.5793"/>
    <n v="3682403.4753479995"/>
    <n v="110.21"/>
    <n v="118.002"/>
    <n v="1.0707"/>
    <n v="3942749.4010551032"/>
    <n v="128.23617384554424"/>
    <m/>
    <n v="30746"/>
    <s v="Sale"/>
    <x v="1"/>
    <x v="1"/>
    <n v="182133.15621694797"/>
    <n v="1"/>
    <n v="182133.15621694797"/>
    <n v="20.500800000000002"/>
    <n v="3733875.4089724072"/>
    <n v="3942749.4010551032"/>
    <n v="-208873.99208269594"/>
    <n v="1.0547945205479452"/>
    <n v="1"/>
    <n v="-208873.99208269594"/>
    <n v="0"/>
    <m/>
    <n v="-5943.203783052013"/>
    <m/>
    <n v="-3.1599951121193612E-2"/>
    <m/>
  </r>
  <r>
    <x v="1"/>
    <s v="Purchase"/>
    <x v="8"/>
    <x v="1"/>
    <x v="1"/>
    <x v="2"/>
    <n v="246363.87999999998"/>
    <x v="1"/>
    <n v="40636"/>
    <n v="6.0627000689044195"/>
    <n v="1"/>
    <n v="246363.87999999998"/>
    <n v="20.2483"/>
    <n v="4988449.7514039995"/>
    <n v="112.19"/>
    <n v="118.002"/>
    <n v="1.0518000000000001"/>
    <n v="5246851.448526727"/>
    <n v="129.11830516110658"/>
    <m/>
    <n v="40636"/>
    <s v="Sale"/>
    <x v="1"/>
    <x v="1"/>
    <n v="240719.5386727346"/>
    <n v="1"/>
    <n v="240719.5386727346"/>
    <n v="20.500800000000002"/>
    <n v="4934943.1184219979"/>
    <n v="5246851.448526727"/>
    <n v="-311908.33010472916"/>
    <n v="0.84931506849315064"/>
    <n v="1"/>
    <n v="-311908.33010472916"/>
    <n v="0"/>
    <m/>
    <n v="-5644.3413272653706"/>
    <m/>
    <n v="-2.2910587896510525E-2"/>
    <m/>
  </r>
  <r>
    <x v="1"/>
    <s v="Purchase"/>
    <x v="8"/>
    <x v="1"/>
    <x v="1"/>
    <x v="6"/>
    <n v="106915.41"/>
    <x v="1"/>
    <n v="17612"/>
    <n v="6.0706001589825123"/>
    <n v="1"/>
    <n v="106915.41"/>
    <n v="20.058299999999999"/>
    <n v="2144541.3684029998"/>
    <n v="112.19"/>
    <n v="118.002"/>
    <n v="1.0518000000000001"/>
    <n v="2255628.6112862756"/>
    <n v="128.07339378186893"/>
    <m/>
    <n v="17612"/>
    <s v="Sale"/>
    <x v="1"/>
    <x v="1"/>
    <n v="104329.96641165965"/>
    <n v="1"/>
    <n v="104329.96641165965"/>
    <n v="20.500800000000002"/>
    <n v="2138847.7754121525"/>
    <n v="2255628.6112862756"/>
    <n v="-116780.83587412303"/>
    <n v="0.8246575342465754"/>
    <n v="1"/>
    <n v="-116780.83587412303"/>
    <n v="0"/>
    <m/>
    <n v="-2585.4435883403494"/>
    <m/>
    <n v="-2.4182141642073385E-2"/>
    <m/>
  </r>
  <r>
    <x v="1"/>
    <s v="Purchase"/>
    <x v="8"/>
    <x v="1"/>
    <x v="1"/>
    <x v="3"/>
    <n v="21743.9"/>
    <x v="1"/>
    <n v="3531"/>
    <n v="6.1580005664117818"/>
    <n v="1"/>
    <n v="21743.9"/>
    <n v="20.6"/>
    <n v="447924.34000000008"/>
    <n v="113.018"/>
    <n v="118.002"/>
    <n v="1.044"/>
    <n v="467633.0109600001"/>
    <n v="132.43642338147836"/>
    <m/>
    <n v="3531"/>
    <s v="Sale"/>
    <x v="1"/>
    <x v="1"/>
    <n v="20916.937962728265"/>
    <n v="1"/>
    <n v="20916.937962728265"/>
    <n v="20.500800000000002"/>
    <n v="428813.96178629965"/>
    <n v="467633.0109600001"/>
    <n v="-38819.049173700449"/>
    <n v="0.63835616438356169"/>
    <n v="1"/>
    <n v="-38819.049173700449"/>
    <n v="0"/>
    <m/>
    <n v="-826.96203727173634"/>
    <m/>
    <n v="-3.8031909513552592E-2"/>
    <m/>
  </r>
  <r>
    <x v="1"/>
    <s v="Purchase"/>
    <x v="8"/>
    <x v="1"/>
    <x v="1"/>
    <x v="4"/>
    <n v="14420.19"/>
    <x v="1"/>
    <n v="2320"/>
    <n v="6.2155991379310347"/>
    <n v="1"/>
    <n v="14420.19"/>
    <n v="20.060500000000001"/>
    <n v="289276.22149500001"/>
    <n v="114.601"/>
    <n v="118.002"/>
    <n v="1.0296000000000001"/>
    <n v="297838.79765125201"/>
    <n v="128.37879209105691"/>
    <m/>
    <n v="2320"/>
    <s v="Sale"/>
    <x v="1"/>
    <x v="1"/>
    <n v="13743.2161069186"/>
    <n v="1"/>
    <n v="13743.2161069186"/>
    <n v="20.500800000000002"/>
    <n v="281746.92476471688"/>
    <n v="297838.79765125201"/>
    <n v="-16091.87288653513"/>
    <n v="0.44383561643835617"/>
    <n v="1"/>
    <n v="-16091.87288653513"/>
    <n v="0"/>
    <m/>
    <n v="-676.97389308140009"/>
    <m/>
    <n v="-4.6946253349047416E-2"/>
    <m/>
  </r>
  <r>
    <x v="1"/>
    <s v="Purchase"/>
    <x v="8"/>
    <x v="1"/>
    <x v="1"/>
    <x v="5"/>
    <n v="8817.5300000000007"/>
    <x v="1"/>
    <n v="1445"/>
    <n v="6.1020968858131495"/>
    <n v="1"/>
    <n v="8817.5300000000007"/>
    <n v="20.184999999999999"/>
    <n v="177981.84305"/>
    <n v="115.56100000000001"/>
    <n v="118.002"/>
    <n v="1.0210999999999999"/>
    <n v="181737.25993835498"/>
    <n v="125.76973006114531"/>
    <m/>
    <n v="1445"/>
    <s v="Sale"/>
    <x v="1"/>
    <x v="1"/>
    <n v="8559.8910665936983"/>
    <n v="1"/>
    <n v="8559.8910665936983"/>
    <n v="20.500800000000002"/>
    <n v="175484.61477802412"/>
    <n v="181737.25993835498"/>
    <n v="-6252.6451603308669"/>
    <n v="0.30684931506849317"/>
    <n v="1"/>
    <n v="-6252.6451603308669"/>
    <n v="0"/>
    <m/>
    <n v="-257.63893340630239"/>
    <m/>
    <n v="-2.9218946054768439E-2"/>
    <m/>
  </r>
  <r>
    <x v="1"/>
    <s v="Purchase"/>
    <x v="9"/>
    <x v="1"/>
    <x v="1"/>
    <x v="1"/>
    <n v="65597.509553773678"/>
    <x v="1"/>
    <n v="12108"/>
    <n v="5.4176998310021212"/>
    <n v="1"/>
    <n v="65597.509553773678"/>
    <n v="19.5793"/>
    <n v="1284353.318806201"/>
    <n v="110.21"/>
    <n v="118.002"/>
    <n v="1.0707"/>
    <n v="1375157.0984457994"/>
    <n v="113.57425656143042"/>
    <m/>
    <n v="12108"/>
    <s v="Sale"/>
    <x v="1"/>
    <x v="1"/>
    <n v="64275.317753531737"/>
    <n v="1"/>
    <n v="64275.317753531737"/>
    <n v="20.500800000000002"/>
    <n v="1317695.4342016035"/>
    <n v="1375157.0984457994"/>
    <n v="-57461.664244195912"/>
    <n v="1.0547945205479452"/>
    <n v="1"/>
    <n v="-57461.664244195912"/>
    <n v="0"/>
    <m/>
    <n v="-1322.1918002419407"/>
    <m/>
    <n v="-2.0156128018214953E-2"/>
    <m/>
  </r>
  <r>
    <x v="1"/>
    <s v="Purchase"/>
    <x v="9"/>
    <x v="1"/>
    <x v="1"/>
    <x v="7"/>
    <n v="137927"/>
    <x v="1"/>
    <n v="25460"/>
    <n v="5.4173998428908092"/>
    <n v="1"/>
    <n v="137927"/>
    <n v="20.1722"/>
    <n v="2782291.0293999999"/>
    <n v="110.907"/>
    <n v="118.002"/>
    <n v="1.0639000000000001"/>
    <n v="2960079.4261786602"/>
    <n v="116.26392090253968"/>
    <m/>
    <n v="25460"/>
    <s v="Sale"/>
    <x v="1"/>
    <x v="1"/>
    <n v="135154.40948174082"/>
    <n v="1"/>
    <n v="135154.40948174082"/>
    <n v="20.500800000000002"/>
    <n v="2770773.5179032725"/>
    <n v="2960079.4261786602"/>
    <n v="-189305.90827538772"/>
    <n v="1.0191780821917809"/>
    <n v="1"/>
    <n v="-189305.90827538772"/>
    <n v="0"/>
    <m/>
    <n v="-2772.5905182591814"/>
    <m/>
    <n v="-2.0101869237054249E-2"/>
    <m/>
  </r>
  <r>
    <x v="1"/>
    <s v="Purchase"/>
    <x v="9"/>
    <x v="1"/>
    <x v="1"/>
    <x v="2"/>
    <n v="344391.16"/>
    <x v="1"/>
    <n v="63603"/>
    <n v="5.4146999355376311"/>
    <n v="1"/>
    <n v="344391.16"/>
    <n v="20.2483"/>
    <n v="6973335.5250279997"/>
    <n v="112.19"/>
    <n v="118.002"/>
    <n v="1.0518000000000001"/>
    <n v="7334554.3052244503"/>
    <n v="115.3177413836525"/>
    <m/>
    <n v="63603"/>
    <s v="Sale"/>
    <x v="1"/>
    <x v="1"/>
    <n v="337636.52420530881"/>
    <n v="1"/>
    <n v="337636.52420530881"/>
    <n v="20.500800000000002"/>
    <n v="6921818.8554281956"/>
    <n v="7334554.3052244503"/>
    <n v="-412735.44979625475"/>
    <n v="0.84931506849315064"/>
    <n v="1"/>
    <n v="-412735.44979625475"/>
    <n v="0"/>
    <m/>
    <n v="-6754.6357946911594"/>
    <m/>
    <n v="-1.9613267061474982E-2"/>
    <m/>
  </r>
  <r>
    <x v="1"/>
    <s v="Purchase"/>
    <x v="9"/>
    <x v="1"/>
    <x v="1"/>
    <x v="3"/>
    <n v="110926.98"/>
    <x v="1"/>
    <n v="20498"/>
    <n v="5.4116001561127911"/>
    <n v="1"/>
    <n v="110926.98"/>
    <n v="20.6"/>
    <n v="2285095.7880000002"/>
    <n v="113.018"/>
    <n v="118.002"/>
    <n v="1.044"/>
    <n v="2385640.0026720003"/>
    <n v="116.38403759742415"/>
    <m/>
    <n v="20498"/>
    <s v="Sale"/>
    <x v="1"/>
    <x v="1"/>
    <n v="108813.6325827464"/>
    <n v="1"/>
    <n v="108813.6325827464"/>
    <n v="20.500800000000002"/>
    <n v="2230766.5188523675"/>
    <n v="2385640.0026720003"/>
    <n v="-154873.48381963279"/>
    <n v="0.63835616438356169"/>
    <n v="1"/>
    <n v="-154873.48381963279"/>
    <n v="0"/>
    <m/>
    <n v="-2113.3474172535934"/>
    <m/>
    <n v="-1.9051698849581893E-2"/>
    <m/>
  </r>
  <r>
    <x v="1"/>
    <s v="Purchase"/>
    <x v="9"/>
    <x v="1"/>
    <x v="1"/>
    <x v="4"/>
    <n v="405182.53"/>
    <x v="1"/>
    <n v="74779"/>
    <n v="5.4183999518581425"/>
    <n v="1"/>
    <n v="405182.53"/>
    <n v="20.060500000000001"/>
    <n v="8128164.1430650009"/>
    <n v="114.601"/>
    <n v="118.002"/>
    <n v="1.0296000000000001"/>
    <n v="8368757.8016997259"/>
    <n v="111.9132082763841"/>
    <m/>
    <n v="74779"/>
    <s v="Sale"/>
    <x v="1"/>
    <x v="1"/>
    <n v="396964.31997781218"/>
    <n v="1"/>
    <n v="396964.31997781218"/>
    <n v="20.500800000000002"/>
    <n v="8138086.1310011325"/>
    <n v="8368757.8016997268"/>
    <n v="-230671.6706985943"/>
    <n v="0.44383561643835617"/>
    <n v="1"/>
    <n v="-230671.6706985943"/>
    <n v="0"/>
    <m/>
    <n v="-8218.21002218785"/>
    <m/>
    <n v="-2.028273534445784E-2"/>
    <m/>
  </r>
  <r>
    <x v="1"/>
    <s v="Purchase"/>
    <x v="9"/>
    <x v="1"/>
    <x v="1"/>
    <x v="5"/>
    <n v="302.11"/>
    <x v="1"/>
    <n v="56"/>
    <n v="5.3948214285714284"/>
    <n v="1"/>
    <n v="302.11"/>
    <n v="20.184999999999999"/>
    <n v="6098.0903499999995"/>
    <n v="115.56100000000001"/>
    <n v="118.002"/>
    <n v="1.0210999999999999"/>
    <n v="6226.7600563849992"/>
    <n v="111.19214386401784"/>
    <m/>
    <n v="56"/>
    <s v="Sale"/>
    <x v="1"/>
    <x v="1"/>
    <n v="297.27599886007408"/>
    <n v="1"/>
    <n v="297.27599886007408"/>
    <n v="20.500800000000002"/>
    <n v="6094.3957974306077"/>
    <n v="6226.7600563849992"/>
    <n v="-132.36425895439152"/>
    <n v="0.30684931506849317"/>
    <n v="1"/>
    <n v="-132.36425895439152"/>
    <n v="0"/>
    <m/>
    <n v="-4.8340011399259311"/>
    <m/>
    <n v="-1.6000798185845985E-2"/>
    <m/>
  </r>
  <r>
    <x v="1"/>
    <s v="Purchase"/>
    <x v="10"/>
    <x v="1"/>
    <x v="1"/>
    <x v="10"/>
    <n v="28893.897960474307"/>
    <x v="1"/>
    <n v="101"/>
    <n v="286.0781976284585"/>
    <n v="1"/>
    <n v="28893.897960474307"/>
    <n v="24.3812"/>
    <n v="704467.90495391621"/>
    <n v="106.16200000000001"/>
    <n v="118.002"/>
    <n v="1.1114999999999999"/>
    <n v="783016.0763562778"/>
    <n v="7752.6344193690875"/>
    <m/>
    <n v="101"/>
    <s v="Sale"/>
    <x v="1"/>
    <x v="1"/>
    <n v="46528.11"/>
    <n v="1"/>
    <n v="46528.11"/>
    <n v="20.500800000000002"/>
    <n v="953863.47748800006"/>
    <n v="783016.0763562778"/>
    <n v="170847.40113172226"/>
    <n v="1.7698630136986302"/>
    <n v="1"/>
    <n v="170847.40113172226"/>
    <n v="0"/>
    <m/>
    <n v="17634.212039525693"/>
    <m/>
    <n v="0.61030921005011463"/>
    <m/>
  </r>
  <r>
    <x v="1"/>
    <s v="Purchase"/>
    <x v="11"/>
    <x v="1"/>
    <x v="1"/>
    <x v="3"/>
    <n v="248466.09850739007"/>
    <x v="1"/>
    <n v="41305"/>
    <n v="6.0154000364941309"/>
    <n v="1"/>
    <n v="248466.09850739007"/>
    <n v="20.6"/>
    <n v="5118401.6292522354"/>
    <n v="113.018"/>
    <n v="118.002"/>
    <n v="1.044"/>
    <n v="5343611.3009393336"/>
    <n v="129.36959934485736"/>
    <m/>
    <n v="41305"/>
    <s v="Sale"/>
    <x v="1"/>
    <x v="1"/>
    <n v="234562.83438475154"/>
    <n v="1"/>
    <n v="234562.83438475154"/>
    <n v="20.500800000000002"/>
    <n v="4808725.7551549142"/>
    <n v="5343611.3009393336"/>
    <n v="-534885.5457844194"/>
    <n v="0.63835616438356169"/>
    <n v="1"/>
    <n v="-534885.5457844194"/>
    <n v="0"/>
    <m/>
    <n v="-13903.264122638531"/>
    <m/>
    <n v="-5.5956382806988898E-2"/>
    <m/>
  </r>
  <r>
    <x v="1"/>
    <s v="Purchase"/>
    <x v="11"/>
    <x v="1"/>
    <x v="1"/>
    <x v="4"/>
    <n v="10019.91"/>
    <x v="1"/>
    <n v="1637"/>
    <n v="6.1208979841172875"/>
    <n v="1"/>
    <n v="10019.91"/>
    <n v="20.060500000000001"/>
    <n v="201004.40455500002"/>
    <n v="114.601"/>
    <n v="118.002"/>
    <n v="1.0296000000000001"/>
    <n v="206954.13492982803"/>
    <n v="126.42280692109226"/>
    <m/>
    <n v="1637"/>
    <s v="Sale"/>
    <x v="1"/>
    <x v="1"/>
    <n v="9296.1956152484745"/>
    <n v="1"/>
    <n v="9296.1956152484745"/>
    <n v="20.500800000000002"/>
    <n v="190579.44706908593"/>
    <n v="206954.13492982803"/>
    <n v="-16374.687860742095"/>
    <n v="0.44383561643835617"/>
    <n v="1"/>
    <n v="-16374.687860742095"/>
    <n v="0"/>
    <m/>
    <n v="-723.71438475152536"/>
    <m/>
    <n v="-7.2227633257337179E-2"/>
    <m/>
  </r>
  <r>
    <x v="0"/>
    <m/>
    <x v="0"/>
    <x v="0"/>
    <x v="0"/>
    <x v="0"/>
    <m/>
    <x v="0"/>
    <n v="0"/>
    <n v="0"/>
    <n v="0"/>
    <n v="0"/>
    <n v="0"/>
    <n v="0"/>
    <n v="0"/>
    <n v="0"/>
    <n v="0"/>
    <n v="0"/>
    <n v="0"/>
    <m/>
    <m/>
    <m/>
    <x v="0"/>
    <x v="0"/>
    <m/>
    <n v="0"/>
    <n v="0"/>
    <n v="0"/>
    <n v="0"/>
    <n v="0"/>
    <n v="0"/>
    <n v="0"/>
    <n v="1"/>
    <n v="0"/>
    <n v="0"/>
    <m/>
    <n v="0"/>
    <m/>
    <n v="0"/>
    <m/>
  </r>
  <r>
    <x v="2"/>
    <s v="Purchase"/>
    <x v="12"/>
    <x v="1"/>
    <x v="2"/>
    <x v="11"/>
    <n v="1396527.48"/>
    <x v="1"/>
    <n v="14500"/>
    <n v="96.312240000000003"/>
    <n v="5.2433435753311171E-2"/>
    <n v="73224.733900313557"/>
    <n v="19.0718"/>
    <n v="1396527.48"/>
    <n v="97.695173988822006"/>
    <n v="117.30800000000001"/>
    <n v="1.2007000000000001"/>
    <n v="1676810.5452360001"/>
    <n v="115.642106568"/>
    <m/>
    <n v="14500"/>
    <s v="Sale"/>
    <x v="2"/>
    <x v="2"/>
    <n v="1594270.07"/>
    <n v="4.8898081728253801E-2"/>
    <n v="77956.748179768911"/>
    <n v="20.450700000000001"/>
    <n v="1594270.07"/>
    <n v="1676810.5452360001"/>
    <n v="-82540.475236000028"/>
    <n v="4.2082191780821914"/>
    <n v="1"/>
    <n v="-82540.475236000028"/>
    <n v="0"/>
    <m/>
    <n v="4732.014279455354"/>
    <m/>
    <n v="3.3884147266871928E-3"/>
    <m/>
  </r>
  <r>
    <x v="2"/>
    <s v="Purchase"/>
    <x v="12"/>
    <x v="1"/>
    <x v="2"/>
    <x v="12"/>
    <n v="10563658.24"/>
    <x v="1"/>
    <n v="112753"/>
    <n v="93.688489352833187"/>
    <n v="5.3743503753983742E-2"/>
    <n v="567728.00627724128"/>
    <n v="18.6069"/>
    <n v="10563658.24"/>
    <n v="99.171374481640001"/>
    <n v="117.30800000000001"/>
    <n v="1.1828000000000001"/>
    <n v="12494694.966272"/>
    <n v="110.81474520653109"/>
    <m/>
    <n v="112753"/>
    <s v="Sale"/>
    <x v="2"/>
    <x v="2"/>
    <n v="12397154.02"/>
    <n v="4.8898081728253801E-2"/>
    <n v="606197.05046771013"/>
    <n v="20.450700000000001"/>
    <n v="12397154.02"/>
    <n v="12494694.966272"/>
    <n v="-97540.94627200067"/>
    <n v="3.978082191780822"/>
    <n v="1"/>
    <n v="-97540.94627200067"/>
    <n v="0"/>
    <m/>
    <n v="38469.044190468849"/>
    <m/>
    <n v="3.6416403594735046E-3"/>
    <m/>
  </r>
  <r>
    <x v="2"/>
    <s v="Purchase"/>
    <x v="12"/>
    <x v="1"/>
    <x v="2"/>
    <x v="13"/>
    <n v="1444683.6"/>
    <x v="1"/>
    <n v="15000"/>
    <n v="96.312240000000003"/>
    <n v="5.2260529190118581E-2"/>
    <n v="75499.929448285606"/>
    <n v="19.134899999999998"/>
    <n v="1444683.6"/>
    <n v="97.695173988822006"/>
    <n v="117.30800000000001"/>
    <n v="1.2007000000000001"/>
    <n v="1734631.5985200002"/>
    <n v="115.64210656800002"/>
    <m/>
    <n v="15000"/>
    <s v="Sale"/>
    <x v="2"/>
    <x v="2"/>
    <n v="1649244.9"/>
    <n v="4.8898081728253801E-2"/>
    <n v="80644.911910105759"/>
    <n v="20.450700000000001"/>
    <n v="1649244.9"/>
    <n v="1734631.5985200002"/>
    <n v="-85386.698520000326"/>
    <n v="4.2109589041095887"/>
    <n v="1"/>
    <n v="-85386.698520000326"/>
    <n v="0"/>
    <m/>
    <n v="5144.9824618201528"/>
    <m/>
    <n v="3.5613212898797718E-3"/>
    <m/>
  </r>
  <r>
    <x v="2"/>
    <s v="Purchase"/>
    <x v="12"/>
    <x v="1"/>
    <x v="2"/>
    <x v="14"/>
    <n v="2607990.9900000002"/>
    <x v="1"/>
    <n v="27707"/>
    <n v="94.127512541956918"/>
    <n v="5.3621603071445423E-2"/>
    <n v="139844.657679686"/>
    <n v="18.6492"/>
    <n v="2607990.9900000002"/>
    <n v="99.171374481640001"/>
    <n v="117.30800000000001"/>
    <n v="1.1828000000000001"/>
    <n v="3084731.7429720005"/>
    <n v="111.33402183462664"/>
    <m/>
    <n v="27707"/>
    <s v="Sale"/>
    <x v="2"/>
    <x v="2"/>
    <n v="3046375.23"/>
    <n v="4.8898081728253801E-2"/>
    <n v="148961.90497146797"/>
    <n v="20.450700000000001"/>
    <n v="3046375.2300000004"/>
    <n v="3084731.7429720005"/>
    <n v="-38356.512972000055"/>
    <n v="3.9589041095890409"/>
    <n v="1"/>
    <n v="-38356.512972000055"/>
    <n v="0"/>
    <m/>
    <n v="9117.2472917819687"/>
    <m/>
    <n v="3.495889106496479E-3"/>
    <m/>
  </r>
  <r>
    <x v="2"/>
    <s v="Purchase"/>
    <x v="13"/>
    <x v="1"/>
    <x v="2"/>
    <x v="13"/>
    <n v="5364958.5"/>
    <x v="1"/>
    <n v="55000"/>
    <n v="97.544700000000006"/>
    <n v="5.2260529190118581E-2"/>
    <n v="280375.57029302482"/>
    <n v="19.134899999999998"/>
    <n v="5364958.5"/>
    <n v="97.695173988822006"/>
    <n v="117.30800000000001"/>
    <n v="1.2007000000000001"/>
    <n v="6441705.6709500002"/>
    <n v="117.12192129"/>
    <m/>
    <n v="55000"/>
    <s v="Sale"/>
    <x v="2"/>
    <x v="2"/>
    <n v="6280513.7999999998"/>
    <n v="4.8898081728253801E-2"/>
    <n v="307105.07708782586"/>
    <n v="20.450700000000001"/>
    <n v="6280513.8000000007"/>
    <n v="6441705.6709500002"/>
    <n v="-161191.87094999943"/>
    <n v="4.2109589041095887"/>
    <n v="1"/>
    <n v="-161191.87094999943"/>
    <n v="0"/>
    <m/>
    <n v="26729.50679480104"/>
    <m/>
    <n v="4.9822392465479533E-3"/>
    <m/>
  </r>
  <r>
    <x v="2"/>
    <s v="Purchase"/>
    <x v="13"/>
    <x v="1"/>
    <x v="2"/>
    <x v="15"/>
    <n v="3852489.6"/>
    <x v="1"/>
    <n v="40000"/>
    <n v="96.312240000000003"/>
    <n v="5.2010735015707237E-2"/>
    <n v="200370.81573636798"/>
    <n v="19.226800000000001"/>
    <n v="3852489.6"/>
    <n v="97.695173988822006"/>
    <n v="117.30800000000001"/>
    <n v="1.2007000000000001"/>
    <n v="4625684.2627200009"/>
    <n v="115.64210656800002"/>
    <m/>
    <n v="40000"/>
    <s v="Sale"/>
    <x v="2"/>
    <x v="2"/>
    <n v="4567646.4000000004"/>
    <n v="4.8898081728253801E-2"/>
    <n v="223349.14697296426"/>
    <n v="20.450700000000001"/>
    <n v="4567646.4000000004"/>
    <n v="4625684.2627200009"/>
    <n v="-58037.862720000558"/>
    <n v="4.1890410958904107"/>
    <n v="1"/>
    <n v="-58037.862720000558"/>
    <n v="0"/>
    <m/>
    <n v="22978.331236596277"/>
    <m/>
    <n v="5.9645407573835569E-3"/>
    <m/>
  </r>
  <r>
    <x v="2"/>
    <s v="Purchase"/>
    <x v="13"/>
    <x v="1"/>
    <x v="2"/>
    <x v="14"/>
    <n v="11511740.35"/>
    <x v="1"/>
    <n v="121178"/>
    <n v="94.998599993398145"/>
    <n v="5.3621603071445423E-2"/>
    <n v="617277.97170924221"/>
    <n v="18.6492"/>
    <n v="11511740.35"/>
    <n v="99.171374481640001"/>
    <n v="117.30800000000001"/>
    <n v="1.1828000000000001"/>
    <n v="13616086.48598"/>
    <n v="112.36434407219133"/>
    <m/>
    <n v="121178"/>
    <s v="Sale"/>
    <x v="2"/>
    <x v="2"/>
    <n v="13837456.390000001"/>
    <n v="4.8898081728253801E-2"/>
    <n v="676625.07346936781"/>
    <n v="20.450700000000001"/>
    <n v="13837456.390000001"/>
    <n v="13616086.48598"/>
    <n v="221369.90402000025"/>
    <n v="3.9589041095890409"/>
    <n v="1"/>
    <n v="221369.90402000025"/>
    <n v="0"/>
    <m/>
    <n v="59347.101760125603"/>
    <m/>
    <n v="5.1553544430078813E-3"/>
    <m/>
  </r>
  <r>
    <x v="2"/>
    <s v="Purchase"/>
    <x v="13"/>
    <x v="1"/>
    <x v="2"/>
    <x v="14"/>
    <n v="1692020.06"/>
    <x v="1"/>
    <n v="17811"/>
    <n v="94.998599741732647"/>
    <n v="5.3621603071445423E-2"/>
    <n v="90728.828046243274"/>
    <n v="18.6492"/>
    <n v="1692020.06"/>
    <n v="99.171374481640001"/>
    <n v="120.15900000000001"/>
    <n v="1.2116"/>
    <n v="2050051.5046960001"/>
    <n v="115.10030344708328"/>
    <m/>
    <n v="17811"/>
    <s v="Sale"/>
    <x v="3"/>
    <x v="2"/>
    <n v="1906764.8"/>
    <n v="4.9701789264413515E-2"/>
    <n v="94769.62226640158"/>
    <n v="20.12"/>
    <n v="1906764.7999999998"/>
    <n v="2050051.5046960004"/>
    <n v="-143286.70469600055"/>
    <n v="4.1726027397260275"/>
    <n v="1"/>
    <n v="-143286.70469600055"/>
    <n v="0"/>
    <m/>
    <n v="4040.7942201583064"/>
    <m/>
    <n v="2.3881479396634969E-3"/>
    <m/>
  </r>
  <r>
    <x v="2"/>
    <s v="Purchase"/>
    <x v="13"/>
    <x v="1"/>
    <x v="2"/>
    <x v="11"/>
    <n v="487723.5"/>
    <x v="1"/>
    <n v="5000"/>
    <n v="97.544700000000006"/>
    <n v="5.2433435753311171E-2"/>
    <n v="25573.01880263006"/>
    <n v="19.0718"/>
    <n v="487723.5"/>
    <n v="97.695173988822006"/>
    <n v="120.15900000000001"/>
    <n v="1.2299"/>
    <n v="599851.13265000004"/>
    <n v="119.97022653000001"/>
    <m/>
    <n v="5000"/>
    <s v="Sale"/>
    <x v="3"/>
    <x v="2"/>
    <n v="535277.30000000005"/>
    <n v="4.9701789264413515E-2"/>
    <n v="26604.239562624254"/>
    <n v="20.12"/>
    <n v="535277.30000000005"/>
    <n v="599851.13265000004"/>
    <n v="-64573.832649999997"/>
    <n v="4.4219178082191783"/>
    <n v="1"/>
    <n v="-64573.832649999997"/>
    <n v="0"/>
    <m/>
    <n v="1031.2207599941939"/>
    <m/>
    <n v="2.1143552853085694E-3"/>
    <m/>
  </r>
  <r>
    <x v="2"/>
    <s v="Purchase"/>
    <x v="13"/>
    <x v="1"/>
    <x v="2"/>
    <x v="16"/>
    <n v="1811350.07"/>
    <x v="1"/>
    <n v="18623"/>
    <n v="97.264139504913288"/>
    <n v="5.2486274839129564E-2"/>
    <n v="95071.017603896573"/>
    <n v="19.052600000000002"/>
    <n v="1811350.07"/>
    <n v="97.695173988822006"/>
    <n v="120.15900000000001"/>
    <n v="1.2299"/>
    <n v="2227779.4510929999"/>
    <n v="119.62516517709284"/>
    <m/>
    <n v="18623"/>
    <s v="Sale"/>
    <x v="3"/>
    <x v="2"/>
    <n v="1993693.83"/>
    <n v="4.9701789264413515E-2"/>
    <n v="99090.150596421474"/>
    <n v="20.12"/>
    <n v="1993693.83"/>
    <n v="2227779.4510929999"/>
    <n v="-234085.62109299982"/>
    <n v="4.4109589041095889"/>
    <n v="1"/>
    <n v="-234085.62109299982"/>
    <n v="0"/>
    <m/>
    <n v="4019.1329925249011"/>
    <m/>
    <n v="2.2188604285227433E-3"/>
    <m/>
  </r>
  <r>
    <x v="2"/>
    <s v="Purchase"/>
    <x v="13"/>
    <x v="1"/>
    <x v="2"/>
    <x v="17"/>
    <n v="15842626.5"/>
    <x v="1"/>
    <n v="167349"/>
    <n v="94.668187440618112"/>
    <n v="5.4346644638160038E-2"/>
    <n v="860993.59253059712"/>
    <n v="18.400400000000001"/>
    <n v="15842626.5"/>
    <n v="99.171374481640001"/>
    <n v="120.15900000000001"/>
    <n v="1.2116"/>
    <n v="19194926.2674"/>
    <n v="114.6999759030529"/>
    <m/>
    <n v="167349"/>
    <s v="Sale"/>
    <x v="3"/>
    <x v="2"/>
    <n v="17915624.18"/>
    <n v="4.9701789264413515E-2"/>
    <n v="890438.5775347912"/>
    <n v="20.12"/>
    <n v="17915624.18"/>
    <n v="19194926.2674"/>
    <n v="-1279302.0874000005"/>
    <n v="4.1808219178082195"/>
    <n v="1"/>
    <n v="-1279302.0874000005"/>
    <n v="0"/>
    <m/>
    <n v="29444.985004194081"/>
    <m/>
    <n v="1.8585923870763526E-3"/>
    <m/>
  </r>
  <r>
    <x v="2"/>
    <s v="Purchase"/>
    <x v="14"/>
    <x v="1"/>
    <x v="1"/>
    <x v="18"/>
    <n v="10121.31"/>
    <x v="1"/>
    <n v="1895"/>
    <n v="5.3410606860158305"/>
    <n v="1"/>
    <n v="10121.31"/>
    <n v="20.459800000000001"/>
    <n v="207079.97833800002"/>
    <n v="118.002"/>
    <n v="120.809"/>
    <n v="1.0237000000000001"/>
    <n v="211987.77382461063"/>
    <n v="111.86689911588951"/>
    <m/>
    <n v="1895"/>
    <s v="Sale"/>
    <x v="4"/>
    <x v="1"/>
    <n v="9978.5"/>
    <n v="1"/>
    <n v="9978.5"/>
    <n v="20.32"/>
    <n v="202763.12"/>
    <n v="211987.77382461063"/>
    <n v="-9224.6538246106356"/>
    <n v="0.30410958904109592"/>
    <n v="1"/>
    <n v="-9224.6538246106356"/>
    <n v="0"/>
    <m/>
    <n v="-142.80999999999949"/>
    <m/>
    <n v="-1.4109833608495293E-2"/>
    <m/>
  </r>
  <r>
    <x v="0"/>
    <m/>
    <x v="0"/>
    <x v="0"/>
    <x v="0"/>
    <x v="0"/>
    <m/>
    <x v="0"/>
    <n v="0"/>
    <n v="0"/>
    <n v="0"/>
    <n v="0"/>
    <n v="0"/>
    <n v="0"/>
    <n v="0"/>
    <n v="0"/>
    <n v="0"/>
    <n v="0"/>
    <n v="0"/>
    <m/>
    <m/>
    <m/>
    <x v="0"/>
    <x v="0"/>
    <m/>
    <n v="0"/>
    <n v="0"/>
    <n v="0"/>
    <n v="0"/>
    <n v="0"/>
    <n v="0"/>
    <n v="0"/>
    <n v="1"/>
    <n v="0"/>
    <n v="0"/>
    <m/>
    <n v="0"/>
    <m/>
    <n v="0"/>
    <m/>
  </r>
  <r>
    <x v="1"/>
    <s v="Purchase"/>
    <x v="15"/>
    <x v="1"/>
    <x v="1"/>
    <x v="1"/>
    <n v="36601.971153740749"/>
    <x v="1"/>
    <n v="708"/>
    <n v="51.697699369690326"/>
    <n v="1"/>
    <n v="36601.971153740749"/>
    <n v="19.5793"/>
    <n v="716640.9738104362"/>
    <n v="110.21"/>
    <n v="120.15900000000001"/>
    <n v="1.0902000000000001"/>
    <n v="781281.98964813759"/>
    <n v="1103.5056350962395"/>
    <m/>
    <n v="708"/>
    <s v="Sale"/>
    <x v="5"/>
    <x v="1"/>
    <n v="31558.037698723405"/>
    <n v="1"/>
    <n v="31558.037698723405"/>
    <n v="19.9377"/>
    <n v="629194.68822583766"/>
    <n v="781281.98964813759"/>
    <n v="-152087.30142229993"/>
    <n v="1.2410958904109588"/>
    <n v="1"/>
    <n v="-152087.30142229993"/>
    <n v="0"/>
    <m/>
    <n v="-5043.9334550173444"/>
    <m/>
    <n v="-0.13780496776611034"/>
    <m/>
  </r>
  <r>
    <x v="1"/>
    <s v="Purchase"/>
    <x v="15"/>
    <x v="1"/>
    <x v="1"/>
    <x v="2"/>
    <n v="269715.84808701754"/>
    <x v="1"/>
    <n v="5167"/>
    <n v="52.199699649122806"/>
    <n v="1"/>
    <n v="269715.84808701754"/>
    <n v="20.2483"/>
    <n v="5461287.4068203578"/>
    <n v="112.19"/>
    <n v="120.15900000000001"/>
    <n v="1.071"/>
    <n v="5849038.8127046032"/>
    <n v="1131.998996072112"/>
    <m/>
    <n v="5167"/>
    <s v="Sale"/>
    <x v="5"/>
    <x v="1"/>
    <n v="230311.27230127659"/>
    <n v="1"/>
    <n v="230311.27230127659"/>
    <n v="19.9377"/>
    <n v="4591877.0537611619"/>
    <n v="5849038.8127046032"/>
    <n v="-1257161.7589434413"/>
    <n v="1.0356164383561643"/>
    <n v="1"/>
    <n v="-1257161.7589434413"/>
    <n v="0"/>
    <m/>
    <n v="-39404.575785740948"/>
    <m/>
    <n v="-0.14609662748860044"/>
    <m/>
  </r>
  <r>
    <x v="1"/>
    <s v="Purchase"/>
    <x v="15"/>
    <x v="1"/>
    <x v="1"/>
    <x v="2"/>
    <n v="102207.01191298246"/>
    <x v="1"/>
    <n v="1958"/>
    <n v="52.199699649122806"/>
    <n v="1"/>
    <n v="102207.01191298246"/>
    <n v="20.2483"/>
    <n v="2069518.2393176428"/>
    <n v="112.19"/>
    <n v="122.044"/>
    <n v="1.0878000000000001"/>
    <n v="2251221.9407297322"/>
    <n v="1149.7558430693218"/>
    <m/>
    <n v="1958"/>
    <s v="Sale"/>
    <x v="6"/>
    <x v="1"/>
    <n v="83068.736285097184"/>
    <n v="1"/>
    <n v="83068.736285097184"/>
    <n v="20.465199999999999"/>
    <n v="1700018.3018217708"/>
    <n v="2251221.9407297322"/>
    <n v="-551203.63890796131"/>
    <n v="1.3041095890410959"/>
    <n v="1"/>
    <n v="-551203.63890796131"/>
    <n v="0"/>
    <m/>
    <n v="-19138.275627885276"/>
    <m/>
    <n v="-0.18725012374081851"/>
    <m/>
  </r>
  <r>
    <x v="1"/>
    <s v="Purchase"/>
    <x v="15"/>
    <x v="1"/>
    <x v="1"/>
    <x v="6"/>
    <n v="165809.52037198743"/>
    <x v="1"/>
    <n v="3135"/>
    <n v="52.889799161718479"/>
    <n v="1"/>
    <n v="165809.52037198743"/>
    <n v="20.058299999999999"/>
    <n v="3325857.102477435"/>
    <n v="112.19"/>
    <n v="122.044"/>
    <n v="1.0878000000000001"/>
    <n v="3617867.3560749544"/>
    <n v="1154.0246749840364"/>
    <m/>
    <n v="3135"/>
    <s v="Sale"/>
    <x v="6"/>
    <x v="1"/>
    <n v="133003.31371490279"/>
    <n v="1"/>
    <n v="133003.31371490279"/>
    <n v="20.465199999999999"/>
    <n v="2721939.4158382285"/>
    <n v="3617867.3560749544"/>
    <n v="-895927.94023672584"/>
    <n v="1.2794520547945205"/>
    <n v="1"/>
    <n v="-895927.94023672584"/>
    <n v="0"/>
    <m/>
    <n v="-32806.206657084636"/>
    <m/>
    <n v="-0.19785478290682673"/>
    <m/>
  </r>
  <r>
    <x v="1"/>
    <s v="Purchase"/>
    <x v="16"/>
    <x v="1"/>
    <x v="1"/>
    <x v="7"/>
    <n v="154701.06862625026"/>
    <x v="1"/>
    <n v="2360"/>
    <n v="65.551300265360283"/>
    <n v="1"/>
    <n v="154701.06862625026"/>
    <n v="20.1722"/>
    <n v="3120660.8965424453"/>
    <n v="110.907"/>
    <n v="120.15900000000001"/>
    <n v="1.0833999999999999"/>
    <n v="3380924.0153140849"/>
    <n v="1432.5949217432562"/>
    <m/>
    <n v="2360"/>
    <s v="Sale"/>
    <x v="5"/>
    <x v="1"/>
    <n v="166211.5"/>
    <n v="1"/>
    <n v="166211.5"/>
    <n v="19.9377"/>
    <n v="3313875.02355"/>
    <n v="3380924.0153140849"/>
    <n v="-67048.991764084902"/>
    <n v="1.2054794520547945"/>
    <n v="1"/>
    <n v="-67048.991764084902"/>
    <n v="0"/>
    <m/>
    <n v="11510.431373749743"/>
    <m/>
    <n v="7.4404343007858254E-2"/>
    <m/>
  </r>
  <r>
    <x v="1"/>
    <s v="Purchase"/>
    <x v="17"/>
    <x v="1"/>
    <x v="1"/>
    <x v="6"/>
    <n v="30685.421792452828"/>
    <x v="1"/>
    <n v="184"/>
    <n v="166.76859669811319"/>
    <n v="1"/>
    <n v="30685.421792452828"/>
    <n v="20.058299999999999"/>
    <n v="615497.39593955653"/>
    <n v="112.19"/>
    <n v="120.15900000000001"/>
    <n v="1.071"/>
    <n v="659197.71105126501"/>
    <n v="3582.5962557133967"/>
    <m/>
    <n v="184"/>
    <s v="Sale"/>
    <x v="5"/>
    <x v="1"/>
    <n v="35458.492489451477"/>
    <n v="1"/>
    <n v="35458.492489451477"/>
    <n v="19.9377"/>
    <n v="706960.78570693673"/>
    <n v="659197.71105126501"/>
    <n v="47763.07465567172"/>
    <n v="1.010958904109589"/>
    <n v="1"/>
    <n v="47763.07465567172"/>
    <n v="0"/>
    <m/>
    <n v="4773.0706969986495"/>
    <m/>
    <n v="0.15554847931640947"/>
    <m/>
  </r>
  <r>
    <x v="1"/>
    <s v="Purchase"/>
    <x v="17"/>
    <x v="1"/>
    <x v="1"/>
    <x v="3"/>
    <n v="9445.7395254074781"/>
    <x v="1"/>
    <n v="53"/>
    <n v="178.22150047938638"/>
    <n v="1"/>
    <n v="9445.7395254074781"/>
    <n v="20.6"/>
    <n v="194582.23422339407"/>
    <n v="113.018"/>
    <n v="120.15900000000001"/>
    <n v="1.0630999999999999"/>
    <n v="206860.37320289022"/>
    <n v="3903.0259094884946"/>
    <m/>
    <n v="53"/>
    <s v="Sale"/>
    <x v="5"/>
    <x v="1"/>
    <n v="10213.587510548523"/>
    <n v="1"/>
    <n v="10213.587510548523"/>
    <n v="19.9377"/>
    <n v="203635.44370906329"/>
    <n v="206860.37320289022"/>
    <n v="-3224.9294938269304"/>
    <n v="0.8246575342465754"/>
    <n v="1"/>
    <n v="-3224.9294938269304"/>
    <n v="0"/>
    <m/>
    <n v="767.84798514104477"/>
    <m/>
    <n v="8.1290404322039642E-2"/>
    <m/>
  </r>
  <r>
    <x v="1"/>
    <s v="Purchase"/>
    <x v="18"/>
    <x v="1"/>
    <x v="1"/>
    <x v="10"/>
    <n v="4135.2213127413124"/>
    <x v="1"/>
    <n v="18"/>
    <n v="229.73451737451737"/>
    <n v="1"/>
    <n v="4135.2213127413124"/>
    <n v="24.3812"/>
    <n v="100821.65787020848"/>
    <n v="106.16200000000001"/>
    <n v="120.15900000000001"/>
    <n v="1.1317999999999999"/>
    <n v="114109.95237750195"/>
    <n v="6339.4417987501083"/>
    <m/>
    <n v="18"/>
    <s v="Sale"/>
    <x v="5"/>
    <x v="1"/>
    <n v="4394.58"/>
    <n v="1"/>
    <n v="4394.58"/>
    <n v="19.9377"/>
    <n v="87617.817666000003"/>
    <n v="114109.95237750195"/>
    <n v="-26492.134711501945"/>
    <n v="1.9561643835616438"/>
    <n v="1"/>
    <n v="-26492.134711501945"/>
    <n v="0"/>
    <m/>
    <n v="259.3586872586875"/>
    <m/>
    <n v="6.2719421197496669E-2"/>
    <m/>
  </r>
  <r>
    <x v="1"/>
    <s v="Purchase"/>
    <x v="18"/>
    <x v="1"/>
    <x v="1"/>
    <x v="10"/>
    <n v="51001.062857142853"/>
    <x v="1"/>
    <n v="222"/>
    <n v="229.73451737451737"/>
    <n v="1"/>
    <n v="51001.062857142853"/>
    <n v="24.3812"/>
    <n v="1243467.1137325712"/>
    <n v="106.16200000000001"/>
    <n v="122.044"/>
    <n v="1.1496"/>
    <n v="1429489.7939469637"/>
    <n v="6439.143215977314"/>
    <m/>
    <n v="222"/>
    <s v="Sale"/>
    <x v="6"/>
    <x v="1"/>
    <n v="53180.768475836434"/>
    <n v="1"/>
    <n v="53180.768475836434"/>
    <n v="20.465199999999999"/>
    <n v="1088355.0630116877"/>
    <n v="1429489.7939469637"/>
    <n v="-341134.73093527602"/>
    <n v="2.2246575342465755"/>
    <n v="1"/>
    <n v="-341134.73093527602"/>
    <n v="0"/>
    <m/>
    <n v="2179.7056186935806"/>
    <m/>
    <n v="4.2738435173382001E-2"/>
    <m/>
  </r>
  <r>
    <x v="1"/>
    <s v="Purchase"/>
    <x v="18"/>
    <x v="1"/>
    <x v="1"/>
    <x v="19"/>
    <n v="2766.38"/>
    <x v="1"/>
    <n v="12"/>
    <n v="230.53166666666667"/>
    <n v="1"/>
    <n v="2766.38"/>
    <n v="22.0168"/>
    <n v="60906.835184000003"/>
    <n v="106.74299999999999"/>
    <n v="122.044"/>
    <n v="1.1433"/>
    <n v="69634.784665867206"/>
    <n v="5802.8987221556008"/>
    <m/>
    <n v="12"/>
    <s v="Sale"/>
    <x v="6"/>
    <x v="1"/>
    <n v="2874.6361338289962"/>
    <n v="1"/>
    <n v="2874.6361338289962"/>
    <n v="20.465199999999999"/>
    <n v="58830.003406037169"/>
    <n v="69634.784665867206"/>
    <n v="-10804.781259830037"/>
    <n v="2.1479452054794521"/>
    <n v="1"/>
    <n v="-10804.781259830037"/>
    <n v="0"/>
    <m/>
    <n v="108.2561338289961"/>
    <m/>
    <n v="3.9132777792275864E-2"/>
    <m/>
  </r>
  <r>
    <x v="1"/>
    <s v="Purchase"/>
    <x v="18"/>
    <x v="1"/>
    <x v="1"/>
    <x v="8"/>
    <n v="2654.98"/>
    <x v="1"/>
    <n v="11"/>
    <n v="241.36181818181819"/>
    <n v="1"/>
    <n v="2654.98"/>
    <n v="21.218299999999999"/>
    <n v="56334.162133999998"/>
    <n v="108.774"/>
    <n v="122.044"/>
    <n v="1.1218999999999999"/>
    <n v="63201.296498134594"/>
    <n v="5745.5724089213263"/>
    <m/>
    <n v="11"/>
    <s v="Sale"/>
    <x v="6"/>
    <x v="1"/>
    <n v="2635.0831226765799"/>
    <n v="1"/>
    <n v="2635.0831226765799"/>
    <n v="20.465199999999999"/>
    <n v="53927.503122200746"/>
    <n v="63201.296498134587"/>
    <n v="-9273.7933759338412"/>
    <n v="1.7835616438356163"/>
    <n v="1"/>
    <n v="-9273.7933759338412"/>
    <n v="0"/>
    <m/>
    <n v="-19.896877323420085"/>
    <m/>
    <n v="-7.4941722059752181E-3"/>
    <m/>
  </r>
  <r>
    <x v="1"/>
    <s v="Purchase"/>
    <x v="18"/>
    <x v="1"/>
    <x v="1"/>
    <x v="9"/>
    <n v="2162.4899999999998"/>
    <x v="1"/>
    <n v="9"/>
    <n v="240.27666666666664"/>
    <n v="1"/>
    <n v="2162.4899999999998"/>
    <n v="20.1858"/>
    <n v="43651.590641999996"/>
    <n v="108.85599999999999"/>
    <n v="122.044"/>
    <n v="1.1211"/>
    <n v="48937.798268746192"/>
    <n v="5437.5331409717992"/>
    <m/>
    <n v="9"/>
    <s v="Sale"/>
    <x v="6"/>
    <x v="1"/>
    <n v="2155.9771003717474"/>
    <n v="1"/>
    <n v="2155.9771003717474"/>
    <n v="20.465199999999999"/>
    <n v="44122.502554527884"/>
    <n v="48937.798268746192"/>
    <n v="-4815.2957142183077"/>
    <n v="1.6739726027397259"/>
    <n v="1"/>
    <n v="-4815.2957142183077"/>
    <n v="0"/>
    <m/>
    <n v="-6.5128996282523985"/>
    <m/>
    <n v="-3.0117594200446702E-3"/>
    <m/>
  </r>
  <r>
    <x v="1"/>
    <s v="Purchase"/>
    <x v="18"/>
    <x v="1"/>
    <x v="1"/>
    <x v="1"/>
    <n v="3672.9839869281045"/>
    <x v="1"/>
    <n v="15"/>
    <n v="244.86559912854031"/>
    <n v="1"/>
    <n v="3672.9839869281045"/>
    <n v="19.5793"/>
    <n v="71914.45537526143"/>
    <n v="110.21"/>
    <n v="122.044"/>
    <n v="1.1073"/>
    <n v="79630.876437026978"/>
    <n v="5308.7250958017985"/>
    <m/>
    <n v="15"/>
    <s v="Sale"/>
    <x v="6"/>
    <x v="1"/>
    <n v="3593.2951672862455"/>
    <n v="1"/>
    <n v="3593.2951672862455"/>
    <n v="20.465199999999999"/>
    <n v="73537.504257546476"/>
    <n v="79630.876437026978"/>
    <n v="-6093.3721794805024"/>
    <n v="1.5095890410958903"/>
    <n v="1"/>
    <n v="-6093.3721794805024"/>
    <n v="0"/>
    <m/>
    <n v="-79.688819641859027"/>
    <m/>
    <n v="-2.1695934402509245E-2"/>
    <m/>
  </r>
  <r>
    <x v="1"/>
    <s v="Purchase"/>
    <x v="5"/>
    <x v="1"/>
    <x v="1"/>
    <x v="2"/>
    <n v="82989.573263157887"/>
    <x v="1"/>
    <n v="15272"/>
    <n v="5.4340998731769172"/>
    <n v="1"/>
    <n v="82989.573263157887"/>
    <n v="20.2483"/>
    <n v="1680397.7763043998"/>
    <n v="112.19"/>
    <n v="122.044"/>
    <n v="1.0878000000000001"/>
    <n v="1827936.7010639263"/>
    <n v="119.69203123781602"/>
    <m/>
    <n v="15272"/>
    <s v="Sale"/>
    <x v="6"/>
    <x v="1"/>
    <n v="92485.7"/>
    <n v="1"/>
    <n v="92485.7"/>
    <n v="20.465199999999999"/>
    <n v="1892738.3476399998"/>
    <n v="1827936.7010639263"/>
    <n v="64801.646576073486"/>
    <n v="1.3041095890410959"/>
    <n v="1"/>
    <n v="64801.646576073486"/>
    <n v="0"/>
    <m/>
    <n v="9496.1267368421104"/>
    <m/>
    <n v="0.11442554002211973"/>
    <m/>
  </r>
  <r>
    <x v="1"/>
    <s v="Purchase"/>
    <x v="19"/>
    <x v="1"/>
    <x v="1"/>
    <x v="7"/>
    <n v="131938.98340886761"/>
    <x v="1"/>
    <n v="22473"/>
    <n v="5.8710000181937261"/>
    <n v="1"/>
    <n v="131938.98340886761"/>
    <n v="20.1722"/>
    <n v="2661499.5611203592"/>
    <n v="110.907"/>
    <n v="122.044"/>
    <n v="1.1004"/>
    <n v="2928714.1170568434"/>
    <n v="130.32145761833505"/>
    <m/>
    <n v="22473"/>
    <s v="Sale"/>
    <x v="6"/>
    <x v="1"/>
    <n v="136752.70145325226"/>
    <n v="1"/>
    <n v="136752.70145325226"/>
    <n v="20.465199999999999"/>
    <n v="2798671.3857810982"/>
    <n v="2928714.1170568434"/>
    <n v="-130042.7312757452"/>
    <n v="1.473972602739726"/>
    <n v="1"/>
    <n v="-130042.7312757452"/>
    <n v="0"/>
    <m/>
    <n v="4813.7180443846446"/>
    <m/>
    <n v="3.6484425755103363E-2"/>
    <m/>
  </r>
  <r>
    <x v="1"/>
    <s v="Purchase"/>
    <x v="19"/>
    <x v="1"/>
    <x v="1"/>
    <x v="20"/>
    <n v="164733.09879415893"/>
    <x v="1"/>
    <n v="26032"/>
    <n v="6.3280999844099162"/>
    <n v="1"/>
    <n v="164733.09879415893"/>
    <n v="20.161200000000001"/>
    <n v="3321216.9514087969"/>
    <n v="112.19"/>
    <n v="122.044"/>
    <n v="1.0878000000000001"/>
    <n v="3612819.7997424896"/>
    <n v="138.78379685550436"/>
    <m/>
    <n v="26032"/>
    <s v="Sale"/>
    <x v="6"/>
    <x v="1"/>
    <n v="158409.92854674777"/>
    <n v="1"/>
    <n v="158409.92854674777"/>
    <n v="20.465199999999999"/>
    <n v="3241890.8696949026"/>
    <n v="3612819.7997424896"/>
    <n v="-370928.93004758703"/>
    <n v="1.3013698630136987"/>
    <n v="1"/>
    <n v="-370928.93004758703"/>
    <n v="0"/>
    <m/>
    <n v="-6323.1702474111516"/>
    <m/>
    <n v="-3.8384333772001851E-2"/>
    <m/>
  </r>
  <r>
    <x v="1"/>
    <s v="Purchase"/>
    <x v="10"/>
    <x v="1"/>
    <x v="1"/>
    <x v="10"/>
    <n v="38906.634877470358"/>
    <x v="1"/>
    <n v="136"/>
    <n v="286.0781976284585"/>
    <n v="1"/>
    <n v="38906.634877470358"/>
    <n v="24.3812"/>
    <n v="948590.44627458032"/>
    <n v="106.16200000000001"/>
    <n v="120.15900000000001"/>
    <n v="1.1317999999999999"/>
    <n v="1073614.6670935699"/>
    <n v="7894.2254933350723"/>
    <m/>
    <n v="136"/>
    <s v="Sale"/>
    <x v="5"/>
    <x v="1"/>
    <n v="62443.28"/>
    <n v="1"/>
    <n v="62443.28"/>
    <n v="19.9377"/>
    <n v="1244975.383656"/>
    <n v="1073614.6670935699"/>
    <n v="171360.71656243014"/>
    <n v="1.9561643835616438"/>
    <n v="1"/>
    <n v="171360.71656243014"/>
    <n v="0"/>
    <m/>
    <n v="23536.645122529641"/>
    <m/>
    <n v="0.60495196247771588"/>
    <m/>
  </r>
  <r>
    <x v="1"/>
    <s v="Purchase"/>
    <x v="10"/>
    <x v="1"/>
    <x v="1"/>
    <x v="10"/>
    <n v="70375.236616600785"/>
    <x v="1"/>
    <n v="246"/>
    <n v="286.0781976284585"/>
    <n v="1"/>
    <n v="70375.236616600785"/>
    <n v="24.3812"/>
    <n v="1715832.7189966671"/>
    <n v="106.16200000000001"/>
    <n v="122.044"/>
    <n v="1.1496"/>
    <n v="1972521.2937585684"/>
    <n v="8018.3792429210098"/>
    <m/>
    <n v="246"/>
    <s v="Sale"/>
    <x v="6"/>
    <x v="1"/>
    <n v="100064.26"/>
    <n v="1"/>
    <n v="100064.26"/>
    <n v="20.465199999999999"/>
    <n v="2047835.0937519998"/>
    <n v="1972521.2937585684"/>
    <n v="75313.799993431428"/>
    <n v="2.2246575342465755"/>
    <n v="1"/>
    <n v="75313.799993431428"/>
    <n v="0"/>
    <m/>
    <n v="29689.02338339921"/>
    <m/>
    <n v="0.42186747513394335"/>
    <m/>
  </r>
  <r>
    <x v="1"/>
    <s v="Purchase"/>
    <x v="6"/>
    <x v="1"/>
    <x v="1"/>
    <x v="1"/>
    <n v="2777.1221148567811"/>
    <x v="1"/>
    <n v="526"/>
    <n v="5.2796998381307629"/>
    <n v="1"/>
    <n v="2777.1221148567811"/>
    <n v="19.5793"/>
    <n v="54374.107023415374"/>
    <n v="110.21"/>
    <n v="120.15900000000001"/>
    <n v="1.0902000000000001"/>
    <n v="59278.651476927444"/>
    <n v="112.69705603978602"/>
    <m/>
    <n v="526"/>
    <s v="Sale"/>
    <x v="5"/>
    <x v="1"/>
    <n v="3362.9803926096997"/>
    <n v="1"/>
    <n v="3362.9803926096997"/>
    <n v="19.9377"/>
    <n v="67050.094173734411"/>
    <n v="59278.651476927444"/>
    <n v="7771.4426968069674"/>
    <n v="1.2410958904109588"/>
    <n v="1"/>
    <n v="7771.4426968069674"/>
    <n v="0"/>
    <m/>
    <n v="585.85827775291864"/>
    <m/>
    <n v="0.2109587744156983"/>
    <m/>
  </r>
  <r>
    <x v="1"/>
    <s v="Purchase"/>
    <x v="6"/>
    <x v="1"/>
    <x v="1"/>
    <x v="2"/>
    <n v="6952.3489196057772"/>
    <x v="1"/>
    <n v="1206"/>
    <n v="5.764800099175603"/>
    <n v="1"/>
    <n v="6952.3489196057772"/>
    <n v="20.2483"/>
    <n v="140773.24662885367"/>
    <n v="112.19"/>
    <n v="120.15900000000001"/>
    <n v="1.071"/>
    <n v="150768.14713950228"/>
    <n v="125.01504737935512"/>
    <m/>
    <n v="1206"/>
    <s v="Sale"/>
    <x v="5"/>
    <x v="1"/>
    <n v="7710.5596073903007"/>
    <n v="1"/>
    <n v="7710.5596073903007"/>
    <n v="19.9377"/>
    <n v="153730.8242842656"/>
    <n v="150768.14713950228"/>
    <n v="2962.6771447633218"/>
    <n v="1.0356164383561643"/>
    <n v="1"/>
    <n v="2962.6771447633218"/>
    <n v="0"/>
    <m/>
    <n v="758.21068778452354"/>
    <m/>
    <n v="0.10905820414829191"/>
    <m/>
  </r>
  <r>
    <x v="1"/>
    <s v="Purchase"/>
    <x v="20"/>
    <x v="1"/>
    <x v="1"/>
    <x v="1"/>
    <n v="66622.24040385618"/>
    <x v="1"/>
    <n v="978"/>
    <n v="68.120900208441896"/>
    <n v="1"/>
    <n v="66622.24040385618"/>
    <n v="19.5793"/>
    <n v="1304416.8315392213"/>
    <n v="110.21"/>
    <n v="120.15900000000001"/>
    <n v="1.0902000000000001"/>
    <n v="1422075.2297440593"/>
    <n v="1454.0646520900402"/>
    <m/>
    <n v="978"/>
    <s v="Sale"/>
    <x v="5"/>
    <x v="1"/>
    <n v="80837.08"/>
    <n v="1"/>
    <n v="80837.08"/>
    <n v="19.9377"/>
    <n v="1611705.449916"/>
    <n v="1422075.2297440593"/>
    <n v="189630.22017194075"/>
    <n v="1.2410958904109588"/>
    <n v="1"/>
    <n v="189630.22017194075"/>
    <n v="0"/>
    <m/>
    <n v="14214.839596143822"/>
    <m/>
    <n v="0.21336477893831154"/>
    <m/>
  </r>
  <r>
    <x v="1"/>
    <s v="Purchase"/>
    <x v="20"/>
    <x v="1"/>
    <x v="1"/>
    <x v="1"/>
    <n v="3814.7704116727464"/>
    <x v="1"/>
    <n v="56"/>
    <n v="68.120900208441896"/>
    <n v="1"/>
    <n v="3814.7704116727464"/>
    <n v="19.5793"/>
    <n v="74690.534321264204"/>
    <n v="110.21"/>
    <n v="122.044"/>
    <n v="1.1073"/>
    <n v="82704.828653935852"/>
    <n v="1476.8719402488546"/>
    <m/>
    <n v="56"/>
    <s v="Sale"/>
    <x v="6"/>
    <x v="1"/>
    <n v="4214.7299999999996"/>
    <n v="1"/>
    <n v="4214.7299999999996"/>
    <n v="20.465199999999999"/>
    <n v="86255.29239599999"/>
    <n v="82704.828653935852"/>
    <n v="3550.4637420641375"/>
    <n v="1.5095890410958903"/>
    <n v="1"/>
    <n v="3550.4637420641375"/>
    <n v="0"/>
    <m/>
    <n v="399.95958832725319"/>
    <m/>
    <n v="0.10484499594088917"/>
    <m/>
  </r>
  <r>
    <x v="1"/>
    <s v="Purchase"/>
    <x v="21"/>
    <x v="1"/>
    <x v="1"/>
    <x v="10"/>
    <n v="36920.439059876888"/>
    <x v="1"/>
    <n v="1115"/>
    <n v="33.112501398992727"/>
    <n v="1"/>
    <n v="36920.439059876888"/>
    <n v="24.3812"/>
    <n v="900164.60880667041"/>
    <n v="106.16200000000001"/>
    <n v="120.15900000000001"/>
    <n v="1.1317999999999999"/>
    <n v="1018806.3042473895"/>
    <n v="913.72762712770361"/>
    <m/>
    <n v="1115"/>
    <s v="Sale"/>
    <x v="5"/>
    <x v="1"/>
    <n v="42360.408690828401"/>
    <n v="1"/>
    <n v="42360.408690828401"/>
    <n v="19.9377"/>
    <n v="844569.12035512936"/>
    <n v="1018806.3042473895"/>
    <n v="-174237.18389226019"/>
    <n v="1.9561643835616438"/>
    <n v="1"/>
    <n v="-174237.18389226019"/>
    <n v="0"/>
    <m/>
    <n v="5439.969630951513"/>
    <m/>
    <n v="0.14734303733845283"/>
    <m/>
  </r>
  <r>
    <x v="1"/>
    <s v="Purchase"/>
    <x v="21"/>
    <x v="1"/>
    <x v="1"/>
    <x v="19"/>
    <n v="1770.86"/>
    <x v="1"/>
    <n v="53"/>
    <n v="33.412452830188677"/>
    <n v="1"/>
    <n v="1770.86"/>
    <n v="22.0168"/>
    <n v="38988.670447999997"/>
    <n v="106.74299999999999"/>
    <n v="120.15900000000001"/>
    <n v="1.1255999999999999"/>
    <n v="43885.647456268794"/>
    <n v="828.03108408054334"/>
    <m/>
    <n v="53"/>
    <s v="Sale"/>
    <x v="5"/>
    <x v="1"/>
    <n v="2013.5440902366863"/>
    <n v="1"/>
    <n v="2013.5440902366863"/>
    <n v="19.9377"/>
    <n v="40145.43800791198"/>
    <n v="43885.647456268794"/>
    <n v="-3740.2094483568144"/>
    <n v="1.8794520547945206"/>
    <n v="1"/>
    <n v="-3740.2094483568144"/>
    <n v="0"/>
    <m/>
    <n v="242.68409023668642"/>
    <m/>
    <n v="0.13704306960272772"/>
    <m/>
  </r>
  <r>
    <x v="1"/>
    <s v="Purchase"/>
    <x v="21"/>
    <x v="1"/>
    <x v="1"/>
    <x v="1"/>
    <n v="6658.2607471264364"/>
    <x v="1"/>
    <n v="184"/>
    <n v="36.186199712643678"/>
    <n v="1"/>
    <n v="6658.2607471264364"/>
    <n v="19.5793"/>
    <n v="130364.08464621264"/>
    <n v="110.21"/>
    <n v="120.15900000000001"/>
    <n v="1.0902000000000001"/>
    <n v="142122.92508130101"/>
    <n v="772.40720152880988"/>
    <m/>
    <n v="184"/>
    <s v="Sale"/>
    <x v="5"/>
    <x v="1"/>
    <n v="6990.417218934911"/>
    <n v="1"/>
    <n v="6990.417218934911"/>
    <n v="19.9377"/>
    <n v="139372.84138595857"/>
    <n v="142122.92508130101"/>
    <n v="-2750.0836953424441"/>
    <n v="1.2410958904109588"/>
    <n v="1"/>
    <n v="-2750.0836953424441"/>
    <n v="0"/>
    <m/>
    <n v="332.15647180847463"/>
    <m/>
    <n v="4.9886371895517354E-2"/>
    <m/>
  </r>
  <r>
    <x v="1"/>
    <s v="Purchase"/>
    <x v="3"/>
    <x v="1"/>
    <x v="1"/>
    <x v="6"/>
    <n v="143541.77550157084"/>
    <x v="1"/>
    <n v="24946"/>
    <n v="5.7540998757945498"/>
    <n v="1"/>
    <n v="143541.77550157084"/>
    <n v="20.058299999999999"/>
    <n v="2879203.9955431581"/>
    <n v="112.19"/>
    <n v="120.15900000000001"/>
    <n v="1.071"/>
    <n v="3083627.4792267224"/>
    <n v="123.61210130789395"/>
    <m/>
    <n v="24946"/>
    <s v="Sale"/>
    <x v="5"/>
    <x v="1"/>
    <n v="131101.20815618435"/>
    <n v="1"/>
    <n v="131101.20815618435"/>
    <n v="19.9377"/>
    <n v="2613856.5578555567"/>
    <n v="3083627.4792267224"/>
    <n v="-469770.92137116566"/>
    <n v="1.010958904109589"/>
    <n v="1"/>
    <n v="-469770.92137116566"/>
    <n v="0"/>
    <m/>
    <n v="-12440.567345386487"/>
    <m/>
    <n v="-8.6668618260544963E-2"/>
    <m/>
  </r>
  <r>
    <x v="1"/>
    <s v="Purchase"/>
    <x v="3"/>
    <x v="1"/>
    <x v="1"/>
    <x v="3"/>
    <n v="35077.9"/>
    <x v="1"/>
    <n v="6057"/>
    <n v="5.7912993230972427"/>
    <n v="1"/>
    <n v="35077.9"/>
    <n v="20.6"/>
    <n v="722604.74000000011"/>
    <n v="113.018"/>
    <n v="120.15900000000001"/>
    <n v="1.0630999999999999"/>
    <n v="768201.09909400006"/>
    <n v="126.82864439392439"/>
    <m/>
    <n v="6057"/>
    <s v="Sale"/>
    <x v="5"/>
    <x v="1"/>
    <n v="31831.957740800473"/>
    <n v="1"/>
    <n v="31831.957740800473"/>
    <n v="19.9377"/>
    <n v="634656.02384875761"/>
    <n v="768201.09909400006"/>
    <n v="-133545.07524524245"/>
    <n v="0.8246575342465754"/>
    <n v="1"/>
    <n v="-133545.07524524245"/>
    <n v="0"/>
    <m/>
    <n v="-3245.9422591995281"/>
    <m/>
    <n v="-9.2535250377004552E-2"/>
    <m/>
  </r>
  <r>
    <x v="1"/>
    <s v="Purchase"/>
    <x v="3"/>
    <x v="1"/>
    <x v="1"/>
    <x v="4"/>
    <n v="28985.8"/>
    <x v="1"/>
    <n v="4949"/>
    <n v="5.8569003839159421"/>
    <n v="1"/>
    <n v="28985.8"/>
    <n v="20.060500000000001"/>
    <n v="581469.6409"/>
    <n v="114.601"/>
    <n v="120.15900000000001"/>
    <n v="1.0484"/>
    <n v="609612.77151956002"/>
    <n v="123.17897989888058"/>
    <m/>
    <n v="4949"/>
    <s v="Sale"/>
    <x v="5"/>
    <x v="1"/>
    <n v="26008.974551629773"/>
    <n v="1"/>
    <n v="26008.974551629773"/>
    <n v="19.9377"/>
    <n v="518559.13191802893"/>
    <n v="609612.77151956002"/>
    <n v="-91053.639601531089"/>
    <n v="0.63013698630136983"/>
    <n v="1"/>
    <n v="-91053.639601531089"/>
    <n v="0"/>
    <m/>
    <n v="-2976.8254483702258"/>
    <m/>
    <n v="-0.10269944070442168"/>
    <m/>
  </r>
  <r>
    <x v="1"/>
    <s v="Purchase"/>
    <x v="3"/>
    <x v="1"/>
    <x v="1"/>
    <x v="5"/>
    <n v="28673.119999999999"/>
    <x v="1"/>
    <n v="4974"/>
    <n v="5.7645999195818254"/>
    <n v="1"/>
    <n v="28673.119999999999"/>
    <n v="20.184999999999999"/>
    <n v="578766.92719999992"/>
    <n v="115.56100000000001"/>
    <n v="120.15900000000001"/>
    <n v="1.0397000000000001"/>
    <n v="601743.97420983994"/>
    <n v="120.97787981701647"/>
    <m/>
    <n v="4974"/>
    <s v="Sale"/>
    <x v="5"/>
    <x v="1"/>
    <n v="26140.359551385431"/>
    <n v="1"/>
    <n v="26140.359551385431"/>
    <n v="19.9377"/>
    <n v="521178.64662765729"/>
    <n v="601743.97420983994"/>
    <n v="-80565.327582182654"/>
    <n v="0.49315068493150682"/>
    <n v="1"/>
    <n v="-80565.327582182654"/>
    <n v="0"/>
    <m/>
    <n v="-2532.7604486145683"/>
    <m/>
    <n v="-8.8332223651090933E-2"/>
    <m/>
  </r>
  <r>
    <x v="1"/>
    <s v="Purchase"/>
    <x v="4"/>
    <x v="1"/>
    <x v="1"/>
    <x v="6"/>
    <n v="18221.805969404966"/>
    <x v="1"/>
    <n v="2980"/>
    <n v="6.1146999897332099"/>
    <n v="1"/>
    <n v="18221.805969404966"/>
    <n v="20.058299999999999"/>
    <n v="365498.45067611564"/>
    <n v="112.19"/>
    <n v="120.15900000000001"/>
    <n v="1.071"/>
    <n v="391448.84067411983"/>
    <n v="131.3586713671543"/>
    <m/>
    <n v="2980"/>
    <s v="Sale"/>
    <x v="5"/>
    <x v="1"/>
    <n v="17483.96"/>
    <n v="1"/>
    <n v="17483.96"/>
    <n v="19.9377"/>
    <n v="348589.94929199998"/>
    <n v="391448.84067411983"/>
    <n v="-42858.891382119851"/>
    <n v="1.010958904109589"/>
    <n v="1"/>
    <n v="-42858.891382119851"/>
    <n v="0"/>
    <m/>
    <n v="-737.84596940496704"/>
    <m/>
    <n v="-4.0492472076798292E-2"/>
    <m/>
  </r>
  <r>
    <x v="1"/>
    <s v="Purchase"/>
    <x v="4"/>
    <x v="1"/>
    <x v="1"/>
    <x v="6"/>
    <n v="232138.47041023159"/>
    <x v="1"/>
    <n v="37964"/>
    <n v="6.1146999897332099"/>
    <n v="1"/>
    <n v="232138.47041023159"/>
    <n v="20.058299999999999"/>
    <n v="4656303.0810295483"/>
    <n v="112.19"/>
    <n v="122.044"/>
    <n v="1.0878000000000001"/>
    <n v="5065126.4915439431"/>
    <n v="133.41919954546262"/>
    <m/>
    <n v="37964"/>
    <s v="Sale"/>
    <x v="6"/>
    <x v="1"/>
    <n v="218349.94497470339"/>
    <n v="1"/>
    <n v="218349.94497470339"/>
    <n v="20.465199999999999"/>
    <n v="4468575.2938962998"/>
    <n v="5065126.4915439431"/>
    <n v="-596551.19764764328"/>
    <n v="1.2794520547945205"/>
    <n v="1"/>
    <n v="-596551.19764764328"/>
    <n v="0"/>
    <m/>
    <n v="-13788.525435528194"/>
    <m/>
    <n v="-5.9397847376013641E-2"/>
    <m/>
  </r>
  <r>
    <x v="1"/>
    <s v="Purchase"/>
    <x v="4"/>
    <x v="1"/>
    <x v="1"/>
    <x v="4"/>
    <n v="436743.9"/>
    <x v="1"/>
    <n v="69744"/>
    <n v="6.2620999655884377"/>
    <n v="1"/>
    <n v="436743.9"/>
    <n v="20.060500000000001"/>
    <n v="8761301.0059500001"/>
    <n v="114.601"/>
    <n v="122.044"/>
    <n v="1.0649"/>
    <n v="9329909.4412361551"/>
    <n v="133.77364993743052"/>
    <m/>
    <n v="69744"/>
    <s v="Sale"/>
    <x v="6"/>
    <x v="1"/>
    <n v="401132.61411641852"/>
    <n v="1"/>
    <n v="401132.61411641852"/>
    <n v="20.465199999999999"/>
    <n v="8209259.1744153285"/>
    <n v="9329909.4412361532"/>
    <n v="-1120650.2668208247"/>
    <n v="0.89863013698630134"/>
    <n v="1"/>
    <n v="-1120650.2668208247"/>
    <n v="0"/>
    <m/>
    <n v="-35611.285883581499"/>
    <m/>
    <n v="-8.1538141422425131E-2"/>
    <m/>
  </r>
  <r>
    <x v="1"/>
    <s v="Purchase"/>
    <x v="4"/>
    <x v="1"/>
    <x v="1"/>
    <x v="5"/>
    <n v="20976.5"/>
    <x v="1"/>
    <n v="3374"/>
    <n v="6.2171013633669236"/>
    <n v="1"/>
    <n v="20976.5"/>
    <n v="20.184999999999999"/>
    <n v="423410.65249999997"/>
    <n v="115.56100000000001"/>
    <n v="122.044"/>
    <n v="1.0561"/>
    <n v="447163.99010524998"/>
    <n v="132.53230293575874"/>
    <m/>
    <n v="3374"/>
    <s v="Sale"/>
    <x v="6"/>
    <x v="1"/>
    <n v="19405.560908878128"/>
    <n v="1"/>
    <n v="19405.560908878128"/>
    <n v="20.465199999999999"/>
    <n v="397138.68511237262"/>
    <n v="447163.99010524998"/>
    <n v="-50025.304992877354"/>
    <n v="0.76164383561643834"/>
    <n v="1"/>
    <n v="-50025.304992877354"/>
    <n v="0"/>
    <m/>
    <n v="-1570.9390911218725"/>
    <m/>
    <n v="-7.4890429343402024E-2"/>
    <m/>
  </r>
  <r>
    <x v="1"/>
    <s v="Purchase"/>
    <x v="22"/>
    <x v="1"/>
    <x v="1"/>
    <x v="21"/>
    <n v="227917.46"/>
    <x v="1"/>
    <n v="43074"/>
    <n v="5.2913000882202716"/>
    <n v="1"/>
    <n v="227917.46"/>
    <n v="20.500800000000002"/>
    <n v="4672490.2639680002"/>
    <n v="118.98099999999999"/>
    <n v="120.15900000000001"/>
    <n v="1.0099"/>
    <n v="4718747.9175812835"/>
    <n v="109.54979610858716"/>
    <m/>
    <n v="43074"/>
    <s v="Sale"/>
    <x v="5"/>
    <x v="1"/>
    <n v="227086.12999999998"/>
    <n v="1"/>
    <n v="227086.12999999998"/>
    <n v="19.9377"/>
    <n v="4527575.1341009997"/>
    <n v="4718747.9175812835"/>
    <n v="-191172.7834802838"/>
    <n v="0.18630136986301371"/>
    <n v="1"/>
    <n v="-191172.7834802838"/>
    <n v="0"/>
    <m/>
    <n v="-831.3300000000163"/>
    <m/>
    <n v="-3.6475046712086748E-3"/>
    <m/>
  </r>
  <r>
    <x v="1"/>
    <s v="Purchase"/>
    <x v="23"/>
    <x v="1"/>
    <x v="1"/>
    <x v="21"/>
    <n v="15772.920454741869"/>
    <x v="1"/>
    <n v="2956"/>
    <n v="5.3359000185188998"/>
    <n v="1"/>
    <n v="15772.920454741869"/>
    <n v="20.500800000000002"/>
    <n v="323357.48765857215"/>
    <n v="118.98099999999999"/>
    <n v="120.15900000000001"/>
    <n v="1.0099"/>
    <n v="326558.72678639204"/>
    <n v="110.47318226873885"/>
    <m/>
    <n v="2956"/>
    <s v="Sale"/>
    <x v="5"/>
    <x v="1"/>
    <n v="15721.19"/>
    <n v="1"/>
    <n v="15721.19"/>
    <n v="19.9377"/>
    <n v="313444.369863"/>
    <n v="326558.72678639204"/>
    <n v="-13114.356923392043"/>
    <n v="0.18630136986301371"/>
    <n v="1"/>
    <n v="-13114.356923392043"/>
    <n v="0"/>
    <m/>
    <n v="-51.730454741868016"/>
    <m/>
    <n v="-3.279700477175494E-3"/>
    <m/>
  </r>
  <r>
    <x v="1"/>
    <s v="Purchase"/>
    <x v="23"/>
    <x v="1"/>
    <x v="1"/>
    <x v="21"/>
    <n v="87257.973002839572"/>
    <x v="1"/>
    <n v="16353"/>
    <n v="5.3359000185188998"/>
    <n v="1"/>
    <n v="87257.973002839572"/>
    <n v="20.500800000000002"/>
    <n v="1788858.2529366137"/>
    <n v="118.98099999999999"/>
    <n v="122.044"/>
    <n v="1.0257000000000001"/>
    <n v="1834831.9100370847"/>
    <n v="112.20154773051334"/>
    <m/>
    <n v="16353"/>
    <s v="Sale"/>
    <x v="6"/>
    <x v="1"/>
    <n v="86409.25"/>
    <n v="1"/>
    <n v="86409.25"/>
    <n v="20.465199999999999"/>
    <n v="1768382.5830999999"/>
    <n v="1834831.9100370847"/>
    <n v="-66449.326937084785"/>
    <n v="0.45479452054794522"/>
    <n v="1"/>
    <n v="-66449.326937084785"/>
    <n v="0"/>
    <m/>
    <n v="-848.72300283957156"/>
    <m/>
    <n v="-9.7265954460339366E-3"/>
    <m/>
  </r>
  <r>
    <x v="1"/>
    <s v="Purchase"/>
    <x v="24"/>
    <x v="1"/>
    <x v="1"/>
    <x v="21"/>
    <n v="444768.51999999996"/>
    <x v="1"/>
    <n v="12373"/>
    <n v="35.946700072739027"/>
    <n v="1"/>
    <n v="444768.51999999996"/>
    <n v="20.500800000000002"/>
    <n v="9118110.4748160001"/>
    <n v="118.98099999999999"/>
    <n v="122.044"/>
    <n v="1.0257000000000001"/>
    <n v="9352445.9140187725"/>
    <n v="755.87536684868439"/>
    <m/>
    <n v="12373"/>
    <s v="Sale"/>
    <x v="6"/>
    <x v="1"/>
    <n v="358928.35791038186"/>
    <n v="1"/>
    <n v="358928.35791038186"/>
    <n v="20.465199999999999"/>
    <n v="7345540.6303075468"/>
    <n v="9352445.9140187725"/>
    <n v="-2006905.2837112257"/>
    <n v="0.45479452054794522"/>
    <n v="1"/>
    <n v="-2006905.2837112257"/>
    <n v="0"/>
    <m/>
    <n v="-85840.162089618098"/>
    <m/>
    <n v="-0.19299963515767282"/>
    <m/>
  </r>
  <r>
    <x v="1"/>
    <s v="Purchase"/>
    <x v="24"/>
    <x v="1"/>
    <x v="1"/>
    <x v="22"/>
    <n v="39086.22913417052"/>
    <x v="1"/>
    <n v="1218"/>
    <n v="32.09050011015642"/>
    <n v="1"/>
    <n v="39086.22913417052"/>
    <n v="19.9377"/>
    <n v="779289.51060835156"/>
    <n v="120.809"/>
    <n v="122.044"/>
    <n v="1.0102"/>
    <n v="787238.26361655677"/>
    <n v="646.33683383953758"/>
    <m/>
    <n v="1218"/>
    <s v="Sale"/>
    <x v="6"/>
    <x v="1"/>
    <n v="35332.96208961813"/>
    <n v="1"/>
    <n v="35332.96208961813"/>
    <n v="20.465199999999999"/>
    <n v="723096.13575645292"/>
    <n v="787238.26361655677"/>
    <n v="-64142.12786010385"/>
    <n v="0.26849315068493151"/>
    <n v="1"/>
    <n v="-64142.12786010385"/>
    <n v="0"/>
    <m/>
    <n v="-3753.2670445523909"/>
    <m/>
    <n v="-9.602530424893703E-2"/>
    <m/>
  </r>
  <r>
    <x v="1"/>
    <s v="Purchase"/>
    <x v="25"/>
    <x v="1"/>
    <x v="1"/>
    <x v="21"/>
    <n v="88866.109488753369"/>
    <x v="1"/>
    <n v="10128"/>
    <n v="8.7742999100269916"/>
    <n v="1"/>
    <n v="88866.109488753369"/>
    <n v="20.500800000000002"/>
    <n v="1821826.3374070353"/>
    <n v="118.98099999999999"/>
    <n v="122.044"/>
    <n v="1.0257000000000001"/>
    <n v="1868647.2742783963"/>
    <n v="184.50308790268525"/>
    <m/>
    <n v="10128"/>
    <s v="Sale"/>
    <x v="6"/>
    <x v="1"/>
    <n v="77497.429999999993"/>
    <n v="1"/>
    <n v="77497.429999999993"/>
    <n v="20.465199999999999"/>
    <n v="1586000.4044359999"/>
    <n v="1868647.2742783963"/>
    <n v="-282646.86984239635"/>
    <n v="0.45479452054794522"/>
    <n v="1"/>
    <n v="-282646.86984239635"/>
    <n v="0"/>
    <m/>
    <n v="-11368.679488753376"/>
    <m/>
    <n v="-0.12793042875576952"/>
    <m/>
  </r>
  <r>
    <x v="1"/>
    <s v="Purchase"/>
    <x v="26"/>
    <x v="1"/>
    <x v="1"/>
    <x v="22"/>
    <n v="367824.39"/>
    <x v="1"/>
    <n v="67287"/>
    <n v="5.4665000668777033"/>
    <n v="1"/>
    <n v="367824.39"/>
    <n v="19.9377"/>
    <n v="7333572.3405029997"/>
    <n v="120.809"/>
    <n v="122.044"/>
    <n v="1.0102"/>
    <n v="7408374.7783761304"/>
    <n v="110.10113065489813"/>
    <m/>
    <n v="67287"/>
    <s v="Sale"/>
    <x v="6"/>
    <x v="1"/>
    <n v="363215.23"/>
    <n v="1"/>
    <n v="363215.23"/>
    <n v="20.465199999999999"/>
    <n v="7433272.3249959992"/>
    <n v="7408374.7783761304"/>
    <n v="24897.546619868837"/>
    <n v="0.26849315068493151"/>
    <n v="1"/>
    <n v="24897.546619868837"/>
    <n v="0"/>
    <m/>
    <n v="-4609.1600000000326"/>
    <m/>
    <n v="-1.2530871049633312E-2"/>
    <m/>
  </r>
  <r>
    <x v="0"/>
    <m/>
    <x v="0"/>
    <x v="0"/>
    <x v="0"/>
    <x v="0"/>
    <m/>
    <x v="0"/>
    <n v="0"/>
    <n v="0"/>
    <n v="0"/>
    <n v="0"/>
    <n v="0"/>
    <n v="0"/>
    <n v="0"/>
    <n v="0"/>
    <n v="0"/>
    <n v="0"/>
    <n v="0"/>
    <m/>
    <m/>
    <m/>
    <x v="0"/>
    <x v="0"/>
    <m/>
    <n v="0"/>
    <n v="0"/>
    <n v="0"/>
    <n v="0"/>
    <n v="0"/>
    <n v="0"/>
    <n v="0"/>
    <n v="1"/>
    <n v="0"/>
    <n v="0"/>
    <m/>
    <n v="0"/>
    <m/>
    <n v="0"/>
    <m/>
  </r>
  <r>
    <x v="3"/>
    <s v="Purchase"/>
    <x v="27"/>
    <x v="1"/>
    <x v="1"/>
    <x v="23"/>
    <n v="212505"/>
    <x v="1"/>
    <n v="500"/>
    <n v="425.01"/>
    <n v="1"/>
    <n v="212505"/>
    <n v="19.8657"/>
    <n v="4221560.5784999998"/>
    <n v="121.02200000000001"/>
    <n v="120.809"/>
    <n v="1"/>
    <n v="4221560.5784999998"/>
    <n v="8443.1211569999996"/>
    <m/>
    <n v="500"/>
    <s v="Sale"/>
    <x v="7"/>
    <x v="1"/>
    <n v="196170.5"/>
    <n v="1"/>
    <n v="196170.5"/>
    <n v="19.828199999999999"/>
    <n v="3889707.9080999997"/>
    <n v="4221560.5784999998"/>
    <n v="-331852.67040000018"/>
    <n v="2.7397260273972603E-3"/>
    <n v="1"/>
    <n v="-331852.67040000018"/>
    <n v="0"/>
    <m/>
    <n v="-16334.5"/>
    <m/>
    <n v="-7.6866426672313595E-2"/>
    <m/>
  </r>
  <r>
    <x v="3"/>
    <s v="Purchase"/>
    <x v="27"/>
    <x v="1"/>
    <x v="1"/>
    <x v="24"/>
    <n v="42001"/>
    <x v="1"/>
    <n v="100"/>
    <n v="420.01"/>
    <n v="1"/>
    <n v="42001"/>
    <n v="20.6675"/>
    <n v="868055.66749999998"/>
    <n v="122.044"/>
    <n v="121.02200000000001"/>
    <n v="1"/>
    <n v="868055.66749999998"/>
    <n v="8680.5566749999998"/>
    <m/>
    <n v="100"/>
    <s v="Sale"/>
    <x v="8"/>
    <x v="1"/>
    <n v="37188.14"/>
    <n v="1"/>
    <n v="37188.14"/>
    <n v="20.475999999999999"/>
    <n v="761464.35463999992"/>
    <n v="868055.66749999998"/>
    <n v="-106591.31286000006"/>
    <n v="1.0958904109589041E-2"/>
    <n v="1"/>
    <n v="-106591.31286000006"/>
    <n v="0"/>
    <m/>
    <n v="-4812.8600000000006"/>
    <m/>
    <n v="-0.11458917644817981"/>
    <m/>
  </r>
  <r>
    <x v="3"/>
    <s v="Purchase"/>
    <x v="27"/>
    <x v="1"/>
    <x v="1"/>
    <x v="25"/>
    <n v="126003"/>
    <x v="1"/>
    <n v="300"/>
    <n v="420.01"/>
    <n v="1"/>
    <n v="126003"/>
    <n v="20.244199999999999"/>
    <n v="2550829.9325999999"/>
    <n v="122.044"/>
    <n v="121.02200000000001"/>
    <n v="1"/>
    <n v="2550829.9325999999"/>
    <n v="8502.7664420000001"/>
    <m/>
    <n v="300"/>
    <s v="Sale"/>
    <x v="9"/>
    <x v="1"/>
    <n v="113001.41"/>
    <n v="1"/>
    <n v="113001.41"/>
    <n v="20.196300000000001"/>
    <n v="2282210.3767830003"/>
    <n v="2550829.9325999999"/>
    <n v="-268619.55581699964"/>
    <n v="2.7397260273972603E-3"/>
    <n v="1"/>
    <n v="-268619.55581699964"/>
    <n v="0"/>
    <m/>
    <n v="-13001.589999999997"/>
    <m/>
    <n v="-0.10318476544209262"/>
    <m/>
  </r>
  <r>
    <x v="3"/>
    <s v="Purchase"/>
    <x v="27"/>
    <x v="1"/>
    <x v="1"/>
    <x v="26"/>
    <n v="83002"/>
    <x v="1"/>
    <n v="200"/>
    <n v="415.01"/>
    <n v="1"/>
    <n v="83002"/>
    <n v="20.722799999999999"/>
    <n v="1720033.8455999999"/>
    <n v="122.94799999999999"/>
    <n v="122.044"/>
    <n v="1"/>
    <n v="1720033.8455999999"/>
    <n v="8600.1692279999988"/>
    <m/>
    <n v="200"/>
    <s v="Sale"/>
    <x v="10"/>
    <x v="1"/>
    <n v="77178.23"/>
    <n v="1"/>
    <n v="77178.23"/>
    <n v="20.6022"/>
    <n v="1590041.330106"/>
    <n v="1720033.8455999997"/>
    <n v="-129992.5154939997"/>
    <n v="8.21917808219178E-3"/>
    <n v="1"/>
    <n v="-129992.5154939997"/>
    <n v="0"/>
    <m/>
    <n v="-5823.7700000000041"/>
    <m/>
    <n v="-7.016421291053232E-2"/>
    <m/>
  </r>
  <r>
    <x v="3"/>
    <s v="Purchase"/>
    <x v="27"/>
    <x v="1"/>
    <x v="1"/>
    <x v="27"/>
    <n v="124503"/>
    <x v="1"/>
    <n v="300"/>
    <n v="415.01"/>
    <n v="1"/>
    <n v="124503"/>
    <n v="20.6022"/>
    <n v="2565035.7066000002"/>
    <n v="122.94799999999999"/>
    <n v="122.044"/>
    <n v="1"/>
    <n v="2565035.7066000002"/>
    <n v="8550.1190220000008"/>
    <m/>
    <n v="300"/>
    <s v="Sale"/>
    <x v="11"/>
    <x v="1"/>
    <n v="115092.36"/>
    <n v="1"/>
    <n v="115092.36"/>
    <n v="20.442299999999999"/>
    <n v="2352752.5508280001"/>
    <n v="2565035.7066000002"/>
    <n v="-212283.15577200009"/>
    <n v="2.7397260273972603E-3"/>
    <n v="1"/>
    <n v="-212283.15577200009"/>
    <n v="0"/>
    <m/>
    <n v="-9410.64"/>
    <m/>
    <n v="-7.5585648538589428E-2"/>
    <m/>
  </r>
  <r>
    <x v="0"/>
    <m/>
    <x v="0"/>
    <x v="0"/>
    <x v="0"/>
    <x v="0"/>
    <m/>
    <x v="0"/>
    <n v="0"/>
    <n v="0"/>
    <n v="0"/>
    <n v="0"/>
    <n v="0"/>
    <n v="0"/>
    <n v="0"/>
    <n v="0"/>
    <n v="0"/>
    <n v="0"/>
    <n v="0"/>
    <m/>
    <m/>
    <m/>
    <x v="0"/>
    <x v="0"/>
    <m/>
    <n v="0"/>
    <n v="0"/>
    <n v="0"/>
    <n v="0"/>
    <n v="0"/>
    <n v="0"/>
    <n v="0"/>
    <n v="1"/>
    <n v="0"/>
    <n v="0"/>
    <m/>
    <n v="0"/>
    <m/>
    <n v="0"/>
    <m/>
  </r>
  <r>
    <x v="2"/>
    <s v="Purchase"/>
    <x v="28"/>
    <x v="1"/>
    <x v="2"/>
    <x v="13"/>
    <n v="8886666.1799999997"/>
    <x v="1"/>
    <n v="89712"/>
    <n v="99.05772003745318"/>
    <n v="5.2260529190118581E-2"/>
    <n v="464421.87730272958"/>
    <n v="19.134899999999998"/>
    <n v="8886666.1799999997"/>
    <n v="97.695173988822006"/>
    <n v="124.571"/>
    <n v="1.2749999999999999"/>
    <n v="11330499.379499998"/>
    <n v="126.29859304775279"/>
    <m/>
    <n v="89712"/>
    <s v="Sale"/>
    <x v="12"/>
    <x v="2"/>
    <n v="9986463.5299999993"/>
    <n v="4.9998000079996795E-2"/>
    <n v="499303.20437182504"/>
    <n v="20.000800000000002"/>
    <n v="9986463.5299999993"/>
    <n v="11330499.379499998"/>
    <n v="-1344035.8494999986"/>
    <n v="4.9068493150684933"/>
    <n v="1"/>
    <n v="-1344035.8494999986"/>
    <n v="0"/>
    <m/>
    <n v="34881.327069095452"/>
    <m/>
    <n v="3.9251307928723674E-3"/>
    <m/>
  </r>
  <r>
    <x v="0"/>
    <m/>
    <x v="0"/>
    <x v="0"/>
    <x v="0"/>
    <x v="0"/>
    <m/>
    <x v="0"/>
    <n v="0"/>
    <n v="0"/>
    <n v="0"/>
    <n v="0"/>
    <n v="0"/>
    <n v="0"/>
    <n v="0"/>
    <n v="0"/>
    <n v="0"/>
    <n v="0"/>
    <n v="0"/>
    <m/>
    <m/>
    <m/>
    <x v="0"/>
    <x v="0"/>
    <m/>
    <n v="0"/>
    <n v="0"/>
    <n v="0"/>
    <n v="0"/>
    <n v="0"/>
    <n v="0"/>
    <n v="0"/>
    <n v="1"/>
    <n v="0"/>
    <n v="0"/>
    <m/>
    <n v="0"/>
    <m/>
    <n v="0"/>
    <m/>
  </r>
  <r>
    <x v="1"/>
    <s v="Purchase"/>
    <x v="16"/>
    <x v="1"/>
    <x v="1"/>
    <x v="7"/>
    <n v="13110.260053072056"/>
    <x v="1"/>
    <n v="200"/>
    <n v="65.551300265360283"/>
    <n v="1"/>
    <n v="13110.260053072056"/>
    <n v="20.1722"/>
    <n v="264462.78784258012"/>
    <n v="110.907"/>
    <n v="124.571"/>
    <n v="1.1232"/>
    <n v="297044.60330478597"/>
    <n v="1485.2230165239298"/>
    <m/>
    <n v="200"/>
    <s v="Sale"/>
    <x v="13"/>
    <x v="1"/>
    <n v="11903.14"/>
    <n v="1"/>
    <n v="11903.14"/>
    <n v="19.8553"/>
    <n v="236340.41564199998"/>
    <n v="297044.60330478597"/>
    <n v="-60704.187662785989"/>
    <n v="1.7287671232876711"/>
    <n v="1"/>
    <n v="-60704.187662785989"/>
    <n v="0"/>
    <m/>
    <n v="-1207.1200530720562"/>
    <m/>
    <n v="-9.207445528810837E-2"/>
    <m/>
  </r>
  <r>
    <x v="1"/>
    <s v="Purchase"/>
    <x v="17"/>
    <x v="1"/>
    <x v="1"/>
    <x v="3"/>
    <n v="255213.1886864813"/>
    <x v="1"/>
    <n v="1432"/>
    <n v="178.22150047938638"/>
    <n v="1"/>
    <n v="255213.1886864813"/>
    <n v="20.6"/>
    <n v="5257391.6869415147"/>
    <n v="113.018"/>
    <n v="124.571"/>
    <n v="1.1022000000000001"/>
    <n v="5794697.1173469378"/>
    <n v="4046.5761992646212"/>
    <m/>
    <n v="1432"/>
    <s v="Sale"/>
    <x v="13"/>
    <x v="1"/>
    <n v="225921.06"/>
    <n v="1"/>
    <n v="225921.06"/>
    <n v="19.8553"/>
    <n v="4485730.4226179998"/>
    <n v="5794697.1173469378"/>
    <n v="-1308966.6947289379"/>
    <n v="1.3479452054794521"/>
    <n v="1"/>
    <n v="-1308966.6947289379"/>
    <n v="0"/>
    <m/>
    <n v="-29292.128686481301"/>
    <m/>
    <n v="-0.11477513696388729"/>
    <m/>
  </r>
  <r>
    <x v="1"/>
    <s v="Purchase"/>
    <x v="17"/>
    <x v="1"/>
    <x v="1"/>
    <x v="3"/>
    <n v="107111.12178811121"/>
    <x v="1"/>
    <n v="601"/>
    <n v="178.22150047938638"/>
    <n v="1"/>
    <n v="107111.12178811121"/>
    <n v="20.6"/>
    <n v="2206489.1088350909"/>
    <n v="113.018"/>
    <n v="125.997"/>
    <n v="1.1148"/>
    <n v="2459794.0585293593"/>
    <n v="4092.8353719290503"/>
    <m/>
    <n v="601"/>
    <s v="Sale"/>
    <x v="14"/>
    <x v="1"/>
    <n v="100864.80759675967"/>
    <n v="1"/>
    <n v="100864.80759675967"/>
    <n v="19.3965"/>
    <n v="1956424.2405505488"/>
    <n v="2459794.0585293593"/>
    <n v="-503369.81797881052"/>
    <n v="1.4438356164383561"/>
    <n v="1"/>
    <n v="-503369.81797881052"/>
    <n v="0"/>
    <m/>
    <n v="-6246.3141913515428"/>
    <m/>
    <n v="-5.8316205516996573E-2"/>
    <m/>
  </r>
  <r>
    <x v="1"/>
    <s v="Purchase"/>
    <x v="17"/>
    <x v="1"/>
    <x v="1"/>
    <x v="5"/>
    <n v="188524.2"/>
    <x v="1"/>
    <n v="1006"/>
    <n v="187.39980119284294"/>
    <n v="1"/>
    <n v="188524.2"/>
    <n v="20.184999999999999"/>
    <n v="3805360.977"/>
    <n v="115.56100000000001"/>
    <n v="125.997"/>
    <n v="1.0903"/>
    <n v="4148985.0732231"/>
    <n v="4124.2396354106359"/>
    <m/>
    <n v="1006"/>
    <s v="Sale"/>
    <x v="14"/>
    <x v="1"/>
    <n v="168835.26862286229"/>
    <n v="1"/>
    <n v="168835.26862286229"/>
    <n v="19.3965"/>
    <n v="3274813.2878433485"/>
    <n v="4148985.0732230996"/>
    <n v="-874171.78537975112"/>
    <n v="1.1123287671232878"/>
    <n v="1"/>
    <n v="-874171.78537975112"/>
    <n v="0"/>
    <m/>
    <n v="-19688.93137713772"/>
    <m/>
    <n v="-0.10443715648780219"/>
    <m/>
  </r>
  <r>
    <x v="1"/>
    <s v="Purchase"/>
    <x v="17"/>
    <x v="1"/>
    <x v="1"/>
    <x v="21"/>
    <n v="114498.17631375579"/>
    <x v="1"/>
    <n v="615"/>
    <n v="186.17589644513137"/>
    <n v="1"/>
    <n v="114498.17631375579"/>
    <n v="20.500800000000002"/>
    <n v="2347304.2129730447"/>
    <n v="118.98099999999999"/>
    <n v="125.997"/>
    <n v="1.0589"/>
    <n v="2485560.431117157"/>
    <n v="4041.5616766132634"/>
    <m/>
    <n v="615"/>
    <s v="Sale"/>
    <x v="14"/>
    <x v="1"/>
    <n v="103214.40378037804"/>
    <n v="1"/>
    <n v="103214.40378037804"/>
    <n v="19.3965"/>
    <n v="2001998.1829261025"/>
    <n v="2485560.431117157"/>
    <n v="-483562.24819105444"/>
    <n v="0.80547945205479454"/>
    <n v="1"/>
    <n v="-483562.24819105444"/>
    <n v="0"/>
    <m/>
    <n v="-11283.772533377749"/>
    <m/>
    <n v="-9.854980137375445E-2"/>
    <m/>
  </r>
  <r>
    <x v="1"/>
    <s v="Purchase"/>
    <x v="18"/>
    <x v="1"/>
    <x v="1"/>
    <x v="1"/>
    <n v="159652.37063180827"/>
    <x v="1"/>
    <n v="652"/>
    <n v="244.86559912854028"/>
    <n v="1"/>
    <n v="159652.37063180827"/>
    <n v="19.5793"/>
    <n v="3125881.6603113636"/>
    <n v="110.21"/>
    <n v="125.997"/>
    <n v="1.1432"/>
    <n v="3573507.914067951"/>
    <n v="5480.8403589999252"/>
    <m/>
    <n v="652"/>
    <s v="Sale"/>
    <x v="14"/>
    <x v="1"/>
    <n v="149798.29999999999"/>
    <n v="1"/>
    <n v="149798.29999999999"/>
    <n v="19.3965"/>
    <n v="2905562.7259499999"/>
    <n v="3573507.914067951"/>
    <n v="-667945.18811795115"/>
    <n v="1.8602739726027397"/>
    <n v="1"/>
    <n v="-667945.18811795115"/>
    <n v="0"/>
    <m/>
    <n v="-9854.0706318082812"/>
    <m/>
    <n v="-6.1722043918369537E-2"/>
    <m/>
  </r>
  <r>
    <x v="1"/>
    <s v="Purchase"/>
    <x v="29"/>
    <x v="1"/>
    <x v="1"/>
    <x v="20"/>
    <n v="33830.022516655408"/>
    <x v="1"/>
    <n v="5346"/>
    <n v="6.3280999844099153"/>
    <n v="1"/>
    <n v="33830.022516655408"/>
    <n v="20.161200000000001"/>
    <n v="682053.84996279306"/>
    <n v="112.19"/>
    <n v="125.997"/>
    <n v="1.123"/>
    <n v="765946.47350821656"/>
    <n v="143.27468640258448"/>
    <m/>
    <n v="5346"/>
    <s v="Sale"/>
    <x v="14"/>
    <x v="1"/>
    <n v="35614.519999999997"/>
    <n v="1"/>
    <n v="35614.519999999997"/>
    <n v="19.3965"/>
    <n v="690797.03717999987"/>
    <n v="765946.47350821667"/>
    <n v="-75149.436328216805"/>
    <n v="1.6520547945205479"/>
    <n v="1"/>
    <n v="-75149.436328216805"/>
    <n v="0"/>
    <m/>
    <n v="1784.4974833445885"/>
    <m/>
    <n v="5.2748929814221482E-2"/>
    <m/>
  </r>
  <r>
    <x v="1"/>
    <s v="Purchase"/>
    <x v="10"/>
    <x v="1"/>
    <x v="1"/>
    <x v="10"/>
    <n v="10012.736916996048"/>
    <x v="1"/>
    <n v="35"/>
    <n v="286.0781976284585"/>
    <n v="1"/>
    <n v="10012.736916996048"/>
    <n v="24.3812"/>
    <n v="244122.54132066402"/>
    <n v="106.16200000000001"/>
    <n v="125.997"/>
    <n v="1.1868000000000001"/>
    <n v="289724.63203936408"/>
    <n v="8277.846629696116"/>
    <m/>
    <n v="35"/>
    <s v="Sale"/>
    <x v="14"/>
    <x v="1"/>
    <n v="14540.722368421051"/>
    <n v="1"/>
    <n v="14540.722368421051"/>
    <n v="19.3965"/>
    <n v="282039.1214190789"/>
    <n v="289724.63203936408"/>
    <n v="-7685.5106202851748"/>
    <n v="2.5753424657534247"/>
    <n v="1"/>
    <n v="-7685.5106202851748"/>
    <n v="0"/>
    <m/>
    <n v="4527.9854514250037"/>
    <m/>
    <n v="0.45222255303033154"/>
    <m/>
  </r>
  <r>
    <x v="1"/>
    <s v="Purchase"/>
    <x v="10"/>
    <x v="1"/>
    <x v="1"/>
    <x v="9"/>
    <n v="1081.0066666666667"/>
    <x v="1"/>
    <n v="3"/>
    <n v="360.33555555555557"/>
    <n v="1"/>
    <n v="1081.0066666666667"/>
    <n v="20.1858"/>
    <n v="21820.984371999999"/>
    <n v="108.85599999999999"/>
    <n v="125.997"/>
    <n v="1.1574"/>
    <n v="25255.607312152799"/>
    <n v="8418.535770717599"/>
    <m/>
    <n v="3"/>
    <s v="Sale"/>
    <x v="14"/>
    <x v="1"/>
    <n v="1246.3476315789474"/>
    <n v="1"/>
    <n v="1246.3476315789474"/>
    <n v="19.3965"/>
    <n v="24174.781835921051"/>
    <n v="25255.607312152795"/>
    <n v="-1080.8254762317447"/>
    <n v="2.0246575342465754"/>
    <n v="1"/>
    <n v="-1080.8254762317447"/>
    <n v="0"/>
    <m/>
    <n v="165.3409649122807"/>
    <m/>
    <n v="0.15295092066556545"/>
    <m/>
  </r>
  <r>
    <x v="1"/>
    <s v="Purchase"/>
    <x v="6"/>
    <x v="1"/>
    <x v="1"/>
    <x v="2"/>
    <n v="1106.8416190417158"/>
    <x v="1"/>
    <n v="192"/>
    <n v="5.764800099175603"/>
    <n v="1"/>
    <n v="1106.8416190417158"/>
    <n v="20.2483"/>
    <n v="22411.661154842375"/>
    <n v="112.19"/>
    <n v="124.571"/>
    <n v="1.1103000000000001"/>
    <n v="24883.66738022149"/>
    <n v="129.60243427198694"/>
    <m/>
    <n v="192"/>
    <s v="Sale"/>
    <x v="13"/>
    <x v="1"/>
    <n v="930.43"/>
    <n v="1"/>
    <n v="930.43"/>
    <n v="19.8553"/>
    <n v="18473.966778999998"/>
    <n v="24883.667380221494"/>
    <n v="-6409.7006012214952"/>
    <n v="1.558904109589041"/>
    <n v="1"/>
    <n v="-6409.7006012214952"/>
    <n v="0"/>
    <m/>
    <n v="-176.41161904171588"/>
    <m/>
    <n v="-0.1593828927344185"/>
    <m/>
  </r>
  <r>
    <x v="1"/>
    <s v="Purchase"/>
    <x v="20"/>
    <x v="1"/>
    <x v="1"/>
    <x v="1"/>
    <n v="37398.374214434603"/>
    <x v="1"/>
    <n v="549"/>
    <n v="68.120900208441896"/>
    <n v="1"/>
    <n v="37398.374214434603"/>
    <n v="19.5793"/>
    <n v="732233.98825667938"/>
    <n v="110.21"/>
    <n v="125.997"/>
    <n v="1.1432"/>
    <n v="837089.89537503582"/>
    <n v="1524.7539077869505"/>
    <m/>
    <n v="549"/>
    <s v="Sale"/>
    <x v="14"/>
    <x v="1"/>
    <n v="42282.223850425769"/>
    <n v="1"/>
    <n v="42282.223850425769"/>
    <n v="19.3965"/>
    <n v="820127.15491478343"/>
    <n v="837089.89537503582"/>
    <n v="-16962.740460252389"/>
    <n v="1.8602739726027397"/>
    <n v="1"/>
    <n v="-16962.740460252389"/>
    <n v="0"/>
    <m/>
    <n v="4883.849635991166"/>
    <m/>
    <n v="0.1305898916350795"/>
    <m/>
  </r>
  <r>
    <x v="1"/>
    <s v="Purchase"/>
    <x v="20"/>
    <x v="1"/>
    <x v="1"/>
    <x v="2"/>
    <n v="154951.9643504532"/>
    <x v="1"/>
    <n v="2152"/>
    <n v="72.00370090634442"/>
    <n v="1"/>
    <n v="154951.9643504532"/>
    <n v="20.2483"/>
    <n v="3137513.8597572814"/>
    <n v="112.19"/>
    <n v="125.997"/>
    <n v="1.123"/>
    <n v="3523428.0645074272"/>
    <n v="1637.2806991205516"/>
    <m/>
    <n v="2152"/>
    <s v="Sale"/>
    <x v="14"/>
    <x v="1"/>
    <n v="165740.15614957426"/>
    <n v="1"/>
    <n v="165740.15614957426"/>
    <n v="19.3965"/>
    <n v="3214778.938755217"/>
    <n v="3523428.0645074272"/>
    <n v="-308649.12575221015"/>
    <n v="1.6547945205479453"/>
    <n v="1"/>
    <n v="-308649.12575221015"/>
    <n v="0"/>
    <m/>
    <n v="10788.191799121065"/>
    <m/>
    <n v="6.9622814040108116E-2"/>
    <m/>
  </r>
  <r>
    <x v="1"/>
    <s v="Purchase"/>
    <x v="30"/>
    <x v="1"/>
    <x v="1"/>
    <x v="7"/>
    <n v="392796.83244607155"/>
    <x v="1"/>
    <n v="55039"/>
    <n v="7.1367000208228992"/>
    <n v="1"/>
    <n v="392796.83244607155"/>
    <n v="20.1722"/>
    <n v="7923576.2634686446"/>
    <n v="110.907"/>
    <n v="124.571"/>
    <n v="1.1232"/>
    <n v="8899760.8591279816"/>
    <n v="161.69917438776108"/>
    <m/>
    <n v="55039"/>
    <s v="Sale"/>
    <x v="13"/>
    <x v="1"/>
    <n v="377677.62"/>
    <n v="1"/>
    <n v="377677.62"/>
    <n v="19.8553"/>
    <n v="7498902.4483859995"/>
    <n v="8899760.8591279816"/>
    <n v="-1400858.4107419821"/>
    <n v="1.7287671232876711"/>
    <n v="1"/>
    <n v="-1400858.4107419821"/>
    <n v="0"/>
    <m/>
    <n v="-15119.212446071557"/>
    <m/>
    <n v="-3.8491177110363602E-2"/>
    <m/>
  </r>
  <r>
    <x v="1"/>
    <s v="Purchase"/>
    <x v="30"/>
    <x v="1"/>
    <x v="1"/>
    <x v="7"/>
    <n v="40921.837919398502"/>
    <x v="1"/>
    <n v="5734"/>
    <n v="7.1367000208228992"/>
    <n v="1"/>
    <n v="40921.837919398502"/>
    <n v="20.1722"/>
    <n v="825483.49887769052"/>
    <n v="110.907"/>
    <n v="125.997"/>
    <n v="1.1359999999999999"/>
    <n v="937749.25472505635"/>
    <n v="163.54190002180962"/>
    <m/>
    <n v="5734"/>
    <s v="Sale"/>
    <x v="14"/>
    <x v="1"/>
    <n v="41476.32"/>
    <n v="1"/>
    <n v="41476.32"/>
    <n v="19.3965"/>
    <n v="804495.44088000001"/>
    <n v="937749.25472505635"/>
    <n v="-133253.81384505634"/>
    <n v="1.8246575342465754"/>
    <n v="1"/>
    <n v="-133253.81384505634"/>
    <n v="0"/>
    <m/>
    <n v="554.48208060149773"/>
    <m/>
    <n v="1.3549784388805572E-2"/>
    <m/>
  </r>
  <r>
    <x v="1"/>
    <s v="Purchase"/>
    <x v="21"/>
    <x v="1"/>
    <x v="1"/>
    <x v="1"/>
    <n v="144455.30925287356"/>
    <x v="1"/>
    <n v="3992"/>
    <n v="36.186199712643678"/>
    <n v="1"/>
    <n v="144455.30925287356"/>
    <n v="19.5793"/>
    <n v="2828333.8364547873"/>
    <n v="110.21"/>
    <n v="124.571"/>
    <n v="1.1303000000000001"/>
    <n v="3196865.7353448463"/>
    <n v="800.81806997616388"/>
    <m/>
    <n v="3992"/>
    <s v="Sale"/>
    <x v="13"/>
    <x v="1"/>
    <n v="127740.00800000002"/>
    <n v="1"/>
    <n v="127740.00800000002"/>
    <n v="19.8553"/>
    <n v="2536316.1808424001"/>
    <n v="3196865.7353448463"/>
    <n v="-660549.5545024462"/>
    <n v="1.7643835616438357"/>
    <n v="1"/>
    <n v="-660549.5545024462"/>
    <n v="0"/>
    <m/>
    <n v="-16715.301252873542"/>
    <m/>
    <n v="-0.11571261270579458"/>
    <m/>
  </r>
  <r>
    <x v="1"/>
    <s v="Purchase"/>
    <x v="21"/>
    <x v="1"/>
    <x v="1"/>
    <x v="7"/>
    <n v="3562.3200000000006"/>
    <x v="1"/>
    <n v="102"/>
    <n v="34.924705882352946"/>
    <n v="1"/>
    <n v="3562.3200000000006"/>
    <n v="20.1722"/>
    <n v="71859.831504000016"/>
    <n v="110.907"/>
    <n v="124.571"/>
    <n v="1.1232"/>
    <n v="80712.962745292811"/>
    <n v="791.3035563264001"/>
    <m/>
    <n v="102"/>
    <s v="Sale"/>
    <x v="13"/>
    <x v="1"/>
    <n v="3263.8980000000001"/>
    <n v="1"/>
    <n v="3263.8980000000001"/>
    <n v="19.8553"/>
    <n v="64805.673959400003"/>
    <n v="80712.962745292811"/>
    <n v="-15907.288785892808"/>
    <n v="1.7287671232876711"/>
    <n v="1"/>
    <n v="-15907.288785892808"/>
    <n v="0"/>
    <m/>
    <n v="-298.42200000000048"/>
    <m/>
    <n v="-8.377181162837713E-2"/>
    <m/>
  </r>
  <r>
    <x v="1"/>
    <s v="Purchase"/>
    <x v="21"/>
    <x v="1"/>
    <x v="1"/>
    <x v="2"/>
    <n v="51470.171577934576"/>
    <x v="1"/>
    <n v="1516"/>
    <n v="33.951300513149455"/>
    <n v="1"/>
    <n v="51470.171577934576"/>
    <n v="20.2483"/>
    <n v="1042183.4751614927"/>
    <n v="112.19"/>
    <n v="124.571"/>
    <n v="1.1103000000000001"/>
    <n v="1157136.3124718054"/>
    <n v="763.28252801570272"/>
    <m/>
    <n v="1516"/>
    <s v="Sale"/>
    <x v="13"/>
    <x v="1"/>
    <n v="48510.484000000004"/>
    <n v="1"/>
    <n v="48510.484000000004"/>
    <n v="19.8553"/>
    <n v="963190.21296520007"/>
    <n v="1157136.3124718054"/>
    <n v="-193946.0995066053"/>
    <n v="1.558904109589041"/>
    <n v="1"/>
    <n v="-193946.0995066053"/>
    <n v="0"/>
    <m/>
    <n v="-2959.6875779345719"/>
    <m/>
    <n v="-5.750296700396855E-2"/>
    <m/>
  </r>
  <r>
    <x v="1"/>
    <s v="Purchase"/>
    <x v="21"/>
    <x v="1"/>
    <x v="1"/>
    <x v="2"/>
    <n v="160250.13842206541"/>
    <x v="1"/>
    <n v="4720"/>
    <n v="33.951300513149455"/>
    <n v="1"/>
    <n v="160250.13842206541"/>
    <n v="20.2483"/>
    <n v="3244792.8778115073"/>
    <n v="112.19"/>
    <n v="125.997"/>
    <n v="1.123"/>
    <n v="3643902.4017823227"/>
    <n v="772.01322071659376"/>
    <m/>
    <n v="4720"/>
    <s v="Sale"/>
    <x v="14"/>
    <x v="1"/>
    <n v="163804.29685352623"/>
    <n v="1"/>
    <n v="163804.29685352623"/>
    <n v="19.3965"/>
    <n v="3177230.0439194217"/>
    <n v="3643902.4017823227"/>
    <n v="-466672.35786290094"/>
    <n v="1.6547945205479453"/>
    <n v="1"/>
    <n v="-466672.35786290094"/>
    <n v="0"/>
    <m/>
    <n v="3554.158431460819"/>
    <m/>
    <n v="2.2178816607945184E-2"/>
    <m/>
  </r>
  <r>
    <x v="1"/>
    <s v="Purchase"/>
    <x v="21"/>
    <x v="1"/>
    <x v="1"/>
    <x v="3"/>
    <n v="4864.8599999999997"/>
    <x v="1"/>
    <n v="139"/>
    <n v="34.998992805755393"/>
    <n v="1"/>
    <n v="4864.8599999999997"/>
    <n v="20.6"/>
    <n v="100216.11599999999"/>
    <n v="113.018"/>
    <n v="125.997"/>
    <n v="1.1148"/>
    <n v="111720.92611679999"/>
    <n v="803.74766990503588"/>
    <m/>
    <n v="139"/>
    <s v="Sale"/>
    <x v="14"/>
    <x v="1"/>
    <n v="4823.8977251356246"/>
    <n v="1"/>
    <n v="4823.8977251356246"/>
    <n v="19.3965"/>
    <n v="93566.732225593136"/>
    <n v="111720.92611679999"/>
    <n v="-18154.193891206858"/>
    <n v="1.4438356164383561"/>
    <n v="1"/>
    <n v="-18154.193891206858"/>
    <n v="0"/>
    <m/>
    <n v="-40.962274864375104"/>
    <m/>
    <n v="-8.420031586597581E-3"/>
    <m/>
  </r>
  <r>
    <x v="1"/>
    <s v="Purchase"/>
    <x v="21"/>
    <x v="1"/>
    <x v="1"/>
    <x v="4"/>
    <n v="7110.8600000000006"/>
    <x v="1"/>
    <n v="201"/>
    <n v="35.377412935323385"/>
    <n v="1"/>
    <n v="7110.8600000000006"/>
    <n v="20.060500000000001"/>
    <n v="142647.40703000003"/>
    <n v="114.601"/>
    <n v="125.997"/>
    <n v="1.0993999999999999"/>
    <n v="156826.55928878204"/>
    <n v="780.23163825264692"/>
    <m/>
    <n v="201"/>
    <s v="Sale"/>
    <x v="14"/>
    <x v="1"/>
    <n v="6975.5643363471982"/>
    <n v="1"/>
    <n v="6975.5643363471982"/>
    <n v="19.3965"/>
    <n v="135301.53364995844"/>
    <n v="156826.55928878204"/>
    <n v="-21525.025638823601"/>
    <n v="1.2493150684931507"/>
    <n v="1"/>
    <n v="-21525.025638823601"/>
    <n v="0"/>
    <m/>
    <n v="-135.29566365280243"/>
    <m/>
    <n v="-1.9026624578855782E-2"/>
    <m/>
  </r>
  <r>
    <x v="1"/>
    <s v="Purchase"/>
    <x v="21"/>
    <x v="1"/>
    <x v="1"/>
    <x v="5"/>
    <n v="3528.99"/>
    <x v="1"/>
    <n v="100"/>
    <n v="35.289899999999996"/>
    <n v="1"/>
    <n v="3528.99"/>
    <n v="20.184999999999999"/>
    <n v="71232.663149999993"/>
    <n v="115.56100000000001"/>
    <n v="125.997"/>
    <n v="1.0903"/>
    <n v="77664.972632445002"/>
    <n v="776.64972632445006"/>
    <m/>
    <n v="100"/>
    <s v="Sale"/>
    <x v="14"/>
    <x v="1"/>
    <n v="3470.4300180831829"/>
    <n v="1"/>
    <n v="3470.4300180831829"/>
    <n v="19.3965"/>
    <n v="67314.195845750452"/>
    <n v="77664.972632445002"/>
    <n v="-10350.776786694551"/>
    <n v="1.1123287671232878"/>
    <n v="1"/>
    <n v="-10350.776786694551"/>
    <n v="0"/>
    <m/>
    <n v="-58.559981916816923"/>
    <m/>
    <n v="-1.6593977856785347E-2"/>
    <m/>
  </r>
  <r>
    <x v="1"/>
    <s v="Purchase"/>
    <x v="21"/>
    <x v="1"/>
    <x v="1"/>
    <x v="21"/>
    <n v="13181.065348399246"/>
    <x v="1"/>
    <n v="370"/>
    <n v="35.624500941619587"/>
    <n v="1"/>
    <n v="13181.065348399246"/>
    <n v="20.500800000000002"/>
    <n v="270222.38449446327"/>
    <n v="118.98099999999999"/>
    <n v="125.997"/>
    <n v="1.0589"/>
    <n v="286138.48294118716"/>
    <n v="773.34725119239772"/>
    <m/>
    <n v="370"/>
    <s v="Sale"/>
    <x v="14"/>
    <x v="1"/>
    <n v="12840.591066907777"/>
    <n v="1"/>
    <n v="12840.591066907777"/>
    <n v="19.3965"/>
    <n v="249062.52462927668"/>
    <n v="286138.48294118716"/>
    <n v="-37075.958311910479"/>
    <n v="0.80547945205479454"/>
    <n v="1"/>
    <n v="-37075.958311910479"/>
    <n v="0"/>
    <m/>
    <n v="-340.47428149146981"/>
    <m/>
    <n v="-2.5830558645460185E-2"/>
    <m/>
  </r>
  <r>
    <x v="1"/>
    <s v="Purchase"/>
    <x v="23"/>
    <x v="1"/>
    <x v="1"/>
    <x v="21"/>
    <n v="56677.929996707753"/>
    <x v="1"/>
    <n v="10622"/>
    <n v="5.3359000185188998"/>
    <n v="1"/>
    <n v="56677.929996707753"/>
    <n v="20.500800000000002"/>
    <n v="1161942.9072765063"/>
    <n v="118.98099999999999"/>
    <n v="124.571"/>
    <n v="1.0468999999999999"/>
    <n v="1216438.0296277744"/>
    <n v="114.52062037542595"/>
    <m/>
    <n v="10622"/>
    <s v="Sale"/>
    <x v="13"/>
    <x v="1"/>
    <n v="56662"/>
    <n v="1"/>
    <n v="56662"/>
    <n v="19.8553"/>
    <n v="1125041.0086000001"/>
    <n v="1216438.0296277744"/>
    <n v="-91397.021027774317"/>
    <n v="0.70958904109589038"/>
    <n v="1"/>
    <n v="-91397.021027774317"/>
    <n v="0"/>
    <m/>
    <n v="-15.929996707753162"/>
    <m/>
    <n v="-2.8106172382580814E-4"/>
    <m/>
  </r>
  <r>
    <x v="1"/>
    <s v="Purchase"/>
    <x v="23"/>
    <x v="1"/>
    <x v="1"/>
    <x v="21"/>
    <n v="407401.30231393653"/>
    <x v="1"/>
    <n v="76351"/>
    <n v="5.3359000185188998"/>
    <n v="1"/>
    <n v="407401.30231393653"/>
    <n v="20.500800000000002"/>
    <n v="8352052.6184775503"/>
    <n v="118.98099999999999"/>
    <n v="125.997"/>
    <n v="1.0589"/>
    <n v="8843988.5177058782"/>
    <n v="115.83330300462178"/>
    <m/>
    <n v="76351"/>
    <s v="Sale"/>
    <x v="14"/>
    <x v="1"/>
    <n v="409981.96"/>
    <n v="1"/>
    <n v="409981.96"/>
    <n v="19.3965"/>
    <n v="7952215.0871400004"/>
    <n v="8843988.5177058782"/>
    <n v="-891773.43056587782"/>
    <n v="0.80547945205479454"/>
    <n v="1"/>
    <n v="-891773.43056587782"/>
    <n v="0"/>
    <m/>
    <n v="2580.6576860634959"/>
    <m/>
    <n v="6.3344365160494381E-3"/>
    <m/>
  </r>
  <r>
    <x v="1"/>
    <s v="Purchase"/>
    <x v="24"/>
    <x v="1"/>
    <x v="1"/>
    <x v="22"/>
    <n v="37674.247129323638"/>
    <x v="1"/>
    <n v="1174"/>
    <n v="32.09050011015642"/>
    <n v="1"/>
    <n v="37674.247129323638"/>
    <n v="19.9377"/>
    <n v="751137.83699031582"/>
    <n v="120.809"/>
    <n v="124.571"/>
    <n v="1.0310999999999999"/>
    <n v="774498.22372071457"/>
    <n v="659.70887880810437"/>
    <m/>
    <n v="1174"/>
    <s v="Sale"/>
    <x v="13"/>
    <x v="1"/>
    <n v="29565.19"/>
    <n v="1"/>
    <n v="29565.19"/>
    <n v="19.8553"/>
    <n v="587025.717007"/>
    <n v="774498.22372071457"/>
    <n v="-187472.50671371457"/>
    <n v="0.52328767123287667"/>
    <n v="1"/>
    <n v="-187472.50671371457"/>
    <n v="0"/>
    <m/>
    <n v="-8109.0571293236389"/>
    <m/>
    <n v="-0.21524138495688686"/>
    <m/>
  </r>
  <r>
    <x v="1"/>
    <s v="Purchase"/>
    <x v="25"/>
    <x v="1"/>
    <x v="1"/>
    <x v="21"/>
    <n v="2053.186178946316"/>
    <x v="1"/>
    <n v="234"/>
    <n v="8.7742999100269916"/>
    <n v="1"/>
    <n v="2053.186178946316"/>
    <n v="20.500800000000002"/>
    <n v="42091.959217342635"/>
    <n v="118.98099999999999"/>
    <n v="124.571"/>
    <n v="1.0468999999999999"/>
    <n v="44066.072104636005"/>
    <n v="188.31654745570941"/>
    <m/>
    <n v="234"/>
    <s v="Sale"/>
    <x v="13"/>
    <x v="1"/>
    <n v="1723.18"/>
    <n v="1"/>
    <n v="1723.18"/>
    <n v="19.8553"/>
    <n v="34214.255854000003"/>
    <n v="44066.072104636005"/>
    <n v="-9851.8162506360022"/>
    <n v="0.70958904109589038"/>
    <n v="1"/>
    <n v="-9851.8162506360022"/>
    <n v="0"/>
    <m/>
    <n v="-330.00617894631591"/>
    <m/>
    <n v="-0.16072881374823655"/>
    <m/>
  </r>
  <r>
    <x v="1"/>
    <s v="Purchase"/>
    <x v="31"/>
    <x v="1"/>
    <x v="1"/>
    <x v="28"/>
    <n v="278241.46000000002"/>
    <x v="1"/>
    <n v="2137"/>
    <n v="130.2018998596163"/>
    <n v="1"/>
    <n v="278241.46000000002"/>
    <n v="20.465199999999999"/>
    <n v="5694267.1271919999"/>
    <n v="122.94799999999999"/>
    <n v="124.571"/>
    <n v="1.0132000000000001"/>
    <n v="5769431.4532709345"/>
    <n v="2699.7807455643119"/>
    <m/>
    <n v="2137"/>
    <s v="Sale"/>
    <x v="13"/>
    <x v="1"/>
    <n v="264129.14"/>
    <n v="1"/>
    <n v="264129.14"/>
    <n v="19.8553"/>
    <n v="5244363.3134420002"/>
    <n v="5769431.4532709345"/>
    <n v="-525068.13982893433"/>
    <n v="0.25479452054794521"/>
    <n v="1"/>
    <n v="-525068.13982893433"/>
    <n v="0"/>
    <m/>
    <n v="-14112.320000000007"/>
    <m/>
    <n v="-5.071968785672705E-2"/>
    <m/>
  </r>
  <r>
    <x v="1"/>
    <s v="Purchase"/>
    <x v="22"/>
    <x v="1"/>
    <x v="1"/>
    <x v="28"/>
    <n v="222647.12491616921"/>
    <x v="1"/>
    <n v="42109"/>
    <n v="5.2873999600125678"/>
    <n v="1"/>
    <n v="222647.12491616921"/>
    <n v="20.465199999999999"/>
    <n v="4556517.9408343863"/>
    <n v="122.94799999999999"/>
    <n v="125.997"/>
    <n v="1.0246999999999999"/>
    <n v="4669063.9339729957"/>
    <n v="110.88042779389194"/>
    <m/>
    <n v="42109"/>
    <s v="Sale"/>
    <x v="14"/>
    <x v="1"/>
    <n v="224727.31"/>
    <n v="1"/>
    <n v="224727.31"/>
    <n v="19.3965"/>
    <n v="4358923.2684150003"/>
    <n v="4669063.9339729957"/>
    <n v="-310140.66555799544"/>
    <n v="0.35068493150684932"/>
    <n v="1"/>
    <n v="-310140.66555799544"/>
    <n v="0"/>
    <m/>
    <n v="2080.1850838307873"/>
    <m/>
    <n v="9.3429685409771885E-3"/>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r>
    <x v="0"/>
    <m/>
    <x v="0"/>
    <x v="0"/>
    <x v="0"/>
    <x v="0"/>
    <m/>
    <x v="2"/>
    <m/>
    <m/>
    <m/>
    <m/>
    <m/>
    <m/>
    <m/>
    <m/>
    <m/>
    <m/>
    <m/>
    <m/>
    <m/>
    <m/>
    <x v="0"/>
    <x v="0"/>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7DD4F4-D4F8-F04F-AB2F-6B96F058B29A}" name="PivotTable2" cacheId="116" applyNumberFormats="0" applyBorderFormats="0" applyFontFormats="0" applyPatternFormats="0" applyAlignmentFormats="0" applyWidthHeightFormats="1" dataCaption="Values" grandTotalCaption="Gran Total" updatedVersion="8" minRefreshableVersion="3" showDrill="0" useAutoFormatting="1" itemPrintTitles="1" createdVersion="4" indent="0" outline="1" outlineData="1" multipleFieldFilters="0" rowHeaderCaption="Posiciones">
  <location ref="B5:I16" firstHeaderRow="0" firstDataRow="1" firstDataCol="1"/>
  <pivotFields count="38">
    <pivotField axis="axisRow" subtotalTop="0" showAll="0" insertBlankRow="1" sortType="ascending">
      <items count="5">
        <item x="2"/>
        <item x="1"/>
        <item x="3"/>
        <item x="0"/>
        <item t="default"/>
      </items>
    </pivotField>
    <pivotField subtotalTop="0" showAll="0" insertBlankRow="1"/>
    <pivotField axis="axisRow" subtotalTop="0" showAll="0" insertBlankRow="1" sortType="ascending">
      <items count="33">
        <item x="15"/>
        <item x="16"/>
        <item x="17"/>
        <item x="18"/>
        <item x="7"/>
        <item x="5"/>
        <item x="24"/>
        <item x="29"/>
        <item x="19"/>
        <item x="10"/>
        <item x="6"/>
        <item x="20"/>
        <item x="14"/>
        <item x="23"/>
        <item x="28"/>
        <item x="25"/>
        <item x="13"/>
        <item x="22"/>
        <item x="11"/>
        <item x="30"/>
        <item x="21"/>
        <item x="12"/>
        <item x="3"/>
        <item x="2"/>
        <item x="26"/>
        <item x="1"/>
        <item x="4"/>
        <item x="9"/>
        <item x="31"/>
        <item x="8"/>
        <item x="27"/>
        <item x="0"/>
        <item t="default"/>
      </items>
    </pivotField>
    <pivotField axis="axisRow" subtotalTop="0" showAll="0" insertBlankRow="1" sortType="ascending">
      <items count="3">
        <item x="1"/>
        <item x="0"/>
        <item t="default"/>
      </items>
    </pivotField>
    <pivotField subtotalTop="0" showAll="0" insertBlankRow="1"/>
    <pivotField subtotalTop="0" showAll="0" insertBlankRow="1"/>
    <pivotField subtotalTop="0" showAll="0" insertBlankRow="1"/>
    <pivotField axis="axisRow" subtotalTop="0" showAll="0" insertBlankRow="1">
      <items count="4">
        <item x="0"/>
        <item h="1" x="2"/>
        <item h="1" x="1"/>
        <item t="default"/>
      </items>
    </pivotField>
    <pivotField dataField="1" subtotalTop="0" showAll="0" insertBlankRow="1"/>
    <pivotField subtotalTop="0" showAll="0" insertBlankRow="1"/>
    <pivotField numFmtId="166"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numFmtId="172" subtotalTop="0" showAll="0" insertBlankRow="1"/>
    <pivotField dataField="1" subtotalTop="0" showAll="0" insertBlankRow="1"/>
    <pivotField subtotalTop="0" showAll="0" insertBlankRow="1"/>
    <pivotField subtotalTop="0" showAll="0" insertBlankRow="1"/>
    <pivotField name="Unidades vendidas2" subtotalTop="0" showAll="0" insertBlankRow="1"/>
    <pivotField subtotalTop="0" showAll="0" insertBlankRow="1"/>
    <pivotField subtotalTop="0" showAll="0" insertBlankRow="1">
      <items count="369">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45"/>
        <item x="246"/>
        <item x="247"/>
        <item x="248"/>
        <item x="249"/>
        <item x="250"/>
        <item x="251"/>
        <item x="252"/>
        <item x="253"/>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ubtotalTop="0" showAll="0" insertBlankRow="1"/>
    <pivotField subtotalTop="0" showAll="0" insertBlankRow="1"/>
    <pivotField numFmtId="166" subtotalTop="0" showAll="0" insertBlankRow="1"/>
    <pivotField dataField="1" subtotalTop="0" showAll="0" insertBlankRow="1"/>
    <pivotField subtotalTop="0" showAll="0" insertBlankRow="1"/>
    <pivotField name="Precio de Venta en MXN2" dataField="1"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dataField="1" numFmtId="43" subtotalTop="0" showAll="0" insertBlankRow="1"/>
    <pivotField subtotalTop="0" showAll="0" insertBlankRow="1">
      <items count="15">
        <item x="0"/>
        <item x="1"/>
        <item x="2"/>
        <item x="3"/>
        <item x="4"/>
        <item x="5"/>
        <item x="6"/>
        <item x="7"/>
        <item x="8"/>
        <item x="9"/>
        <item x="10"/>
        <item x="11"/>
        <item x="12"/>
        <item x="13"/>
        <item t="default"/>
      </items>
    </pivotField>
  </pivotFields>
  <rowFields count="4">
    <field x="7"/>
    <field x="3"/>
    <field x="0"/>
    <field x="2"/>
  </rowFields>
  <rowItems count="11">
    <i>
      <x/>
    </i>
    <i r="1">
      <x v="1"/>
    </i>
    <i r="2">
      <x v="3"/>
    </i>
    <i r="3">
      <x v="31"/>
    </i>
    <i t="default" r="2">
      <x v="3"/>
    </i>
    <i t="blank" r="2">
      <x v="3"/>
    </i>
    <i t="default" r="1">
      <x v="1"/>
    </i>
    <i t="blank" r="1">
      <x v="1"/>
    </i>
    <i t="default">
      <x/>
    </i>
    <i t="blank">
      <x/>
    </i>
    <i t="grand">
      <x/>
    </i>
  </rowItems>
  <colFields count="1">
    <field x="-2"/>
  </colFields>
  <colItems count="7">
    <i>
      <x/>
    </i>
    <i i="1">
      <x v="1"/>
    </i>
    <i i="2">
      <x v="2"/>
    </i>
    <i i="3">
      <x v="3"/>
    </i>
    <i i="4">
      <x v="4"/>
    </i>
    <i i="5">
      <x v="5"/>
    </i>
    <i i="6">
      <x v="6"/>
    </i>
  </colItems>
  <dataFields count="7">
    <dataField name="Unidades Vendidas" fld="8" baseField="0" baseItem="0" numFmtId="40"/>
    <dataField name="Ingresos en USD" fld="26" baseField="0" baseItem="0" numFmtId="39"/>
    <dataField name="Costo de Adquisición en USD " fld="11" baseField="0" baseItem="0" numFmtId="40"/>
    <dataField name="Ganancia / (Pérdida) en USD" fld="36" baseField="0" baseItem="0" numFmtId="40"/>
    <dataField name="Ingresos en MXN " fld="28" baseField="0" baseItem="0" numFmtId="40"/>
    <dataField name="Costo Actualizado en MXN" fld="17" baseField="0" baseItem="0" numFmtId="39"/>
    <dataField name="Ganancia Acumulable / (Pérdida Deducible) " fld="33" baseField="0" baseItem="0" numFmtId="178"/>
  </dataFields>
  <formats count="58">
    <format dxfId="1735">
      <pivotArea dataOnly="0" grandRow="1" fieldPosition="0"/>
    </format>
    <format dxfId="1734">
      <pivotArea type="all" dataOnly="0" outline="0" fieldPosition="0"/>
    </format>
    <format dxfId="1733">
      <pivotArea dataOnly="0" labelOnly="1" grandRow="1" outline="0" fieldPosition="0"/>
    </format>
    <format dxfId="1732">
      <pivotArea dataOnly="0" grandRow="1" axis="axisRow" fieldPosition="0"/>
    </format>
    <format dxfId="1731">
      <pivotArea type="all" dataOnly="0" outline="0" fieldPosition="0"/>
    </format>
    <format dxfId="1730">
      <pivotArea dataOnly="0" fieldPosition="0">
        <references count="1">
          <reference field="0" count="0" defaultSubtotal="1"/>
        </references>
      </pivotArea>
    </format>
    <format dxfId="1729">
      <pivotArea outline="0" fieldPosition="0">
        <references count="1">
          <reference field="4294967294" count="1">
            <x v="0"/>
          </reference>
        </references>
      </pivotArea>
    </format>
    <format dxfId="1728">
      <pivotArea dataOnly="0" labelOnly="1" outline="0" axis="axisValues" fieldPosition="0"/>
    </format>
    <format dxfId="1727">
      <pivotArea dataOnly="0" labelOnly="1" outline="0" axis="axisValues" fieldPosition="0"/>
    </format>
    <format dxfId="1726">
      <pivotArea dataOnly="0" outline="0" axis="axisValues" fieldPosition="0"/>
    </format>
    <format dxfId="1725">
      <pivotArea dataOnly="0" labelOnly="1" outline="0" fieldPosition="0">
        <references count="1">
          <reference field="4294967294" count="2">
            <x v="0"/>
            <x v="1"/>
          </reference>
        </references>
      </pivotArea>
    </format>
    <format dxfId="1724">
      <pivotArea dataOnly="0" labelOnly="1" outline="0" fieldPosition="0">
        <references count="1">
          <reference field="4294967294" count="2">
            <x v="0"/>
            <x v="1"/>
          </reference>
        </references>
      </pivotArea>
    </format>
    <format dxfId="1723">
      <pivotArea dataOnly="0" labelOnly="1" outline="0" fieldPosition="0">
        <references count="1">
          <reference field="4294967294" count="2">
            <x v="0"/>
            <x v="1"/>
          </reference>
        </references>
      </pivotArea>
    </format>
    <format dxfId="1722">
      <pivotArea outline="0" fieldPosition="0">
        <references count="1">
          <reference field="4294967294" count="1">
            <x v="1"/>
          </reference>
        </references>
      </pivotArea>
    </format>
    <format dxfId="1721">
      <pivotArea outline="0" fieldPosition="0">
        <references count="1">
          <reference field="4294967294" count="1">
            <x v="2"/>
          </reference>
        </references>
      </pivotArea>
    </format>
    <format dxfId="1720">
      <pivotArea dataOnly="0" labelOnly="1" outline="0" fieldPosition="0">
        <references count="1">
          <reference field="4294967294" count="1">
            <x v="2"/>
          </reference>
        </references>
      </pivotArea>
    </format>
    <format dxfId="1719">
      <pivotArea dataOnly="0" labelOnly="1" outline="0" fieldPosition="0">
        <references count="1">
          <reference field="4294967294" count="1">
            <x v="3"/>
          </reference>
        </references>
      </pivotArea>
    </format>
    <format dxfId="1718">
      <pivotArea dataOnly="0" labelOnly="1" outline="0" fieldPosition="0">
        <references count="1">
          <reference field="4294967294" count="1">
            <x v="3"/>
          </reference>
        </references>
      </pivotArea>
    </format>
    <format dxfId="1717">
      <pivotArea dataOnly="0" labelOnly="1" outline="0" fieldPosition="0">
        <references count="1">
          <reference field="4294967294" count="1">
            <x v="3"/>
          </reference>
        </references>
      </pivotArea>
    </format>
    <format dxfId="1716">
      <pivotArea outline="0" fieldPosition="0">
        <references count="1">
          <reference field="4294967294" count="1">
            <x v="3"/>
          </reference>
        </references>
      </pivotArea>
    </format>
    <format dxfId="1715">
      <pivotArea outline="0" fieldPosition="0">
        <references count="1">
          <reference field="4294967294" count="1">
            <x v="5"/>
          </reference>
        </references>
      </pivotArea>
    </format>
    <format dxfId="1714">
      <pivotArea dataOnly="0" labelOnly="1" outline="0" fieldPosition="0">
        <references count="1">
          <reference field="4294967294" count="1">
            <x v="5"/>
          </reference>
        </references>
      </pivotArea>
    </format>
    <format dxfId="1713">
      <pivotArea dataOnly="0" labelOnly="1" outline="0" fieldPosition="0">
        <references count="1">
          <reference field="4294967294" count="1">
            <x v="5"/>
          </reference>
        </references>
      </pivotArea>
    </format>
    <format dxfId="1712">
      <pivotArea dataOnly="0" labelOnly="1" outline="0" fieldPosition="0">
        <references count="1">
          <reference field="4294967294" count="1">
            <x v="5"/>
          </reference>
        </references>
      </pivotArea>
    </format>
    <format dxfId="1711">
      <pivotArea dataOnly="0" labelOnly="1" outline="0" fieldPosition="0">
        <references count="1">
          <reference field="4294967294" count="1">
            <x v="6"/>
          </reference>
        </references>
      </pivotArea>
    </format>
    <format dxfId="1710">
      <pivotArea dataOnly="0" labelOnly="1" outline="0" fieldPosition="0">
        <references count="1">
          <reference field="4294967294" count="1">
            <x v="6"/>
          </reference>
        </references>
      </pivotArea>
    </format>
    <format dxfId="1709">
      <pivotArea dataOnly="0" labelOnly="1" outline="0" fieldPosition="0">
        <references count="1">
          <reference field="4294967294" count="1">
            <x v="6"/>
          </reference>
        </references>
      </pivotArea>
    </format>
    <format dxfId="1708">
      <pivotArea outline="0" fieldPosition="0">
        <references count="1">
          <reference field="4294967294" count="1">
            <x v="6"/>
          </reference>
        </references>
      </pivotArea>
    </format>
    <format dxfId="1707">
      <pivotArea dataOnly="0" fieldPosition="0">
        <references count="1">
          <reference field="3" count="0" defaultSubtotal="1"/>
        </references>
      </pivotArea>
    </format>
    <format dxfId="1706">
      <pivotArea dataOnly="0" fieldPosition="0">
        <references count="1">
          <reference field="7" count="0" defaultSubtotal="1"/>
        </references>
      </pivotArea>
    </format>
    <format dxfId="1705">
      <pivotArea dataOnly="0" labelOnly="1" fieldPosition="0">
        <references count="1">
          <reference field="7" count="0"/>
        </references>
      </pivotArea>
    </format>
    <format dxfId="1704">
      <pivotArea dataOnly="0" labelOnly="1" fieldPosition="0">
        <references count="1">
          <reference field="0" count="0"/>
        </references>
      </pivotArea>
    </format>
    <format dxfId="1703">
      <pivotArea dataOnly="0" labelOnly="1" outline="0" fieldPosition="0">
        <references count="1">
          <reference field="4294967294" count="1">
            <x v="0"/>
          </reference>
        </references>
      </pivotArea>
    </format>
    <format dxfId="1702">
      <pivotArea field="7" type="button" dataOnly="0" labelOnly="1" outline="0" axis="axisRow" fieldPosition="0"/>
    </format>
    <format dxfId="1701">
      <pivotArea dataOnly="0" labelOnly="1" fieldPosition="0">
        <references count="1">
          <reference field="7" count="0"/>
        </references>
      </pivotArea>
    </format>
    <format dxfId="1700">
      <pivotArea type="all" dataOnly="0" outline="0" fieldPosition="0"/>
    </format>
    <format dxfId="1699">
      <pivotArea outline="0" collapsedLevelsAreSubtotals="1" fieldPosition="0"/>
    </format>
    <format dxfId="1698">
      <pivotArea field="7" type="button" dataOnly="0" labelOnly="1" outline="0" axis="axisRow" fieldPosition="0"/>
    </format>
    <format dxfId="1697">
      <pivotArea dataOnly="0" labelOnly="1" fieldPosition="0">
        <references count="1">
          <reference field="7" count="0"/>
        </references>
      </pivotArea>
    </format>
    <format dxfId="1696">
      <pivotArea dataOnly="0" labelOnly="1" fieldPosition="0">
        <references count="1">
          <reference field="7" count="0" defaultSubtotal="1"/>
        </references>
      </pivotArea>
    </format>
    <format dxfId="1695">
      <pivotArea dataOnly="0" labelOnly="1" grandRow="1" outline="0" fieldPosition="0"/>
    </format>
    <format dxfId="1694">
      <pivotArea dataOnly="0" labelOnly="1" outline="0" fieldPosition="0">
        <references count="1">
          <reference field="4294967294" count="6">
            <x v="0"/>
            <x v="1"/>
            <x v="2"/>
            <x v="3"/>
            <x v="5"/>
            <x v="6"/>
          </reference>
        </references>
      </pivotArea>
    </format>
    <format dxfId="1693">
      <pivotArea field="7" type="button" dataOnly="0" labelOnly="1" outline="0" axis="axisRow" fieldPosition="0"/>
    </format>
    <format dxfId="1692">
      <pivotArea dataOnly="0" labelOnly="1" outline="0" fieldPosition="0">
        <references count="1">
          <reference field="4294967294" count="6">
            <x v="0"/>
            <x v="1"/>
            <x v="2"/>
            <x v="3"/>
            <x v="5"/>
            <x v="6"/>
          </reference>
        </references>
      </pivotArea>
    </format>
    <format dxfId="1691">
      <pivotArea field="7" type="button" dataOnly="0" labelOnly="1" outline="0" axis="axisRow" fieldPosition="0"/>
    </format>
    <format dxfId="1690">
      <pivotArea dataOnly="0" labelOnly="1" outline="0" fieldPosition="0">
        <references count="1">
          <reference field="4294967294" count="6">
            <x v="0"/>
            <x v="1"/>
            <x v="2"/>
            <x v="3"/>
            <x v="5"/>
            <x v="6"/>
          </reference>
        </references>
      </pivotArea>
    </format>
    <format dxfId="1689">
      <pivotArea field="7" type="button" dataOnly="0" labelOnly="1" outline="0" axis="axisRow" fieldPosition="0"/>
    </format>
    <format dxfId="1688">
      <pivotArea dataOnly="0" labelOnly="1" outline="0" fieldPosition="0">
        <references count="1">
          <reference field="4294967294" count="6">
            <x v="0"/>
            <x v="1"/>
            <x v="2"/>
            <x v="3"/>
            <x v="5"/>
            <x v="6"/>
          </reference>
        </references>
      </pivotArea>
    </format>
    <format dxfId="1687">
      <pivotArea dataOnly="0" fieldPosition="0">
        <references count="1">
          <reference field="0" count="0" defaultSubtotal="1"/>
        </references>
      </pivotArea>
    </format>
    <format dxfId="1686">
      <pivotArea dataOnly="0" fieldPosition="0">
        <references count="1">
          <reference field="0" count="0" defaultSubtotal="1"/>
        </references>
      </pivotArea>
    </format>
    <format dxfId="1685">
      <pivotArea dataOnly="0" fieldPosition="0">
        <references count="1">
          <reference field="3" count="0" defaultSubtotal="1"/>
        </references>
      </pivotArea>
    </format>
    <format dxfId="1684">
      <pivotArea dataOnly="0" fieldPosition="0">
        <references count="1">
          <reference field="3" count="0" defaultSubtotal="1"/>
        </references>
      </pivotArea>
    </format>
    <format dxfId="1683">
      <pivotArea dataOnly="0" fieldPosition="0">
        <references count="1">
          <reference field="7" count="0" defaultSubtotal="1"/>
        </references>
      </pivotArea>
    </format>
    <format dxfId="1682">
      <pivotArea dataOnly="0" fieldPosition="0">
        <references count="1">
          <reference field="7" count="0" defaultSubtotal="1"/>
        </references>
      </pivotArea>
    </format>
    <format dxfId="1681">
      <pivotArea grandRow="1" outline="0" collapsedLevelsAreSubtotals="1" fieldPosition="0"/>
    </format>
    <format dxfId="1680">
      <pivotArea dataOnly="0" labelOnly="1" grandRow="1" outline="0" fieldPosition="0"/>
    </format>
    <format dxfId="1679">
      <pivotArea outline="0" fieldPosition="0">
        <references count="1">
          <reference field="4294967294" count="1">
            <x v="4"/>
          </reference>
        </references>
      </pivotArea>
    </format>
    <format dxfId="1678">
      <pivotArea dataOnly="0" labelOnly="1" outline="0" fieldPosition="0">
        <references count="1">
          <reference field="4294967294" count="1">
            <x v="4"/>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57CC0-F3C6-E14D-81AE-3B3A45C480BF}" name="PivotTable1" cacheId="116" applyNumberFormats="0" applyBorderFormats="0" applyFontFormats="0" applyPatternFormats="0" applyAlignmentFormats="0" applyWidthHeightFormats="1" dataCaption="Values" grandTotalCaption="Gran Total" updatedVersion="8" minRefreshableVersion="3" showDrill="0" useAutoFormatting="1" itemPrintTitles="1" createdVersion="4" indent="0" outline="1" outlineData="1" multipleFieldFilters="0" rowHeaderCaption="Posiciones">
  <location ref="B5:I52" firstHeaderRow="0" firstDataRow="1" firstDataCol="1"/>
  <pivotFields count="38">
    <pivotField axis="axisRow" subtotalTop="0" showAll="0" insertBlankRow="1" sortType="ascending">
      <items count="5">
        <item n="35D0XXX31768" x="2"/>
        <item n="35D0XXXX1768" x="1"/>
        <item n="GS 029-2XXX1-9" x="3"/>
        <item x="0"/>
        <item t="default"/>
      </items>
    </pivotField>
    <pivotField subtotalTop="0" showAll="0" insertBlankRow="1"/>
    <pivotField axis="axisRow" subtotalTop="0" showAll="0" insertBlankRow="1" sortType="ascending">
      <items count="33">
        <item x="15"/>
        <item x="16"/>
        <item x="17"/>
        <item x="18"/>
        <item x="7"/>
        <item x="5"/>
        <item x="24"/>
        <item x="29"/>
        <item x="19"/>
        <item x="10"/>
        <item x="6"/>
        <item x="20"/>
        <item x="14"/>
        <item x="23"/>
        <item x="28"/>
        <item x="25"/>
        <item x="13"/>
        <item x="22"/>
        <item x="11"/>
        <item x="30"/>
        <item x="21"/>
        <item x="12"/>
        <item x="3"/>
        <item x="2"/>
        <item x="26"/>
        <item x="1"/>
        <item x="4"/>
        <item x="9"/>
        <item x="31"/>
        <item x="8"/>
        <item x="27"/>
        <item x="0"/>
        <item t="default"/>
      </items>
    </pivotField>
    <pivotField axis="axisRow" subtotalTop="0" showAll="0" insertBlankRow="1" sortType="ascending">
      <items count="3">
        <item x="1"/>
        <item x="0"/>
        <item t="default"/>
      </items>
    </pivotField>
    <pivotField subtotalTop="0" showAll="0" insertBlankRow="1"/>
    <pivotField subtotalTop="0" showAll="0" insertBlankRow="1"/>
    <pivotField subtotalTop="0" showAll="0" insertBlankRow="1"/>
    <pivotField axis="axisRow" subtotalTop="0" showAll="0" insertBlankRow="1">
      <items count="4">
        <item h="1" x="0"/>
        <item h="1" x="2"/>
        <item x="1"/>
        <item t="default"/>
      </items>
    </pivotField>
    <pivotField dataField="1" subtotalTop="0" showAll="0" insertBlankRow="1"/>
    <pivotField subtotalTop="0" showAll="0" insertBlankRow="1"/>
    <pivotField numFmtId="166"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numFmtId="172" subtotalTop="0" showAll="0" insertBlankRow="1"/>
    <pivotField dataField="1" subtotalTop="0" showAll="0" insertBlankRow="1"/>
    <pivotField subtotalTop="0" showAll="0" insertBlankRow="1"/>
    <pivotField subtotalTop="0" showAll="0" insertBlankRow="1"/>
    <pivotField name="Unidades vendidas2" subtotalTop="0" showAll="0" insertBlankRow="1"/>
    <pivotField subtotalTop="0" showAll="0" insertBlankRow="1"/>
    <pivotField subtotalTop="0" showAll="0" insertBlankRow="1">
      <items count="369">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45"/>
        <item x="246"/>
        <item x="247"/>
        <item x="248"/>
        <item x="249"/>
        <item x="250"/>
        <item x="251"/>
        <item x="252"/>
        <item x="253"/>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ubtotalTop="0" showAll="0" insertBlankRow="1"/>
    <pivotField subtotalTop="0" showAll="0" insertBlankRow="1"/>
    <pivotField numFmtId="166" subtotalTop="0" showAll="0" insertBlankRow="1"/>
    <pivotField dataField="1" subtotalTop="0" showAll="0" insertBlankRow="1"/>
    <pivotField subtotalTop="0" showAll="0" insertBlankRow="1"/>
    <pivotField name="Precio de Venta en MXN2" dataField="1"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numFmtId="43" subtotalTop="0" showAll="0" insertBlankRow="1"/>
    <pivotField subtotalTop="0" showAll="0" insertBlankRow="1">
      <items count="15">
        <item x="0"/>
        <item x="1"/>
        <item x="2"/>
        <item x="3"/>
        <item x="4"/>
        <item x="5"/>
        <item x="6"/>
        <item x="7"/>
        <item x="8"/>
        <item x="9"/>
        <item x="10"/>
        <item x="11"/>
        <item x="12"/>
        <item x="13"/>
        <item t="default"/>
      </items>
    </pivotField>
  </pivotFields>
  <rowFields count="4">
    <field x="7"/>
    <field x="3"/>
    <field x="0"/>
    <field x="2"/>
  </rowFields>
  <rowItems count="47">
    <i>
      <x v="2"/>
    </i>
    <i r="1">
      <x/>
    </i>
    <i r="2">
      <x/>
    </i>
    <i r="3">
      <x v="12"/>
    </i>
    <i r="3">
      <x v="14"/>
    </i>
    <i r="3">
      <x v="16"/>
    </i>
    <i r="3">
      <x v="21"/>
    </i>
    <i t="default" r="2">
      <x/>
    </i>
    <i t="blank" r="2">
      <x/>
    </i>
    <i r="2">
      <x v="1"/>
    </i>
    <i r="3">
      <x/>
    </i>
    <i r="3">
      <x v="1"/>
    </i>
    <i r="3">
      <x v="2"/>
    </i>
    <i r="3">
      <x v="3"/>
    </i>
    <i r="3">
      <x v="4"/>
    </i>
    <i r="3">
      <x v="5"/>
    </i>
    <i r="3">
      <x v="6"/>
    </i>
    <i r="3">
      <x v="7"/>
    </i>
    <i r="3">
      <x v="8"/>
    </i>
    <i r="3">
      <x v="9"/>
    </i>
    <i r="3">
      <x v="10"/>
    </i>
    <i r="3">
      <x v="11"/>
    </i>
    <i r="3">
      <x v="13"/>
    </i>
    <i r="3">
      <x v="15"/>
    </i>
    <i r="3">
      <x v="17"/>
    </i>
    <i r="3">
      <x v="18"/>
    </i>
    <i r="3">
      <x v="19"/>
    </i>
    <i r="3">
      <x v="20"/>
    </i>
    <i r="3">
      <x v="22"/>
    </i>
    <i r="3">
      <x v="23"/>
    </i>
    <i r="3">
      <x v="24"/>
    </i>
    <i r="3">
      <x v="25"/>
    </i>
    <i r="3">
      <x v="26"/>
    </i>
    <i r="3">
      <x v="27"/>
    </i>
    <i r="3">
      <x v="28"/>
    </i>
    <i r="3">
      <x v="29"/>
    </i>
    <i t="default" r="2">
      <x v="1"/>
    </i>
    <i t="blank" r="2">
      <x v="1"/>
    </i>
    <i r="2">
      <x v="2"/>
    </i>
    <i r="3">
      <x v="30"/>
    </i>
    <i t="default" r="2">
      <x v="2"/>
    </i>
    <i t="blank" r="2">
      <x v="2"/>
    </i>
    <i t="default" r="1">
      <x/>
    </i>
    <i t="blank" r="1">
      <x/>
    </i>
    <i t="default">
      <x v="2"/>
    </i>
    <i t="blank">
      <x v="2"/>
    </i>
    <i t="grand">
      <x/>
    </i>
  </rowItems>
  <colFields count="1">
    <field x="-2"/>
  </colFields>
  <colItems count="7">
    <i>
      <x/>
    </i>
    <i i="1">
      <x v="1"/>
    </i>
    <i i="2">
      <x v="2"/>
    </i>
    <i i="3">
      <x v="3"/>
    </i>
    <i i="4">
      <x v="4"/>
    </i>
    <i i="5">
      <x v="5"/>
    </i>
    <i i="6">
      <x v="6"/>
    </i>
  </colItems>
  <dataFields count="7">
    <dataField name="Unidades Vendidas" fld="8" baseField="0" baseItem="0" numFmtId="40"/>
    <dataField name="Ingresos en USD" fld="26" baseField="0" baseItem="0" numFmtId="39"/>
    <dataField name="Costo de Adquisición en USD " fld="11" baseField="0" baseItem="0" numFmtId="40"/>
    <dataField name="Ganancia / (Pérdida) en USD" fld="36" baseField="0" baseItem="0" numFmtId="40"/>
    <dataField name="Ingresos en MXN" fld="28" baseField="0" baseItem="0" numFmtId="40"/>
    <dataField name="Costo Actualizado en MXN" fld="17" baseField="0" baseItem="0" numFmtId="39"/>
    <dataField name="Ganancia / (Pérdida) Total en MXN" fld="30" baseField="0" baseItem="0" numFmtId="178"/>
  </dataFields>
  <formats count="56">
    <format dxfId="1677">
      <pivotArea dataOnly="0" grandRow="1" fieldPosition="0"/>
    </format>
    <format dxfId="1676">
      <pivotArea type="all" dataOnly="0" outline="0" fieldPosition="0"/>
    </format>
    <format dxfId="1675">
      <pivotArea grandRow="1" outline="0" collapsedLevelsAreSubtotals="1" fieldPosition="0"/>
    </format>
    <format dxfId="1674">
      <pivotArea dataOnly="0" labelOnly="1" grandRow="1" outline="0" fieldPosition="0"/>
    </format>
    <format dxfId="1673">
      <pivotArea dataOnly="0" grandRow="1" axis="axisRow" fieldPosition="0"/>
    </format>
    <format dxfId="1672">
      <pivotArea type="all" dataOnly="0" outline="0" fieldPosition="0"/>
    </format>
    <format dxfId="1671">
      <pivotArea dataOnly="0" fieldPosition="0">
        <references count="1">
          <reference field="0" count="0" defaultSubtotal="1"/>
        </references>
      </pivotArea>
    </format>
    <format dxfId="1670">
      <pivotArea outline="0" fieldPosition="0">
        <references count="1">
          <reference field="4294967294" count="1">
            <x v="0"/>
          </reference>
        </references>
      </pivotArea>
    </format>
    <format dxfId="1669">
      <pivotArea dataOnly="0" labelOnly="1" outline="0" axis="axisValues" fieldPosition="0"/>
    </format>
    <format dxfId="1668">
      <pivotArea dataOnly="0" labelOnly="1" outline="0" axis="axisValues" fieldPosition="0"/>
    </format>
    <format dxfId="1667">
      <pivotArea dataOnly="0" outline="0" axis="axisValues" fieldPosition="0"/>
    </format>
    <format dxfId="1666">
      <pivotArea dataOnly="0" labelOnly="1" outline="0" fieldPosition="0">
        <references count="1">
          <reference field="4294967294" count="2">
            <x v="0"/>
            <x v="1"/>
          </reference>
        </references>
      </pivotArea>
    </format>
    <format dxfId="1665">
      <pivotArea dataOnly="0" labelOnly="1" outline="0" fieldPosition="0">
        <references count="1">
          <reference field="4294967294" count="2">
            <x v="0"/>
            <x v="1"/>
          </reference>
        </references>
      </pivotArea>
    </format>
    <format dxfId="1664">
      <pivotArea dataOnly="0" labelOnly="1" outline="0" fieldPosition="0">
        <references count="1">
          <reference field="4294967294" count="2">
            <x v="0"/>
            <x v="1"/>
          </reference>
        </references>
      </pivotArea>
    </format>
    <format dxfId="1663">
      <pivotArea outline="0" fieldPosition="0">
        <references count="1">
          <reference field="4294967294" count="1">
            <x v="1"/>
          </reference>
        </references>
      </pivotArea>
    </format>
    <format dxfId="1662">
      <pivotArea outline="0" fieldPosition="0">
        <references count="1">
          <reference field="4294967294" count="1">
            <x v="2"/>
          </reference>
        </references>
      </pivotArea>
    </format>
    <format dxfId="1661">
      <pivotArea dataOnly="0" labelOnly="1" outline="0" fieldPosition="0">
        <references count="1">
          <reference field="4294967294" count="1">
            <x v="2"/>
          </reference>
        </references>
      </pivotArea>
    </format>
    <format dxfId="1660">
      <pivotArea dataOnly="0" labelOnly="1" outline="0" fieldPosition="0">
        <references count="1">
          <reference field="4294967294" count="1">
            <x v="3"/>
          </reference>
        </references>
      </pivotArea>
    </format>
    <format dxfId="1659">
      <pivotArea dataOnly="0" labelOnly="1" outline="0" fieldPosition="0">
        <references count="1">
          <reference field="4294967294" count="1">
            <x v="3"/>
          </reference>
        </references>
      </pivotArea>
    </format>
    <format dxfId="1658">
      <pivotArea dataOnly="0" labelOnly="1" outline="0" fieldPosition="0">
        <references count="1">
          <reference field="4294967294" count="1">
            <x v="3"/>
          </reference>
        </references>
      </pivotArea>
    </format>
    <format dxfId="1657">
      <pivotArea outline="0" fieldPosition="0">
        <references count="1">
          <reference field="4294967294" count="1">
            <x v="3"/>
          </reference>
        </references>
      </pivotArea>
    </format>
    <format dxfId="1656">
      <pivotArea outline="0" fieldPosition="0">
        <references count="1">
          <reference field="4294967294" count="1">
            <x v="5"/>
          </reference>
        </references>
      </pivotArea>
    </format>
    <format dxfId="1655">
      <pivotArea dataOnly="0" labelOnly="1" outline="0" fieldPosition="0">
        <references count="1">
          <reference field="4294967294" count="1">
            <x v="5"/>
          </reference>
        </references>
      </pivotArea>
    </format>
    <format dxfId="1654">
      <pivotArea dataOnly="0" labelOnly="1" outline="0" fieldPosition="0">
        <references count="1">
          <reference field="4294967294" count="1">
            <x v="5"/>
          </reference>
        </references>
      </pivotArea>
    </format>
    <format dxfId="1653">
      <pivotArea dataOnly="0" labelOnly="1" outline="0" fieldPosition="0">
        <references count="1">
          <reference field="4294967294" count="1">
            <x v="5"/>
          </reference>
        </references>
      </pivotArea>
    </format>
    <format dxfId="1652">
      <pivotArea dataOnly="0" labelOnly="1" outline="0" fieldPosition="0">
        <references count="1">
          <reference field="4294967294" count="1">
            <x v="6"/>
          </reference>
        </references>
      </pivotArea>
    </format>
    <format dxfId="1651">
      <pivotArea dataOnly="0" labelOnly="1" outline="0" fieldPosition="0">
        <references count="1">
          <reference field="4294967294" count="1">
            <x v="6"/>
          </reference>
        </references>
      </pivotArea>
    </format>
    <format dxfId="1650">
      <pivotArea dataOnly="0" labelOnly="1" outline="0" fieldPosition="0">
        <references count="1">
          <reference field="4294967294" count="1">
            <x v="6"/>
          </reference>
        </references>
      </pivotArea>
    </format>
    <format dxfId="1649">
      <pivotArea outline="0" fieldPosition="0">
        <references count="1">
          <reference field="4294967294" count="1">
            <x v="6"/>
          </reference>
        </references>
      </pivotArea>
    </format>
    <format dxfId="1648">
      <pivotArea dataOnly="0" fieldPosition="0">
        <references count="1">
          <reference field="3" count="0" defaultSubtotal="1"/>
        </references>
      </pivotArea>
    </format>
    <format dxfId="1647">
      <pivotArea dataOnly="0" fieldPosition="0">
        <references count="1">
          <reference field="7" count="0" defaultSubtotal="1"/>
        </references>
      </pivotArea>
    </format>
    <format dxfId="1646">
      <pivotArea dataOnly="0" labelOnly="1" fieldPosition="0">
        <references count="1">
          <reference field="7" count="0"/>
        </references>
      </pivotArea>
    </format>
    <format dxfId="1645">
      <pivotArea dataOnly="0" labelOnly="1" fieldPosition="0">
        <references count="1">
          <reference field="0" count="0"/>
        </references>
      </pivotArea>
    </format>
    <format dxfId="1644">
      <pivotArea dataOnly="0" labelOnly="1" outline="0" fieldPosition="0">
        <references count="1">
          <reference field="4294967294" count="1">
            <x v="0"/>
          </reference>
        </references>
      </pivotArea>
    </format>
    <format dxfId="1643">
      <pivotArea dataOnly="0" labelOnly="1" fieldPosition="0">
        <references count="1">
          <reference field="7" count="0"/>
        </references>
      </pivotArea>
    </format>
    <format dxfId="1642">
      <pivotArea type="all" dataOnly="0" outline="0" fieldPosition="0"/>
    </format>
    <format dxfId="1641">
      <pivotArea outline="0" collapsedLevelsAreSubtotals="1" fieldPosition="0"/>
    </format>
    <format dxfId="1640">
      <pivotArea field="7" type="button" dataOnly="0" labelOnly="1" outline="0" axis="axisRow" fieldPosition="0"/>
    </format>
    <format dxfId="1639">
      <pivotArea dataOnly="0" labelOnly="1" grandRow="1" outline="0" fieldPosition="0"/>
    </format>
    <format dxfId="1638">
      <pivotArea dataOnly="0" labelOnly="1" outline="0" fieldPosition="0">
        <references count="1">
          <reference field="4294967294" count="6">
            <x v="0"/>
            <x v="1"/>
            <x v="2"/>
            <x v="3"/>
            <x v="5"/>
            <x v="6"/>
          </reference>
        </references>
      </pivotArea>
    </format>
    <format dxfId="1637">
      <pivotArea field="7" type="button" dataOnly="0" labelOnly="1" outline="0" axis="axisRow" fieldPosition="0"/>
    </format>
    <format dxfId="1636">
      <pivotArea dataOnly="0" labelOnly="1" outline="0" fieldPosition="0">
        <references count="1">
          <reference field="4294967294" count="6">
            <x v="0"/>
            <x v="1"/>
            <x v="2"/>
            <x v="3"/>
            <x v="5"/>
            <x v="6"/>
          </reference>
        </references>
      </pivotArea>
    </format>
    <format dxfId="1635">
      <pivotArea field="7" type="button" dataOnly="0" labelOnly="1" outline="0" axis="axisRow" fieldPosition="0"/>
    </format>
    <format dxfId="1634">
      <pivotArea dataOnly="0" labelOnly="1" outline="0" fieldPosition="0">
        <references count="1">
          <reference field="4294967294" count="6">
            <x v="0"/>
            <x v="1"/>
            <x v="2"/>
            <x v="3"/>
            <x v="5"/>
            <x v="6"/>
          </reference>
        </references>
      </pivotArea>
    </format>
    <format dxfId="1633">
      <pivotArea field="7" type="button" dataOnly="0" labelOnly="1" outline="0" axis="axisRow" fieldPosition="0"/>
    </format>
    <format dxfId="1632">
      <pivotArea dataOnly="0" labelOnly="1" outline="0" fieldPosition="0">
        <references count="1">
          <reference field="4294967294" count="6">
            <x v="0"/>
            <x v="1"/>
            <x v="2"/>
            <x v="3"/>
            <x v="5"/>
            <x v="6"/>
          </reference>
        </references>
      </pivotArea>
    </format>
    <format dxfId="1631">
      <pivotArea dataOnly="0" fieldPosition="0">
        <references count="1">
          <reference field="0" count="0" defaultSubtotal="1"/>
        </references>
      </pivotArea>
    </format>
    <format dxfId="1630">
      <pivotArea dataOnly="0" fieldPosition="0">
        <references count="1">
          <reference field="3" count="0" defaultSubtotal="1"/>
        </references>
      </pivotArea>
    </format>
    <format dxfId="1629">
      <pivotArea dataOnly="0" fieldPosition="0">
        <references count="1">
          <reference field="3" count="0" defaultSubtotal="1"/>
        </references>
      </pivotArea>
    </format>
    <format dxfId="1628">
      <pivotArea dataOnly="0" fieldPosition="0">
        <references count="1">
          <reference field="7" count="0" defaultSubtotal="1"/>
        </references>
      </pivotArea>
    </format>
    <format dxfId="1627">
      <pivotArea field="7" dataOnly="0" grandRow="1" axis="axisRow" fieldPosition="0">
        <references count="1">
          <reference field="7" count="0"/>
        </references>
      </pivotArea>
    </format>
    <format dxfId="1626">
      <pivotArea outline="0" collapsedLevelsAreSubtotals="1" fieldPosition="0">
        <references count="1">
          <reference field="4294967294" count="1" selected="0">
            <x v="0"/>
          </reference>
        </references>
      </pivotArea>
    </format>
    <format dxfId="1625">
      <pivotArea dataOnly="0" labelOnly="1" outline="0" fieldPosition="0">
        <references count="1">
          <reference field="4294967294" count="1">
            <x v="0"/>
          </reference>
        </references>
      </pivotArea>
    </format>
    <format dxfId="1624">
      <pivotArea dataOnly="0" labelOnly="1" outline="0" fieldPosition="0">
        <references count="1">
          <reference field="4294967294" count="1">
            <x v="4"/>
          </reference>
        </references>
      </pivotArea>
    </format>
    <format dxfId="1623">
      <pivotArea outline="0" fieldPosition="0">
        <references count="1">
          <reference field="4294967294" count="1">
            <x v="4"/>
          </reference>
        </references>
      </pivotArea>
    </format>
    <format dxfId="1622">
      <pivotArea dataOnly="0" fieldPosition="0">
        <references count="1">
          <reference field="0" count="0" defaultSubtotal="1"/>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DB2056-E774-694F-B428-71CDD7B18B77}" name="PivotTable1" cacheId="117" applyNumberFormats="0" applyBorderFormats="0" applyFontFormats="0" applyPatternFormats="0" applyAlignmentFormats="0" applyWidthHeightFormats="1" dataCaption="Values" updatedVersion="8" minRefreshableVersion="3" showDrill="0" useAutoFormatting="1" itemPrintTitles="1" createdVersion="6" indent="0" compact="0" compactData="0">
  <location ref="B5:N65" firstHeaderRow="0" firstDataRow="1" firstDataCol="7"/>
  <pivotFields count="40">
    <pivotField axis="axisRow" compact="0" outline="0" subtotalTop="0" showAll="0" sortType="ascending">
      <items count="3">
        <item n="029-2XXX1-9" x="0"/>
        <item x="1"/>
        <item t="default"/>
      </items>
      <extLst>
        <ext xmlns:x14="http://schemas.microsoft.com/office/spreadsheetml/2009/9/main" uri="{2946ED86-A175-432a-8AC1-64E0C546D7DE}">
          <x14:pivotField fillDownLabels="1"/>
        </ext>
      </extLst>
    </pivotField>
    <pivotField name="OFD: Nacional / Extranjera" axis="axisRow" compact="0" outline="0" subtotalTop="0" showAll="0" sortType="ascending">
      <items count="3">
        <item x="0"/>
        <item x="1"/>
        <item t="default"/>
      </items>
      <extLst>
        <ext xmlns:x14="http://schemas.microsoft.com/office/spreadsheetml/2009/9/main" uri="{2946ED86-A175-432a-8AC1-64E0C546D7DE}">
          <x14:pivotField fillDownLabels="1"/>
        </ext>
      </extLst>
    </pivotField>
    <pivotField name="Tipo de Operación Inicial" compact="0" outline="0" subtotalTop="0" showAll="0" defaultSubtotal="0">
      <items count="2">
        <item x="1"/>
        <item x="0"/>
      </items>
      <extLst>
        <ext xmlns:x14="http://schemas.microsoft.com/office/spreadsheetml/2009/9/main" uri="{2946ED86-A175-432a-8AC1-64E0C546D7DE}">
          <x14:pivotField fillDownLabels="1"/>
        </ext>
      </extLst>
    </pivotField>
    <pivotField axis="axisRow" compact="0" outline="0" subtotalTop="0" showAll="0" sortType="ascending" defaultSubtotal="0">
      <items count="63">
        <item x="32"/>
        <item x="31"/>
        <item x="61"/>
        <item x="52"/>
        <item x="30"/>
        <item x="50"/>
        <item x="34"/>
        <item x="62"/>
        <item x="53"/>
        <item x="35"/>
        <item x="54"/>
        <item x="36"/>
        <item x="45"/>
        <item x="46"/>
        <item x="33"/>
        <item x="51"/>
        <item x="38"/>
        <item x="47"/>
        <item x="60"/>
        <item x="27"/>
        <item x="44"/>
        <item x="49"/>
        <item x="28"/>
        <item x="55"/>
        <item x="48"/>
        <item x="59"/>
        <item x="24"/>
        <item x="56"/>
        <item x="57"/>
        <item x="39"/>
        <item x="25"/>
        <item x="37"/>
        <item x="58"/>
        <item x="14"/>
        <item x="41"/>
        <item x="16"/>
        <item x="29"/>
        <item x="15"/>
        <item x="22"/>
        <item x="43"/>
        <item x="9"/>
        <item x="40"/>
        <item x="23"/>
        <item x="42"/>
        <item x="0"/>
        <item x="17"/>
        <item x="20"/>
        <item x="1"/>
        <item x="2"/>
        <item x="8"/>
        <item x="21"/>
        <item x="11"/>
        <item x="19"/>
        <item x="7"/>
        <item x="12"/>
        <item x="3"/>
        <item x="13"/>
        <item x="18"/>
        <item x="10"/>
        <item x="4"/>
        <item x="6"/>
        <item x="5"/>
        <item x="26"/>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defaultSubtotal="0">
      <items count="49">
        <item x="22"/>
        <item x="0"/>
        <item x="1"/>
        <item x="2"/>
        <item x="3"/>
        <item x="4"/>
        <item x="5"/>
        <item x="6"/>
        <item x="7"/>
        <item x="8"/>
        <item x="9"/>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 name="Número de Títulos - Operación Inicial" axis="axisRow" compact="0" outline="0" subtotalTop="0" showAll="0" defaultSubtotal="0">
      <items count="9">
        <item x="5"/>
        <item x="0"/>
        <item x="1"/>
        <item x="2"/>
        <item x="4"/>
        <item x="6"/>
        <item x="7"/>
        <item x="3"/>
        <item x="8"/>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axis="axisRow" compact="0" outline="0" subtotalTop="0" showAll="0" sortType="ascending">
      <items count="4">
        <item h="1" x="1"/>
        <item x="0"/>
        <item h="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3">
        <item h="1" x="1"/>
        <item h="1" x="2"/>
        <item x="0"/>
      </items>
      <extLst>
        <ext xmlns:x14="http://schemas.microsoft.com/office/spreadsheetml/2009/9/main" uri="{2946ED86-A175-432a-8AC1-64E0C546D7DE}">
          <x14:pivotField fillDownLabels="1"/>
        </ext>
      </extLst>
    </pivotField>
    <pivotField name="Número de Títulos - Operación Final" axis="axisRow" compact="0" outline="0" subtotalTop="0" showAll="0">
      <items count="10">
        <item x="5"/>
        <item x="0"/>
        <item x="1"/>
        <item x="2"/>
        <item x="3"/>
        <item x="4"/>
        <item x="6"/>
        <item x="8"/>
        <item x="7"/>
        <item t="default"/>
      </items>
      <extLst>
        <ext xmlns:x14="http://schemas.microsoft.com/office/spreadsheetml/2009/9/main" uri="{2946ED86-A175-432a-8AC1-64E0C546D7DE}">
          <x14:pivotField fillDownLabels="1"/>
        </ext>
      </extLst>
    </pivotField>
    <pivotField name="Tipo de Operación Final" compact="0" outline="0" subtotalTop="0" showAll="0" defaultSubtotal="0">
      <items count="3">
        <item x="1"/>
        <item x="0"/>
        <item x="2"/>
      </items>
      <extLst>
        <ext xmlns:x14="http://schemas.microsoft.com/office/spreadsheetml/2009/9/main" uri="{2946ED86-A175-432a-8AC1-64E0C546D7DE}">
          <x14:pivotField fillDownLabels="1"/>
        </ext>
      </extLst>
    </pivotField>
    <pivotField compact="0" outline="0" subtotalTop="0" showAll="0" defaultSubtotal="0">
      <items count="43">
        <item x="21"/>
        <item x="0"/>
        <item x="1"/>
        <item x="2"/>
        <item x="3"/>
        <item x="4"/>
        <item x="5"/>
        <item x="6"/>
        <item x="7"/>
        <item x="8"/>
        <item x="9"/>
        <item x="10"/>
        <item x="11"/>
        <item x="12"/>
        <item x="13"/>
        <item x="14"/>
        <item x="15"/>
        <item x="17"/>
        <item x="19"/>
        <item x="32"/>
        <item x="16"/>
        <item x="24"/>
        <item x="36"/>
        <item x="18"/>
        <item x="20"/>
        <item x="25"/>
        <item x="29"/>
        <item x="33"/>
        <item x="34"/>
        <item x="35"/>
        <item x="22"/>
        <item x="23"/>
        <item x="26"/>
        <item x="30"/>
        <item x="31"/>
        <item x="39"/>
        <item x="27"/>
        <item x="28"/>
        <item x="37"/>
        <item x="38"/>
        <item x="40"/>
        <item x="41"/>
        <item x="42"/>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7">
    <field x="18"/>
    <field x="8"/>
    <field x="1"/>
    <field x="0"/>
    <field x="3"/>
    <field x="6"/>
    <field x="19"/>
  </rowFields>
  <rowItems count="60">
    <i>
      <x v="2"/>
      <x v="1"/>
      <x/>
      <x/>
      <x/>
      <x v="5"/>
      <x v="6"/>
    </i>
    <i r="4">
      <x v="1"/>
      <x v="4"/>
      <x v="5"/>
    </i>
    <i r="4">
      <x v="4"/>
      <x v="3"/>
      <x v="3"/>
    </i>
    <i r="4">
      <x v="5"/>
      <x v="3"/>
      <x v="3"/>
    </i>
    <i r="4">
      <x v="6"/>
      <x v="5"/>
      <x v="6"/>
    </i>
    <i r="4">
      <x v="9"/>
      <x v="4"/>
      <x v="5"/>
    </i>
    <i r="4">
      <x v="11"/>
      <x v="6"/>
      <x v="8"/>
    </i>
    <i r="4">
      <x v="12"/>
      <x v="3"/>
      <x v="3"/>
    </i>
    <i r="4">
      <x v="13"/>
      <x v="5"/>
      <x v="6"/>
    </i>
    <i r="4">
      <x v="14"/>
      <x v="2"/>
      <x v="2"/>
    </i>
    <i r="4">
      <x v="16"/>
      <x v="4"/>
      <x v="5"/>
    </i>
    <i r="4">
      <x v="17"/>
      <x v="3"/>
      <x v="3"/>
    </i>
    <i r="4">
      <x v="19"/>
      <x v="1"/>
      <x v="1"/>
    </i>
    <i r="4">
      <x v="20"/>
      <x v="2"/>
      <x v="2"/>
    </i>
    <i r="4">
      <x v="21"/>
      <x v="3"/>
      <x v="3"/>
    </i>
    <i r="4">
      <x v="22"/>
      <x v="3"/>
      <x v="3"/>
    </i>
    <i r="4">
      <x v="23"/>
      <x v="1"/>
      <x v="1"/>
    </i>
    <i r="4">
      <x v="24"/>
      <x v="3"/>
      <x v="3"/>
    </i>
    <i r="4">
      <x v="26"/>
      <x v="3"/>
      <x v="3"/>
    </i>
    <i r="4">
      <x v="27"/>
      <x v="8"/>
      <x v="7"/>
    </i>
    <i r="4">
      <x v="29"/>
      <x v="3"/>
      <x v="3"/>
    </i>
    <i r="4">
      <x v="30"/>
      <x v="1"/>
      <x v="1"/>
    </i>
    <i r="4">
      <x v="31"/>
      <x v="2"/>
      <x v="2"/>
    </i>
    <i r="4">
      <x v="33"/>
      <x v="3"/>
      <x v="3"/>
    </i>
    <i r="4">
      <x v="34"/>
      <x v="4"/>
      <x v="5"/>
    </i>
    <i r="4">
      <x v="35"/>
      <x v="1"/>
      <x v="1"/>
    </i>
    <i r="4">
      <x v="36"/>
      <x v="2"/>
      <x v="2"/>
    </i>
    <i r="4">
      <x v="37"/>
      <x v="1"/>
      <x v="1"/>
    </i>
    <i r="4">
      <x v="38"/>
      <x v="3"/>
      <x v="3"/>
    </i>
    <i r="4">
      <x v="39"/>
      <x v="2"/>
      <x v="2"/>
    </i>
    <i r="4">
      <x v="40"/>
      <x v="3"/>
      <x v="3"/>
    </i>
    <i r="4">
      <x v="41"/>
      <x v="1"/>
      <x v="1"/>
    </i>
    <i r="4">
      <x v="42"/>
      <x v="2"/>
      <x v="2"/>
    </i>
    <i r="4">
      <x v="43"/>
      <x v="1"/>
      <x v="1"/>
    </i>
    <i r="4">
      <x v="44"/>
      <x v="1"/>
      <x v="1"/>
    </i>
    <i r="4">
      <x v="45"/>
      <x v="1"/>
      <x v="1"/>
    </i>
    <i r="4">
      <x v="46"/>
      <x v="4"/>
      <x v="5"/>
    </i>
    <i r="5">
      <x v="8"/>
      <x v="7"/>
    </i>
    <i r="4">
      <x v="47"/>
      <x v="1"/>
      <x v="1"/>
    </i>
    <i r="4">
      <x v="48"/>
      <x v="1"/>
      <x v="1"/>
    </i>
    <i r="4">
      <x v="49"/>
      <x v="1"/>
      <x v="1"/>
    </i>
    <i r="4">
      <x v="50"/>
      <x v="4"/>
      <x v="5"/>
    </i>
    <i r="5">
      <x v="7"/>
      <x v="4"/>
    </i>
    <i r="5">
      <x v="8"/>
      <x v="7"/>
    </i>
    <i r="4">
      <x v="51"/>
      <x v="1"/>
      <x v="1"/>
    </i>
    <i r="4">
      <x v="52"/>
      <x v="2"/>
      <x v="2"/>
    </i>
    <i r="5">
      <x v="7"/>
      <x v="4"/>
    </i>
    <i r="4">
      <x v="53"/>
      <x v="1"/>
      <x v="1"/>
    </i>
    <i r="4">
      <x v="54"/>
      <x v="1"/>
      <x v="1"/>
    </i>
    <i r="4">
      <x v="55"/>
      <x v="1"/>
      <x v="1"/>
    </i>
    <i r="4">
      <x v="56"/>
      <x v="1"/>
      <x v="1"/>
    </i>
    <i r="4">
      <x v="57"/>
      <x v="1"/>
      <x v="1"/>
    </i>
    <i r="4">
      <x v="58"/>
      <x v="1"/>
      <x v="1"/>
    </i>
    <i r="4">
      <x v="59"/>
      <x v="2"/>
      <x v="2"/>
    </i>
    <i r="4">
      <x v="60"/>
      <x v="1"/>
      <x v="1"/>
    </i>
    <i r="4">
      <x v="61"/>
      <x v="2"/>
      <x v="2"/>
    </i>
    <i t="default" r="3">
      <x/>
    </i>
    <i t="default" r="2">
      <x/>
    </i>
    <i t="default" r="1">
      <x v="1"/>
    </i>
    <i t="grand">
      <x/>
    </i>
  </rowItems>
  <colFields count="1">
    <field x="-2"/>
  </colFields>
  <colItems count="6">
    <i>
      <x/>
    </i>
    <i i="1">
      <x v="1"/>
    </i>
    <i i="2">
      <x v="2"/>
    </i>
    <i i="3">
      <x v="3"/>
    </i>
    <i i="4">
      <x v="4"/>
    </i>
    <i i="5">
      <x v="5"/>
    </i>
  </colItems>
  <dataFields count="6">
    <dataField name="Monto Inicial en Moneda Original " fld="7" baseField="0" baseItem="0" numFmtId="40"/>
    <dataField name="Monto Final en Moneda Original " fld="23" baseField="0" baseItem="0" numFmtId="178"/>
    <dataField name="Ganancia / Pérdida en USD" fld="35" baseField="0" baseItem="0" numFmtId="178"/>
    <dataField name="Operación Original Actualizada en MXN " fld="16" baseField="0" baseItem="0" numFmtId="40"/>
    <dataField name="Monto Final en MXN " fld="27" baseField="0" baseItem="0" numFmtId="178"/>
    <dataField name="Ganancia / (Pérdida) en MXN  " fld="29" baseField="0" baseItem="0" numFmtId="178"/>
  </dataFields>
  <formats count="176">
    <format dxfId="1621">
      <pivotArea dataOnly="0" labelOnly="1" fieldPosition="0">
        <references count="1">
          <reference field="19" count="0"/>
        </references>
      </pivotArea>
    </format>
    <format dxfId="1620">
      <pivotArea dataOnly="0" labelOnly="1" fieldPosition="0">
        <references count="1">
          <reference field="6" count="0"/>
        </references>
      </pivotArea>
    </format>
    <format dxfId="1619">
      <pivotArea dataOnly="0" labelOnly="1" fieldPosition="0">
        <references count="1">
          <reference field="6" count="0"/>
        </references>
      </pivotArea>
    </format>
    <format dxfId="1618">
      <pivotArea dataOnly="0" labelOnly="1" fieldPosition="0">
        <references count="1">
          <reference field="19" count="0"/>
        </references>
      </pivotArea>
    </format>
    <format dxfId="1617">
      <pivotArea outline="0" fieldPosition="0">
        <references count="1">
          <reference field="4294967294" count="1">
            <x v="0"/>
          </reference>
        </references>
      </pivotArea>
    </format>
    <format dxfId="1616">
      <pivotArea dataOnly="0" labelOnly="1" fieldPosition="0">
        <references count="1">
          <reference field="8" count="0"/>
        </references>
      </pivotArea>
    </format>
    <format dxfId="1615">
      <pivotArea type="all" dataOnly="0" outline="0" fieldPosition="0"/>
    </format>
    <format dxfId="1614">
      <pivotArea field="8" type="button" dataOnly="0" labelOnly="1" outline="0" axis="axisRow" fieldPosition="1"/>
    </format>
    <format dxfId="1613">
      <pivotArea field="0" type="button" dataOnly="0" labelOnly="1" outline="0" axis="axisRow" fieldPosition="3"/>
    </format>
    <format dxfId="1612">
      <pivotArea field="1" type="button" dataOnly="0" labelOnly="1" outline="0" axis="axisRow" fieldPosition="2"/>
    </format>
    <format dxfId="1611">
      <pivotArea field="3" type="button" dataOnly="0" labelOnly="1" outline="0" axis="axisRow" fieldPosition="4"/>
    </format>
    <format dxfId="1610">
      <pivotArea field="6" type="button" dataOnly="0" labelOnly="1" outline="0" axis="axisRow" fieldPosition="5"/>
    </format>
    <format dxfId="1609">
      <pivotArea field="2" type="button" dataOnly="0" labelOnly="1" outline="0"/>
    </format>
    <format dxfId="1608">
      <pivotArea field="5" type="button" dataOnly="0" labelOnly="1" outline="0"/>
    </format>
    <format dxfId="1607">
      <pivotArea field="21" type="button" dataOnly="0" labelOnly="1" outline="0"/>
    </format>
    <format dxfId="1606">
      <pivotArea field="20" type="button" dataOnly="0" labelOnly="1" outline="0"/>
    </format>
    <format dxfId="1605">
      <pivotArea field="19" type="button" dataOnly="0" labelOnly="1" outline="0" axis="axisRow" fieldPosition="6"/>
    </format>
    <format dxfId="1604">
      <pivotArea dataOnly="0" labelOnly="1" outline="0" fieldPosition="0">
        <references count="1">
          <reference field="4294967294" count="5">
            <x v="0"/>
            <x v="1"/>
            <x v="3"/>
            <x v="4"/>
            <x v="5"/>
          </reference>
        </references>
      </pivotArea>
    </format>
    <format dxfId="1603">
      <pivotArea field="8" type="button" dataOnly="0" labelOnly="1" outline="0" axis="axisRow" fieldPosition="1"/>
    </format>
    <format dxfId="1602">
      <pivotArea field="8" type="button" dataOnly="0" labelOnly="1" outline="0" axis="axisRow" fieldPosition="1"/>
    </format>
    <format dxfId="1601">
      <pivotArea field="8" type="button" dataOnly="0" labelOnly="1" outline="0" axis="axisRow" fieldPosition="1"/>
    </format>
    <format dxfId="1600">
      <pivotArea field="0" type="button" dataOnly="0" labelOnly="1" outline="0" axis="axisRow" fieldPosition="3"/>
    </format>
    <format dxfId="1599">
      <pivotArea field="0" type="button" dataOnly="0" labelOnly="1" outline="0" axis="axisRow" fieldPosition="3"/>
    </format>
    <format dxfId="1598">
      <pivotArea field="0" type="button" dataOnly="0" labelOnly="1" outline="0" axis="axisRow" fieldPosition="3"/>
    </format>
    <format dxfId="1597">
      <pivotArea field="1" type="button" dataOnly="0" labelOnly="1" outline="0" axis="axisRow" fieldPosition="2"/>
    </format>
    <format dxfId="1596">
      <pivotArea field="3" type="button" dataOnly="0" labelOnly="1" outline="0" axis="axisRow" fieldPosition="4"/>
    </format>
    <format dxfId="1595">
      <pivotArea field="3" type="button" dataOnly="0" labelOnly="1" outline="0" axis="axisRow" fieldPosition="4"/>
    </format>
    <format dxfId="1594">
      <pivotArea field="3" type="button" dataOnly="0" labelOnly="1" outline="0" axis="axisRow" fieldPosition="4"/>
    </format>
    <format dxfId="1593">
      <pivotArea field="6" type="button" dataOnly="0" labelOnly="1" outline="0" axis="axisRow" fieldPosition="5"/>
    </format>
    <format dxfId="1592">
      <pivotArea field="6" type="button" dataOnly="0" labelOnly="1" outline="0" axis="axisRow" fieldPosition="5"/>
    </format>
    <format dxfId="1591">
      <pivotArea field="6" type="button" dataOnly="0" labelOnly="1" outline="0" axis="axisRow" fieldPosition="5"/>
    </format>
    <format dxfId="1590">
      <pivotArea field="2" type="button" dataOnly="0" labelOnly="1" outline="0"/>
    </format>
    <format dxfId="1589">
      <pivotArea field="5" type="button" dataOnly="0" labelOnly="1" outline="0"/>
    </format>
    <format dxfId="1588">
      <pivotArea field="5" type="button" dataOnly="0" labelOnly="1" outline="0"/>
    </format>
    <format dxfId="1587">
      <pivotArea field="5" type="button" dataOnly="0" labelOnly="1" outline="0"/>
    </format>
    <format dxfId="1586">
      <pivotArea field="21" type="button" dataOnly="0" labelOnly="1" outline="0"/>
    </format>
    <format dxfId="1585">
      <pivotArea field="21" type="button" dataOnly="0" labelOnly="1" outline="0"/>
    </format>
    <format dxfId="1584">
      <pivotArea field="21" type="button" dataOnly="0" labelOnly="1" outline="0"/>
    </format>
    <format dxfId="1583">
      <pivotArea field="20" type="button" dataOnly="0" labelOnly="1" outline="0"/>
    </format>
    <format dxfId="1582">
      <pivotArea field="20" type="button" dataOnly="0" labelOnly="1" outline="0"/>
    </format>
    <format dxfId="1581">
      <pivotArea field="20" type="button" dataOnly="0" labelOnly="1" outline="0"/>
    </format>
    <format dxfId="1580">
      <pivotArea field="19" type="button" dataOnly="0" labelOnly="1" outline="0" axis="axisRow" fieldPosition="6"/>
    </format>
    <format dxfId="1579">
      <pivotArea field="19" type="button" dataOnly="0" labelOnly="1" outline="0" axis="axisRow" fieldPosition="6"/>
    </format>
    <format dxfId="1578">
      <pivotArea field="19" type="button" dataOnly="0" labelOnly="1" outline="0" axis="axisRow" fieldPosition="6"/>
    </format>
    <format dxfId="1577">
      <pivotArea dataOnly="0" labelOnly="1" outline="0" fieldPosition="0">
        <references count="1">
          <reference field="4294967294" count="1">
            <x v="0"/>
          </reference>
        </references>
      </pivotArea>
    </format>
    <format dxfId="1576">
      <pivotArea dataOnly="0" labelOnly="1" outline="0" fieldPosition="0">
        <references count="1">
          <reference field="4294967294" count="1">
            <x v="0"/>
          </reference>
        </references>
      </pivotArea>
    </format>
    <format dxfId="1575">
      <pivotArea dataOnly="0" labelOnly="1" outline="0" fieldPosition="0">
        <references count="1">
          <reference field="4294967294" count="1">
            <x v="3"/>
          </reference>
        </references>
      </pivotArea>
    </format>
    <format dxfId="1574">
      <pivotArea dataOnly="0" labelOnly="1" outline="0" fieldPosition="0">
        <references count="1">
          <reference field="4294967294" count="1">
            <x v="3"/>
          </reference>
        </references>
      </pivotArea>
    </format>
    <format dxfId="1573">
      <pivotArea outline="0" fieldPosition="0">
        <references count="1">
          <reference field="4294967294" count="1">
            <x v="3"/>
          </reference>
        </references>
      </pivotArea>
    </format>
    <format dxfId="1572">
      <pivotArea dataOnly="0" labelOnly="1" outline="0" fieldPosition="0">
        <references count="1">
          <reference field="4294967294" count="1">
            <x v="1"/>
          </reference>
        </references>
      </pivotArea>
    </format>
    <format dxfId="1571">
      <pivotArea dataOnly="0" labelOnly="1" outline="0" fieldPosition="0">
        <references count="1">
          <reference field="4294967294" count="1">
            <x v="1"/>
          </reference>
        </references>
      </pivotArea>
    </format>
    <format dxfId="1570">
      <pivotArea outline="0" fieldPosition="0">
        <references count="1">
          <reference field="4294967294" count="1">
            <x v="1"/>
          </reference>
        </references>
      </pivotArea>
    </format>
    <format dxfId="1569">
      <pivotArea outline="0" fieldPosition="0">
        <references count="1">
          <reference field="4294967294" count="1">
            <x v="4"/>
          </reference>
        </references>
      </pivotArea>
    </format>
    <format dxfId="1568">
      <pivotArea dataOnly="0" labelOnly="1" outline="0" fieldPosition="0">
        <references count="1">
          <reference field="4294967294" count="1">
            <x v="4"/>
          </reference>
        </references>
      </pivotArea>
    </format>
    <format dxfId="1567">
      <pivotArea outline="0" fieldPosition="0">
        <references count="1">
          <reference field="4294967294" count="1">
            <x v="5"/>
          </reference>
        </references>
      </pivotArea>
    </format>
    <format dxfId="1566">
      <pivotArea dataOnly="0" labelOnly="1" outline="0" fieldPosition="0">
        <references count="1">
          <reference field="4294967294" count="1">
            <x v="5"/>
          </reference>
        </references>
      </pivotArea>
    </format>
    <format dxfId="1565">
      <pivotArea dataOnly="0" labelOnly="1" outline="0" fieldPosition="0">
        <references count="1">
          <reference field="4294967294" count="1">
            <x v="5"/>
          </reference>
        </references>
      </pivotArea>
    </format>
    <format dxfId="1564">
      <pivotArea dataOnly="0" fieldPosition="0">
        <references count="1">
          <reference field="3" count="0" defaultSubtotal="1"/>
        </references>
      </pivotArea>
    </format>
    <format dxfId="1563">
      <pivotArea dataOnly="0" fieldPosition="0">
        <references count="1">
          <reference field="1" count="0" defaultSubtotal="1"/>
        </references>
      </pivotArea>
    </format>
    <format dxfId="1562">
      <pivotArea dataOnly="0" fieldPosition="0">
        <references count="1">
          <reference field="0" count="0" defaultSubtotal="1"/>
        </references>
      </pivotArea>
    </format>
    <format dxfId="1561">
      <pivotArea dataOnly="0" fieldPosition="0">
        <references count="1">
          <reference field="8" count="0" defaultSubtotal="1"/>
        </references>
      </pivotArea>
    </format>
    <format dxfId="1560">
      <pivotArea dataOnly="0" fieldPosition="0">
        <references count="1">
          <reference field="8" count="0" defaultSubtotal="1"/>
        </references>
      </pivotArea>
    </format>
    <format dxfId="1559">
      <pivotArea dataOnly="0" fieldPosition="0">
        <references count="1">
          <reference field="8" count="0" defaultSubtotal="1"/>
        </references>
      </pivotArea>
    </format>
    <format dxfId="1558">
      <pivotArea dataOnly="0" grandRow="1" fieldPosition="0"/>
    </format>
    <format dxfId="1557">
      <pivotArea dataOnly="0" grandRow="1" fieldPosition="0"/>
    </format>
    <format dxfId="1556">
      <pivotArea dataOnly="0" grandRow="1" fieldPosition="0"/>
    </format>
    <format dxfId="1555">
      <pivotArea type="all" dataOnly="0" outline="0" fieldPosition="0"/>
    </format>
    <format dxfId="1554">
      <pivotArea outline="0" collapsedLevelsAreSubtotals="1" fieldPosition="0"/>
    </format>
    <format dxfId="1553">
      <pivotArea field="8" type="button" dataOnly="0" labelOnly="1" outline="0" axis="axisRow" fieldPosition="1"/>
    </format>
    <format dxfId="1552">
      <pivotArea field="1" type="button" dataOnly="0" labelOnly="1" outline="0" axis="axisRow" fieldPosition="2"/>
    </format>
    <format dxfId="1551">
      <pivotArea field="0" type="button" dataOnly="0" labelOnly="1" outline="0" axis="axisRow" fieldPosition="3"/>
    </format>
    <format dxfId="1550">
      <pivotArea field="3" type="button" dataOnly="0" labelOnly="1" outline="0" axis="axisRow" fieldPosition="4"/>
    </format>
    <format dxfId="1549">
      <pivotArea field="6" type="button" dataOnly="0" labelOnly="1" outline="0" axis="axisRow" fieldPosition="5"/>
    </format>
    <format dxfId="1548">
      <pivotArea field="2" type="button" dataOnly="0" labelOnly="1" outline="0"/>
    </format>
    <format dxfId="1547">
      <pivotArea field="5" type="button" dataOnly="0" labelOnly="1" outline="0"/>
    </format>
    <format dxfId="1546">
      <pivotArea field="21" type="button" dataOnly="0" labelOnly="1" outline="0"/>
    </format>
    <format dxfId="1545">
      <pivotArea field="20" type="button" dataOnly="0" labelOnly="1" outline="0"/>
    </format>
    <format dxfId="1544">
      <pivotArea field="19" type="button" dataOnly="0" labelOnly="1" outline="0" axis="axisRow" fieldPosition="6"/>
    </format>
    <format dxfId="1543">
      <pivotArea dataOnly="0" labelOnly="1" grandRow="1" outline="0" fieldPosition="0"/>
    </format>
    <format dxfId="1542">
      <pivotArea dataOnly="0" labelOnly="1" outline="0" fieldPosition="0">
        <references count="1">
          <reference field="4294967294" count="5">
            <x v="0"/>
            <x v="1"/>
            <x v="3"/>
            <x v="4"/>
            <x v="5"/>
          </reference>
        </references>
      </pivotArea>
    </format>
    <format dxfId="1541">
      <pivotArea field="8" type="button" dataOnly="0" labelOnly="1" outline="0" axis="axisRow" fieldPosition="1"/>
    </format>
    <format dxfId="1540">
      <pivotArea field="1" type="button" dataOnly="0" labelOnly="1" outline="0" axis="axisRow" fieldPosition="2"/>
    </format>
    <format dxfId="1539">
      <pivotArea field="0" type="button" dataOnly="0" labelOnly="1" outline="0" axis="axisRow" fieldPosition="3"/>
    </format>
    <format dxfId="1538">
      <pivotArea field="3" type="button" dataOnly="0" labelOnly="1" outline="0" axis="axisRow" fieldPosition="4"/>
    </format>
    <format dxfId="1537">
      <pivotArea field="6" type="button" dataOnly="0" labelOnly="1" outline="0" axis="axisRow" fieldPosition="5"/>
    </format>
    <format dxfId="1536">
      <pivotArea field="2" type="button" dataOnly="0" labelOnly="1" outline="0"/>
    </format>
    <format dxfId="1535">
      <pivotArea field="5" type="button" dataOnly="0" labelOnly="1" outline="0"/>
    </format>
    <format dxfId="1534">
      <pivotArea field="21" type="button" dataOnly="0" labelOnly="1" outline="0"/>
    </format>
    <format dxfId="1533">
      <pivotArea field="20" type="button" dataOnly="0" labelOnly="1" outline="0"/>
    </format>
    <format dxfId="1532">
      <pivotArea field="19" type="button" dataOnly="0" labelOnly="1" outline="0" axis="axisRow" fieldPosition="6"/>
    </format>
    <format dxfId="1531">
      <pivotArea dataOnly="0" labelOnly="1" outline="0" fieldPosition="0">
        <references count="1">
          <reference field="4294967294" count="5">
            <x v="0"/>
            <x v="1"/>
            <x v="3"/>
            <x v="4"/>
            <x v="5"/>
          </reference>
        </references>
      </pivotArea>
    </format>
    <format dxfId="1530">
      <pivotArea field="8" type="button" dataOnly="0" labelOnly="1" outline="0" axis="axisRow" fieldPosition="1"/>
    </format>
    <format dxfId="1529">
      <pivotArea field="1" type="button" dataOnly="0" labelOnly="1" outline="0" axis="axisRow" fieldPosition="2"/>
    </format>
    <format dxfId="1528">
      <pivotArea field="0" type="button" dataOnly="0" labelOnly="1" outline="0" axis="axisRow" fieldPosition="3"/>
    </format>
    <format dxfId="1527">
      <pivotArea field="3" type="button" dataOnly="0" labelOnly="1" outline="0" axis="axisRow" fieldPosition="4"/>
    </format>
    <format dxfId="1526">
      <pivotArea field="6" type="button" dataOnly="0" labelOnly="1" outline="0" axis="axisRow" fieldPosition="5"/>
    </format>
    <format dxfId="1525">
      <pivotArea field="2" type="button" dataOnly="0" labelOnly="1" outline="0"/>
    </format>
    <format dxfId="1524">
      <pivotArea field="5" type="button" dataOnly="0" labelOnly="1" outline="0"/>
    </format>
    <format dxfId="1523">
      <pivotArea field="21" type="button" dataOnly="0" labelOnly="1" outline="0"/>
    </format>
    <format dxfId="1522">
      <pivotArea field="20" type="button" dataOnly="0" labelOnly="1" outline="0"/>
    </format>
    <format dxfId="1521">
      <pivotArea field="19" type="button" dataOnly="0" labelOnly="1" outline="0" axis="axisRow" fieldPosition="6"/>
    </format>
    <format dxfId="1520">
      <pivotArea dataOnly="0" labelOnly="1" outline="0" fieldPosition="0">
        <references count="1">
          <reference field="4294967294" count="5">
            <x v="0"/>
            <x v="1"/>
            <x v="3"/>
            <x v="4"/>
            <x v="5"/>
          </reference>
        </references>
      </pivotArea>
    </format>
    <format dxfId="1519">
      <pivotArea field="19" type="button" dataOnly="0" labelOnly="1" outline="0" axis="axisRow" fieldPosition="6"/>
    </format>
    <format dxfId="1518">
      <pivotArea dataOnly="0" labelOnly="1" outline="0" fieldPosition="0">
        <references count="1">
          <reference field="4294967294" count="5">
            <x v="0"/>
            <x v="1"/>
            <x v="3"/>
            <x v="4"/>
            <x v="5"/>
          </reference>
        </references>
      </pivotArea>
    </format>
    <format dxfId="1517">
      <pivotArea field="8" type="button" dataOnly="0" labelOnly="1" outline="0" axis="axisRow" fieldPosition="1"/>
    </format>
    <format dxfId="1516">
      <pivotArea field="1" type="button" dataOnly="0" labelOnly="1" outline="0" axis="axisRow" fieldPosition="2"/>
    </format>
    <format dxfId="1515">
      <pivotArea field="0" type="button" dataOnly="0" labelOnly="1" outline="0" axis="axisRow" fieldPosition="3"/>
    </format>
    <format dxfId="1514">
      <pivotArea field="3" type="button" dataOnly="0" labelOnly="1" outline="0" axis="axisRow" fieldPosition="4"/>
    </format>
    <format dxfId="1513">
      <pivotArea field="6" type="button" dataOnly="0" labelOnly="1" outline="0" axis="axisRow" fieldPosition="5"/>
    </format>
    <format dxfId="1512">
      <pivotArea field="2" type="button" dataOnly="0" labelOnly="1" outline="0"/>
    </format>
    <format dxfId="1511">
      <pivotArea field="5" type="button" dataOnly="0" labelOnly="1" outline="0"/>
    </format>
    <format dxfId="1510">
      <pivotArea field="21" type="button" dataOnly="0" labelOnly="1" outline="0"/>
    </format>
    <format dxfId="1509">
      <pivotArea field="20" type="button" dataOnly="0" labelOnly="1" outline="0"/>
    </format>
    <format dxfId="1508">
      <pivotArea dataOnly="0" fieldPosition="0">
        <references count="1">
          <reference field="3" count="0" defaultSubtotal="1"/>
        </references>
      </pivotArea>
    </format>
    <format dxfId="1507">
      <pivotArea dataOnly="0" fieldPosition="0">
        <references count="1">
          <reference field="3" count="0" defaultSubtotal="1"/>
        </references>
      </pivotArea>
    </format>
    <format dxfId="1506">
      <pivotArea dataOnly="0" fieldPosition="0">
        <references count="1">
          <reference field="0" count="0" defaultSubtotal="1"/>
        </references>
      </pivotArea>
    </format>
    <format dxfId="1505">
      <pivotArea dataOnly="0" fieldPosition="0">
        <references count="1">
          <reference field="0" count="0" defaultSubtotal="1"/>
        </references>
      </pivotArea>
    </format>
    <format dxfId="1504">
      <pivotArea dataOnly="0" fieldPosition="0">
        <references count="1">
          <reference field="1" count="0" defaultSubtotal="1"/>
        </references>
      </pivotArea>
    </format>
    <format dxfId="1503">
      <pivotArea dataOnly="0" fieldPosition="0">
        <references count="1">
          <reference field="1" count="0" defaultSubtotal="1"/>
        </references>
      </pivotArea>
    </format>
    <format dxfId="1502">
      <pivotArea dataOnly="0" fieldPosition="0">
        <references count="1">
          <reference field="8" count="0" defaultSubtotal="1"/>
        </references>
      </pivotArea>
    </format>
    <format dxfId="1501">
      <pivotArea field="8" dataOnly="0" grandRow="1" axis="axisRow" fieldPosition="1">
        <references count="1">
          <reference field="8" count="0"/>
        </references>
      </pivotArea>
    </format>
    <format dxfId="1500">
      <pivotArea dataOnly="0" labelOnly="1" outline="0" fieldPosition="0">
        <references count="1">
          <reference field="8" count="1">
            <x v="0"/>
          </reference>
        </references>
      </pivotArea>
    </format>
    <format dxfId="1499">
      <pivotArea dataOnly="0" labelOnly="1" outline="0" fieldPosition="0">
        <references count="1">
          <reference field="8" count="1" defaultSubtotal="1">
            <x v="0"/>
          </reference>
        </references>
      </pivotArea>
    </format>
    <format dxfId="1498">
      <pivotArea dataOnly="0" labelOnly="1" outline="0" fieldPosition="0">
        <references count="1">
          <reference field="8" count="1">
            <x v="2"/>
          </reference>
        </references>
      </pivotArea>
    </format>
    <format dxfId="1497">
      <pivotArea dataOnly="0" labelOnly="1" outline="0" fieldPosition="0">
        <references count="1">
          <reference field="8" count="1" defaultSubtotal="1">
            <x v="2"/>
          </reference>
        </references>
      </pivotArea>
    </format>
    <format dxfId="1496">
      <pivotArea dataOnly="0" labelOnly="1" grandRow="1" outline="0" fieldPosition="0"/>
    </format>
    <format dxfId="1495">
      <pivotArea field="8" type="button" dataOnly="0" labelOnly="1" outline="0" axis="axisRow" fieldPosition="1"/>
    </format>
    <format dxfId="1494">
      <pivotArea fieldPosition="0">
        <references count="5">
          <reference field="4294967294" count="1" selected="0">
            <x v="1"/>
          </reference>
          <reference field="0" count="0" selected="0"/>
          <reference field="1" count="0" selected="0"/>
          <reference field="3" count="0" defaultSubtotal="1"/>
          <reference field="8" count="1" selected="0">
            <x v="0"/>
          </reference>
        </references>
      </pivotArea>
    </format>
    <format dxfId="1493">
      <pivotArea field="18" type="button" dataOnly="0" labelOnly="1" outline="0" axis="axisRow" fieldPosition="0"/>
    </format>
    <format dxfId="1492">
      <pivotArea dataOnly="0" labelOnly="1" fieldPosition="0">
        <references count="1">
          <reference field="8" count="0"/>
        </references>
      </pivotArea>
    </format>
    <format dxfId="1491">
      <pivotArea dataOnly="0" labelOnly="1" fieldPosition="0">
        <references count="1">
          <reference field="8" count="0"/>
        </references>
      </pivotArea>
    </format>
    <format dxfId="1490">
      <pivotArea dataOnly="0" fieldPosition="0">
        <references count="1">
          <reference field="1" count="0"/>
        </references>
      </pivotArea>
    </format>
    <format dxfId="1489">
      <pivotArea dataOnly="0" fieldPosition="0">
        <references count="1">
          <reference field="1" count="0"/>
        </references>
      </pivotArea>
    </format>
    <format dxfId="1488">
      <pivotArea outline="0" fieldPosition="0">
        <references count="2">
          <reference field="8" count="0" selected="0" defaultSubtotal="1"/>
          <reference field="18" count="1" selected="0">
            <x v="0"/>
          </reference>
        </references>
      </pivotArea>
    </format>
    <format dxfId="1487">
      <pivotArea dataOnly="0" labelOnly="1" outline="0" fieldPosition="0">
        <references count="2">
          <reference field="8" count="0" defaultSubtotal="1"/>
          <reference field="18" count="1" selected="0">
            <x v="0"/>
          </reference>
        </references>
      </pivotArea>
    </format>
    <format dxfId="1486">
      <pivotArea grandRow="1" outline="0" collapsedLevelsAreSubtotals="1" fieldPosition="0"/>
    </format>
    <format dxfId="1485">
      <pivotArea dataOnly="0" labelOnly="1" grandRow="1" outline="0" fieldPosition="0"/>
    </format>
    <format dxfId="1484">
      <pivotArea outline="0" fieldPosition="0">
        <references count="3">
          <reference field="1" count="0" selected="0" defaultSubtotal="1"/>
          <reference field="8" count="0" selected="0"/>
          <reference field="18" count="1" selected="0">
            <x v="0"/>
          </reference>
        </references>
      </pivotArea>
    </format>
    <format dxfId="1483">
      <pivotArea dataOnly="0" labelOnly="1" outline="0" fieldPosition="0">
        <references count="3">
          <reference field="1" count="0" defaultSubtotal="1"/>
          <reference field="8" count="0" selected="0"/>
          <reference field="18" count="1" selected="0">
            <x v="0"/>
          </reference>
        </references>
      </pivotArea>
    </format>
    <format dxfId="1482">
      <pivotArea outline="0" fieldPosition="0">
        <references count="8">
          <reference field="4294967294" count="1" selected="0">
            <x v="1"/>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1481">
      <pivotArea outline="0" fieldPosition="0">
        <references count="8">
          <reference field="4294967294" count="1" selected="0">
            <x v="3"/>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1480">
      <pivotArea dataOnly="0" outline="0" fieldPosition="0">
        <references count="1">
          <reference field="3" count="0" defaultSubtotal="1"/>
        </references>
      </pivotArea>
    </format>
    <format dxfId="1479">
      <pivotArea dataOnly="0" outline="0" fieldPosition="0">
        <references count="1">
          <reference field="1" count="0" defaultSubtotal="1"/>
        </references>
      </pivotArea>
    </format>
    <format dxfId="1478">
      <pivotArea dataOnly="0" outline="0" fieldPosition="0">
        <references count="1">
          <reference field="8" count="0" defaultSubtotal="1"/>
        </references>
      </pivotArea>
    </format>
    <format dxfId="1477">
      <pivotArea dataOnly="0" grandRow="1" outline="0" fieldPosition="0"/>
    </format>
    <format dxfId="1476">
      <pivotArea dataOnly="0" labelOnly="1" outline="0" fieldPosition="0">
        <references count="1">
          <reference field="8" count="0"/>
        </references>
      </pivotArea>
    </format>
    <format dxfId="1475">
      <pivotArea dataOnly="0" labelOnly="1" outline="0" fieldPosition="0">
        <references count="1">
          <reference field="4294967294" count="1">
            <x v="2"/>
          </reference>
        </references>
      </pivotArea>
    </format>
    <format dxfId="1474">
      <pivotArea outline="0" fieldPosition="0">
        <references count="1">
          <reference field="4294967294" count="1">
            <x v="2"/>
          </reference>
        </references>
      </pivotArea>
    </format>
    <format dxfId="1473">
      <pivotArea outline="0" fieldPosition="0">
        <references count="8">
          <reference field="4294967294" count="1" selected="0">
            <x v="2"/>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1472">
      <pivotArea field="18" type="button" dataOnly="0" labelOnly="1" outline="0" axis="axisRow" fieldPosition="0"/>
    </format>
    <format dxfId="1471">
      <pivotArea dataOnly="0" labelOnly="1" outline="0" fieldPosition="0">
        <references count="1">
          <reference field="0" count="0"/>
        </references>
      </pivotArea>
    </format>
    <format dxfId="1470">
      <pivotArea dataOnly="0" outline="0" fieldPosition="0">
        <references count="1">
          <reference field="1" count="0" defaultSubtotal="1"/>
        </references>
      </pivotArea>
    </format>
    <format dxfId="1469">
      <pivotArea dataOnly="0" outline="0" fieldPosition="0">
        <references count="1">
          <reference field="0" count="0" defaultSubtotal="1"/>
        </references>
      </pivotArea>
    </format>
    <format dxfId="1468">
      <pivotArea outline="0" fieldPosition="0">
        <references count="8">
          <reference field="4294967294" count="1" selected="0">
            <x v="0"/>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1467">
      <pivotArea outline="0" fieldPosition="0">
        <references count="8">
          <reference field="4294967294" count="1" selected="0">
            <x v="5"/>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1466">
      <pivotArea dataOnly="0" labelOnly="1" outline="0" fieldPosition="0">
        <references count="1">
          <reference field="18" count="0"/>
        </references>
      </pivotArea>
    </format>
    <format dxfId="1465">
      <pivotArea outline="0" fieldPosition="0">
        <references count="7">
          <reference field="0" count="0" selected="0"/>
          <reference field="1" count="0" selected="0"/>
          <reference field="3" count="0" selected="0"/>
          <reference field="6" count="0" selected="0"/>
          <reference field="8" count="1" selected="0">
            <x v="0"/>
          </reference>
          <reference field="18" count="1" selected="0">
            <x v="0"/>
          </reference>
          <reference field="19" count="0" selected="0"/>
        </references>
      </pivotArea>
    </format>
    <format dxfId="1464">
      <pivotArea outline="0" fieldPosition="0">
        <references count="7">
          <reference field="0" count="0" selected="0"/>
          <reference field="1" count="0" selected="0"/>
          <reference field="3" count="0" selected="0"/>
          <reference field="6" count="0" selected="0"/>
          <reference field="8" count="1" selected="0">
            <x v="2"/>
          </reference>
          <reference field="18" count="1" selected="0">
            <x v="1"/>
          </reference>
          <reference field="19" count="0" selected="0"/>
        </references>
      </pivotArea>
    </format>
    <format dxfId="1463">
      <pivotArea outline="0" fieldPosition="0">
        <references count="3">
          <reference field="4294967294" count="4" selected="0">
            <x v="2"/>
            <x v="3"/>
            <x v="4"/>
            <x v="5"/>
          </reference>
          <reference field="8" count="1" selected="0" defaultSubtotal="1">
            <x v="0"/>
          </reference>
          <reference field="18" count="1" selected="0">
            <x v="0"/>
          </reference>
        </references>
      </pivotArea>
    </format>
    <format dxfId="1462">
      <pivotArea outline="0" fieldPosition="0">
        <references count="5">
          <reference field="4294967294" count="4" selected="0">
            <x v="2"/>
            <x v="3"/>
            <x v="4"/>
            <x v="5"/>
          </reference>
          <reference field="0" count="0" selected="0" defaultSubtotal="1"/>
          <reference field="1" count="0" selected="0"/>
          <reference field="8" count="1" selected="0">
            <x v="2"/>
          </reference>
          <reference field="18" count="1" selected="0">
            <x v="1"/>
          </reference>
        </references>
      </pivotArea>
    </format>
    <format dxfId="1461">
      <pivotArea outline="0" fieldPosition="0">
        <references count="4">
          <reference field="4294967294" count="4" selected="0">
            <x v="2"/>
            <x v="3"/>
            <x v="4"/>
            <x v="5"/>
          </reference>
          <reference field="1" count="0" selected="0" defaultSubtotal="1"/>
          <reference field="8" count="1" selected="0">
            <x v="2"/>
          </reference>
          <reference field="18" count="1" selected="0">
            <x v="1"/>
          </reference>
        </references>
      </pivotArea>
    </format>
    <format dxfId="1460">
      <pivotArea outline="0" fieldPosition="0">
        <references count="3">
          <reference field="4294967294" count="4" selected="0">
            <x v="2"/>
            <x v="3"/>
            <x v="4"/>
            <x v="5"/>
          </reference>
          <reference field="8" count="1" selected="0" defaultSubtotal="1">
            <x v="2"/>
          </reference>
          <reference field="18" count="1" selected="0">
            <x v="1"/>
          </reference>
        </references>
      </pivotArea>
    </format>
    <format dxfId="1459">
      <pivotArea field="18" grandRow="1" outline="0" axis="axisRow" fieldPosition="0">
        <references count="1">
          <reference field="4294967294" count="4" selected="0">
            <x v="2"/>
            <x v="3"/>
            <x v="4"/>
            <x v="5"/>
          </reference>
        </references>
      </pivotArea>
    </format>
    <format dxfId="1458">
      <pivotArea dataOnly="0" outline="0" fieldPosition="0">
        <references count="1">
          <reference field="4294967294" count="1">
            <x v="1"/>
          </reference>
        </references>
      </pivotArea>
    </format>
    <format dxfId="1457">
      <pivotArea dataOnly="0" labelOnly="1" outline="0" fieldPosition="0">
        <references count="1">
          <reference field="4294967294" count="1">
            <x v="1"/>
          </reference>
        </references>
      </pivotArea>
    </format>
    <format dxfId="1456">
      <pivotArea dataOnly="0" outline="0" fieldPosition="0">
        <references count="1">
          <reference field="4294967294" count="1">
            <x v="0"/>
          </reference>
        </references>
      </pivotArea>
    </format>
    <format dxfId="1455">
      <pivotArea dataOnly="0" labelOnly="1" outline="0" fieldPosition="0">
        <references count="1">
          <reference field="4294967294" count="1">
            <x v="0"/>
          </reference>
        </references>
      </pivotArea>
    </format>
    <format dxfId="1454">
      <pivotArea dataOnly="0" outline="0" fieldPosition="0">
        <references count="1">
          <reference field="4294967294" count="1">
            <x v="2"/>
          </reference>
        </references>
      </pivotArea>
    </format>
    <format dxfId="1453">
      <pivotArea dataOnly="0" labelOnly="1" outline="0" fieldPosition="0">
        <references count="1">
          <reference field="4294967294" count="1">
            <x v="2"/>
          </reference>
        </references>
      </pivotArea>
    </format>
    <format dxfId="1452">
      <pivotArea dataOnly="0" outline="0" fieldPosition="0">
        <references count="1">
          <reference field="4294967294" count="1">
            <x v="3"/>
          </reference>
        </references>
      </pivotArea>
    </format>
    <format dxfId="1451">
      <pivotArea dataOnly="0" labelOnly="1" outline="0" fieldPosition="0">
        <references count="1">
          <reference field="4294967294" count="1">
            <x v="3"/>
          </reference>
        </references>
      </pivotArea>
    </format>
    <format dxfId="1450">
      <pivotArea dataOnly="0" outline="0" fieldPosition="0">
        <references count="1">
          <reference field="4294967294" count="1">
            <x v="4"/>
          </reference>
        </references>
      </pivotArea>
    </format>
    <format dxfId="1449">
      <pivotArea dataOnly="0" outline="0" fieldPosition="0">
        <references count="1">
          <reference field="4294967294" count="1">
            <x v="4"/>
          </reference>
        </references>
      </pivotArea>
    </format>
    <format dxfId="1448">
      <pivotArea dataOnly="0" labelOnly="1" outline="0" fieldPosition="0">
        <references count="1">
          <reference field="4294967294" count="1">
            <x v="4"/>
          </reference>
        </references>
      </pivotArea>
    </format>
    <format dxfId="1447">
      <pivotArea dataOnly="0" outline="0" fieldPosition="0">
        <references count="1">
          <reference field="4294967294" count="1">
            <x v="5"/>
          </reference>
        </references>
      </pivotArea>
    </format>
    <format dxfId="1446">
      <pivotArea dataOnly="0" labelOnly="1" outline="0" fieldPosition="0">
        <references count="1">
          <reference field="4294967294" count="1">
            <x v="5"/>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7041D2-BA6E-A346-907E-C2C77F4FEDA2}" name="TablaDinámica2" cacheId="118" applyNumberFormats="0" applyBorderFormats="0" applyFontFormats="0" applyPatternFormats="0" applyAlignmentFormats="0" applyWidthHeightFormats="1" dataCaption="Valores" updatedVersion="8" minRefreshableVersion="3" showDrill="0" itemPrintTitles="1" createdVersion="6" indent="0" compact="0" outline="1" outlineData="1" compactData="0">
  <location ref="B5:W622" firstHeaderRow="0" firstDataRow="1" firstDataCol="8"/>
  <pivotFields count="40">
    <pivotField name="Número de Cuenta" axis="axisRow" compact="0" subtotalTop="0" showAll="0" insertBlankRow="1" sortType="ascending">
      <items count="5">
        <item n="35D0XXX31768" x="2"/>
        <item n="35D0XXXX1768" x="1"/>
        <item n="GS 029-2XXX1-9" x="3"/>
        <item x="0"/>
        <item t="default"/>
      </items>
    </pivotField>
    <pivotField compact="0" subtotalTop="0" showAll="0" insertBlankRow="1"/>
    <pivotField axis="axisRow" compact="0" subtotalTop="0" showAll="0" insertBlankRow="1" sortType="ascending">
      <items count="33">
        <item x="15"/>
        <item x="16"/>
        <item x="17"/>
        <item x="18"/>
        <item x="7"/>
        <item x="5"/>
        <item x="24"/>
        <item x="29"/>
        <item x="19"/>
        <item x="10"/>
        <item x="6"/>
        <item x="20"/>
        <item x="14"/>
        <item x="23"/>
        <item x="28"/>
        <item x="25"/>
        <item x="13"/>
        <item x="22"/>
        <item x="11"/>
        <item x="30"/>
        <item x="21"/>
        <item x="12"/>
        <item x="3"/>
        <item x="2"/>
        <item x="26"/>
        <item x="1"/>
        <item x="4"/>
        <item x="9"/>
        <item x="31"/>
        <item x="8"/>
        <item x="27"/>
        <item x="0"/>
        <item t="default"/>
      </items>
    </pivotField>
    <pivotField name="Clase de Activo" axis="axisRow" compact="0" subtotalTop="0" showAll="0" insertBlankRow="1" sortType="ascending">
      <items count="3">
        <item x="1"/>
        <item x="0"/>
        <item t="default"/>
      </items>
    </pivotField>
    <pivotField axis="axisRow" compact="0" subtotalTop="0" showAll="0" insertBlankRow="1" defaultSubtotal="0">
      <items count="3">
        <item x="0"/>
        <item x="1"/>
        <item x="2"/>
      </items>
    </pivotField>
    <pivotField axis="axisRow" compact="0" subtotalTop="0" showAll="0" insertBlankRow="1" defaultSubtotal="0">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compact="0" subtotalTop="0" showAll="0" insertBlankRow="1"/>
    <pivotField name="Tipo de Ingreso" axis="axisRow" compact="0" subtotalTop="0" showAll="0" insertBlankRow="1" sortType="ascending">
      <items count="4">
        <item h="1" x="0"/>
        <item x="1"/>
        <item h="1" x="2"/>
        <item t="default"/>
      </items>
    </pivotField>
    <pivotField compact="0" subtotalTop="0" showAll="0" insertBlankRow="1"/>
    <pivotField compact="0" subtotalTop="0" showAll="0" insertBlankRow="1"/>
    <pivotField dataField="1" compact="0" subtotalTop="0" showAll="0" insertBlankRow="1"/>
    <pivotField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compact="0" subtotalTop="0" showAll="0" insertBlankRow="1"/>
    <pivotField compact="0" subtotalTop="0" showAll="0" insertBlankRow="1"/>
    <pivotField name="Unidades vendidas2" dataField="1" compact="0" subtotalTop="0" showAll="0" insertBlankRow="1"/>
    <pivotField compact="0" subtotalTop="0" showAll="0" insertBlankRow="1"/>
    <pivotField axis="axisRow" compact="0" subtotalTop="0" showAll="0" insertBlankRow="1" defaultSubtotal="0">
      <items count="15">
        <item x="0"/>
        <item x="1"/>
        <item x="2"/>
        <item x="3"/>
        <item x="4"/>
        <item x="5"/>
        <item x="6"/>
        <item x="7"/>
        <item x="8"/>
        <item x="9"/>
        <item x="10"/>
        <item x="11"/>
        <item x="12"/>
        <item x="13"/>
        <item x="14"/>
      </items>
    </pivotField>
    <pivotField axis="axisRow" compact="0" subtotalTop="0" showAll="0" insertBlankRow="1" defaultSubtotal="0">
      <items count="3">
        <item x="0"/>
        <item x="1"/>
        <item x="2"/>
      </items>
    </pivotField>
    <pivotField dataField="1" compact="0" subtotalTop="0" showAll="0" insertBlankRow="1"/>
    <pivotField dataField="1" compact="0" subtotalTop="0" showAll="0" insertBlankRow="1"/>
    <pivotField compact="0" subtotalTop="0" showAll="0" insertBlankRow="1"/>
    <pivotField dataField="1" compact="0" subtotalTop="0" showAll="0" insertBlankRow="1"/>
    <pivotField name="Precio de Venta en MXN2"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s>
  <rowFields count="8">
    <field x="7"/>
    <field x="3"/>
    <field x="0"/>
    <field x="2"/>
    <field x="22"/>
    <field x="23"/>
    <field x="5"/>
    <field x="4"/>
  </rowFields>
  <rowItems count="617">
    <i>
      <x v="1"/>
    </i>
    <i r="1">
      <x/>
    </i>
    <i r="2">
      <x/>
    </i>
    <i r="3">
      <x v="12"/>
    </i>
    <i r="4">
      <x v="4"/>
    </i>
    <i r="5">
      <x v="1"/>
    </i>
    <i r="6">
      <x v="18"/>
    </i>
    <i r="7">
      <x v="1"/>
    </i>
    <i t="blank" r="6">
      <x v="18"/>
    </i>
    <i t="default" r="3">
      <x v="12"/>
    </i>
    <i t="blank" r="3">
      <x v="12"/>
    </i>
    <i r="3">
      <x v="14"/>
    </i>
    <i r="4">
      <x v="12"/>
    </i>
    <i r="5">
      <x v="2"/>
    </i>
    <i r="6">
      <x v="13"/>
    </i>
    <i r="7">
      <x v="2"/>
    </i>
    <i t="blank" r="6">
      <x v="13"/>
    </i>
    <i t="default" r="3">
      <x v="14"/>
    </i>
    <i t="blank" r="3">
      <x v="14"/>
    </i>
    <i r="3">
      <x v="16"/>
    </i>
    <i r="4">
      <x v="2"/>
    </i>
    <i r="5">
      <x v="2"/>
    </i>
    <i r="6">
      <x v="13"/>
    </i>
    <i r="7">
      <x v="2"/>
    </i>
    <i t="blank" r="6">
      <x v="13"/>
    </i>
    <i r="6">
      <x v="14"/>
    </i>
    <i r="7">
      <x v="2"/>
    </i>
    <i t="blank" r="6">
      <x v="14"/>
    </i>
    <i r="6">
      <x v="15"/>
    </i>
    <i r="7">
      <x v="2"/>
    </i>
    <i t="blank" r="6">
      <x v="15"/>
    </i>
    <i r="4">
      <x v="3"/>
    </i>
    <i r="5">
      <x v="2"/>
    </i>
    <i r="6">
      <x v="11"/>
    </i>
    <i r="7">
      <x v="2"/>
    </i>
    <i t="blank" r="6">
      <x v="11"/>
    </i>
    <i r="6">
      <x v="14"/>
    </i>
    <i r="7">
      <x v="2"/>
    </i>
    <i t="blank" r="6">
      <x v="14"/>
    </i>
    <i r="6">
      <x v="16"/>
    </i>
    <i r="7">
      <x v="2"/>
    </i>
    <i t="blank" r="6">
      <x v="16"/>
    </i>
    <i r="6">
      <x v="17"/>
    </i>
    <i r="7">
      <x v="2"/>
    </i>
    <i t="blank" r="6">
      <x v="17"/>
    </i>
    <i t="default" r="3">
      <x v="16"/>
    </i>
    <i t="blank" r="3">
      <x v="16"/>
    </i>
    <i r="3">
      <x v="21"/>
    </i>
    <i r="4">
      <x v="2"/>
    </i>
    <i r="5">
      <x v="2"/>
    </i>
    <i r="6">
      <x v="11"/>
    </i>
    <i r="7">
      <x v="2"/>
    </i>
    <i t="blank" r="6">
      <x v="11"/>
    </i>
    <i r="6">
      <x v="12"/>
    </i>
    <i r="7">
      <x v="2"/>
    </i>
    <i t="blank" r="6">
      <x v="12"/>
    </i>
    <i r="6">
      <x v="13"/>
    </i>
    <i r="7">
      <x v="2"/>
    </i>
    <i t="blank" r="6">
      <x v="13"/>
    </i>
    <i r="6">
      <x v="14"/>
    </i>
    <i r="7">
      <x v="2"/>
    </i>
    <i t="blank" r="6">
      <x v="14"/>
    </i>
    <i t="default" r="3">
      <x v="21"/>
    </i>
    <i t="blank" r="3">
      <x v="21"/>
    </i>
    <i t="default" r="2">
      <x/>
    </i>
    <i t="blank" r="2">
      <x/>
    </i>
    <i r="2">
      <x v="1"/>
    </i>
    <i r="3">
      <x/>
    </i>
    <i r="4">
      <x v="5"/>
    </i>
    <i r="5">
      <x v="1"/>
    </i>
    <i r="6">
      <x v="1"/>
    </i>
    <i r="7">
      <x v="1"/>
    </i>
    <i t="blank" r="6">
      <x v="1"/>
    </i>
    <i r="6">
      <x v="2"/>
    </i>
    <i r="7">
      <x v="1"/>
    </i>
    <i t="blank" r="6">
      <x v="2"/>
    </i>
    <i r="4">
      <x v="6"/>
    </i>
    <i r="5">
      <x v="1"/>
    </i>
    <i r="6">
      <x v="2"/>
    </i>
    <i r="7">
      <x v="1"/>
    </i>
    <i t="blank" r="6">
      <x v="2"/>
    </i>
    <i r="6">
      <x v="6"/>
    </i>
    <i r="7">
      <x v="1"/>
    </i>
    <i t="blank" r="6">
      <x v="6"/>
    </i>
    <i t="default" r="3">
      <x/>
    </i>
    <i t="blank" r="3">
      <x/>
    </i>
    <i r="3">
      <x v="1"/>
    </i>
    <i r="4">
      <x v="5"/>
    </i>
    <i r="5">
      <x v="1"/>
    </i>
    <i r="6">
      <x v="7"/>
    </i>
    <i r="7">
      <x v="1"/>
    </i>
    <i t="blank" r="6">
      <x v="7"/>
    </i>
    <i r="4">
      <x v="13"/>
    </i>
    <i r="5">
      <x v="1"/>
    </i>
    <i r="6">
      <x v="7"/>
    </i>
    <i r="7">
      <x v="1"/>
    </i>
    <i t="blank" r="6">
      <x v="7"/>
    </i>
    <i t="default" r="3">
      <x v="1"/>
    </i>
    <i t="blank" r="3">
      <x v="1"/>
    </i>
    <i r="3">
      <x v="2"/>
    </i>
    <i r="4">
      <x v="5"/>
    </i>
    <i r="5">
      <x v="1"/>
    </i>
    <i r="6">
      <x v="3"/>
    </i>
    <i r="7">
      <x v="1"/>
    </i>
    <i t="blank" r="6">
      <x v="3"/>
    </i>
    <i r="6">
      <x v="6"/>
    </i>
    <i r="7">
      <x v="1"/>
    </i>
    <i t="blank" r="6">
      <x v="6"/>
    </i>
    <i r="4">
      <x v="13"/>
    </i>
    <i r="5">
      <x v="1"/>
    </i>
    <i r="6">
      <x v="3"/>
    </i>
    <i r="7">
      <x v="1"/>
    </i>
    <i t="blank" r="6">
      <x v="3"/>
    </i>
    <i r="4">
      <x v="14"/>
    </i>
    <i r="5">
      <x v="1"/>
    </i>
    <i r="6">
      <x v="3"/>
    </i>
    <i r="7">
      <x v="1"/>
    </i>
    <i t="blank" r="6">
      <x v="3"/>
    </i>
    <i r="6">
      <x v="5"/>
    </i>
    <i r="7">
      <x v="1"/>
    </i>
    <i t="blank" r="6">
      <x v="5"/>
    </i>
    <i r="6">
      <x v="21"/>
    </i>
    <i r="7">
      <x v="1"/>
    </i>
    <i t="blank" r="6">
      <x v="21"/>
    </i>
    <i t="default" r="3">
      <x v="2"/>
    </i>
    <i t="blank" r="3">
      <x v="2"/>
    </i>
    <i r="3">
      <x v="3"/>
    </i>
    <i r="4">
      <x v="5"/>
    </i>
    <i r="5">
      <x v="1"/>
    </i>
    <i r="6">
      <x v="10"/>
    </i>
    <i r="7">
      <x v="1"/>
    </i>
    <i t="blank" r="6">
      <x v="10"/>
    </i>
    <i r="4">
      <x v="6"/>
    </i>
    <i r="5">
      <x v="1"/>
    </i>
    <i r="6">
      <x v="1"/>
    </i>
    <i r="7">
      <x v="1"/>
    </i>
    <i t="blank" r="6">
      <x v="1"/>
    </i>
    <i r="6">
      <x v="8"/>
    </i>
    <i r="7">
      <x v="1"/>
    </i>
    <i t="blank" r="6">
      <x v="8"/>
    </i>
    <i r="6">
      <x v="9"/>
    </i>
    <i r="7">
      <x v="1"/>
    </i>
    <i t="blank" r="6">
      <x v="9"/>
    </i>
    <i r="6">
      <x v="10"/>
    </i>
    <i r="7">
      <x v="1"/>
    </i>
    <i t="blank" r="6">
      <x v="10"/>
    </i>
    <i r="6">
      <x v="19"/>
    </i>
    <i r="7">
      <x v="1"/>
    </i>
    <i t="blank" r="6">
      <x v="19"/>
    </i>
    <i r="4">
      <x v="14"/>
    </i>
    <i r="5">
      <x v="1"/>
    </i>
    <i r="6">
      <x v="1"/>
    </i>
    <i r="7">
      <x v="1"/>
    </i>
    <i t="blank" r="6">
      <x v="1"/>
    </i>
    <i t="default" r="3">
      <x v="3"/>
    </i>
    <i t="blank" r="3">
      <x v="3"/>
    </i>
    <i r="3">
      <x v="4"/>
    </i>
    <i r="4">
      <x v="1"/>
    </i>
    <i r="5">
      <x v="1"/>
    </i>
    <i r="6">
      <x v="1"/>
    </i>
    <i r="7">
      <x v="1"/>
    </i>
    <i t="blank" r="6">
      <x v="1"/>
    </i>
    <i r="6">
      <x v="2"/>
    </i>
    <i r="7">
      <x v="1"/>
    </i>
    <i t="blank" r="6">
      <x v="2"/>
    </i>
    <i r="6">
      <x v="4"/>
    </i>
    <i r="7">
      <x v="1"/>
    </i>
    <i t="blank" r="6">
      <x v="4"/>
    </i>
    <i r="6">
      <x v="5"/>
    </i>
    <i r="7">
      <x v="1"/>
    </i>
    <i t="blank" r="6">
      <x v="5"/>
    </i>
    <i t="default" r="3">
      <x v="4"/>
    </i>
    <i t="blank" r="3">
      <x v="4"/>
    </i>
    <i r="3">
      <x v="5"/>
    </i>
    <i r="4">
      <x v="1"/>
    </i>
    <i r="5">
      <x v="1"/>
    </i>
    <i r="6">
      <x v="1"/>
    </i>
    <i r="7">
      <x v="1"/>
    </i>
    <i t="blank" r="6">
      <x v="1"/>
    </i>
    <i r="6">
      <x v="2"/>
    </i>
    <i r="7">
      <x v="1"/>
    </i>
    <i t="blank" r="6">
      <x v="2"/>
    </i>
    <i r="6">
      <x v="7"/>
    </i>
    <i r="7">
      <x v="1"/>
    </i>
    <i t="blank" r="6">
      <x v="7"/>
    </i>
    <i r="4">
      <x v="6"/>
    </i>
    <i r="5">
      <x v="1"/>
    </i>
    <i r="6">
      <x v="2"/>
    </i>
    <i r="7">
      <x v="1"/>
    </i>
    <i t="blank" r="6">
      <x v="2"/>
    </i>
    <i t="default" r="3">
      <x v="5"/>
    </i>
    <i t="blank" r="3">
      <x v="5"/>
    </i>
    <i r="3">
      <x v="6"/>
    </i>
    <i r="4">
      <x v="6"/>
    </i>
    <i r="5">
      <x v="1"/>
    </i>
    <i r="6">
      <x v="21"/>
    </i>
    <i r="7">
      <x v="1"/>
    </i>
    <i t="blank" r="6">
      <x v="21"/>
    </i>
    <i r="6">
      <x v="22"/>
    </i>
    <i r="7">
      <x v="1"/>
    </i>
    <i t="blank" r="6">
      <x v="22"/>
    </i>
    <i r="4">
      <x v="13"/>
    </i>
    <i r="5">
      <x v="1"/>
    </i>
    <i r="6">
      <x v="22"/>
    </i>
    <i r="7">
      <x v="1"/>
    </i>
    <i t="blank" r="6">
      <x v="22"/>
    </i>
    <i t="default" r="3">
      <x v="6"/>
    </i>
    <i t="blank" r="3">
      <x v="6"/>
    </i>
    <i r="3">
      <x v="7"/>
    </i>
    <i r="4">
      <x v="14"/>
    </i>
    <i r="5">
      <x v="1"/>
    </i>
    <i r="6">
      <x v="20"/>
    </i>
    <i r="7">
      <x v="1"/>
    </i>
    <i t="blank" r="6">
      <x v="20"/>
    </i>
    <i t="default" r="3">
      <x v="7"/>
    </i>
    <i t="blank" r="3">
      <x v="7"/>
    </i>
    <i r="3">
      <x v="8"/>
    </i>
    <i r="4">
      <x v="6"/>
    </i>
    <i r="5">
      <x v="1"/>
    </i>
    <i r="6">
      <x v="7"/>
    </i>
    <i r="7">
      <x v="1"/>
    </i>
    <i t="blank" r="6">
      <x v="7"/>
    </i>
    <i r="6">
      <x v="20"/>
    </i>
    <i r="7">
      <x v="1"/>
    </i>
    <i t="blank" r="6">
      <x v="20"/>
    </i>
    <i t="default" r="3">
      <x v="8"/>
    </i>
    <i t="blank" r="3">
      <x v="8"/>
    </i>
    <i r="3">
      <x v="9"/>
    </i>
    <i r="4">
      <x v="1"/>
    </i>
    <i r="5">
      <x v="1"/>
    </i>
    <i r="6">
      <x v="10"/>
    </i>
    <i r="7">
      <x v="1"/>
    </i>
    <i t="blank" r="6">
      <x v="10"/>
    </i>
    <i r="4">
      <x v="5"/>
    </i>
    <i r="5">
      <x v="1"/>
    </i>
    <i r="6">
      <x v="10"/>
    </i>
    <i r="7">
      <x v="1"/>
    </i>
    <i t="blank" r="6">
      <x v="10"/>
    </i>
    <i r="4">
      <x v="6"/>
    </i>
    <i r="5">
      <x v="1"/>
    </i>
    <i r="6">
      <x v="10"/>
    </i>
    <i r="7">
      <x v="1"/>
    </i>
    <i t="blank" r="6">
      <x v="10"/>
    </i>
    <i r="4">
      <x v="14"/>
    </i>
    <i r="5">
      <x v="1"/>
    </i>
    <i r="6">
      <x v="9"/>
    </i>
    <i r="7">
      <x v="1"/>
    </i>
    <i t="blank" r="6">
      <x v="9"/>
    </i>
    <i r="6">
      <x v="10"/>
    </i>
    <i r="7">
      <x v="1"/>
    </i>
    <i t="blank" r="6">
      <x v="10"/>
    </i>
    <i t="default" r="3">
      <x v="9"/>
    </i>
    <i t="blank" r="3">
      <x v="9"/>
    </i>
    <i r="3">
      <x v="10"/>
    </i>
    <i r="4">
      <x v="1"/>
    </i>
    <i r="5">
      <x v="1"/>
    </i>
    <i r="6">
      <x v="1"/>
    </i>
    <i r="7">
      <x v="1"/>
    </i>
    <i t="blank" r="6">
      <x v="1"/>
    </i>
    <i r="6">
      <x v="8"/>
    </i>
    <i r="7">
      <x v="1"/>
    </i>
    <i t="blank" r="6">
      <x v="8"/>
    </i>
    <i r="6">
      <x v="9"/>
    </i>
    <i r="7">
      <x v="1"/>
    </i>
    <i t="blank" r="6">
      <x v="9"/>
    </i>
    <i r="4">
      <x v="5"/>
    </i>
    <i r="5">
      <x v="1"/>
    </i>
    <i r="6">
      <x v="1"/>
    </i>
    <i r="7">
      <x v="1"/>
    </i>
    <i t="blank" r="6">
      <x v="1"/>
    </i>
    <i r="6">
      <x v="2"/>
    </i>
    <i r="7">
      <x v="1"/>
    </i>
    <i t="blank" r="6">
      <x v="2"/>
    </i>
    <i r="4">
      <x v="13"/>
    </i>
    <i r="5">
      <x v="1"/>
    </i>
    <i r="6">
      <x v="2"/>
    </i>
    <i r="7">
      <x v="1"/>
    </i>
    <i t="blank" r="6">
      <x v="2"/>
    </i>
    <i t="default" r="3">
      <x v="10"/>
    </i>
    <i t="blank" r="3">
      <x v="10"/>
    </i>
    <i r="3">
      <x v="11"/>
    </i>
    <i r="4">
      <x v="5"/>
    </i>
    <i r="5">
      <x v="1"/>
    </i>
    <i r="6">
      <x v="1"/>
    </i>
    <i r="7">
      <x v="1"/>
    </i>
    <i t="blank" r="6">
      <x v="1"/>
    </i>
    <i r="4">
      <x v="6"/>
    </i>
    <i r="5">
      <x v="1"/>
    </i>
    <i r="6">
      <x v="1"/>
    </i>
    <i r="7">
      <x v="1"/>
    </i>
    <i t="blank" r="6">
      <x v="1"/>
    </i>
    <i r="4">
      <x v="14"/>
    </i>
    <i r="5">
      <x v="1"/>
    </i>
    <i r="6">
      <x v="1"/>
    </i>
    <i r="7">
      <x v="1"/>
    </i>
    <i t="blank" r="6">
      <x v="1"/>
    </i>
    <i r="6">
      <x v="2"/>
    </i>
    <i r="7">
      <x v="1"/>
    </i>
    <i t="blank" r="6">
      <x v="2"/>
    </i>
    <i t="default" r="3">
      <x v="11"/>
    </i>
    <i t="blank" r="3">
      <x v="11"/>
    </i>
    <i r="3">
      <x v="13"/>
    </i>
    <i r="4">
      <x v="5"/>
    </i>
    <i r="5">
      <x v="1"/>
    </i>
    <i r="6">
      <x v="21"/>
    </i>
    <i r="7">
      <x v="1"/>
    </i>
    <i t="blank" r="6">
      <x v="21"/>
    </i>
    <i r="4">
      <x v="6"/>
    </i>
    <i r="5">
      <x v="1"/>
    </i>
    <i r="6">
      <x v="21"/>
    </i>
    <i r="7">
      <x v="1"/>
    </i>
    <i t="blank" r="6">
      <x v="21"/>
    </i>
    <i r="4">
      <x v="13"/>
    </i>
    <i r="5">
      <x v="1"/>
    </i>
    <i r="6">
      <x v="21"/>
    </i>
    <i r="7">
      <x v="1"/>
    </i>
    <i t="blank" r="6">
      <x v="21"/>
    </i>
    <i r="4">
      <x v="14"/>
    </i>
    <i r="5">
      <x v="1"/>
    </i>
    <i r="6">
      <x v="21"/>
    </i>
    <i r="7">
      <x v="1"/>
    </i>
    <i t="blank" r="6">
      <x v="21"/>
    </i>
    <i t="default" r="3">
      <x v="13"/>
    </i>
    <i t="blank" r="3">
      <x v="13"/>
    </i>
    <i r="3">
      <x v="15"/>
    </i>
    <i r="4">
      <x v="6"/>
    </i>
    <i r="5">
      <x v="1"/>
    </i>
    <i r="6">
      <x v="21"/>
    </i>
    <i r="7">
      <x v="1"/>
    </i>
    <i t="blank" r="6">
      <x v="21"/>
    </i>
    <i r="4">
      <x v="13"/>
    </i>
    <i r="5">
      <x v="1"/>
    </i>
    <i r="6">
      <x v="21"/>
    </i>
    <i r="7">
      <x v="1"/>
    </i>
    <i t="blank" r="6">
      <x v="21"/>
    </i>
    <i t="default" r="3">
      <x v="15"/>
    </i>
    <i t="blank" r="3">
      <x v="15"/>
    </i>
    <i r="3">
      <x v="17"/>
    </i>
    <i r="4">
      <x v="5"/>
    </i>
    <i r="5">
      <x v="1"/>
    </i>
    <i r="6">
      <x v="21"/>
    </i>
    <i r="7">
      <x v="1"/>
    </i>
    <i t="blank" r="6">
      <x v="21"/>
    </i>
    <i r="4">
      <x v="14"/>
    </i>
    <i r="5">
      <x v="1"/>
    </i>
    <i r="6">
      <x v="28"/>
    </i>
    <i r="7">
      <x v="1"/>
    </i>
    <i t="blank" r="6">
      <x v="28"/>
    </i>
    <i t="default" r="3">
      <x v="17"/>
    </i>
    <i t="blank" r="3">
      <x v="17"/>
    </i>
    <i r="3">
      <x v="18"/>
    </i>
    <i r="4">
      <x v="1"/>
    </i>
    <i r="5">
      <x v="1"/>
    </i>
    <i r="6">
      <x v="3"/>
    </i>
    <i r="7">
      <x v="1"/>
    </i>
    <i t="blank" r="6">
      <x v="3"/>
    </i>
    <i r="6">
      <x v="4"/>
    </i>
    <i r="7">
      <x v="1"/>
    </i>
    <i t="blank" r="6">
      <x v="4"/>
    </i>
    <i t="default" r="3">
      <x v="18"/>
    </i>
    <i t="blank" r="3">
      <x v="18"/>
    </i>
    <i r="3">
      <x v="19"/>
    </i>
    <i r="4">
      <x v="13"/>
    </i>
    <i r="5">
      <x v="1"/>
    </i>
    <i r="6">
      <x v="7"/>
    </i>
    <i r="7">
      <x v="1"/>
    </i>
    <i t="blank" r="6">
      <x v="7"/>
    </i>
    <i r="4">
      <x v="14"/>
    </i>
    <i r="5">
      <x v="1"/>
    </i>
    <i r="6">
      <x v="7"/>
    </i>
    <i r="7">
      <x v="1"/>
    </i>
    <i t="blank" r="6">
      <x v="7"/>
    </i>
    <i t="default" r="3">
      <x v="19"/>
    </i>
    <i t="blank" r="3">
      <x v="19"/>
    </i>
    <i r="3">
      <x v="20"/>
    </i>
    <i r="4">
      <x v="5"/>
    </i>
    <i r="5">
      <x v="1"/>
    </i>
    <i r="6">
      <x v="1"/>
    </i>
    <i r="7">
      <x v="1"/>
    </i>
    <i t="blank" r="6">
      <x v="1"/>
    </i>
    <i r="6">
      <x v="10"/>
    </i>
    <i r="7">
      <x v="1"/>
    </i>
    <i t="blank" r="6">
      <x v="10"/>
    </i>
    <i r="6">
      <x v="19"/>
    </i>
    <i r="7">
      <x v="1"/>
    </i>
    <i t="blank" r="6">
      <x v="19"/>
    </i>
    <i r="4">
      <x v="13"/>
    </i>
    <i r="5">
      <x v="1"/>
    </i>
    <i r="6">
      <x v="1"/>
    </i>
    <i r="7">
      <x v="1"/>
    </i>
    <i t="blank" r="6">
      <x v="1"/>
    </i>
    <i r="6">
      <x v="2"/>
    </i>
    <i r="7">
      <x v="1"/>
    </i>
    <i t="blank" r="6">
      <x v="2"/>
    </i>
    <i r="6">
      <x v="7"/>
    </i>
    <i r="7">
      <x v="1"/>
    </i>
    <i t="blank" r="6">
      <x v="7"/>
    </i>
    <i r="4">
      <x v="14"/>
    </i>
    <i r="5">
      <x v="1"/>
    </i>
    <i r="6">
      <x v="2"/>
    </i>
    <i r="7">
      <x v="1"/>
    </i>
    <i t="blank" r="6">
      <x v="2"/>
    </i>
    <i r="6">
      <x v="3"/>
    </i>
    <i r="7">
      <x v="1"/>
    </i>
    <i t="blank" r="6">
      <x v="3"/>
    </i>
    <i r="6">
      <x v="4"/>
    </i>
    <i r="7">
      <x v="1"/>
    </i>
    <i t="blank" r="6">
      <x v="4"/>
    </i>
    <i r="6">
      <x v="5"/>
    </i>
    <i r="7">
      <x v="1"/>
    </i>
    <i t="blank" r="6">
      <x v="5"/>
    </i>
    <i r="6">
      <x v="21"/>
    </i>
    <i r="7">
      <x v="1"/>
    </i>
    <i t="blank" r="6">
      <x v="21"/>
    </i>
    <i t="default" r="3">
      <x v="20"/>
    </i>
    <i t="blank" r="3">
      <x v="20"/>
    </i>
    <i r="3">
      <x v="22"/>
    </i>
    <i r="4">
      <x v="1"/>
    </i>
    <i r="5">
      <x v="1"/>
    </i>
    <i r="6">
      <x v="2"/>
    </i>
    <i r="7">
      <x v="1"/>
    </i>
    <i t="blank" r="6">
      <x v="2"/>
    </i>
    <i r="6">
      <x v="6"/>
    </i>
    <i r="7">
      <x v="1"/>
    </i>
    <i t="blank" r="6">
      <x v="6"/>
    </i>
    <i r="6">
      <x v="7"/>
    </i>
    <i r="7">
      <x v="1"/>
    </i>
    <i t="blank" r="6">
      <x v="7"/>
    </i>
    <i r="4">
      <x v="5"/>
    </i>
    <i r="5">
      <x v="1"/>
    </i>
    <i r="6">
      <x v="3"/>
    </i>
    <i r="7">
      <x v="1"/>
    </i>
    <i t="blank" r="6">
      <x v="3"/>
    </i>
    <i r="6">
      <x v="4"/>
    </i>
    <i r="7">
      <x v="1"/>
    </i>
    <i t="blank" r="6">
      <x v="4"/>
    </i>
    <i r="6">
      <x v="5"/>
    </i>
    <i r="7">
      <x v="1"/>
    </i>
    <i t="blank" r="6">
      <x v="5"/>
    </i>
    <i r="6">
      <x v="6"/>
    </i>
    <i r="7">
      <x v="1"/>
    </i>
    <i t="blank" r="6">
      <x v="6"/>
    </i>
    <i t="default" r="3">
      <x v="22"/>
    </i>
    <i t="blank" r="3">
      <x v="22"/>
    </i>
    <i r="3">
      <x v="23"/>
    </i>
    <i r="4">
      <x v="1"/>
    </i>
    <i r="5">
      <x v="1"/>
    </i>
    <i r="6">
      <x v="3"/>
    </i>
    <i r="7">
      <x v="1"/>
    </i>
    <i t="blank" r="6">
      <x v="3"/>
    </i>
    <i r="6">
      <x v="4"/>
    </i>
    <i r="7">
      <x v="1"/>
    </i>
    <i t="blank" r="6">
      <x v="4"/>
    </i>
    <i r="6">
      <x v="5"/>
    </i>
    <i r="7">
      <x v="1"/>
    </i>
    <i t="blank" r="6">
      <x v="5"/>
    </i>
    <i r="6">
      <x v="6"/>
    </i>
    <i r="7">
      <x v="1"/>
    </i>
    <i t="blank" r="6">
      <x v="6"/>
    </i>
    <i t="default" r="3">
      <x v="23"/>
    </i>
    <i t="blank" r="3">
      <x v="23"/>
    </i>
    <i r="3">
      <x v="24"/>
    </i>
    <i r="4">
      <x v="6"/>
    </i>
    <i r="5">
      <x v="1"/>
    </i>
    <i r="6">
      <x v="22"/>
    </i>
    <i r="7">
      <x v="1"/>
    </i>
    <i t="blank" r="6">
      <x v="22"/>
    </i>
    <i t="default" r="3">
      <x v="24"/>
    </i>
    <i t="blank" r="3">
      <x v="24"/>
    </i>
    <i r="3">
      <x v="25"/>
    </i>
    <i r="4">
      <x v="1"/>
    </i>
    <i r="5">
      <x v="1"/>
    </i>
    <i r="6">
      <x v="1"/>
    </i>
    <i r="7">
      <x v="1"/>
    </i>
    <i t="blank" r="6">
      <x v="1"/>
    </i>
    <i r="6">
      <x v="2"/>
    </i>
    <i r="7">
      <x v="1"/>
    </i>
    <i t="blank" r="6">
      <x v="2"/>
    </i>
    <i r="6">
      <x v="3"/>
    </i>
    <i r="7">
      <x v="1"/>
    </i>
    <i t="blank" r="6">
      <x v="3"/>
    </i>
    <i r="6">
      <x v="4"/>
    </i>
    <i r="7">
      <x v="1"/>
    </i>
    <i t="blank" r="6">
      <x v="4"/>
    </i>
    <i r="6">
      <x v="5"/>
    </i>
    <i r="7">
      <x v="1"/>
    </i>
    <i t="blank" r="6">
      <x v="5"/>
    </i>
    <i t="default" r="3">
      <x v="25"/>
    </i>
    <i t="blank" r="3">
      <x v="25"/>
    </i>
    <i r="3">
      <x v="26"/>
    </i>
    <i r="4">
      <x v="1"/>
    </i>
    <i r="5">
      <x v="1"/>
    </i>
    <i r="6">
      <x v="2"/>
    </i>
    <i r="7">
      <x v="1"/>
    </i>
    <i t="blank" r="6">
      <x v="2"/>
    </i>
    <i r="6">
      <x v="6"/>
    </i>
    <i r="7">
      <x v="1"/>
    </i>
    <i t="blank" r="6">
      <x v="6"/>
    </i>
    <i r="4">
      <x v="5"/>
    </i>
    <i r="5">
      <x v="1"/>
    </i>
    <i r="6">
      <x v="6"/>
    </i>
    <i r="7">
      <x v="1"/>
    </i>
    <i t="blank" r="6">
      <x v="6"/>
    </i>
    <i r="4">
      <x v="6"/>
    </i>
    <i r="5">
      <x v="1"/>
    </i>
    <i r="6">
      <x v="4"/>
    </i>
    <i r="7">
      <x v="1"/>
    </i>
    <i t="blank" r="6">
      <x v="4"/>
    </i>
    <i r="6">
      <x v="5"/>
    </i>
    <i r="7">
      <x v="1"/>
    </i>
    <i t="blank" r="6">
      <x v="5"/>
    </i>
    <i r="6">
      <x v="6"/>
    </i>
    <i r="7">
      <x v="1"/>
    </i>
    <i t="blank" r="6">
      <x v="6"/>
    </i>
    <i t="default" r="3">
      <x v="26"/>
    </i>
    <i t="blank" r="3">
      <x v="26"/>
    </i>
    <i r="3">
      <x v="27"/>
    </i>
    <i r="4">
      <x v="1"/>
    </i>
    <i r="5">
      <x v="1"/>
    </i>
    <i r="6">
      <x v="1"/>
    </i>
    <i r="7">
      <x v="1"/>
    </i>
    <i t="blank" r="6">
      <x v="1"/>
    </i>
    <i r="6">
      <x v="2"/>
    </i>
    <i r="7">
      <x v="1"/>
    </i>
    <i t="blank" r="6">
      <x v="2"/>
    </i>
    <i r="6">
      <x v="3"/>
    </i>
    <i r="7">
      <x v="1"/>
    </i>
    <i t="blank" r="6">
      <x v="3"/>
    </i>
    <i r="6">
      <x v="4"/>
    </i>
    <i r="7">
      <x v="1"/>
    </i>
    <i t="blank" r="6">
      <x v="4"/>
    </i>
    <i r="6">
      <x v="5"/>
    </i>
    <i r="7">
      <x v="1"/>
    </i>
    <i t="blank" r="6">
      <x v="5"/>
    </i>
    <i r="6">
      <x v="7"/>
    </i>
    <i r="7">
      <x v="1"/>
    </i>
    <i t="blank" r="6">
      <x v="7"/>
    </i>
    <i t="default" r="3">
      <x v="27"/>
    </i>
    <i t="blank" r="3">
      <x v="27"/>
    </i>
    <i r="3">
      <x v="28"/>
    </i>
    <i r="4">
      <x v="13"/>
    </i>
    <i r="5">
      <x v="1"/>
    </i>
    <i r="6">
      <x v="28"/>
    </i>
    <i r="7">
      <x v="1"/>
    </i>
    <i t="blank" r="6">
      <x v="28"/>
    </i>
    <i t="default" r="3">
      <x v="28"/>
    </i>
    <i t="blank" r="3">
      <x v="28"/>
    </i>
    <i r="3">
      <x v="29"/>
    </i>
    <i r="4">
      <x v="1"/>
    </i>
    <i r="5">
      <x v="1"/>
    </i>
    <i r="6">
      <x v="1"/>
    </i>
    <i r="7">
      <x v="1"/>
    </i>
    <i t="blank" r="6">
      <x v="1"/>
    </i>
    <i r="6">
      <x v="2"/>
    </i>
    <i r="7">
      <x v="1"/>
    </i>
    <i t="blank" r="6">
      <x v="2"/>
    </i>
    <i r="6">
      <x v="3"/>
    </i>
    <i r="7">
      <x v="1"/>
    </i>
    <i t="blank" r="6">
      <x v="3"/>
    </i>
    <i r="6">
      <x v="4"/>
    </i>
    <i r="7">
      <x v="1"/>
    </i>
    <i t="blank" r="6">
      <x v="4"/>
    </i>
    <i r="6">
      <x v="5"/>
    </i>
    <i r="7">
      <x v="1"/>
    </i>
    <i t="blank" r="6">
      <x v="5"/>
    </i>
    <i r="6">
      <x v="6"/>
    </i>
    <i r="7">
      <x v="1"/>
    </i>
    <i t="blank" r="6">
      <x v="6"/>
    </i>
    <i r="6">
      <x v="8"/>
    </i>
    <i r="7">
      <x v="1"/>
    </i>
    <i t="blank" r="6">
      <x v="8"/>
    </i>
    <i r="6">
      <x v="9"/>
    </i>
    <i r="7">
      <x v="1"/>
    </i>
    <i t="blank" r="6">
      <x v="9"/>
    </i>
    <i r="6">
      <x v="10"/>
    </i>
    <i r="7">
      <x v="1"/>
    </i>
    <i t="blank" r="6">
      <x v="10"/>
    </i>
    <i t="default" r="3">
      <x v="29"/>
    </i>
    <i t="blank" r="3">
      <x v="29"/>
    </i>
    <i t="default" r="2">
      <x v="1"/>
    </i>
    <i t="blank" r="2">
      <x v="1"/>
    </i>
    <i r="2">
      <x v="2"/>
    </i>
    <i r="3">
      <x v="30"/>
    </i>
    <i r="4">
      <x v="7"/>
    </i>
    <i r="5">
      <x v="1"/>
    </i>
    <i r="6">
      <x v="23"/>
    </i>
    <i r="7">
      <x v="1"/>
    </i>
    <i t="blank" r="6">
      <x v="23"/>
    </i>
    <i r="4">
      <x v="8"/>
    </i>
    <i r="5">
      <x v="1"/>
    </i>
    <i r="6">
      <x v="24"/>
    </i>
    <i r="7">
      <x v="1"/>
    </i>
    <i t="blank" r="6">
      <x v="24"/>
    </i>
    <i r="4">
      <x v="9"/>
    </i>
    <i r="5">
      <x v="1"/>
    </i>
    <i r="6">
      <x v="25"/>
    </i>
    <i r="7">
      <x v="1"/>
    </i>
    <i t="blank" r="6">
      <x v="25"/>
    </i>
    <i r="4">
      <x v="10"/>
    </i>
    <i r="5">
      <x v="1"/>
    </i>
    <i r="6">
      <x v="26"/>
    </i>
    <i r="7">
      <x v="1"/>
    </i>
    <i t="blank" r="6">
      <x v="26"/>
    </i>
    <i r="4">
      <x v="11"/>
    </i>
    <i r="5">
      <x v="1"/>
    </i>
    <i r="6">
      <x v="27"/>
    </i>
    <i r="7">
      <x v="1"/>
    </i>
    <i t="blank" r="6">
      <x v="27"/>
    </i>
    <i t="default" r="3">
      <x v="30"/>
    </i>
    <i t="blank" r="3">
      <x v="30"/>
    </i>
    <i t="default" r="2">
      <x v="2"/>
    </i>
    <i t="blank" r="2">
      <x v="2"/>
    </i>
    <i t="default" r="1">
      <x/>
    </i>
    <i t="blank" r="1">
      <x/>
    </i>
    <i t="default">
      <x v="1"/>
    </i>
    <i t="blank">
      <x v="1"/>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Unidades vendidas" fld="20" baseField="0" baseItem="0" numFmtId="40"/>
    <dataField name="Precio de Venta en Moneda Original" fld="24" baseField="0" baseItem="0" numFmtId="39"/>
    <dataField name="Equivalencia " fld="25" subtotal="average" baseField="0" baseItem="0" numFmtId="169"/>
    <dataField name="Tipo de Cambio - Fecha de Venta " fld="27" subtotal="average" baseField="0" baseItem="0" numFmtId="169"/>
    <dataField name="Precio de Venta en MXN " fld="28" baseField="0" baseItem="0" numFmtId="40"/>
    <dataField name="Costo Histórico en Moneda Original" fld="6" baseField="0" baseItem="0" numFmtId="39"/>
    <dataField name=" Equivalencia" fld="10" subtotal="average" baseField="0" baseItem="0" numFmtId="169"/>
    <dataField name="Tipo de Cambio - Fecha de Adquisición" fld="12" subtotal="average" baseField="0" baseItem="0" numFmtId="176"/>
    <dataField name="Costo de Adquisición en MXN " fld="13" baseField="0" baseItem="0" numFmtId="40"/>
    <dataField name="INPC de Adquisición " fld="14" subtotal="average" baseField="0" baseItem="0" numFmtId="169"/>
    <dataField name="INPC de Enajenación " fld="15" subtotal="average" baseField="0" baseItem="0" numFmtId="169"/>
    <dataField name=" Factor " fld="16" subtotal="average" baseField="0" baseItem="0" numFmtId="169"/>
    <dataField name="Costo Actualizado MXN " fld="17" baseField="0" baseItem="0" numFmtId="40"/>
    <dataField name="Ganancia Acumulable / (Pérdida deducible) " fld="33" baseField="0" baseItem="0" numFmtId="40"/>
  </dataFields>
  <formats count="153">
    <format dxfId="1445">
      <pivotArea type="all" dataOnly="0" outline="0" fieldPosition="0"/>
    </format>
    <format dxfId="1444">
      <pivotArea field="0" type="button" dataOnly="0" labelOnly="1" outline="0" axis="axisRow" fieldPosition="2"/>
    </format>
    <format dxfId="1443">
      <pivotArea dataOnly="0" labelOnly="1" fieldPosition="0">
        <references count="1">
          <reference field="0" count="0"/>
        </references>
      </pivotArea>
    </format>
    <format dxfId="1442">
      <pivotArea dataOnly="0" labelOnly="1" grandRow="1" outline="0" fieldPosition="0"/>
    </format>
    <format dxfId="1441">
      <pivotArea dataOnly="0" labelOnly="1" outline="0" fieldPosition="0">
        <references count="1">
          <reference field="4294967294" count="3">
            <x v="2"/>
            <x v="6"/>
            <x v="11"/>
          </reference>
        </references>
      </pivotArea>
    </format>
    <format dxfId="1440">
      <pivotArea field="0" type="button" dataOnly="0" labelOnly="1" outline="0" axis="axisRow" fieldPosition="2"/>
    </format>
    <format dxfId="1439">
      <pivotArea dataOnly="0" labelOnly="1" outline="0" fieldPosition="0">
        <references count="1">
          <reference field="4294967294" count="3">
            <x v="2"/>
            <x v="6"/>
            <x v="11"/>
          </reference>
        </references>
      </pivotArea>
    </format>
    <format dxfId="1438">
      <pivotArea field="0" type="button" dataOnly="0" labelOnly="1" outline="0" axis="axisRow" fieldPosition="2"/>
    </format>
    <format dxfId="1437">
      <pivotArea dataOnly="0" labelOnly="1" outline="0" fieldPosition="0">
        <references count="1">
          <reference field="4294967294" count="3">
            <x v="2"/>
            <x v="6"/>
            <x v="11"/>
          </reference>
        </references>
      </pivotArea>
    </format>
    <format dxfId="1436">
      <pivotArea field="0" type="button" dataOnly="0" labelOnly="1" outline="0" axis="axisRow" fieldPosition="2"/>
    </format>
    <format dxfId="1435">
      <pivotArea dataOnly="0" labelOnly="1" outline="0" fieldPosition="0">
        <references count="1">
          <reference field="4294967294" count="3">
            <x v="2"/>
            <x v="6"/>
            <x v="11"/>
          </reference>
        </references>
      </pivotArea>
    </format>
    <format dxfId="1434">
      <pivotArea grandRow="1" outline="0" collapsedLevelsAreSubtotals="1" fieldPosition="0"/>
    </format>
    <format dxfId="1433">
      <pivotArea dataOnly="0" labelOnly="1" grandRow="1" outline="0" fieldPosition="0"/>
    </format>
    <format dxfId="1432">
      <pivotArea grandRow="1" outline="0" collapsedLevelsAreSubtotals="1" fieldPosition="0"/>
    </format>
    <format dxfId="1431">
      <pivotArea dataOnly="0" labelOnly="1" grandRow="1" outline="0" fieldPosition="0"/>
    </format>
    <format dxfId="1430">
      <pivotArea field="0" grandRow="1" outline="0" axis="axisRow" fieldPosition="2">
        <references count="1">
          <reference field="4294967294" count="1" selected="0">
            <x v="6"/>
          </reference>
        </references>
      </pivotArea>
    </format>
    <format dxfId="1429">
      <pivotArea field="0" grandRow="1" outline="0" axis="axisRow" fieldPosition="2">
        <references count="1">
          <reference field="4294967294" count="1" selected="0">
            <x v="11"/>
          </reference>
        </references>
      </pivotArea>
    </format>
    <format dxfId="1428">
      <pivotArea field="0" grandRow="1" outline="0" axis="axisRow" fieldPosition="2">
        <references count="1">
          <reference field="4294967294" count="1" selected="0">
            <x v="2"/>
          </reference>
        </references>
      </pivotArea>
    </format>
    <format dxfId="1427">
      <pivotArea dataOnly="0" fieldPosition="0">
        <references count="1">
          <reference field="0" count="0" defaultSubtotal="1"/>
        </references>
      </pivotArea>
    </format>
    <format dxfId="1426">
      <pivotArea field="7" type="button" dataOnly="0" labelOnly="1" outline="0" axis="axisRow" fieldPosition="0"/>
    </format>
    <format dxfId="1425">
      <pivotArea field="7" type="button" dataOnly="0" labelOnly="1" outline="0" axis="axisRow" fieldPosition="0"/>
    </format>
    <format dxfId="1424">
      <pivotArea dataOnly="0" labelOnly="1" fieldPosition="0">
        <references count="1">
          <reference field="3" count="0"/>
        </references>
      </pivotArea>
    </format>
    <format dxfId="1423">
      <pivotArea field="3" type="button" dataOnly="0" labelOnly="1" outline="0" axis="axisRow" fieldPosition="1"/>
    </format>
    <format dxfId="1422">
      <pivotArea field="3" type="button" dataOnly="0" labelOnly="1" outline="0" axis="axisRow" fieldPosition="1"/>
    </format>
    <format dxfId="1421">
      <pivotArea field="3" type="button" dataOnly="0" labelOnly="1" outline="0" axis="axisRow" fieldPosition="1"/>
    </format>
    <format dxfId="1420">
      <pivotArea field="7" type="button" dataOnly="0" labelOnly="1" outline="0" axis="axisRow" fieldPosition="0"/>
    </format>
    <format dxfId="1419">
      <pivotArea type="all" dataOnly="0" outline="0" fieldPosition="0"/>
    </format>
    <format dxfId="1418">
      <pivotArea field="2" type="button" dataOnly="0" labelOnly="1" outline="0" axis="axisRow" fieldPosition="3"/>
    </format>
    <format dxfId="1417">
      <pivotArea dataOnly="0" labelOnly="1" outline="0" fieldPosition="0">
        <references count="1">
          <reference field="4294967294" count="3">
            <x v="2"/>
            <x v="6"/>
            <x v="11"/>
          </reference>
        </references>
      </pivotArea>
    </format>
    <format dxfId="1416">
      <pivotArea field="2" type="button" dataOnly="0" labelOnly="1" outline="0" axis="axisRow" fieldPosition="3"/>
    </format>
    <format dxfId="1415">
      <pivotArea field="5" type="button" dataOnly="0" labelOnly="1" outline="0" axis="axisRow" fieldPosition="6"/>
    </format>
    <format dxfId="1414">
      <pivotArea dataOnly="0" labelOnly="1" fieldPosition="0">
        <references count="1">
          <reference field="5" count="0"/>
        </references>
      </pivotArea>
    </format>
    <format dxfId="1413">
      <pivotArea dataOnly="0" labelOnly="1" fieldPosition="0">
        <references count="1">
          <reference field="5" count="0"/>
        </references>
      </pivotArea>
    </format>
    <format dxfId="1412">
      <pivotArea field="4" type="button" dataOnly="0" labelOnly="1" outline="0" axis="axisRow" fieldPosition="7"/>
    </format>
    <format dxfId="1411">
      <pivotArea field="4" type="button" dataOnly="0" labelOnly="1" outline="0" axis="axisRow" fieldPosition="7"/>
    </format>
    <format dxfId="1410">
      <pivotArea field="4" type="button" dataOnly="0" labelOnly="1" outline="0" axis="axisRow" fieldPosition="7"/>
    </format>
    <format dxfId="1409">
      <pivotArea field="22" type="button" dataOnly="0" labelOnly="1" outline="0" axis="axisRow" fieldPosition="4"/>
    </format>
    <format dxfId="1408">
      <pivotArea field="22" type="button" dataOnly="0" labelOnly="1" outline="0" axis="axisRow" fieldPosition="4"/>
    </format>
    <format dxfId="1407">
      <pivotArea field="22" type="button" dataOnly="0" labelOnly="1" outline="0" axis="axisRow" fieldPosition="4"/>
    </format>
    <format dxfId="1406">
      <pivotArea dataOnly="0" labelOnly="1" fieldPosition="0">
        <references count="1">
          <reference field="4" count="0"/>
        </references>
      </pivotArea>
    </format>
    <format dxfId="1405">
      <pivotArea outline="0" fieldPosition="0">
        <references count="1">
          <reference field="4294967294" count="1">
            <x v="5"/>
          </reference>
        </references>
      </pivotArea>
    </format>
    <format dxfId="1404">
      <pivotArea outline="0" fieldPosition="0">
        <references count="1">
          <reference field="4294967294" count="1">
            <x v="7"/>
          </reference>
        </references>
      </pivotArea>
    </format>
    <format dxfId="1403">
      <pivotArea outline="0" fieldPosition="0">
        <references count="1">
          <reference field="4294967294" count="1">
            <x v="0"/>
          </reference>
        </references>
      </pivotArea>
    </format>
    <format dxfId="1402">
      <pivotArea field="23" type="button" dataOnly="0" labelOnly="1" outline="0" axis="axisRow" fieldPosition="5"/>
    </format>
    <format dxfId="1401">
      <pivotArea dataOnly="0" labelOnly="1" outline="0" fieldPosition="0">
        <references count="1">
          <reference field="4294967294" count="2">
            <x v="0"/>
            <x v="5"/>
          </reference>
        </references>
      </pivotArea>
    </format>
    <format dxfId="1400">
      <pivotArea dataOnly="0" fieldPosition="0">
        <references count="1">
          <reference field="2" count="0" defaultSubtotal="1"/>
        </references>
      </pivotArea>
    </format>
    <format dxfId="1399">
      <pivotArea dataOnly="0" labelOnly="1" outline="0" fieldPosition="0">
        <references count="1">
          <reference field="4294967294" count="1">
            <x v="7"/>
          </reference>
        </references>
      </pivotArea>
    </format>
    <format dxfId="1398">
      <pivotArea dataOnly="0" outline="0" fieldPosition="0">
        <references count="1">
          <reference field="4294967294" count="1">
            <x v="7"/>
          </reference>
        </references>
      </pivotArea>
    </format>
    <format dxfId="1397">
      <pivotArea dataOnly="0" outline="0" fieldPosition="0">
        <references count="1">
          <reference field="4294967294" count="1">
            <x v="6"/>
          </reference>
        </references>
      </pivotArea>
    </format>
    <format dxfId="1396">
      <pivotArea dataOnly="0" outline="0" fieldPosition="0">
        <references count="1">
          <reference field="4294967294" count="1">
            <x v="0"/>
          </reference>
        </references>
      </pivotArea>
    </format>
    <format dxfId="1395">
      <pivotArea dataOnly="0" labelOnly="1" fieldPosition="0">
        <references count="1">
          <reference field="23" count="0"/>
        </references>
      </pivotArea>
    </format>
    <format dxfId="1394">
      <pivotArea dataOnly="0" labelOnly="1" fieldPosition="0">
        <references count="1">
          <reference field="22" count="0"/>
        </references>
      </pivotArea>
    </format>
    <format dxfId="1393">
      <pivotArea dataOnly="0" labelOnly="1" fieldPosition="0">
        <references count="1">
          <reference field="22" count="0"/>
        </references>
      </pivotArea>
    </format>
    <format dxfId="1392">
      <pivotArea dataOnly="0" outline="0" fieldPosition="0">
        <references count="1">
          <reference field="4294967294" count="1">
            <x v="11"/>
          </reference>
        </references>
      </pivotArea>
    </format>
    <format dxfId="1391">
      <pivotArea outline="0" fieldPosition="0">
        <references count="1">
          <reference field="4294967294" count="1">
            <x v="1"/>
          </reference>
        </references>
      </pivotArea>
    </format>
    <format dxfId="1390">
      <pivotArea dataOnly="0" labelOnly="1" outline="0" fieldPosition="0">
        <references count="1">
          <reference field="4294967294" count="1">
            <x v="1"/>
          </reference>
        </references>
      </pivotArea>
    </format>
    <format dxfId="1389">
      <pivotArea dataOnly="0" outline="0" fieldPosition="0">
        <references count="1">
          <reference field="4294967294" count="1">
            <x v="2"/>
          </reference>
        </references>
      </pivotArea>
    </format>
    <format dxfId="1388">
      <pivotArea dataOnly="0" labelOnly="1" outline="0" fieldPosition="0">
        <references count="1">
          <reference field="4294967294" count="1">
            <x v="3"/>
          </reference>
        </references>
      </pivotArea>
    </format>
    <format dxfId="1387">
      <pivotArea dataOnly="0" labelOnly="1" outline="0" fieldPosition="0">
        <references count="1">
          <reference field="4294967294" count="1">
            <x v="3"/>
          </reference>
        </references>
      </pivotArea>
    </format>
    <format dxfId="1386">
      <pivotArea dataOnly="0" outline="0" fieldPosition="0">
        <references count="1">
          <reference field="4294967294" count="1">
            <x v="3"/>
          </reference>
        </references>
      </pivotArea>
    </format>
    <format dxfId="1385">
      <pivotArea outline="0" fieldPosition="0">
        <references count="1">
          <reference field="4294967294" count="1">
            <x v="13"/>
          </reference>
        </references>
      </pivotArea>
    </format>
    <format dxfId="1384">
      <pivotArea dataOnly="0" labelOnly="1" outline="0" fieldPosition="0">
        <references count="1">
          <reference field="4294967294" count="1">
            <x v="13"/>
          </reference>
        </references>
      </pivotArea>
    </format>
    <format dxfId="1383">
      <pivotArea type="all" dataOnly="0" outline="0" fieldPosition="0"/>
    </format>
    <format dxfId="1382">
      <pivotArea dataOnly="0" fieldPosition="0">
        <references count="1">
          <reference field="0" count="0" defaultSubtotal="1"/>
        </references>
      </pivotArea>
    </format>
    <format dxfId="1381">
      <pivotArea dataOnly="0" fieldPosition="0">
        <references count="1">
          <reference field="3" count="0" defaultSubtotal="1"/>
        </references>
      </pivotArea>
    </format>
    <format dxfId="1380">
      <pivotArea dataOnly="0" fieldPosition="0">
        <references count="1">
          <reference field="7" count="0" defaultSubtotal="1"/>
        </references>
      </pivotArea>
    </format>
    <format dxfId="1379">
      <pivotArea dataOnly="0" fieldPosition="0">
        <references count="1">
          <reference field="7" count="0" defaultSubtotal="1"/>
        </references>
      </pivotArea>
    </format>
    <format dxfId="1378">
      <pivotArea dataOnly="0" fieldPosition="0">
        <references count="1">
          <reference field="7" count="0" defaultSubtotal="1"/>
        </references>
      </pivotArea>
    </format>
    <format dxfId="1377">
      <pivotArea type="all" dataOnly="0" outline="0" fieldPosition="0"/>
    </format>
    <format dxfId="1376">
      <pivotArea outline="0" collapsedLevelsAreSubtotals="1" fieldPosition="0"/>
    </format>
    <format dxfId="1375">
      <pivotArea field="7" type="button" dataOnly="0" labelOnly="1" outline="0" axis="axisRow" fieldPosition="0"/>
    </format>
    <format dxfId="1374">
      <pivotArea field="3" type="button" dataOnly="0" labelOnly="1" outline="0" axis="axisRow" fieldPosition="1"/>
    </format>
    <format dxfId="1373">
      <pivotArea field="0" type="button" dataOnly="0" labelOnly="1" outline="0" axis="axisRow" fieldPosition="2"/>
    </format>
    <format dxfId="1372">
      <pivotArea field="2" type="button" dataOnly="0" labelOnly="1" outline="0" axis="axisRow" fieldPosition="3"/>
    </format>
    <format dxfId="1371">
      <pivotArea field="5" type="button" dataOnly="0" labelOnly="1" outline="0" axis="axisRow" fieldPosition="6"/>
    </format>
    <format dxfId="1370">
      <pivotArea field="4" type="button" dataOnly="0" labelOnly="1" outline="0" axis="axisRow" fieldPosition="7"/>
    </format>
    <format dxfId="1369">
      <pivotArea field="22" type="button" dataOnly="0" labelOnly="1" outline="0" axis="axisRow" fieldPosition="4"/>
    </format>
    <format dxfId="1368">
      <pivotArea field="23" type="button" dataOnly="0" labelOnly="1" outline="0" axis="axisRow" fieldPosition="5"/>
    </format>
    <format dxfId="1367">
      <pivotArea dataOnly="0" labelOnly="1" outline="0" fieldPosition="0">
        <references count="1">
          <reference field="7" count="0"/>
        </references>
      </pivotArea>
    </format>
    <format dxfId="1366">
      <pivotArea dataOnly="0" labelOnly="1" outline="0" fieldPosition="0">
        <references count="1">
          <reference field="7" count="0" defaultSubtotal="1"/>
        </references>
      </pivotArea>
    </format>
    <format dxfId="1365">
      <pivotArea dataOnly="0" labelOnly="1" grandRow="1" outline="0" fieldPosition="0"/>
    </format>
    <format dxfId="1364">
      <pivotArea dataOnly="0" labelOnly="1" outline="0" fieldPosition="0">
        <references count="1">
          <reference field="4294967294" count="9">
            <x v="0"/>
            <x v="1"/>
            <x v="2"/>
            <x v="3"/>
            <x v="5"/>
            <x v="6"/>
            <x v="7"/>
            <x v="11"/>
            <x v="13"/>
          </reference>
        </references>
      </pivotArea>
    </format>
    <format dxfId="1363">
      <pivotArea field="7" type="button" dataOnly="0" labelOnly="1" outline="0" axis="axisRow" fieldPosition="0"/>
    </format>
    <format dxfId="1362">
      <pivotArea field="3" type="button" dataOnly="0" labelOnly="1" outline="0" axis="axisRow" fieldPosition="1"/>
    </format>
    <format dxfId="1361">
      <pivotArea field="0" type="button" dataOnly="0" labelOnly="1" outline="0" axis="axisRow" fieldPosition="2"/>
    </format>
    <format dxfId="1360">
      <pivotArea field="2" type="button" dataOnly="0" labelOnly="1" outline="0" axis="axisRow" fieldPosition="3"/>
    </format>
    <format dxfId="1359">
      <pivotArea field="5" type="button" dataOnly="0" labelOnly="1" outline="0" axis="axisRow" fieldPosition="6"/>
    </format>
    <format dxfId="1358">
      <pivotArea field="4" type="button" dataOnly="0" labelOnly="1" outline="0" axis="axisRow" fieldPosition="7"/>
    </format>
    <format dxfId="1357">
      <pivotArea field="22" type="button" dataOnly="0" labelOnly="1" outline="0" axis="axisRow" fieldPosition="4"/>
    </format>
    <format dxfId="1356">
      <pivotArea field="23" type="button" dataOnly="0" labelOnly="1" outline="0" axis="axisRow" fieldPosition="5"/>
    </format>
    <format dxfId="1355">
      <pivotArea dataOnly="0" labelOnly="1" outline="0" fieldPosition="0">
        <references count="1">
          <reference field="4294967294" count="9">
            <x v="0"/>
            <x v="1"/>
            <x v="2"/>
            <x v="3"/>
            <x v="5"/>
            <x v="6"/>
            <x v="7"/>
            <x v="11"/>
            <x v="13"/>
          </reference>
        </references>
      </pivotArea>
    </format>
    <format dxfId="1354">
      <pivotArea field="7" type="button" dataOnly="0" labelOnly="1" outline="0" axis="axisRow" fieldPosition="0"/>
    </format>
    <format dxfId="1353">
      <pivotArea field="3" type="button" dataOnly="0" labelOnly="1" outline="0" axis="axisRow" fieldPosition="1"/>
    </format>
    <format dxfId="1352">
      <pivotArea field="0" type="button" dataOnly="0" labelOnly="1" outline="0" axis="axisRow" fieldPosition="2"/>
    </format>
    <format dxfId="1351">
      <pivotArea field="2" type="button" dataOnly="0" labelOnly="1" outline="0" axis="axisRow" fieldPosition="3"/>
    </format>
    <format dxfId="1350">
      <pivotArea field="5" type="button" dataOnly="0" labelOnly="1" outline="0" axis="axisRow" fieldPosition="6"/>
    </format>
    <format dxfId="1349">
      <pivotArea field="4" type="button" dataOnly="0" labelOnly="1" outline="0" axis="axisRow" fieldPosition="7"/>
    </format>
    <format dxfId="1348">
      <pivotArea field="22" type="button" dataOnly="0" labelOnly="1" outline="0" axis="axisRow" fieldPosition="4"/>
    </format>
    <format dxfId="1347">
      <pivotArea field="23" type="button" dataOnly="0" labelOnly="1" outline="0" axis="axisRow" fieldPosition="5"/>
    </format>
    <format dxfId="1346">
      <pivotArea dataOnly="0" labelOnly="1" outline="0" fieldPosition="0">
        <references count="1">
          <reference field="4294967294" count="9">
            <x v="0"/>
            <x v="1"/>
            <x v="2"/>
            <x v="3"/>
            <x v="5"/>
            <x v="6"/>
            <x v="7"/>
            <x v="11"/>
            <x v="13"/>
          </reference>
        </references>
      </pivotArea>
    </format>
    <format dxfId="1345">
      <pivotArea dataOnly="0" fieldPosition="0">
        <references count="1">
          <reference field="2" count="0" defaultSubtotal="1"/>
        </references>
      </pivotArea>
    </format>
    <format dxfId="1344">
      <pivotArea dataOnly="0" fieldPosition="0">
        <references count="1">
          <reference field="2" count="0" defaultSubtotal="1"/>
        </references>
      </pivotArea>
    </format>
    <format dxfId="1343">
      <pivotArea dataOnly="0" fieldPosition="0">
        <references count="1">
          <reference field="0" count="0" defaultSubtotal="1"/>
        </references>
      </pivotArea>
    </format>
    <format dxfId="1342">
      <pivotArea dataOnly="0" fieldPosition="0">
        <references count="1">
          <reference field="0" count="0" defaultSubtotal="1"/>
        </references>
      </pivotArea>
    </format>
    <format dxfId="1341">
      <pivotArea dataOnly="0" fieldPosition="0">
        <references count="1">
          <reference field="3" count="0" defaultSubtotal="1"/>
        </references>
      </pivotArea>
    </format>
    <format dxfId="1340">
      <pivotArea dataOnly="0" fieldPosition="0">
        <references count="1">
          <reference field="3" count="0" defaultSubtotal="1"/>
        </references>
      </pivotArea>
    </format>
    <format dxfId="1339">
      <pivotArea dataOnly="0" fieldPosition="0">
        <references count="1">
          <reference field="7" count="0" defaultSubtotal="1"/>
        </references>
      </pivotArea>
    </format>
    <format dxfId="1338">
      <pivotArea dataOnly="0" grandRow="1" fieldPosition="0"/>
    </format>
    <format dxfId="1337">
      <pivotArea field="7" type="button" dataOnly="0" labelOnly="1" outline="0" axis="axisRow" fieldPosition="0"/>
    </format>
    <format dxfId="1336">
      <pivotArea field="3" type="button" dataOnly="0" labelOnly="1" outline="0" axis="axisRow" fieldPosition="1"/>
    </format>
    <format dxfId="1335">
      <pivotArea field="0" type="button" dataOnly="0" labelOnly="1" outline="0" axis="axisRow" fieldPosition="2"/>
    </format>
    <format dxfId="1334">
      <pivotArea field="2" type="button" dataOnly="0" labelOnly="1" outline="0" axis="axisRow" fieldPosition="3"/>
    </format>
    <format dxfId="1333">
      <pivotArea field="5" type="button" dataOnly="0" labelOnly="1" outline="0" axis="axisRow" fieldPosition="6"/>
    </format>
    <format dxfId="1332">
      <pivotArea field="4" type="button" dataOnly="0" labelOnly="1" outline="0" axis="axisRow" fieldPosition="7"/>
    </format>
    <format dxfId="1331">
      <pivotArea field="22" type="button" dataOnly="0" labelOnly="1" outline="0" axis="axisRow" fieldPosition="4"/>
    </format>
    <format dxfId="1330">
      <pivotArea field="23" type="button" dataOnly="0" labelOnly="1" outline="0" axis="axisRow" fieldPosition="5"/>
    </format>
    <format dxfId="1329">
      <pivotArea dataOnly="0" labelOnly="1" outline="0" fieldPosition="0">
        <references count="1">
          <reference field="4294967294" count="9">
            <x v="0"/>
            <x v="1"/>
            <x v="2"/>
            <x v="3"/>
            <x v="5"/>
            <x v="6"/>
            <x v="7"/>
            <x v="11"/>
            <x v="13"/>
          </reference>
        </references>
      </pivotArea>
    </format>
    <format dxfId="1328">
      <pivotArea dataOnly="0" labelOnly="1" outline="0" fieldPosition="0">
        <references count="1">
          <reference field="7" count="0"/>
        </references>
      </pivotArea>
    </format>
    <format dxfId="1327">
      <pivotArea outline="0" fieldPosition="0">
        <references count="1">
          <reference field="4294967294" count="1">
            <x v="8"/>
          </reference>
        </references>
      </pivotArea>
    </format>
    <format dxfId="1326">
      <pivotArea dataOnly="0" labelOnly="1" outline="0" fieldPosition="0">
        <references count="1">
          <reference field="4294967294" count="5">
            <x v="8"/>
            <x v="9"/>
            <x v="10"/>
            <x v="11"/>
            <x v="12"/>
          </reference>
        </references>
      </pivotArea>
    </format>
    <format dxfId="1325">
      <pivotArea outline="0" fieldPosition="0">
        <references count="1">
          <reference field="4294967294" count="1">
            <x v="9"/>
          </reference>
        </references>
      </pivotArea>
    </format>
    <format dxfId="1324">
      <pivotArea dataOnly="0" outline="0" fieldPosition="0">
        <references count="1">
          <reference field="4294967294" count="1">
            <x v="9"/>
          </reference>
        </references>
      </pivotArea>
    </format>
    <format dxfId="1323">
      <pivotArea outline="0" fieldPosition="0">
        <references count="1">
          <reference field="4294967294" count="1">
            <x v="10"/>
          </reference>
        </references>
      </pivotArea>
    </format>
    <format dxfId="1322">
      <pivotArea dataOnly="0" outline="0" fieldPosition="0">
        <references count="1">
          <reference field="4294967294" count="1">
            <x v="10"/>
          </reference>
        </references>
      </pivotArea>
    </format>
    <format dxfId="1321">
      <pivotArea field="7" grandRow="1" outline="0" axis="axisRow" fieldPosition="0">
        <references count="1">
          <reference field="4294967294" count="2" selected="0">
            <x v="9"/>
            <x v="10"/>
          </reference>
        </references>
      </pivotArea>
    </format>
    <format dxfId="1320">
      <pivotArea fieldPosition="0">
        <references count="5">
          <reference field="4294967294" count="3" selected="0">
            <x v="9"/>
            <x v="10"/>
            <x v="11"/>
          </reference>
          <reference field="0" count="0" selected="0"/>
          <reference field="2" count="0" defaultSubtotal="1"/>
          <reference field="3" count="0" selected="0"/>
          <reference field="7" count="0" selected="0"/>
        </references>
      </pivotArea>
    </format>
    <format dxfId="1319">
      <pivotArea fieldPosition="0">
        <references count="4">
          <reference field="4294967294" count="3" selected="0">
            <x v="9"/>
            <x v="10"/>
            <x v="11"/>
          </reference>
          <reference field="0" count="0" defaultSubtotal="1"/>
          <reference field="3" count="0" selected="0"/>
          <reference field="7" count="0" selected="0"/>
        </references>
      </pivotArea>
    </format>
    <format dxfId="1318">
      <pivotArea fieldPosition="0">
        <references count="3">
          <reference field="4294967294" count="3" selected="0">
            <x v="9"/>
            <x v="10"/>
            <x v="11"/>
          </reference>
          <reference field="3" count="0" defaultSubtotal="1"/>
          <reference field="7" count="0" selected="0"/>
        </references>
      </pivotArea>
    </format>
    <format dxfId="1317">
      <pivotArea field="7" grandRow="1" outline="0" axis="axisRow" fieldPosition="0">
        <references count="1">
          <reference field="4294967294" count="1" selected="0">
            <x v="11"/>
          </reference>
        </references>
      </pivotArea>
    </format>
    <format dxfId="1316">
      <pivotArea fieldPosition="0">
        <references count="2">
          <reference field="4294967294" count="3" selected="0">
            <x v="9"/>
            <x v="10"/>
            <x v="11"/>
          </reference>
          <reference field="7" count="0" defaultSubtotal="1"/>
        </references>
      </pivotArea>
    </format>
    <format dxfId="1315">
      <pivotArea field="7" grandRow="1" outline="0" axis="axisRow" fieldPosition="0">
        <references count="1">
          <reference field="4294967294" count="1" selected="0">
            <x v="2"/>
          </reference>
        </references>
      </pivotArea>
    </format>
    <format dxfId="1314">
      <pivotArea fieldPosition="0">
        <references count="2">
          <reference field="4294967294" count="1" selected="0">
            <x v="9"/>
          </reference>
          <reference field="7" count="0" defaultSubtotal="1"/>
        </references>
      </pivotArea>
    </format>
    <format dxfId="1313">
      <pivotArea fieldPosition="0">
        <references count="2">
          <reference field="4294967294" count="1" selected="0">
            <x v="10"/>
          </reference>
          <reference field="7" count="0" defaultSubtotal="1"/>
        </references>
      </pivotArea>
    </format>
    <format dxfId="1312">
      <pivotArea fieldPosition="0">
        <references count="2">
          <reference field="4294967294" count="1" selected="0">
            <x v="11"/>
          </reference>
          <reference field="7" count="0" defaultSubtotal="1"/>
        </references>
      </pivotArea>
    </format>
    <format dxfId="1311">
      <pivotArea outline="0" fieldPosition="0">
        <references count="1">
          <reference field="4294967294" count="1">
            <x v="3"/>
          </reference>
        </references>
      </pivotArea>
    </format>
    <format dxfId="1310">
      <pivotArea outline="0" fieldPosition="0">
        <references count="1">
          <reference field="4294967294" count="1">
            <x v="4"/>
          </reference>
        </references>
      </pivotArea>
    </format>
    <format dxfId="1309">
      <pivotArea dataOnly="0" labelOnly="1" outline="0" fieldPosition="0">
        <references count="1">
          <reference field="4294967294" count="1">
            <x v="4"/>
          </reference>
        </references>
      </pivotArea>
    </format>
    <format dxfId="1308">
      <pivotArea field="7" grandRow="1" outline="0" axis="axisRow" fieldPosition="0">
        <references count="1">
          <reference field="4294967294" count="1" selected="0">
            <x v="7"/>
          </reference>
        </references>
      </pivotArea>
    </format>
    <format dxfId="1307">
      <pivotArea field="7" grandRow="1" outline="0" axis="axisRow" fieldPosition="0">
        <references count="1">
          <reference field="4294967294" count="1" selected="0">
            <x v="6"/>
          </reference>
        </references>
      </pivotArea>
    </format>
    <format dxfId="1306">
      <pivotArea fieldPosition="0">
        <references count="2">
          <reference field="4294967294" count="2" selected="0">
            <x v="6"/>
            <x v="7"/>
          </reference>
          <reference field="7" count="0" defaultSubtotal="1"/>
        </references>
      </pivotArea>
    </format>
    <format dxfId="1305">
      <pivotArea fieldPosition="0">
        <references count="3">
          <reference field="4294967294" count="2" selected="0">
            <x v="6"/>
            <x v="7"/>
          </reference>
          <reference field="3" count="0" defaultSubtotal="1"/>
          <reference field="7" count="0" selected="0"/>
        </references>
      </pivotArea>
    </format>
    <format dxfId="1304">
      <pivotArea fieldPosition="0">
        <references count="4">
          <reference field="4294967294" count="2" selected="0">
            <x v="6"/>
            <x v="7"/>
          </reference>
          <reference field="0" count="0" defaultSubtotal="1"/>
          <reference field="3" count="0" selected="0"/>
          <reference field="7" count="0" selected="0"/>
        </references>
      </pivotArea>
    </format>
    <format dxfId="1303">
      <pivotArea fieldPosition="0">
        <references count="5">
          <reference field="4294967294" count="2" selected="0">
            <x v="6"/>
            <x v="7"/>
          </reference>
          <reference field="0" count="0" selected="0"/>
          <reference field="2" count="0" defaultSubtotal="1"/>
          <reference field="3" count="0" selected="0"/>
          <reference field="7" count="0" selected="0"/>
        </references>
      </pivotArea>
    </format>
    <format dxfId="1302">
      <pivotArea fieldPosition="0">
        <references count="5">
          <reference field="4294967294" count="1" selected="0">
            <x v="3"/>
          </reference>
          <reference field="0" count="0" selected="0"/>
          <reference field="2" count="0" defaultSubtotal="1"/>
          <reference field="3" count="0" selected="0"/>
          <reference field="7" count="0" selected="0"/>
        </references>
      </pivotArea>
    </format>
    <format dxfId="1301">
      <pivotArea fieldPosition="0">
        <references count="5">
          <reference field="4294967294" count="1" selected="0">
            <x v="2"/>
          </reference>
          <reference field="0" count="0" selected="0"/>
          <reference field="2" count="0" defaultSubtotal="1"/>
          <reference field="3" count="0" selected="0"/>
          <reference field="7" count="0" selected="0"/>
        </references>
      </pivotArea>
    </format>
    <format dxfId="1300">
      <pivotArea outline="0" fieldPosition="0">
        <references count="1">
          <reference field="4294967294" count="1">
            <x v="12"/>
          </reference>
        </references>
      </pivotArea>
    </format>
    <format dxfId="1299">
      <pivotArea fieldPosition="0">
        <references count="4">
          <reference field="4294967294" count="1" selected="0">
            <x v="2"/>
          </reference>
          <reference field="0" count="0" defaultSubtotal="1"/>
          <reference field="3" count="0" selected="0"/>
          <reference field="7" count="0" selected="0"/>
        </references>
      </pivotArea>
    </format>
    <format dxfId="1298">
      <pivotArea fieldPosition="0">
        <references count="4">
          <reference field="4294967294" count="1" selected="0">
            <x v="3"/>
          </reference>
          <reference field="0" count="0" defaultSubtotal="1"/>
          <reference field="3" count="0" selected="0"/>
          <reference field="7" count="0" selected="0"/>
        </references>
      </pivotArea>
    </format>
    <format dxfId="1297">
      <pivotArea fieldPosition="0">
        <references count="3">
          <reference field="4294967294" count="1" selected="0">
            <x v="3"/>
          </reference>
          <reference field="3" count="0" defaultSubtotal="1"/>
          <reference field="7" count="0" selected="0"/>
        </references>
      </pivotArea>
    </format>
    <format dxfId="1296">
      <pivotArea fieldPosition="0">
        <references count="3">
          <reference field="4294967294" count="1" selected="0">
            <x v="2"/>
          </reference>
          <reference field="3" count="0" defaultSubtotal="1"/>
          <reference field="7" count="0" selected="0"/>
        </references>
      </pivotArea>
    </format>
    <format dxfId="1295">
      <pivotArea fieldPosition="0">
        <references count="2">
          <reference field="4294967294" count="1" selected="0">
            <x v="2"/>
          </reference>
          <reference field="7" count="0" defaultSubtotal="1"/>
        </references>
      </pivotArea>
    </format>
    <format dxfId="1294">
      <pivotArea fieldPosition="0">
        <references count="2">
          <reference field="4294967294" count="1" selected="0">
            <x v="3"/>
          </reference>
          <reference field="7" count="0" defaultSubtotal="1"/>
        </references>
      </pivotArea>
    </format>
    <format dxfId="1293">
      <pivotArea field="7" grandRow="1" outline="0" axis="axisRow" fieldPosition="0">
        <references count="1">
          <reference field="4294967294" count="1" selected="0">
            <x v="3"/>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5D1621-000D-C743-81EB-934645B0E2A5}" name="PivotTable1" cacheId="117" applyNumberFormats="0" applyBorderFormats="0" applyFontFormats="0" applyPatternFormats="0" applyAlignmentFormats="0" applyWidthHeightFormats="1" dataCaption="Values" updatedVersion="8" minRefreshableVersion="3" showDrill="0" useAutoFormatting="1" itemPrintTitles="1" createdVersion="6" indent="0" compact="0" outline="1" outlineData="1" compactData="0">
  <location ref="B5:Y678" firstHeaderRow="0" firstDataRow="1" firstDataCol="11"/>
  <pivotFields count="40">
    <pivotField axis="axisRow" compact="0" subtotalTop="0" showAll="0" insertBlankRow="1" sortType="ascending">
      <items count="3">
        <item n="029-2XXX1-9" x="0"/>
        <item x="1"/>
        <item t="default"/>
      </items>
    </pivotField>
    <pivotField name="OFD: Nacional / Extranjera" axis="axisRow" compact="0" subtotalTop="0" showAll="0" insertBlankRow="1" sortType="ascending">
      <items count="3">
        <item x="0"/>
        <item x="1"/>
        <item t="default"/>
      </items>
    </pivotField>
    <pivotField name="Tipo de Operación Inicial" axis="axisRow" compact="0" subtotalTop="0" showAll="0" insertBlankRow="1" defaultSubtotal="0">
      <items count="2">
        <item x="1"/>
        <item x="0"/>
      </items>
    </pivotField>
    <pivotField axis="axisRow" compact="0" subtotalTop="0" showAll="0" insertBlankRow="1" sortType="ascending">
      <items count="64">
        <item x="32"/>
        <item x="31"/>
        <item x="61"/>
        <item x="52"/>
        <item x="30"/>
        <item x="50"/>
        <item x="34"/>
        <item x="62"/>
        <item x="53"/>
        <item x="35"/>
        <item x="54"/>
        <item x="36"/>
        <item x="45"/>
        <item x="46"/>
        <item x="33"/>
        <item x="51"/>
        <item x="38"/>
        <item x="47"/>
        <item x="60"/>
        <item x="27"/>
        <item x="44"/>
        <item x="49"/>
        <item x="28"/>
        <item x="55"/>
        <item x="48"/>
        <item x="59"/>
        <item x="24"/>
        <item x="56"/>
        <item x="57"/>
        <item x="39"/>
        <item x="25"/>
        <item x="37"/>
        <item x="58"/>
        <item x="14"/>
        <item x="41"/>
        <item x="16"/>
        <item x="29"/>
        <item x="15"/>
        <item x="22"/>
        <item x="43"/>
        <item x="9"/>
        <item x="40"/>
        <item x="23"/>
        <item x="42"/>
        <item x="0"/>
        <item x="17"/>
        <item x="20"/>
        <item x="1"/>
        <item x="2"/>
        <item x="8"/>
        <item x="21"/>
        <item x="11"/>
        <item x="19"/>
        <item x="7"/>
        <item x="12"/>
        <item x="3"/>
        <item x="13"/>
        <item x="18"/>
        <item x="10"/>
        <item x="4"/>
        <item x="6"/>
        <item x="5"/>
        <item x="26"/>
        <item t="default"/>
      </items>
    </pivotField>
    <pivotField compact="0" subtotalTop="0" showAll="0" insertBlankRow="1"/>
    <pivotField axis="axisRow" compact="0" subtotalTop="0" showAll="0" insertBlankRow="1" defaultSubtotal="0">
      <items count="49">
        <item x="22"/>
        <item x="0"/>
        <item x="1"/>
        <item x="2"/>
        <item x="3"/>
        <item x="4"/>
        <item x="5"/>
        <item x="6"/>
        <item x="7"/>
        <item x="8"/>
        <item x="9"/>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3"/>
        <item x="44"/>
        <item x="45"/>
        <item x="46"/>
        <item x="47"/>
        <item x="48"/>
      </items>
    </pivotField>
    <pivotField axis="axisRow" compact="0" subtotalTop="0" showAll="0" insertBlankRow="1" defaultSubtotal="0">
      <items count="9">
        <item x="5"/>
        <item x="0"/>
        <item x="1"/>
        <item x="2"/>
        <item x="4"/>
        <item x="6"/>
        <item x="7"/>
        <item x="3"/>
        <item x="8"/>
      </items>
    </pivotField>
    <pivotField dataField="1" compact="0" subtotalTop="0" showAll="0" insertBlankRow="1"/>
    <pivotField axis="axisRow" compact="0" subtotalTop="0" showAll="0" insertBlankRow="1">
      <items count="4">
        <item h="1" x="1"/>
        <item h="1" x="2"/>
        <item x="0"/>
        <item t="default"/>
      </items>
    </pivotField>
    <pivotField dataField="1" compact="0" subtotalTop="0" showAll="0" insertBlankRow="1"/>
    <pivotField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compact="0" subtotalTop="0" showAll="0" insertBlankRow="1"/>
    <pivotField axis="axisRow" compact="0" subtotalTop="0" showAll="0" insertBlankRow="1" defaultSubtotal="0">
      <items count="3">
        <item x="1"/>
        <item x="2"/>
        <item x="0"/>
      </items>
    </pivotField>
    <pivotField name="Número de Títulos - Operación Final" axis="axisRow" compact="0" subtotalTop="0" showAll="0" insertBlankRow="1">
      <items count="10">
        <item x="5"/>
        <item x="0"/>
        <item x="1"/>
        <item x="2"/>
        <item x="3"/>
        <item x="4"/>
        <item x="6"/>
        <item x="8"/>
        <item x="7"/>
        <item t="default"/>
      </items>
    </pivotField>
    <pivotField name="Tipo de Operación Final" axis="axisRow" compact="0" subtotalTop="0" showAll="0" insertBlankRow="1" defaultSubtotal="0">
      <items count="3">
        <item x="1"/>
        <item x="0"/>
        <item x="2"/>
      </items>
    </pivotField>
    <pivotField axis="axisRow" compact="0" subtotalTop="0" showAll="0" insertBlankRow="1" defaultSubtotal="0">
      <items count="43">
        <item x="21"/>
        <item x="0"/>
        <item x="1"/>
        <item x="2"/>
        <item x="3"/>
        <item x="4"/>
        <item x="5"/>
        <item x="6"/>
        <item x="7"/>
        <item x="8"/>
        <item x="9"/>
        <item x="10"/>
        <item x="11"/>
        <item x="12"/>
        <item x="13"/>
        <item x="14"/>
        <item x="15"/>
        <item x="17"/>
        <item x="19"/>
        <item x="32"/>
        <item x="16"/>
        <item x="24"/>
        <item x="36"/>
        <item x="18"/>
        <item x="20"/>
        <item x="25"/>
        <item x="29"/>
        <item x="33"/>
        <item x="34"/>
        <item x="35"/>
        <item x="22"/>
        <item x="23"/>
        <item x="26"/>
        <item x="30"/>
        <item x="31"/>
        <item x="39"/>
        <item x="27"/>
        <item x="28"/>
        <item x="37"/>
        <item x="38"/>
        <item x="40"/>
        <item x="41"/>
        <item x="42"/>
      </items>
    </pivotField>
    <pivotField compact="0" subtotalTop="0" showAll="0" insertBlankRow="1"/>
    <pivotField dataField="1" compact="0" subtotalTop="0" showAll="0" insertBlankRow="1"/>
    <pivotField dataField="1" compact="0" subtotalTop="0" showAll="0" insertBlankRow="1"/>
    <pivotField compact="0" subtotalTop="0" showAll="0" insertBlankRow="1"/>
    <pivotField dataField="1" compact="0" subtotalTop="0" showAll="0" insertBlankRow="1"/>
    <pivotField dataField="1" compact="0" subtotalTop="0" showAll="0" insertBlankRow="1"/>
    <pivotField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s>
  <rowFields count="11">
    <field x="18"/>
    <field x="8"/>
    <field x="1"/>
    <field x="0"/>
    <field x="3"/>
    <field x="6"/>
    <field x="2"/>
    <field x="5"/>
    <field x="21"/>
    <field x="20"/>
    <field x="19"/>
  </rowFields>
  <rowItems count="673">
    <i>
      <x/>
    </i>
    <i r="1">
      <x v="2"/>
    </i>
    <i r="2">
      <x/>
    </i>
    <i r="3">
      <x/>
    </i>
    <i r="4">
      <x v="2"/>
    </i>
    <i r="5">
      <x v="4"/>
    </i>
    <i r="6">
      <x v="1"/>
    </i>
    <i r="7">
      <x v="48"/>
    </i>
    <i r="8">
      <x/>
    </i>
    <i r="9">
      <x/>
    </i>
    <i r="10">
      <x/>
    </i>
    <i t="blank" r="9">
      <x/>
    </i>
    <i t="default" r="4">
      <x v="2"/>
    </i>
    <i t="blank" r="4">
      <x v="2"/>
    </i>
    <i r="4">
      <x v="3"/>
    </i>
    <i r="5">
      <x v="1"/>
    </i>
    <i r="6">
      <x v="1"/>
    </i>
    <i r="7">
      <x v="41"/>
    </i>
    <i r="8">
      <x/>
    </i>
    <i r="9">
      <x/>
    </i>
    <i r="10">
      <x/>
    </i>
    <i t="blank" r="9">
      <x/>
    </i>
    <i t="default" r="4">
      <x v="3"/>
    </i>
    <i t="blank" r="4">
      <x v="3"/>
    </i>
    <i r="4">
      <x v="7"/>
    </i>
    <i r="5">
      <x v="6"/>
    </i>
    <i r="6">
      <x v="1"/>
    </i>
    <i r="7">
      <x v="48"/>
    </i>
    <i r="8">
      <x/>
    </i>
    <i r="9">
      <x/>
    </i>
    <i r="10">
      <x/>
    </i>
    <i t="blank" r="9">
      <x/>
    </i>
    <i t="default" r="4">
      <x v="7"/>
    </i>
    <i t="blank" r="4">
      <x v="7"/>
    </i>
    <i r="4">
      <x v="8"/>
    </i>
    <i r="5">
      <x v="6"/>
    </i>
    <i r="6">
      <x v="1"/>
    </i>
    <i r="7">
      <x v="42"/>
    </i>
    <i r="8">
      <x/>
    </i>
    <i r="9">
      <x/>
    </i>
    <i r="10">
      <x/>
    </i>
    <i t="blank" r="9">
      <x/>
    </i>
    <i t="default" r="4">
      <x v="8"/>
    </i>
    <i t="blank" r="4">
      <x v="8"/>
    </i>
    <i r="4">
      <x v="10"/>
    </i>
    <i r="5">
      <x v="2"/>
    </i>
    <i r="6">
      <x v="1"/>
    </i>
    <i r="7">
      <x v="43"/>
    </i>
    <i r="8">
      <x/>
    </i>
    <i r="9">
      <x/>
    </i>
    <i r="10">
      <x/>
    </i>
    <i t="blank" r="9">
      <x/>
    </i>
    <i t="default" r="4">
      <x v="10"/>
    </i>
    <i t="blank" r="4">
      <x v="10"/>
    </i>
    <i r="4">
      <x v="15"/>
    </i>
    <i r="5">
      <x v="3"/>
    </i>
    <i r="6">
      <x v="1"/>
    </i>
    <i r="7">
      <x v="40"/>
    </i>
    <i r="8">
      <x/>
    </i>
    <i r="9">
      <x/>
    </i>
    <i r="10">
      <x/>
    </i>
    <i t="blank" r="9">
      <x/>
    </i>
    <i t="default" r="4">
      <x v="15"/>
    </i>
    <i t="blank" r="4">
      <x v="15"/>
    </i>
    <i r="4">
      <x v="18"/>
    </i>
    <i r="5">
      <x v="3"/>
    </i>
    <i r="6">
      <x v="1"/>
    </i>
    <i r="7">
      <x v="47"/>
    </i>
    <i r="8">
      <x/>
    </i>
    <i r="9">
      <x/>
    </i>
    <i r="10">
      <x/>
    </i>
    <i t="blank" r="9">
      <x/>
    </i>
    <i t="default" r="4">
      <x v="18"/>
    </i>
    <i t="blank" r="4">
      <x v="18"/>
    </i>
    <i r="4">
      <x v="25"/>
    </i>
    <i r="5">
      <x v="3"/>
    </i>
    <i r="6">
      <x v="1"/>
    </i>
    <i r="7">
      <x v="46"/>
    </i>
    <i r="8">
      <x/>
    </i>
    <i r="9">
      <x/>
    </i>
    <i r="10">
      <x/>
    </i>
    <i t="blank" r="9">
      <x/>
    </i>
    <i t="default" r="4">
      <x v="25"/>
    </i>
    <i t="blank" r="4">
      <x v="25"/>
    </i>
    <i r="4">
      <x v="28"/>
    </i>
    <i r="5">
      <x v="3"/>
    </i>
    <i r="6">
      <x v="1"/>
    </i>
    <i r="7">
      <x v="44"/>
    </i>
    <i r="8">
      <x/>
    </i>
    <i r="9">
      <x/>
    </i>
    <i r="10">
      <x/>
    </i>
    <i t="blank" r="9">
      <x/>
    </i>
    <i t="default" r="4">
      <x v="28"/>
    </i>
    <i t="blank" r="4">
      <x v="28"/>
    </i>
    <i r="4">
      <x v="32"/>
    </i>
    <i r="5">
      <x v="3"/>
    </i>
    <i r="6">
      <x v="1"/>
    </i>
    <i r="7">
      <x v="45"/>
    </i>
    <i r="8">
      <x/>
    </i>
    <i r="9">
      <x/>
    </i>
    <i r="10">
      <x/>
    </i>
    <i t="blank" r="9">
      <x/>
    </i>
    <i t="default" r="4">
      <x v="32"/>
    </i>
    <i t="blank" r="4">
      <x v="32"/>
    </i>
    <i t="default" r="3">
      <x/>
    </i>
    <i t="blank" r="3">
      <x/>
    </i>
    <i t="default" r="2">
      <x/>
    </i>
    <i t="blank" r="2">
      <x/>
    </i>
    <i t="default" r="1">
      <x v="2"/>
    </i>
    <i t="blank" r="1">
      <x v="2"/>
    </i>
    <i>
      <x v="2"/>
    </i>
    <i r="1">
      <x v="2"/>
    </i>
    <i r="2">
      <x/>
    </i>
    <i r="3">
      <x/>
    </i>
    <i r="4">
      <x/>
    </i>
    <i r="5">
      <x v="5"/>
    </i>
    <i r="6">
      <x v="1"/>
    </i>
    <i r="7">
      <x v="27"/>
    </i>
    <i r="8">
      <x v="25"/>
    </i>
    <i r="9">
      <x v="1"/>
    </i>
    <i r="10">
      <x v="6"/>
    </i>
    <i t="blank" r="9">
      <x v="1"/>
    </i>
    <i t="default" r="4">
      <x/>
    </i>
    <i t="blank" r="4">
      <x/>
    </i>
    <i r="4">
      <x v="1"/>
    </i>
    <i r="5">
      <x v="4"/>
    </i>
    <i r="6">
      <x v="1"/>
    </i>
    <i r="7">
      <x v="26"/>
    </i>
    <i r="8">
      <x v="24"/>
    </i>
    <i r="9">
      <x v="1"/>
    </i>
    <i r="10">
      <x v="5"/>
    </i>
    <i t="blank" r="9">
      <x v="1"/>
    </i>
    <i t="default" r="4">
      <x v="1"/>
    </i>
    <i t="blank" r="4">
      <x v="1"/>
    </i>
    <i r="4">
      <x v="4"/>
    </i>
    <i r="5">
      <x v="3"/>
    </i>
    <i r="6">
      <x v="1"/>
    </i>
    <i r="7">
      <x v="25"/>
    </i>
    <i r="8">
      <x v="25"/>
    </i>
    <i r="9">
      <x v="1"/>
    </i>
    <i r="10">
      <x v="3"/>
    </i>
    <i t="blank" r="9">
      <x v="1"/>
    </i>
    <i t="default" r="4">
      <x v="4"/>
    </i>
    <i t="blank" r="4">
      <x v="4"/>
    </i>
    <i r="4">
      <x v="5"/>
    </i>
    <i r="5">
      <x v="3"/>
    </i>
    <i r="6">
      <x v="1"/>
    </i>
    <i r="7">
      <x v="40"/>
    </i>
    <i r="8">
      <x v="41"/>
    </i>
    <i r="9">
      <x v="1"/>
    </i>
    <i r="10">
      <x v="3"/>
    </i>
    <i t="blank" r="9">
      <x v="1"/>
    </i>
    <i t="default" r="4">
      <x v="5"/>
    </i>
    <i t="blank" r="4">
      <x v="5"/>
    </i>
    <i r="4">
      <x v="6"/>
    </i>
    <i r="5">
      <x v="5"/>
    </i>
    <i r="6">
      <x v="1"/>
    </i>
    <i r="7">
      <x v="29"/>
    </i>
    <i r="8">
      <x v="30"/>
    </i>
    <i r="9">
      <x v="1"/>
    </i>
    <i r="10">
      <x v="6"/>
    </i>
    <i t="blank" r="9">
      <x v="1"/>
    </i>
    <i t="default" r="4">
      <x v="6"/>
    </i>
    <i t="blank" r="4">
      <x v="6"/>
    </i>
    <i r="4">
      <x v="9"/>
    </i>
    <i r="5">
      <x v="4"/>
    </i>
    <i r="6">
      <x v="1"/>
    </i>
    <i r="7">
      <x v="30"/>
    </i>
    <i r="8">
      <x v="36"/>
    </i>
    <i r="9">
      <x v="1"/>
    </i>
    <i r="10">
      <x v="5"/>
    </i>
    <i t="blank" r="9">
      <x v="1"/>
    </i>
    <i t="default" r="4">
      <x v="9"/>
    </i>
    <i t="blank" r="4">
      <x v="9"/>
    </i>
    <i r="4">
      <x v="11"/>
    </i>
    <i r="5">
      <x v="6"/>
    </i>
    <i r="6">
      <x v="1"/>
    </i>
    <i r="7">
      <x v="30"/>
    </i>
    <i r="8">
      <x v="37"/>
    </i>
    <i r="9">
      <x v="1"/>
    </i>
    <i r="10">
      <x v="8"/>
    </i>
    <i t="blank" r="9">
      <x v="1"/>
    </i>
    <i t="default" r="4">
      <x v="11"/>
    </i>
    <i t="blank" r="4">
      <x v="11"/>
    </i>
    <i r="4">
      <x v="12"/>
    </i>
    <i r="5">
      <x v="3"/>
    </i>
    <i r="6">
      <x v="1"/>
    </i>
    <i r="7">
      <x v="37"/>
    </i>
    <i r="8">
      <x v="38"/>
    </i>
    <i r="9">
      <x v="1"/>
    </i>
    <i r="10">
      <x v="3"/>
    </i>
    <i t="blank" r="9">
      <x v="1"/>
    </i>
    <i t="default" r="4">
      <x v="12"/>
    </i>
    <i t="blank" r="4">
      <x v="12"/>
    </i>
    <i r="4">
      <x v="13"/>
    </i>
    <i r="5">
      <x v="5"/>
    </i>
    <i r="6">
      <x v="1"/>
    </i>
    <i r="7">
      <x v="37"/>
    </i>
    <i r="8">
      <x v="38"/>
    </i>
    <i r="9">
      <x v="1"/>
    </i>
    <i r="10">
      <x v="6"/>
    </i>
    <i t="blank" r="9">
      <x v="1"/>
    </i>
    <i t="default" r="4">
      <x v="13"/>
    </i>
    <i t="blank" r="4">
      <x v="13"/>
    </i>
    <i r="4">
      <x v="14"/>
    </i>
    <i r="5">
      <x v="2"/>
    </i>
    <i r="6">
      <x v="1"/>
    </i>
    <i r="7">
      <x v="28"/>
    </i>
    <i r="8">
      <x v="32"/>
    </i>
    <i r="9">
      <x v="1"/>
    </i>
    <i r="10">
      <x v="2"/>
    </i>
    <i t="blank" r="9">
      <x v="1"/>
    </i>
    <i t="default" r="4">
      <x v="14"/>
    </i>
    <i t="blank" r="4">
      <x v="14"/>
    </i>
    <i r="4">
      <x v="16"/>
    </i>
    <i r="5">
      <x v="4"/>
    </i>
    <i r="6">
      <x v="1"/>
    </i>
    <i r="7">
      <x v="32"/>
    </i>
    <i r="8">
      <x v="37"/>
    </i>
    <i r="9">
      <x v="1"/>
    </i>
    <i r="10">
      <x v="5"/>
    </i>
    <i t="blank" r="9">
      <x v="1"/>
    </i>
    <i t="default" r="4">
      <x v="16"/>
    </i>
    <i t="blank" r="4">
      <x v="16"/>
    </i>
    <i r="4">
      <x v="17"/>
    </i>
    <i r="5">
      <x v="3"/>
    </i>
    <i r="6">
      <x v="1"/>
    </i>
    <i r="7">
      <x v="38"/>
    </i>
    <i r="8">
      <x v="39"/>
    </i>
    <i r="9">
      <x v="1"/>
    </i>
    <i r="10">
      <x v="3"/>
    </i>
    <i t="blank" r="9">
      <x v="1"/>
    </i>
    <i t="default" r="4">
      <x v="17"/>
    </i>
    <i t="blank" r="4">
      <x v="17"/>
    </i>
    <i r="4">
      <x v="19"/>
    </i>
    <i r="5">
      <x v="1"/>
    </i>
    <i r="6">
      <x v="1"/>
    </i>
    <i r="7">
      <x v="23"/>
    </i>
    <i r="8">
      <x v="30"/>
    </i>
    <i r="9">
      <x v="1"/>
    </i>
    <i r="10">
      <x v="1"/>
    </i>
    <i t="blank" r="9">
      <x v="1"/>
    </i>
    <i t="default" r="4">
      <x v="19"/>
    </i>
    <i t="blank" r="4">
      <x v="19"/>
    </i>
    <i r="4">
      <x v="20"/>
    </i>
    <i r="5">
      <x v="2"/>
    </i>
    <i r="6">
      <x v="1"/>
    </i>
    <i r="7">
      <x v="36"/>
    </i>
    <i r="8">
      <x v="36"/>
    </i>
    <i r="9">
      <x v="1"/>
    </i>
    <i r="10">
      <x v="2"/>
    </i>
    <i t="blank" r="9">
      <x v="1"/>
    </i>
    <i t="default" r="4">
      <x v="20"/>
    </i>
    <i t="blank" r="4">
      <x v="20"/>
    </i>
    <i r="4">
      <x v="21"/>
    </i>
    <i r="5">
      <x v="3"/>
    </i>
    <i r="6">
      <x v="1"/>
    </i>
    <i r="7">
      <x v="39"/>
    </i>
    <i r="8">
      <x v="40"/>
    </i>
    <i r="9">
      <x v="1"/>
    </i>
    <i r="10">
      <x v="3"/>
    </i>
    <i t="blank" r="9">
      <x v="1"/>
    </i>
    <i t="default" r="4">
      <x v="21"/>
    </i>
    <i t="blank" r="4">
      <x v="21"/>
    </i>
    <i r="4">
      <x v="22"/>
    </i>
    <i r="5">
      <x v="3"/>
    </i>
    <i r="6">
      <x v="1"/>
    </i>
    <i r="7">
      <x v="23"/>
    </i>
    <i r="8">
      <x v="31"/>
    </i>
    <i r="9">
      <x v="1"/>
    </i>
    <i r="10">
      <x v="3"/>
    </i>
    <i t="blank" r="9">
      <x v="1"/>
    </i>
    <i t="default" r="4">
      <x v="22"/>
    </i>
    <i t="blank" r="4">
      <x v="22"/>
    </i>
    <i r="4">
      <x v="23"/>
    </i>
    <i r="5">
      <x v="1"/>
    </i>
    <i r="6">
      <x v="1"/>
    </i>
    <i r="7">
      <x v="43"/>
    </i>
    <i r="8">
      <x v="42"/>
    </i>
    <i r="9">
      <x v="1"/>
    </i>
    <i r="10">
      <x v="1"/>
    </i>
    <i t="blank" r="9">
      <x v="1"/>
    </i>
    <i t="default" r="4">
      <x v="23"/>
    </i>
    <i t="blank" r="4">
      <x v="23"/>
    </i>
    <i r="4">
      <x v="24"/>
    </i>
    <i r="5">
      <x v="3"/>
    </i>
    <i r="6">
      <x v="1"/>
    </i>
    <i r="7">
      <x v="39"/>
    </i>
    <i r="8">
      <x v="35"/>
    </i>
    <i r="9">
      <x v="1"/>
    </i>
    <i r="10">
      <x v="3"/>
    </i>
    <i t="blank" r="9">
      <x v="1"/>
    </i>
    <i t="default" r="4">
      <x v="24"/>
    </i>
    <i t="blank" r="4">
      <x v="24"/>
    </i>
    <i r="4">
      <x v="26"/>
    </i>
    <i r="5">
      <x v="3"/>
    </i>
    <i r="6">
      <x v="1"/>
    </i>
    <i r="7">
      <x v="22"/>
    </i>
    <i r="8">
      <x v="24"/>
    </i>
    <i r="9">
      <x v="1"/>
    </i>
    <i r="10">
      <x v="3"/>
    </i>
    <i t="blank" r="9">
      <x v="1"/>
    </i>
    <i t="default" r="4">
      <x v="26"/>
    </i>
    <i t="blank" r="4">
      <x v="26"/>
    </i>
    <i r="4">
      <x v="27"/>
    </i>
    <i r="5">
      <x v="8"/>
    </i>
    <i r="6">
      <x v="1"/>
    </i>
    <i r="7">
      <x v="44"/>
    </i>
    <i r="8">
      <x v="42"/>
    </i>
    <i r="9">
      <x v="1"/>
    </i>
    <i r="10">
      <x v="7"/>
    </i>
    <i t="blank" r="9">
      <x v="1"/>
    </i>
    <i t="default" r="4">
      <x v="27"/>
    </i>
    <i t="blank" r="4">
      <x v="27"/>
    </i>
    <i r="4">
      <x v="29"/>
    </i>
    <i r="5">
      <x v="3"/>
    </i>
    <i r="6">
      <x v="1"/>
    </i>
    <i r="7">
      <x v="32"/>
    </i>
    <i r="8">
      <x v="32"/>
    </i>
    <i r="9">
      <x v="1"/>
    </i>
    <i r="10">
      <x v="3"/>
    </i>
    <i t="blank" r="9">
      <x v="1"/>
    </i>
    <i t="default" r="4">
      <x v="29"/>
    </i>
    <i t="blank" r="4">
      <x v="29"/>
    </i>
    <i r="4">
      <x v="30"/>
    </i>
    <i r="5">
      <x v="1"/>
    </i>
    <i r="6">
      <x v="1"/>
    </i>
    <i r="7">
      <x v="22"/>
    </i>
    <i r="8">
      <x v="20"/>
    </i>
    <i r="9">
      <x v="1"/>
    </i>
    <i r="10">
      <x v="1"/>
    </i>
    <i t="blank" r="9">
      <x v="1"/>
    </i>
    <i t="default" r="4">
      <x v="30"/>
    </i>
    <i t="blank" r="4">
      <x v="30"/>
    </i>
    <i r="4">
      <x v="31"/>
    </i>
    <i r="5">
      <x v="2"/>
    </i>
    <i r="6">
      <x v="1"/>
    </i>
    <i r="7">
      <x v="31"/>
    </i>
    <i r="8">
      <x v="26"/>
    </i>
    <i r="9">
      <x v="1"/>
    </i>
    <i r="10">
      <x v="2"/>
    </i>
    <i t="blank" r="9">
      <x v="1"/>
    </i>
    <i t="default" r="4">
      <x v="31"/>
    </i>
    <i t="blank" r="4">
      <x v="31"/>
    </i>
    <i r="4">
      <x v="33"/>
    </i>
    <i r="5">
      <x v="3"/>
    </i>
    <i r="6">
      <x v="1"/>
    </i>
    <i r="7">
      <x v="14"/>
    </i>
    <i r="8">
      <x v="13"/>
    </i>
    <i r="9">
      <x v="1"/>
    </i>
    <i r="10">
      <x v="3"/>
    </i>
    <i t="blank" r="9">
      <x v="1"/>
    </i>
    <i t="default" r="4">
      <x v="33"/>
    </i>
    <i t="blank" r="4">
      <x v="33"/>
    </i>
    <i r="4">
      <x v="34"/>
    </i>
    <i r="5">
      <x v="4"/>
    </i>
    <i r="6">
      <x v="1"/>
    </i>
    <i r="7">
      <x v="34"/>
    </i>
    <i r="8">
      <x v="37"/>
    </i>
    <i r="9">
      <x v="1"/>
    </i>
    <i r="10">
      <x v="5"/>
    </i>
    <i t="blank" r="9">
      <x v="1"/>
    </i>
    <i t="default" r="4">
      <x v="34"/>
    </i>
    <i t="blank" r="4">
      <x v="34"/>
    </i>
    <i r="4">
      <x v="35"/>
    </i>
    <i r="5">
      <x v="1"/>
    </i>
    <i r="6">
      <x v="1"/>
    </i>
    <i r="7">
      <x v="15"/>
    </i>
    <i r="8">
      <x v="13"/>
    </i>
    <i r="9">
      <x v="1"/>
    </i>
    <i r="10">
      <x v="1"/>
    </i>
    <i t="blank" r="9">
      <x v="1"/>
    </i>
    <i t="default" r="4">
      <x v="35"/>
    </i>
    <i t="blank" r="4">
      <x v="35"/>
    </i>
    <i r="4">
      <x v="36"/>
    </i>
    <i r="5">
      <x v="2"/>
    </i>
    <i r="6">
      <x v="1"/>
    </i>
    <i r="7">
      <x v="24"/>
    </i>
    <i r="8">
      <x v="21"/>
    </i>
    <i r="9">
      <x v="1"/>
    </i>
    <i r="10">
      <x v="2"/>
    </i>
    <i t="blank" r="9">
      <x v="1"/>
    </i>
    <i t="default" r="4">
      <x v="36"/>
    </i>
    <i t="blank" r="4">
      <x v="36"/>
    </i>
    <i r="4">
      <x v="37"/>
    </i>
    <i r="5">
      <x v="1"/>
    </i>
    <i r="6">
      <x v="1"/>
    </i>
    <i r="7">
      <x v="14"/>
    </i>
    <i r="8">
      <x v="10"/>
    </i>
    <i r="9">
      <x v="1"/>
    </i>
    <i r="10">
      <x v="1"/>
    </i>
    <i t="blank" r="9">
      <x v="1"/>
    </i>
    <i t="default" r="4">
      <x v="37"/>
    </i>
    <i t="blank" r="4">
      <x v="37"/>
    </i>
    <i r="4">
      <x v="38"/>
    </i>
    <i r="5">
      <x v="3"/>
    </i>
    <i r="6">
      <x v="1"/>
    </i>
    <i r="7">
      <x v="21"/>
    </i>
    <i r="8">
      <x v="23"/>
    </i>
    <i r="9">
      <x v="1"/>
    </i>
    <i r="10">
      <x v="3"/>
    </i>
    <i t="blank" r="9">
      <x v="1"/>
    </i>
    <i t="default" r="4">
      <x v="38"/>
    </i>
    <i t="blank" r="4">
      <x v="38"/>
    </i>
    <i r="4">
      <x v="39"/>
    </i>
    <i r="5">
      <x v="2"/>
    </i>
    <i r="6">
      <x v="1"/>
    </i>
    <i r="7">
      <x v="35"/>
    </i>
    <i r="8">
      <x v="34"/>
    </i>
    <i r="9">
      <x v="1"/>
    </i>
    <i r="10">
      <x v="2"/>
    </i>
    <i t="blank" r="9">
      <x v="1"/>
    </i>
    <i t="default" r="4">
      <x v="39"/>
    </i>
    <i t="blank" r="4">
      <x v="39"/>
    </i>
    <i r="4">
      <x v="40"/>
    </i>
    <i r="5">
      <x v="3"/>
    </i>
    <i r="6">
      <x v="1"/>
    </i>
    <i r="7">
      <x v="10"/>
    </i>
    <i r="8">
      <x v="8"/>
    </i>
    <i r="9">
      <x v="1"/>
    </i>
    <i r="10">
      <x v="3"/>
    </i>
    <i t="blank" r="9">
      <x v="1"/>
    </i>
    <i t="default" r="4">
      <x v="40"/>
    </i>
    <i t="blank" r="4">
      <x v="40"/>
    </i>
    <i r="4">
      <x v="41"/>
    </i>
    <i r="5">
      <x v="1"/>
    </i>
    <i r="6">
      <x v="1"/>
    </i>
    <i r="7">
      <x v="33"/>
    </i>
    <i r="8">
      <x v="33"/>
    </i>
    <i r="9">
      <x v="1"/>
    </i>
    <i r="10">
      <x v="1"/>
    </i>
    <i t="blank" r="9">
      <x v="1"/>
    </i>
    <i t="default" r="4">
      <x v="41"/>
    </i>
    <i t="blank" r="4">
      <x v="41"/>
    </i>
    <i r="4">
      <x v="42"/>
    </i>
    <i r="5">
      <x v="2"/>
    </i>
    <i r="6">
      <x v="1"/>
    </i>
    <i r="7">
      <x v="21"/>
    </i>
    <i r="8">
      <x v="18"/>
    </i>
    <i r="9">
      <x v="1"/>
    </i>
    <i r="10">
      <x v="2"/>
    </i>
    <i t="blank" r="9">
      <x v="1"/>
    </i>
    <i t="default" r="4">
      <x v="42"/>
    </i>
    <i t="blank" r="4">
      <x v="42"/>
    </i>
    <i r="4">
      <x v="43"/>
    </i>
    <i r="5">
      <x v="1"/>
    </i>
    <i r="6">
      <x v="1"/>
    </i>
    <i r="7">
      <x v="34"/>
    </i>
    <i r="8">
      <x v="31"/>
    </i>
    <i r="9">
      <x v="1"/>
    </i>
    <i r="10">
      <x v="1"/>
    </i>
    <i t="blank" r="9">
      <x v="1"/>
    </i>
    <i t="default" r="4">
      <x v="43"/>
    </i>
    <i t="blank" r="4">
      <x v="43"/>
    </i>
    <i r="4">
      <x v="44"/>
    </i>
    <i r="5">
      <x v="1"/>
    </i>
    <i r="6">
      <x v="1"/>
    </i>
    <i r="7">
      <x v="1"/>
    </i>
    <i r="8">
      <x v="1"/>
    </i>
    <i r="9">
      <x v="1"/>
    </i>
    <i r="10">
      <x v="1"/>
    </i>
    <i t="blank" r="9">
      <x v="1"/>
    </i>
    <i t="default" r="4">
      <x v="44"/>
    </i>
    <i t="blank" r="4">
      <x v="44"/>
    </i>
    <i r="4">
      <x v="45"/>
    </i>
    <i r="5">
      <x v="1"/>
    </i>
    <i r="6">
      <x v="1"/>
    </i>
    <i r="7">
      <x v="16"/>
    </i>
    <i r="8">
      <x v="14"/>
    </i>
    <i r="9">
      <x v="1"/>
    </i>
    <i r="10">
      <x v="1"/>
    </i>
    <i t="blank" r="9">
      <x v="1"/>
    </i>
    <i t="default" r="4">
      <x v="45"/>
    </i>
    <i t="blank" r="4">
      <x v="45"/>
    </i>
    <i r="4">
      <x v="46"/>
    </i>
    <i r="5">
      <x v="4"/>
    </i>
    <i r="6">
      <x v="1"/>
    </i>
    <i r="7">
      <x v="19"/>
    </i>
    <i r="8">
      <x v="20"/>
    </i>
    <i r="9">
      <x v="1"/>
    </i>
    <i r="10">
      <x v="5"/>
    </i>
    <i t="blank" r="9">
      <x v="1"/>
    </i>
    <i r="8">
      <x v="29"/>
    </i>
    <i r="9">
      <x v="2"/>
    </i>
    <i r="10">
      <x v="5"/>
    </i>
    <i t="blank" r="9">
      <x v="2"/>
    </i>
    <i r="5">
      <x v="8"/>
    </i>
    <i r="6">
      <x v="1"/>
    </i>
    <i r="7">
      <x v="19"/>
    </i>
    <i r="8">
      <x v="22"/>
    </i>
    <i r="9">
      <x v="2"/>
    </i>
    <i r="10">
      <x v="7"/>
    </i>
    <i t="blank" r="9">
      <x v="2"/>
    </i>
    <i t="default" r="4">
      <x v="46"/>
    </i>
    <i t="blank" r="4">
      <x v="46"/>
    </i>
    <i r="4">
      <x v="47"/>
    </i>
    <i r="5">
      <x v="1"/>
    </i>
    <i r="6">
      <x v="1"/>
    </i>
    <i r="7">
      <x v="2"/>
    </i>
    <i r="8">
      <x v="1"/>
    </i>
    <i r="9">
      <x v="1"/>
    </i>
    <i r="10">
      <x v="1"/>
    </i>
    <i t="blank" r="9">
      <x v="1"/>
    </i>
    <i t="default" r="4">
      <x v="47"/>
    </i>
    <i t="blank" r="4">
      <x v="47"/>
    </i>
    <i r="4">
      <x v="48"/>
    </i>
    <i r="5">
      <x v="1"/>
    </i>
    <i r="6">
      <x v="1"/>
    </i>
    <i r="7">
      <x v="3"/>
    </i>
    <i r="8">
      <x v="2"/>
    </i>
    <i r="9">
      <x v="1"/>
    </i>
    <i r="10">
      <x v="1"/>
    </i>
    <i t="blank" r="9">
      <x v="1"/>
    </i>
    <i t="default" r="4">
      <x v="48"/>
    </i>
    <i t="blank" r="4">
      <x v="48"/>
    </i>
    <i r="4">
      <x v="49"/>
    </i>
    <i r="5">
      <x v="1"/>
    </i>
    <i r="6">
      <x v="1"/>
    </i>
    <i r="7">
      <x v="9"/>
    </i>
    <i r="8">
      <x v="7"/>
    </i>
    <i r="9">
      <x v="1"/>
    </i>
    <i r="10">
      <x v="1"/>
    </i>
    <i t="blank" r="9">
      <x v="1"/>
    </i>
    <i t="default" r="4">
      <x v="49"/>
    </i>
    <i t="blank" r="4">
      <x v="49"/>
    </i>
    <i r="4">
      <x v="50"/>
    </i>
    <i r="5">
      <x v="4"/>
    </i>
    <i r="6">
      <x v="1"/>
    </i>
    <i r="7">
      <x v="20"/>
    </i>
    <i r="8">
      <x v="17"/>
    </i>
    <i r="9">
      <x v="1"/>
    </i>
    <i r="10">
      <x v="5"/>
    </i>
    <i t="blank" r="9">
      <x v="1"/>
    </i>
    <i r="5">
      <x v="7"/>
    </i>
    <i r="6">
      <x v="1"/>
    </i>
    <i r="7">
      <x v="20"/>
    </i>
    <i r="8">
      <x v="27"/>
    </i>
    <i r="9">
      <x v="2"/>
    </i>
    <i r="10">
      <x v="4"/>
    </i>
    <i t="blank" r="9">
      <x v="2"/>
    </i>
    <i r="5">
      <x v="8"/>
    </i>
    <i r="6">
      <x v="1"/>
    </i>
    <i r="7">
      <x v="20"/>
    </i>
    <i r="8">
      <x v="28"/>
    </i>
    <i r="9">
      <x v="2"/>
    </i>
    <i r="10">
      <x v="7"/>
    </i>
    <i t="blank" r="9">
      <x v="2"/>
    </i>
    <i t="default" r="4">
      <x v="50"/>
    </i>
    <i t="blank" r="4">
      <x v="50"/>
    </i>
    <i r="4">
      <x v="51"/>
    </i>
    <i r="5">
      <x v="1"/>
    </i>
    <i r="6">
      <x v="1"/>
    </i>
    <i r="7">
      <x v="12"/>
    </i>
    <i r="8">
      <x v="10"/>
    </i>
    <i r="9">
      <x v="1"/>
    </i>
    <i r="10">
      <x v="1"/>
    </i>
    <i t="blank" r="9">
      <x v="1"/>
    </i>
    <i t="default" r="4">
      <x v="51"/>
    </i>
    <i t="blank" r="4">
      <x v="51"/>
    </i>
    <i r="4">
      <x v="52"/>
    </i>
    <i r="5">
      <x v="2"/>
    </i>
    <i r="6">
      <x v="1"/>
    </i>
    <i r="7">
      <x v="18"/>
    </i>
    <i r="8">
      <x v="19"/>
    </i>
    <i r="9">
      <x v="2"/>
    </i>
    <i r="10">
      <x v="2"/>
    </i>
    <i t="blank" r="9">
      <x v="2"/>
    </i>
    <i r="5">
      <x v="7"/>
    </i>
    <i r="6">
      <x v="1"/>
    </i>
    <i r="7">
      <x v="18"/>
    </i>
    <i r="8">
      <x v="16"/>
    </i>
    <i r="9">
      <x v="1"/>
    </i>
    <i r="10">
      <x v="4"/>
    </i>
    <i t="blank" r="9">
      <x v="1"/>
    </i>
    <i t="default" r="4">
      <x v="52"/>
    </i>
    <i t="blank" r="4">
      <x v="52"/>
    </i>
    <i r="4">
      <x v="53"/>
    </i>
    <i r="5">
      <x v="1"/>
    </i>
    <i r="6">
      <x v="1"/>
    </i>
    <i r="7">
      <x v="8"/>
    </i>
    <i r="8">
      <x v="6"/>
    </i>
    <i r="9">
      <x v="1"/>
    </i>
    <i r="10">
      <x v="1"/>
    </i>
    <i t="blank" r="9">
      <x v="1"/>
    </i>
    <i t="default" r="4">
      <x v="53"/>
    </i>
    <i t="blank" r="4">
      <x v="53"/>
    </i>
    <i r="4">
      <x v="54"/>
    </i>
    <i r="5">
      <x v="1"/>
    </i>
    <i r="6">
      <x v="1"/>
    </i>
    <i r="7">
      <x v="13"/>
    </i>
    <i r="8">
      <x v="11"/>
    </i>
    <i r="9">
      <x v="1"/>
    </i>
    <i r="10">
      <x v="1"/>
    </i>
    <i t="blank" r="9">
      <x v="1"/>
    </i>
    <i t="default" r="4">
      <x v="54"/>
    </i>
    <i t="blank" r="4">
      <x v="54"/>
    </i>
    <i r="4">
      <x v="55"/>
    </i>
    <i r="5">
      <x v="1"/>
    </i>
    <i r="6">
      <x v="1"/>
    </i>
    <i r="7">
      <x v="4"/>
    </i>
    <i r="8">
      <x v="3"/>
    </i>
    <i r="9">
      <x v="1"/>
    </i>
    <i r="10">
      <x v="1"/>
    </i>
    <i t="blank" r="9">
      <x v="1"/>
    </i>
    <i t="default" r="4">
      <x v="55"/>
    </i>
    <i t="blank" r="4">
      <x v="55"/>
    </i>
    <i r="4">
      <x v="56"/>
    </i>
    <i r="5">
      <x v="1"/>
    </i>
    <i r="6">
      <x v="1"/>
    </i>
    <i r="7">
      <x v="13"/>
    </i>
    <i r="8">
      <x v="12"/>
    </i>
    <i r="9">
      <x v="1"/>
    </i>
    <i r="10">
      <x v="1"/>
    </i>
    <i t="blank" r="9">
      <x v="1"/>
    </i>
    <i t="default" r="4">
      <x v="56"/>
    </i>
    <i t="blank" r="4">
      <x v="56"/>
    </i>
    <i r="4">
      <x v="57"/>
    </i>
    <i r="5">
      <x v="1"/>
    </i>
    <i r="6">
      <x v="1"/>
    </i>
    <i r="7">
      <x v="17"/>
    </i>
    <i r="8">
      <x v="15"/>
    </i>
    <i r="9">
      <x v="1"/>
    </i>
    <i r="10">
      <x v="1"/>
    </i>
    <i t="blank" r="9">
      <x v="1"/>
    </i>
    <i t="default" r="4">
      <x v="57"/>
    </i>
    <i t="blank" r="4">
      <x v="57"/>
    </i>
    <i r="4">
      <x v="58"/>
    </i>
    <i r="5">
      <x v="1"/>
    </i>
    <i r="6">
      <x v="1"/>
    </i>
    <i r="7">
      <x v="11"/>
    </i>
    <i r="8">
      <x v="9"/>
    </i>
    <i r="9">
      <x v="1"/>
    </i>
    <i r="10">
      <x v="1"/>
    </i>
    <i t="blank" r="9">
      <x v="1"/>
    </i>
    <i t="default" r="4">
      <x v="58"/>
    </i>
    <i t="blank" r="4">
      <x v="58"/>
    </i>
    <i r="4">
      <x v="59"/>
    </i>
    <i r="5">
      <x v="2"/>
    </i>
    <i r="6">
      <x v="1"/>
    </i>
    <i r="7">
      <x v="5"/>
    </i>
    <i r="8">
      <x v="3"/>
    </i>
    <i r="9">
      <x v="1"/>
    </i>
    <i r="10">
      <x v="2"/>
    </i>
    <i t="blank" r="9">
      <x v="1"/>
    </i>
    <i t="default" r="4">
      <x v="59"/>
    </i>
    <i t="blank" r="4">
      <x v="59"/>
    </i>
    <i r="4">
      <x v="60"/>
    </i>
    <i r="5">
      <x v="1"/>
    </i>
    <i r="6">
      <x v="1"/>
    </i>
    <i r="7">
      <x v="7"/>
    </i>
    <i r="8">
      <x v="5"/>
    </i>
    <i r="9">
      <x v="1"/>
    </i>
    <i r="10">
      <x v="1"/>
    </i>
    <i t="blank" r="9">
      <x v="1"/>
    </i>
    <i t="default" r="4">
      <x v="60"/>
    </i>
    <i t="blank" r="4">
      <x v="60"/>
    </i>
    <i r="4">
      <x v="61"/>
    </i>
    <i r="5">
      <x v="2"/>
    </i>
    <i r="6">
      <x v="1"/>
    </i>
    <i r="7">
      <x v="6"/>
    </i>
    <i r="8">
      <x v="4"/>
    </i>
    <i r="9">
      <x v="1"/>
    </i>
    <i r="10">
      <x v="2"/>
    </i>
    <i t="blank" r="9">
      <x v="1"/>
    </i>
    <i t="default" r="4">
      <x v="61"/>
    </i>
    <i t="blank" r="4">
      <x v="61"/>
    </i>
    <i t="default" r="3">
      <x/>
    </i>
    <i t="blank" r="3">
      <x/>
    </i>
    <i t="default" r="2">
      <x/>
    </i>
    <i t="blank" r="2">
      <x/>
    </i>
    <i t="default" r="1">
      <x v="2"/>
    </i>
    <i t="blank" r="1">
      <x v="2"/>
    </i>
    <i t="grand">
      <x/>
    </i>
  </rowItems>
  <colFields count="1">
    <field x="-2"/>
  </colFields>
  <colItems count="13">
    <i>
      <x/>
    </i>
    <i i="1">
      <x v="1"/>
    </i>
    <i i="2">
      <x v="2"/>
    </i>
    <i i="3">
      <x v="3"/>
    </i>
    <i i="4">
      <x v="4"/>
    </i>
    <i i="5">
      <x v="5"/>
    </i>
    <i i="6">
      <x v="6"/>
    </i>
    <i i="7">
      <x v="7"/>
    </i>
    <i i="8">
      <x v="8"/>
    </i>
    <i i="9">
      <x v="9"/>
    </i>
    <i i="10">
      <x v="10"/>
    </i>
    <i i="11">
      <x v="11"/>
    </i>
    <i i="12">
      <x v="12"/>
    </i>
  </colItems>
  <dataFields count="13">
    <dataField name="Monto Inicial en Moneda Original " fld="7" baseField="0" baseItem="0" numFmtId="40"/>
    <dataField name="Equivalencia - Movimiento Inicial " fld="9" subtotal="average" baseField="0" baseItem="0" numFmtId="180"/>
    <dataField name="Tipo de Cambio de Operación Inicial " fld="11" subtotal="average" baseField="0" baseItem="0" numFmtId="169"/>
    <dataField name="Monto Inicial en MXN " fld="12" baseField="0" baseItem="0" numFmtId="40"/>
    <dataField name="INPC Operación Inicial " fld="13" subtotal="average" baseField="0" baseItem="0" numFmtId="169"/>
    <dataField name=" INPC Operación Final" fld="14" subtotal="average" baseField="0" baseItem="0" numFmtId="169"/>
    <dataField name="  Factor " fld="15" subtotal="average" baseField="0" baseItem="0" numFmtId="181"/>
    <dataField name="Operación Original Actualizada en MXN " fld="16" baseField="0" baseItem="0" numFmtId="40"/>
    <dataField name="Monto Final en Moneda Original " fld="23" baseField="0" baseItem="0" numFmtId="178"/>
    <dataField name="Equivalencia - Movimiento Final" fld="24" subtotal="average" baseField="0" baseItem="0" numFmtId="178"/>
    <dataField name="Tipo de Cambio Operación Final  " fld="26" subtotal="average" baseField="0" baseItem="0" numFmtId="169"/>
    <dataField name="Monto Final en MXN " fld="27" baseField="0" baseItem="0" numFmtId="178"/>
    <dataField name=" Ganancia / (Pérdida) en MXN " fld="29" baseField="0" baseItem="0" numFmtId="178"/>
  </dataFields>
  <formats count="245">
    <format dxfId="1292">
      <pivotArea dataOnly="0" labelOnly="1" fieldPosition="0">
        <references count="1">
          <reference field="5" count="0"/>
        </references>
      </pivotArea>
    </format>
    <format dxfId="1291">
      <pivotArea dataOnly="0" labelOnly="1" fieldPosition="0">
        <references count="1">
          <reference field="5" count="0"/>
        </references>
      </pivotArea>
    </format>
    <format dxfId="1290">
      <pivotArea dataOnly="0" labelOnly="1" fieldPosition="0">
        <references count="1">
          <reference field="21" count="0"/>
        </references>
      </pivotArea>
    </format>
    <format dxfId="1289">
      <pivotArea dataOnly="0" labelOnly="1" fieldPosition="0">
        <references count="1">
          <reference field="21" count="0"/>
        </references>
      </pivotArea>
    </format>
    <format dxfId="1288">
      <pivotArea dataOnly="0" labelOnly="1" fieldPosition="0">
        <references count="1">
          <reference field="20" count="0"/>
        </references>
      </pivotArea>
    </format>
    <format dxfId="1287">
      <pivotArea dataOnly="0" labelOnly="1" fieldPosition="0">
        <references count="1">
          <reference field="19" count="0"/>
        </references>
      </pivotArea>
    </format>
    <format dxfId="1286">
      <pivotArea dataOnly="0" labelOnly="1" fieldPosition="0">
        <references count="1">
          <reference field="6" count="0"/>
        </references>
      </pivotArea>
    </format>
    <format dxfId="1285">
      <pivotArea dataOnly="0" labelOnly="1" fieldPosition="0">
        <references count="1">
          <reference field="6" count="0"/>
        </references>
      </pivotArea>
    </format>
    <format dxfId="1284">
      <pivotArea dataOnly="0" labelOnly="1" fieldPosition="0">
        <references count="1">
          <reference field="19" count="0"/>
        </references>
      </pivotArea>
    </format>
    <format dxfId="1283">
      <pivotArea outline="0" fieldPosition="0">
        <references count="1">
          <reference field="4294967294" count="1">
            <x v="0"/>
          </reference>
        </references>
      </pivotArea>
    </format>
    <format dxfId="1282">
      <pivotArea dataOnly="0" labelOnly="1" fieldPosition="0">
        <references count="1">
          <reference field="8" count="0"/>
        </references>
      </pivotArea>
    </format>
    <format dxfId="1281">
      <pivotArea dataOnly="0" labelOnly="1" fieldPosition="0">
        <references count="1">
          <reference field="8" count="0"/>
        </references>
      </pivotArea>
    </format>
    <format dxfId="1280">
      <pivotArea type="all" dataOnly="0" outline="0" fieldPosition="0"/>
    </format>
    <format dxfId="1279">
      <pivotArea field="8" type="button" dataOnly="0" labelOnly="1" outline="0" axis="axisRow" fieldPosition="1"/>
    </format>
    <format dxfId="1278">
      <pivotArea field="0" type="button" dataOnly="0" labelOnly="1" outline="0" axis="axisRow" fieldPosition="3"/>
    </format>
    <format dxfId="1277">
      <pivotArea field="1" type="button" dataOnly="0" labelOnly="1" outline="0" axis="axisRow" fieldPosition="2"/>
    </format>
    <format dxfId="1276">
      <pivotArea field="3" type="button" dataOnly="0" labelOnly="1" outline="0" axis="axisRow" fieldPosition="4"/>
    </format>
    <format dxfId="1275">
      <pivotArea field="6" type="button" dataOnly="0" labelOnly="1" outline="0" axis="axisRow" fieldPosition="5"/>
    </format>
    <format dxfId="1274">
      <pivotArea field="2" type="button" dataOnly="0" labelOnly="1" outline="0" axis="axisRow" fieldPosition="6"/>
    </format>
    <format dxfId="1273">
      <pivotArea field="5" type="button" dataOnly="0" labelOnly="1" outline="0" axis="axisRow" fieldPosition="7"/>
    </format>
    <format dxfId="1272">
      <pivotArea field="21" type="button" dataOnly="0" labelOnly="1" outline="0" axis="axisRow" fieldPosition="8"/>
    </format>
    <format dxfId="1271">
      <pivotArea field="20" type="button" dataOnly="0" labelOnly="1" outline="0" axis="axisRow" fieldPosition="9"/>
    </format>
    <format dxfId="1270">
      <pivotArea field="19" type="button" dataOnly="0" labelOnly="1" outline="0" axis="axisRow" fieldPosition="10"/>
    </format>
    <format dxfId="1269">
      <pivotArea dataOnly="0" labelOnly="1" outline="0" fieldPosition="0">
        <references count="1">
          <reference field="4294967294" count="13">
            <x v="0"/>
            <x v="1"/>
            <x v="2"/>
            <x v="3"/>
            <x v="4"/>
            <x v="5"/>
            <x v="6"/>
            <x v="7"/>
            <x v="8"/>
            <x v="9"/>
            <x v="10"/>
            <x v="11"/>
            <x v="12"/>
          </reference>
        </references>
      </pivotArea>
    </format>
    <format dxfId="1268">
      <pivotArea field="8" type="button" dataOnly="0" labelOnly="1" outline="0" axis="axisRow" fieldPosition="1"/>
    </format>
    <format dxfId="1267">
      <pivotArea field="8" type="button" dataOnly="0" labelOnly="1" outline="0" axis="axisRow" fieldPosition="1"/>
    </format>
    <format dxfId="1266">
      <pivotArea field="8" type="button" dataOnly="0" labelOnly="1" outline="0" axis="axisRow" fieldPosition="1"/>
    </format>
    <format dxfId="1265">
      <pivotArea field="0" type="button" dataOnly="0" labelOnly="1" outline="0" axis="axisRow" fieldPosition="3"/>
    </format>
    <format dxfId="1264">
      <pivotArea field="0" type="button" dataOnly="0" labelOnly="1" outline="0" axis="axisRow" fieldPosition="3"/>
    </format>
    <format dxfId="1263">
      <pivotArea field="0" type="button" dataOnly="0" labelOnly="1" outline="0" axis="axisRow" fieldPosition="3"/>
    </format>
    <format dxfId="1262">
      <pivotArea field="1" type="button" dataOnly="0" labelOnly="1" outline="0" axis="axisRow" fieldPosition="2"/>
    </format>
    <format dxfId="1261">
      <pivotArea field="3" type="button" dataOnly="0" labelOnly="1" outline="0" axis="axisRow" fieldPosition="4"/>
    </format>
    <format dxfId="1260">
      <pivotArea field="3" type="button" dataOnly="0" labelOnly="1" outline="0" axis="axisRow" fieldPosition="4"/>
    </format>
    <format dxfId="1259">
      <pivotArea field="3" type="button" dataOnly="0" labelOnly="1" outline="0" axis="axisRow" fieldPosition="4"/>
    </format>
    <format dxfId="1258">
      <pivotArea field="6" type="button" dataOnly="0" labelOnly="1" outline="0" axis="axisRow" fieldPosition="5"/>
    </format>
    <format dxfId="1257">
      <pivotArea field="6" type="button" dataOnly="0" labelOnly="1" outline="0" axis="axisRow" fieldPosition="5"/>
    </format>
    <format dxfId="1256">
      <pivotArea field="6" type="button" dataOnly="0" labelOnly="1" outline="0" axis="axisRow" fieldPosition="5"/>
    </format>
    <format dxfId="1255">
      <pivotArea field="2" type="button" dataOnly="0" labelOnly="1" outline="0" axis="axisRow" fieldPosition="6"/>
    </format>
    <format dxfId="1254">
      <pivotArea field="5" type="button" dataOnly="0" labelOnly="1" outline="0" axis="axisRow" fieldPosition="7"/>
    </format>
    <format dxfId="1253">
      <pivotArea field="5" type="button" dataOnly="0" labelOnly="1" outline="0" axis="axisRow" fieldPosition="7"/>
    </format>
    <format dxfId="1252">
      <pivotArea field="5" type="button" dataOnly="0" labelOnly="1" outline="0" axis="axisRow" fieldPosition="7"/>
    </format>
    <format dxfId="1251">
      <pivotArea field="21" type="button" dataOnly="0" labelOnly="1" outline="0" axis="axisRow" fieldPosition="8"/>
    </format>
    <format dxfId="1250">
      <pivotArea field="21" type="button" dataOnly="0" labelOnly="1" outline="0" axis="axisRow" fieldPosition="8"/>
    </format>
    <format dxfId="1249">
      <pivotArea field="21" type="button" dataOnly="0" labelOnly="1" outline="0" axis="axisRow" fieldPosition="8"/>
    </format>
    <format dxfId="1248">
      <pivotArea field="20" type="button" dataOnly="0" labelOnly="1" outline="0" axis="axisRow" fieldPosition="9"/>
    </format>
    <format dxfId="1247">
      <pivotArea field="20" type="button" dataOnly="0" labelOnly="1" outline="0" axis="axisRow" fieldPosition="9"/>
    </format>
    <format dxfId="1246">
      <pivotArea field="20" type="button" dataOnly="0" labelOnly="1" outline="0" axis="axisRow" fieldPosition="9"/>
    </format>
    <format dxfId="1245">
      <pivotArea field="19" type="button" dataOnly="0" labelOnly="1" outline="0" axis="axisRow" fieldPosition="10"/>
    </format>
    <format dxfId="1244">
      <pivotArea field="19" type="button" dataOnly="0" labelOnly="1" outline="0" axis="axisRow" fieldPosition="10"/>
    </format>
    <format dxfId="1243">
      <pivotArea field="19" type="button" dataOnly="0" labelOnly="1" outline="0" axis="axisRow" fieldPosition="10"/>
    </format>
    <format dxfId="1242">
      <pivotArea dataOnly="0" labelOnly="1" outline="0" fieldPosition="0">
        <references count="1">
          <reference field="4294967294" count="1">
            <x v="0"/>
          </reference>
        </references>
      </pivotArea>
    </format>
    <format dxfId="1241">
      <pivotArea dataOnly="0" labelOnly="1" outline="0" fieldPosition="0">
        <references count="1">
          <reference field="4294967294" count="1">
            <x v="0"/>
          </reference>
        </references>
      </pivotArea>
    </format>
    <format dxfId="1240">
      <pivotArea dataOnly="0" labelOnly="1" outline="0" fieldPosition="0">
        <references count="1">
          <reference field="4294967294" count="1">
            <x v="0"/>
          </reference>
        </references>
      </pivotArea>
    </format>
    <format dxfId="1239">
      <pivotArea dataOnly="0" labelOnly="1" outline="0" fieldPosition="0">
        <references count="1">
          <reference field="4294967294" count="1">
            <x v="1"/>
          </reference>
        </references>
      </pivotArea>
    </format>
    <format dxfId="1238">
      <pivotArea dataOnly="0" labelOnly="1" outline="0" fieldPosition="0">
        <references count="1">
          <reference field="4294967294" count="1">
            <x v="1"/>
          </reference>
        </references>
      </pivotArea>
    </format>
    <format dxfId="1237">
      <pivotArea outline="0" fieldPosition="0">
        <references count="1">
          <reference field="4294967294" count="1">
            <x v="1"/>
          </reference>
        </references>
      </pivotArea>
    </format>
    <format dxfId="1236">
      <pivotArea outline="0" fieldPosition="0">
        <references count="1">
          <reference field="4294967294" count="1" selected="0">
            <x v="1"/>
          </reference>
        </references>
      </pivotArea>
    </format>
    <format dxfId="1235">
      <pivotArea dataOnly="0" labelOnly="1" outline="0" fieldPosition="0">
        <references count="1">
          <reference field="4294967294" count="1">
            <x v="1"/>
          </reference>
        </references>
      </pivotArea>
    </format>
    <format dxfId="1234">
      <pivotArea dataOnly="0" labelOnly="1" outline="0" fieldPosition="0">
        <references count="1">
          <reference field="4294967294" count="1">
            <x v="2"/>
          </reference>
        </references>
      </pivotArea>
    </format>
    <format dxfId="1233">
      <pivotArea dataOnly="0" labelOnly="1" outline="0" fieldPosition="0">
        <references count="1">
          <reference field="4294967294" count="1">
            <x v="2"/>
          </reference>
        </references>
      </pivotArea>
    </format>
    <format dxfId="1232">
      <pivotArea outline="0" fieldPosition="0">
        <references count="1">
          <reference field="4294967294" count="1" selected="0">
            <x v="2"/>
          </reference>
        </references>
      </pivotArea>
    </format>
    <format dxfId="1231">
      <pivotArea dataOnly="0" labelOnly="1" outline="0" fieldPosition="0">
        <references count="1">
          <reference field="4294967294" count="1">
            <x v="2"/>
          </reference>
        </references>
      </pivotArea>
    </format>
    <format dxfId="1230">
      <pivotArea outline="0" fieldPosition="0">
        <references count="1">
          <reference field="4294967294" count="1">
            <x v="3"/>
          </reference>
        </references>
      </pivotArea>
    </format>
    <format dxfId="1229">
      <pivotArea dataOnly="0" labelOnly="1" outline="0" fieldPosition="0">
        <references count="1">
          <reference field="4294967294" count="1">
            <x v="3"/>
          </reference>
        </references>
      </pivotArea>
    </format>
    <format dxfId="1228">
      <pivotArea dataOnly="0" labelOnly="1" outline="0" fieldPosition="0">
        <references count="1">
          <reference field="4294967294" count="1">
            <x v="3"/>
          </reference>
        </references>
      </pivotArea>
    </format>
    <format dxfId="1227">
      <pivotArea outline="0" fieldPosition="0">
        <references count="1">
          <reference field="4294967294" count="1">
            <x v="4"/>
          </reference>
        </references>
      </pivotArea>
    </format>
    <format dxfId="1226">
      <pivotArea dataOnly="0" labelOnly="1" outline="0" fieldPosition="0">
        <references count="1">
          <reference field="4294967294" count="1">
            <x v="4"/>
          </reference>
        </references>
      </pivotArea>
    </format>
    <format dxfId="1225">
      <pivotArea outline="0" fieldPosition="0">
        <references count="1">
          <reference field="4294967294" count="1" selected="0">
            <x v="4"/>
          </reference>
        </references>
      </pivotArea>
    </format>
    <format dxfId="1224">
      <pivotArea dataOnly="0" labelOnly="1" outline="0" fieldPosition="0">
        <references count="1">
          <reference field="4294967294" count="1">
            <x v="4"/>
          </reference>
        </references>
      </pivotArea>
    </format>
    <format dxfId="1223">
      <pivotArea outline="0" fieldPosition="0">
        <references count="1">
          <reference field="4294967294" count="1" selected="0">
            <x v="4"/>
          </reference>
        </references>
      </pivotArea>
    </format>
    <format dxfId="1222">
      <pivotArea dataOnly="0" labelOnly="1" outline="0" fieldPosition="0">
        <references count="1">
          <reference field="4294967294" count="1">
            <x v="4"/>
          </reference>
        </references>
      </pivotArea>
    </format>
    <format dxfId="1221">
      <pivotArea outline="0" fieldPosition="0">
        <references count="1">
          <reference field="4294967294" count="1">
            <x v="5"/>
          </reference>
        </references>
      </pivotArea>
    </format>
    <format dxfId="1220">
      <pivotArea dataOnly="0" labelOnly="1" outline="0" fieldPosition="0">
        <references count="1">
          <reference field="4294967294" count="1">
            <x v="5"/>
          </reference>
        </references>
      </pivotArea>
    </format>
    <format dxfId="1219">
      <pivotArea dataOnly="0" labelOnly="1" outline="0" fieldPosition="0">
        <references count="1">
          <reference field="4294967294" count="1">
            <x v="5"/>
          </reference>
        </references>
      </pivotArea>
    </format>
    <format dxfId="1218">
      <pivotArea outline="0" fieldPosition="0">
        <references count="1">
          <reference field="4294967294" count="1" selected="0">
            <x v="5"/>
          </reference>
        </references>
      </pivotArea>
    </format>
    <format dxfId="1217">
      <pivotArea dataOnly="0" labelOnly="1" outline="0" fieldPosition="0">
        <references count="1">
          <reference field="4294967294" count="1">
            <x v="5"/>
          </reference>
        </references>
      </pivotArea>
    </format>
    <format dxfId="1216">
      <pivotArea outline="0" fieldPosition="0">
        <references count="1">
          <reference field="4294967294" count="1">
            <x v="6"/>
          </reference>
        </references>
      </pivotArea>
    </format>
    <format dxfId="1215">
      <pivotArea outline="0" fieldPosition="0">
        <references count="1">
          <reference field="4294967294" count="1" selected="0">
            <x v="6"/>
          </reference>
        </references>
      </pivotArea>
    </format>
    <format dxfId="1214">
      <pivotArea dataOnly="0" labelOnly="1" outline="0" fieldPosition="0">
        <references count="1">
          <reference field="4294967294" count="1">
            <x v="6"/>
          </reference>
        </references>
      </pivotArea>
    </format>
    <format dxfId="1213">
      <pivotArea dataOnly="0" labelOnly="1" outline="0" fieldPosition="0">
        <references count="1">
          <reference field="4294967294" count="1">
            <x v="6"/>
          </reference>
        </references>
      </pivotArea>
    </format>
    <format dxfId="1212">
      <pivotArea dataOnly="0" labelOnly="1" outline="0" fieldPosition="0">
        <references count="1">
          <reference field="4294967294" count="1">
            <x v="6"/>
          </reference>
        </references>
      </pivotArea>
    </format>
    <format dxfId="1211">
      <pivotArea dataOnly="0" labelOnly="1" outline="0" fieldPosition="0">
        <references count="1">
          <reference field="4294967294" count="1">
            <x v="7"/>
          </reference>
        </references>
      </pivotArea>
    </format>
    <format dxfId="1210">
      <pivotArea dataOnly="0" labelOnly="1" outline="0" fieldPosition="0">
        <references count="1">
          <reference field="4294967294" count="1">
            <x v="7"/>
          </reference>
        </references>
      </pivotArea>
    </format>
    <format dxfId="1209">
      <pivotArea outline="0" fieldPosition="0">
        <references count="1">
          <reference field="4294967294" count="1">
            <x v="7"/>
          </reference>
        </references>
      </pivotArea>
    </format>
    <format dxfId="1208">
      <pivotArea dataOnly="0" labelOnly="1" outline="0" fieldPosition="0">
        <references count="1">
          <reference field="4294967294" count="1">
            <x v="8"/>
          </reference>
        </references>
      </pivotArea>
    </format>
    <format dxfId="1207">
      <pivotArea dataOnly="0" labelOnly="1" outline="0" fieldPosition="0">
        <references count="1">
          <reference field="4294967294" count="1">
            <x v="8"/>
          </reference>
        </references>
      </pivotArea>
    </format>
    <format dxfId="1206">
      <pivotArea outline="0" fieldPosition="0">
        <references count="1">
          <reference field="4294967294" count="1">
            <x v="8"/>
          </reference>
        </references>
      </pivotArea>
    </format>
    <format dxfId="1205">
      <pivotArea dataOnly="0" labelOnly="1" outline="0" fieldPosition="0">
        <references count="1">
          <reference field="4294967294" count="1">
            <x v="9"/>
          </reference>
        </references>
      </pivotArea>
    </format>
    <format dxfId="1204">
      <pivotArea dataOnly="0" labelOnly="1" outline="0" fieldPosition="0">
        <references count="1">
          <reference field="4294967294" count="1">
            <x v="9"/>
          </reference>
        </references>
      </pivotArea>
    </format>
    <format dxfId="1203">
      <pivotArea dataOnly="0" labelOnly="1" outline="0" fieldPosition="0">
        <references count="1">
          <reference field="4294967294" count="1">
            <x v="9"/>
          </reference>
        </references>
      </pivotArea>
    </format>
    <format dxfId="1202">
      <pivotArea outline="0" fieldPosition="0">
        <references count="1">
          <reference field="4294967294" count="1">
            <x v="9"/>
          </reference>
        </references>
      </pivotArea>
    </format>
    <format dxfId="1201">
      <pivotArea dataOnly="0" labelOnly="1" outline="0" fieldPosition="0">
        <references count="1">
          <reference field="4294967294" count="1">
            <x v="10"/>
          </reference>
        </references>
      </pivotArea>
    </format>
    <format dxfId="1200">
      <pivotArea dataOnly="0" labelOnly="1" outline="0" fieldPosition="0">
        <references count="1">
          <reference field="4294967294" count="1">
            <x v="10"/>
          </reference>
        </references>
      </pivotArea>
    </format>
    <format dxfId="1199">
      <pivotArea outline="0" fieldPosition="0">
        <references count="1">
          <reference field="4294967294" count="1" selected="0">
            <x v="10"/>
          </reference>
        </references>
      </pivotArea>
    </format>
    <format dxfId="1198">
      <pivotArea dataOnly="0" labelOnly="1" outline="0" fieldPosition="0">
        <references count="1">
          <reference field="4294967294" count="1">
            <x v="10"/>
          </reference>
        </references>
      </pivotArea>
    </format>
    <format dxfId="1197">
      <pivotArea outline="0" fieldPosition="0">
        <references count="1">
          <reference field="4294967294" count="1">
            <x v="11"/>
          </reference>
        </references>
      </pivotArea>
    </format>
    <format dxfId="1196">
      <pivotArea dataOnly="0" labelOnly="1" outline="0" fieldPosition="0">
        <references count="1">
          <reference field="4294967294" count="1">
            <x v="11"/>
          </reference>
        </references>
      </pivotArea>
    </format>
    <format dxfId="1195">
      <pivotArea dataOnly="0" labelOnly="1" outline="0" fieldPosition="0">
        <references count="1">
          <reference field="4294967294" count="1">
            <x v="11"/>
          </reference>
        </references>
      </pivotArea>
    </format>
    <format dxfId="1194">
      <pivotArea dataOnly="0" labelOnly="1" outline="0" fieldPosition="0">
        <references count="1">
          <reference field="4294967294" count="1">
            <x v="11"/>
          </reference>
        </references>
      </pivotArea>
    </format>
    <format dxfId="1193">
      <pivotArea outline="0" fieldPosition="0">
        <references count="1">
          <reference field="4294967294" count="1">
            <x v="12"/>
          </reference>
        </references>
      </pivotArea>
    </format>
    <format dxfId="1192">
      <pivotArea outline="0" fieldPosition="0">
        <references count="1">
          <reference field="4294967294" count="1">
            <x v="10"/>
          </reference>
        </references>
      </pivotArea>
    </format>
    <format dxfId="1191">
      <pivotArea dataOnly="0" labelOnly="1" outline="0" fieldPosition="0">
        <references count="1">
          <reference field="4294967294" count="1">
            <x v="12"/>
          </reference>
        </references>
      </pivotArea>
    </format>
    <format dxfId="1190">
      <pivotArea dataOnly="0" labelOnly="1" outline="0" fieldPosition="0">
        <references count="1">
          <reference field="4294967294" count="1">
            <x v="12"/>
          </reference>
        </references>
      </pivotArea>
    </format>
    <format dxfId="1189">
      <pivotArea dataOnly="0" labelOnly="1" outline="0" fieldPosition="0">
        <references count="1">
          <reference field="4294967294" count="1">
            <x v="12"/>
          </reference>
        </references>
      </pivotArea>
    </format>
    <format dxfId="1188">
      <pivotArea dataOnly="0" fieldPosition="0">
        <references count="1">
          <reference field="3" count="0" defaultSubtotal="1"/>
        </references>
      </pivotArea>
    </format>
    <format dxfId="1187">
      <pivotArea dataOnly="0" fieldPosition="0">
        <references count="1">
          <reference field="1" count="0" defaultSubtotal="1"/>
        </references>
      </pivotArea>
    </format>
    <format dxfId="1186">
      <pivotArea dataOnly="0" fieldPosition="0">
        <references count="1">
          <reference field="0" count="0" defaultSubtotal="1"/>
        </references>
      </pivotArea>
    </format>
    <format dxfId="1185">
      <pivotArea dataOnly="0" fieldPosition="0">
        <references count="1">
          <reference field="8" count="0" defaultSubtotal="1"/>
        </references>
      </pivotArea>
    </format>
    <format dxfId="1184">
      <pivotArea dataOnly="0" fieldPosition="0">
        <references count="1">
          <reference field="8" count="0" defaultSubtotal="1"/>
        </references>
      </pivotArea>
    </format>
    <format dxfId="1183">
      <pivotArea dataOnly="0" fieldPosition="0">
        <references count="1">
          <reference field="8" count="0" defaultSubtotal="1"/>
        </references>
      </pivotArea>
    </format>
    <format dxfId="1182">
      <pivotArea dataOnly="0" grandRow="1" fieldPosition="0"/>
    </format>
    <format dxfId="1181">
      <pivotArea dataOnly="0" grandRow="1" fieldPosition="0"/>
    </format>
    <format dxfId="1180">
      <pivotArea dataOnly="0" grandRow="1" fieldPosition="0"/>
    </format>
    <format dxfId="1179">
      <pivotArea dataOnly="0" labelOnly="1" fieldPosition="0">
        <references count="1">
          <reference field="2" count="0"/>
        </references>
      </pivotArea>
    </format>
    <format dxfId="1178">
      <pivotArea type="all" dataOnly="0" outline="0" fieldPosition="0"/>
    </format>
    <format dxfId="1177">
      <pivotArea outline="0" collapsedLevelsAreSubtotals="1" fieldPosition="0"/>
    </format>
    <format dxfId="1176">
      <pivotArea field="8" type="button" dataOnly="0" labelOnly="1" outline="0" axis="axisRow" fieldPosition="1"/>
    </format>
    <format dxfId="1175">
      <pivotArea field="1" type="button" dataOnly="0" labelOnly="1" outline="0" axis="axisRow" fieldPosition="2"/>
    </format>
    <format dxfId="1174">
      <pivotArea field="0" type="button" dataOnly="0" labelOnly="1" outline="0" axis="axisRow" fieldPosition="3"/>
    </format>
    <format dxfId="1173">
      <pivotArea field="3" type="button" dataOnly="0" labelOnly="1" outline="0" axis="axisRow" fieldPosition="4"/>
    </format>
    <format dxfId="1172">
      <pivotArea field="6" type="button" dataOnly="0" labelOnly="1" outline="0" axis="axisRow" fieldPosition="5"/>
    </format>
    <format dxfId="1171">
      <pivotArea field="2" type="button" dataOnly="0" labelOnly="1" outline="0" axis="axisRow" fieldPosition="6"/>
    </format>
    <format dxfId="1170">
      <pivotArea field="5" type="button" dataOnly="0" labelOnly="1" outline="0" axis="axisRow" fieldPosition="7"/>
    </format>
    <format dxfId="1169">
      <pivotArea field="21" type="button" dataOnly="0" labelOnly="1" outline="0" axis="axisRow" fieldPosition="8"/>
    </format>
    <format dxfId="1168">
      <pivotArea field="20" type="button" dataOnly="0" labelOnly="1" outline="0" axis="axisRow" fieldPosition="9"/>
    </format>
    <format dxfId="1167">
      <pivotArea field="19" type="button" dataOnly="0" labelOnly="1" outline="0" axis="axisRow" fieldPosition="10"/>
    </format>
    <format dxfId="1166">
      <pivotArea dataOnly="0" labelOnly="1" grandRow="1" outline="0" fieldPosition="0"/>
    </format>
    <format dxfId="1165">
      <pivotArea dataOnly="0" labelOnly="1" outline="0" fieldPosition="0">
        <references count="1">
          <reference field="4294967294" count="13">
            <x v="0"/>
            <x v="1"/>
            <x v="2"/>
            <x v="3"/>
            <x v="4"/>
            <x v="5"/>
            <x v="6"/>
            <x v="7"/>
            <x v="8"/>
            <x v="9"/>
            <x v="10"/>
            <x v="11"/>
            <x v="12"/>
          </reference>
        </references>
      </pivotArea>
    </format>
    <format dxfId="1164">
      <pivotArea field="8" type="button" dataOnly="0" labelOnly="1" outline="0" axis="axisRow" fieldPosition="1"/>
    </format>
    <format dxfId="1163">
      <pivotArea field="1" type="button" dataOnly="0" labelOnly="1" outline="0" axis="axisRow" fieldPosition="2"/>
    </format>
    <format dxfId="1162">
      <pivotArea field="0" type="button" dataOnly="0" labelOnly="1" outline="0" axis="axisRow" fieldPosition="3"/>
    </format>
    <format dxfId="1161">
      <pivotArea field="3" type="button" dataOnly="0" labelOnly="1" outline="0" axis="axisRow" fieldPosition="4"/>
    </format>
    <format dxfId="1160">
      <pivotArea field="6" type="button" dataOnly="0" labelOnly="1" outline="0" axis="axisRow" fieldPosition="5"/>
    </format>
    <format dxfId="1159">
      <pivotArea field="2" type="button" dataOnly="0" labelOnly="1" outline="0" axis="axisRow" fieldPosition="6"/>
    </format>
    <format dxfId="1158">
      <pivotArea field="5" type="button" dataOnly="0" labelOnly="1" outline="0" axis="axisRow" fieldPosition="7"/>
    </format>
    <format dxfId="1157">
      <pivotArea field="21" type="button" dataOnly="0" labelOnly="1" outline="0" axis="axisRow" fieldPosition="8"/>
    </format>
    <format dxfId="1156">
      <pivotArea field="20" type="button" dataOnly="0" labelOnly="1" outline="0" axis="axisRow" fieldPosition="9"/>
    </format>
    <format dxfId="1155">
      <pivotArea field="19" type="button" dataOnly="0" labelOnly="1" outline="0" axis="axisRow" fieldPosition="10"/>
    </format>
    <format dxfId="1154">
      <pivotArea dataOnly="0" labelOnly="1" outline="0" fieldPosition="0">
        <references count="1">
          <reference field="4294967294" count="13">
            <x v="0"/>
            <x v="1"/>
            <x v="2"/>
            <x v="3"/>
            <x v="4"/>
            <x v="5"/>
            <x v="6"/>
            <x v="7"/>
            <x v="8"/>
            <x v="9"/>
            <x v="10"/>
            <x v="11"/>
            <x v="12"/>
          </reference>
        </references>
      </pivotArea>
    </format>
    <format dxfId="1153">
      <pivotArea field="8" type="button" dataOnly="0" labelOnly="1" outline="0" axis="axisRow" fieldPosition="1"/>
    </format>
    <format dxfId="1152">
      <pivotArea field="1" type="button" dataOnly="0" labelOnly="1" outline="0" axis="axisRow" fieldPosition="2"/>
    </format>
    <format dxfId="1151">
      <pivotArea field="0" type="button" dataOnly="0" labelOnly="1" outline="0" axis="axisRow" fieldPosition="3"/>
    </format>
    <format dxfId="1150">
      <pivotArea field="3" type="button" dataOnly="0" labelOnly="1" outline="0" axis="axisRow" fieldPosition="4"/>
    </format>
    <format dxfId="1149">
      <pivotArea field="6" type="button" dataOnly="0" labelOnly="1" outline="0" axis="axisRow" fieldPosition="5"/>
    </format>
    <format dxfId="1148">
      <pivotArea field="2" type="button" dataOnly="0" labelOnly="1" outline="0" axis="axisRow" fieldPosition="6"/>
    </format>
    <format dxfId="1147">
      <pivotArea field="5" type="button" dataOnly="0" labelOnly="1" outline="0" axis="axisRow" fieldPosition="7"/>
    </format>
    <format dxfId="1146">
      <pivotArea field="21" type="button" dataOnly="0" labelOnly="1" outline="0" axis="axisRow" fieldPosition="8"/>
    </format>
    <format dxfId="1145">
      <pivotArea field="20" type="button" dataOnly="0" labelOnly="1" outline="0" axis="axisRow" fieldPosition="9"/>
    </format>
    <format dxfId="1144">
      <pivotArea field="19" type="button" dataOnly="0" labelOnly="1" outline="0" axis="axisRow" fieldPosition="10"/>
    </format>
    <format dxfId="1143">
      <pivotArea dataOnly="0" labelOnly="1" outline="0" fieldPosition="0">
        <references count="1">
          <reference field="4294967294" count="13">
            <x v="0"/>
            <x v="1"/>
            <x v="2"/>
            <x v="3"/>
            <x v="4"/>
            <x v="5"/>
            <x v="6"/>
            <x v="7"/>
            <x v="8"/>
            <x v="9"/>
            <x v="10"/>
            <x v="11"/>
            <x v="12"/>
          </reference>
        </references>
      </pivotArea>
    </format>
    <format dxfId="1142">
      <pivotArea field="19" type="button" dataOnly="0" labelOnly="1" outline="0" axis="axisRow" fieldPosition="10"/>
    </format>
    <format dxfId="1141">
      <pivotArea dataOnly="0" labelOnly="1" outline="0" fieldPosition="0">
        <references count="1">
          <reference field="4294967294" count="13">
            <x v="0"/>
            <x v="1"/>
            <x v="2"/>
            <x v="3"/>
            <x v="4"/>
            <x v="5"/>
            <x v="6"/>
            <x v="7"/>
            <x v="8"/>
            <x v="9"/>
            <x v="10"/>
            <x v="11"/>
            <x v="12"/>
          </reference>
        </references>
      </pivotArea>
    </format>
    <format dxfId="1140">
      <pivotArea field="8" type="button" dataOnly="0" labelOnly="1" outline="0" axis="axisRow" fieldPosition="1"/>
    </format>
    <format dxfId="1139">
      <pivotArea field="1" type="button" dataOnly="0" labelOnly="1" outline="0" axis="axisRow" fieldPosition="2"/>
    </format>
    <format dxfId="1138">
      <pivotArea field="0" type="button" dataOnly="0" labelOnly="1" outline="0" axis="axisRow" fieldPosition="3"/>
    </format>
    <format dxfId="1137">
      <pivotArea field="3" type="button" dataOnly="0" labelOnly="1" outline="0" axis="axisRow" fieldPosition="4"/>
    </format>
    <format dxfId="1136">
      <pivotArea field="6" type="button" dataOnly="0" labelOnly="1" outline="0" axis="axisRow" fieldPosition="5"/>
    </format>
    <format dxfId="1135">
      <pivotArea field="2" type="button" dataOnly="0" labelOnly="1" outline="0" axis="axisRow" fieldPosition="6"/>
    </format>
    <format dxfId="1134">
      <pivotArea field="5" type="button" dataOnly="0" labelOnly="1" outline="0" axis="axisRow" fieldPosition="7"/>
    </format>
    <format dxfId="1133">
      <pivotArea field="21" type="button" dataOnly="0" labelOnly="1" outline="0" axis="axisRow" fieldPosition="8"/>
    </format>
    <format dxfId="1132">
      <pivotArea field="20" type="button" dataOnly="0" labelOnly="1" outline="0" axis="axisRow" fieldPosition="9"/>
    </format>
    <format dxfId="1131">
      <pivotArea dataOnly="0" fieldPosition="0">
        <references count="1">
          <reference field="3" count="0" defaultSubtotal="1"/>
        </references>
      </pivotArea>
    </format>
    <format dxfId="1130">
      <pivotArea dataOnly="0" fieldPosition="0">
        <references count="1">
          <reference field="3" count="0" defaultSubtotal="1"/>
        </references>
      </pivotArea>
    </format>
    <format dxfId="1129">
      <pivotArea dataOnly="0" fieldPosition="0">
        <references count="1">
          <reference field="0" count="0" defaultSubtotal="1"/>
        </references>
      </pivotArea>
    </format>
    <format dxfId="1128">
      <pivotArea dataOnly="0" fieldPosition="0">
        <references count="1">
          <reference field="0" count="0" defaultSubtotal="1"/>
        </references>
      </pivotArea>
    </format>
    <format dxfId="1127">
      <pivotArea dataOnly="0" fieldPosition="0">
        <references count="1">
          <reference field="1" count="0" defaultSubtotal="1"/>
        </references>
      </pivotArea>
    </format>
    <format dxfId="1126">
      <pivotArea dataOnly="0" fieldPosition="0">
        <references count="1">
          <reference field="1" count="0" defaultSubtotal="1"/>
        </references>
      </pivotArea>
    </format>
    <format dxfId="1125">
      <pivotArea dataOnly="0" fieldPosition="0">
        <references count="1">
          <reference field="8" count="0" defaultSubtotal="1"/>
        </references>
      </pivotArea>
    </format>
    <format dxfId="1124">
      <pivotArea field="8" dataOnly="0" grandRow="1" axis="axisRow" fieldPosition="1">
        <references count="1">
          <reference field="8" count="0"/>
        </references>
      </pivotArea>
    </format>
    <format dxfId="1123">
      <pivotArea dataOnly="0" labelOnly="1" outline="0" fieldPosition="0">
        <references count="1">
          <reference field="8" count="1">
            <x v="0"/>
          </reference>
        </references>
      </pivotArea>
    </format>
    <format dxfId="1122">
      <pivotArea dataOnly="0" labelOnly="1" outline="0" fieldPosition="0">
        <references count="1">
          <reference field="8" count="1" defaultSubtotal="1">
            <x v="0"/>
          </reference>
        </references>
      </pivotArea>
    </format>
    <format dxfId="1121">
      <pivotArea dataOnly="0" labelOnly="1" outline="0" fieldPosition="0">
        <references count="1">
          <reference field="8" count="1">
            <x v="1"/>
          </reference>
        </references>
      </pivotArea>
    </format>
    <format dxfId="1120">
      <pivotArea dataOnly="0" labelOnly="1" outline="0" fieldPosition="0">
        <references count="1">
          <reference field="8" count="1" defaultSubtotal="1">
            <x v="1"/>
          </reference>
        </references>
      </pivotArea>
    </format>
    <format dxfId="1119">
      <pivotArea dataOnly="0" labelOnly="1" grandRow="1" outline="0" fieldPosition="0"/>
    </format>
    <format dxfId="1118">
      <pivotArea field="8" type="button" dataOnly="0" labelOnly="1" outline="0" axis="axisRow" fieldPosition="1"/>
    </format>
    <format dxfId="1117">
      <pivotArea outline="0" fieldPosition="0">
        <references count="1">
          <reference field="4294967294" count="1">
            <x v="2"/>
          </reference>
        </references>
      </pivotArea>
    </format>
    <format dxfId="1116">
      <pivotArea fieldPosition="0">
        <references count="2">
          <reference field="4294967294" count="2" selected="0">
            <x v="1"/>
            <x v="2"/>
          </reference>
          <reference field="8" count="1" defaultSubtotal="1">
            <x v="0"/>
          </reference>
        </references>
      </pivotArea>
    </format>
    <format dxfId="1115">
      <pivotArea fieldPosition="0">
        <references count="2">
          <reference field="4294967294" count="1" selected="0">
            <x v="5"/>
          </reference>
          <reference field="8" count="1" defaultSubtotal="1">
            <x v="0"/>
          </reference>
        </references>
      </pivotArea>
    </format>
    <format dxfId="1114">
      <pivotArea fieldPosition="0">
        <references count="2">
          <reference field="4294967294" count="1" selected="0">
            <x v="6"/>
          </reference>
          <reference field="8" count="1" defaultSubtotal="1">
            <x v="0"/>
          </reference>
        </references>
      </pivotArea>
    </format>
    <format dxfId="1113">
      <pivotArea fieldPosition="0">
        <references count="2">
          <reference field="4294967294" count="1" selected="0">
            <x v="4"/>
          </reference>
          <reference field="8" count="1" defaultSubtotal="1">
            <x v="0"/>
          </reference>
        </references>
      </pivotArea>
    </format>
    <format dxfId="1112">
      <pivotArea fieldPosition="0">
        <references count="3">
          <reference field="4294967294" count="1" selected="0">
            <x v="1"/>
          </reference>
          <reference field="1" count="0" defaultSubtotal="1"/>
          <reference field="8" count="1" selected="0">
            <x v="0"/>
          </reference>
        </references>
      </pivotArea>
    </format>
    <format dxfId="1111">
      <pivotArea fieldPosition="0">
        <references count="3">
          <reference field="4294967294" count="1" selected="0">
            <x v="2"/>
          </reference>
          <reference field="1" count="0" defaultSubtotal="1"/>
          <reference field="8" count="1" selected="0">
            <x v="0"/>
          </reference>
        </references>
      </pivotArea>
    </format>
    <format dxfId="1110">
      <pivotArea fieldPosition="0">
        <references count="3">
          <reference field="4294967294" count="1" selected="0">
            <x v="4"/>
          </reference>
          <reference field="1" count="0" defaultSubtotal="1"/>
          <reference field="8" count="1" selected="0">
            <x v="0"/>
          </reference>
        </references>
      </pivotArea>
    </format>
    <format dxfId="1109">
      <pivotArea fieldPosition="0">
        <references count="3">
          <reference field="4294967294" count="1" selected="0">
            <x v="5"/>
          </reference>
          <reference field="1" count="0" defaultSubtotal="1"/>
          <reference field="8" count="1" selected="0">
            <x v="0"/>
          </reference>
        </references>
      </pivotArea>
    </format>
    <format dxfId="1108">
      <pivotArea fieldPosition="0">
        <references count="3">
          <reference field="4294967294" count="1" selected="0">
            <x v="6"/>
          </reference>
          <reference field="1" count="0" defaultSubtotal="1"/>
          <reference field="8" count="1" selected="0">
            <x v="0"/>
          </reference>
        </references>
      </pivotArea>
    </format>
    <format dxfId="1107">
      <pivotArea fieldPosition="0">
        <references count="3">
          <reference field="4294967294" count="1" selected="0">
            <x v="10"/>
          </reference>
          <reference field="1" count="0" defaultSubtotal="1"/>
          <reference field="8" count="1" selected="0">
            <x v="0"/>
          </reference>
        </references>
      </pivotArea>
    </format>
    <format dxfId="1106">
      <pivotArea fieldPosition="0">
        <references count="3">
          <reference field="4294967294" count="1" selected="0">
            <x v="9"/>
          </reference>
          <reference field="1" count="0" defaultSubtotal="1"/>
          <reference field="8" count="1" selected="0">
            <x v="0"/>
          </reference>
        </references>
      </pivotArea>
    </format>
    <format dxfId="1105">
      <pivotArea fieldPosition="0">
        <references count="4">
          <reference field="4294967294" count="1" selected="0">
            <x v="9"/>
          </reference>
          <reference field="0" count="0" defaultSubtotal="1"/>
          <reference field="1" count="0" selected="0"/>
          <reference field="8" count="1" selected="0">
            <x v="0"/>
          </reference>
        </references>
      </pivotArea>
    </format>
    <format dxfId="1104">
      <pivotArea fieldPosition="0">
        <references count="4">
          <reference field="4294967294" count="1" selected="0">
            <x v="10"/>
          </reference>
          <reference field="0" count="0" defaultSubtotal="1"/>
          <reference field="1" count="0" selected="0"/>
          <reference field="8" count="1" selected="0">
            <x v="0"/>
          </reference>
        </references>
      </pivotArea>
    </format>
    <format dxfId="1103">
      <pivotArea fieldPosition="0">
        <references count="4">
          <reference field="4294967294" count="1" selected="0">
            <x v="6"/>
          </reference>
          <reference field="0" count="0" defaultSubtotal="1"/>
          <reference field="1" count="0" selected="0"/>
          <reference field="8" count="1" selected="0">
            <x v="0"/>
          </reference>
        </references>
      </pivotArea>
    </format>
    <format dxfId="1102">
      <pivotArea fieldPosition="0">
        <references count="4">
          <reference field="4294967294" count="1" selected="0">
            <x v="5"/>
          </reference>
          <reference field="0" count="0" defaultSubtotal="1"/>
          <reference field="1" count="0" selected="0"/>
          <reference field="8" count="1" selected="0">
            <x v="0"/>
          </reference>
        </references>
      </pivotArea>
    </format>
    <format dxfId="1101">
      <pivotArea fieldPosition="0">
        <references count="4">
          <reference field="4294967294" count="1" selected="0">
            <x v="4"/>
          </reference>
          <reference field="0" count="0" defaultSubtotal="1"/>
          <reference field="1" count="0" selected="0"/>
          <reference field="8" count="1" selected="0">
            <x v="0"/>
          </reference>
        </references>
      </pivotArea>
    </format>
    <format dxfId="1100">
      <pivotArea fieldPosition="0">
        <references count="4">
          <reference field="4294967294" count="1" selected="0">
            <x v="2"/>
          </reference>
          <reference field="0" count="0" defaultSubtotal="1"/>
          <reference field="1" count="0" selected="0"/>
          <reference field="8" count="1" selected="0">
            <x v="0"/>
          </reference>
        </references>
      </pivotArea>
    </format>
    <format dxfId="1099">
      <pivotArea fieldPosition="0">
        <references count="4">
          <reference field="4294967294" count="1" selected="0">
            <x v="1"/>
          </reference>
          <reference field="0" count="0" defaultSubtotal="1"/>
          <reference field="1" count="0" selected="0"/>
          <reference field="8" count="1" selected="0">
            <x v="0"/>
          </reference>
        </references>
      </pivotArea>
    </format>
    <format dxfId="1098">
      <pivotArea fieldPosition="0">
        <references count="2">
          <reference field="4294967294" count="1" selected="0">
            <x v="9"/>
          </reference>
          <reference field="8" count="1" defaultSubtotal="1">
            <x v="0"/>
          </reference>
        </references>
      </pivotArea>
    </format>
    <format dxfId="1097">
      <pivotArea fieldPosition="0">
        <references count="2">
          <reference field="4294967294" count="1" selected="0">
            <x v="10"/>
          </reference>
          <reference field="8" count="1" defaultSubtotal="1">
            <x v="0"/>
          </reference>
        </references>
      </pivotArea>
    </format>
    <format dxfId="1096">
      <pivotArea fieldPosition="0">
        <references count="5">
          <reference field="4294967294" count="1" selected="0">
            <x v="10"/>
          </reference>
          <reference field="0" count="0" selected="0"/>
          <reference field="1" count="0" selected="0"/>
          <reference field="3" count="0" defaultSubtotal="1"/>
          <reference field="8" count="1" selected="0">
            <x v="0"/>
          </reference>
        </references>
      </pivotArea>
    </format>
    <format dxfId="1095">
      <pivotArea fieldPosition="0">
        <references count="5">
          <reference field="4294967294" count="1" selected="0">
            <x v="9"/>
          </reference>
          <reference field="0" count="0" selected="0"/>
          <reference field="1" count="0" selected="0"/>
          <reference field="3" count="0" defaultSubtotal="1"/>
          <reference field="8" count="1" selected="0">
            <x v="0"/>
          </reference>
        </references>
      </pivotArea>
    </format>
    <format dxfId="1094">
      <pivotArea fieldPosition="0">
        <references count="5">
          <reference field="4294967294" count="1" selected="0">
            <x v="8"/>
          </reference>
          <reference field="0" count="0" selected="0"/>
          <reference field="1" count="0" selected="0"/>
          <reference field="3" count="0" defaultSubtotal="1"/>
          <reference field="8" count="1" selected="0">
            <x v="0"/>
          </reference>
        </references>
      </pivotArea>
    </format>
    <format dxfId="1093">
      <pivotArea fieldPosition="0">
        <references count="5">
          <reference field="4294967294" count="1" selected="0">
            <x v="6"/>
          </reference>
          <reference field="0" count="0" selected="0"/>
          <reference field="1" count="0" selected="0"/>
          <reference field="3" count="0" defaultSubtotal="1"/>
          <reference field="8" count="1" selected="0">
            <x v="0"/>
          </reference>
        </references>
      </pivotArea>
    </format>
    <format dxfId="1092">
      <pivotArea fieldPosition="0">
        <references count="5">
          <reference field="4294967294" count="1" selected="0">
            <x v="5"/>
          </reference>
          <reference field="0" count="0" selected="0"/>
          <reference field="1" count="0" selected="0"/>
          <reference field="3" count="0" defaultSubtotal="1"/>
          <reference field="8" count="1" selected="0">
            <x v="0"/>
          </reference>
        </references>
      </pivotArea>
    </format>
    <format dxfId="1091">
      <pivotArea fieldPosition="0">
        <references count="5">
          <reference field="4294967294" count="1" selected="0">
            <x v="4"/>
          </reference>
          <reference field="0" count="0" selected="0"/>
          <reference field="1" count="0" selected="0"/>
          <reference field="3" count="0" defaultSubtotal="1"/>
          <reference field="8" count="1" selected="0">
            <x v="0"/>
          </reference>
        </references>
      </pivotArea>
    </format>
    <format dxfId="1090">
      <pivotArea fieldPosition="0">
        <references count="5">
          <reference field="4294967294" count="1" selected="0">
            <x v="2"/>
          </reference>
          <reference field="0" count="0" selected="0"/>
          <reference field="1" count="0" selected="0"/>
          <reference field="3" count="0" defaultSubtotal="1"/>
          <reference field="8" count="1" selected="0">
            <x v="0"/>
          </reference>
        </references>
      </pivotArea>
    </format>
    <format dxfId="1089">
      <pivotArea fieldPosition="0">
        <references count="5">
          <reference field="4294967294" count="1" selected="0">
            <x v="1"/>
          </reference>
          <reference field="0" count="0" selected="0"/>
          <reference field="1" count="0" selected="0"/>
          <reference field="3" count="0" defaultSubtotal="1"/>
          <reference field="8" count="1" selected="0">
            <x v="0"/>
          </reference>
        </references>
      </pivotArea>
    </format>
    <format dxfId="1088">
      <pivotArea field="8" grandRow="1" outline="0" axis="axisRow" fieldPosition="1">
        <references count="1">
          <reference field="4294967294" count="1" selected="0">
            <x v="10"/>
          </reference>
        </references>
      </pivotArea>
    </format>
    <format dxfId="1087">
      <pivotArea field="8" grandRow="1" outline="0" axis="axisRow" fieldPosition="1">
        <references count="1">
          <reference field="4294967294" count="3" selected="0">
            <x v="4"/>
            <x v="5"/>
            <x v="6"/>
          </reference>
        </references>
      </pivotArea>
    </format>
    <format dxfId="1086">
      <pivotArea field="8" grandRow="1" outline="0" axis="axisRow" fieldPosition="1">
        <references count="1">
          <reference field="4294967294" count="1" selected="0">
            <x v="2"/>
          </reference>
        </references>
      </pivotArea>
    </format>
    <format dxfId="1085">
      <pivotArea field="8" grandRow="1" outline="0" axis="axisRow" fieldPosition="1">
        <references count="1">
          <reference field="4294967294" count="1" selected="0">
            <x v="1"/>
          </reference>
        </references>
      </pivotArea>
    </format>
    <format dxfId="1084">
      <pivotArea field="8" grandRow="1" outline="0" axis="axisRow" fieldPosition="1">
        <references count="1">
          <reference field="4294967294" count="1" selected="0">
            <x v="9"/>
          </reference>
        </references>
      </pivotArea>
    </format>
    <format dxfId="1083">
      <pivotArea field="18" type="button" dataOnly="0" labelOnly="1" outline="0" axis="axisRow" fieldPosition="0"/>
    </format>
    <format dxfId="1082">
      <pivotArea dataOnly="0" labelOnly="1" outline="0" fieldPosition="0">
        <references count="1">
          <reference field="18" count="1">
            <x v="0"/>
          </reference>
        </references>
      </pivotArea>
    </format>
    <format dxfId="1081">
      <pivotArea dataOnly="0" labelOnly="1" fieldPosition="0">
        <references count="1">
          <reference field="8" count="0"/>
        </references>
      </pivotArea>
    </format>
    <format dxfId="1080">
      <pivotArea dataOnly="0" fieldPosition="0">
        <references count="1">
          <reference field="3" count="0" defaultSubtotal="1"/>
        </references>
      </pivotArea>
    </format>
    <format dxfId="1079">
      <pivotArea dataOnly="0" fieldPosition="0">
        <references count="1">
          <reference field="1" count="0" defaultSubtotal="1"/>
        </references>
      </pivotArea>
    </format>
    <format dxfId="1078">
      <pivotArea dataOnly="0" fieldPosition="0">
        <references count="1">
          <reference field="8" count="0" defaultSubtotal="1"/>
        </references>
      </pivotArea>
    </format>
    <format dxfId="1077">
      <pivotArea dataOnly="0" grandRow="1" fieldPosition="0"/>
    </format>
    <format dxfId="1076">
      <pivotArea dataOnly="0" labelOnly="1" fieldPosition="0">
        <references count="1">
          <reference field="18" count="0"/>
        </references>
      </pivotArea>
    </format>
    <format dxfId="1075">
      <pivotArea dataOnly="0" labelOnly="1" fieldPosition="0">
        <references count="1">
          <reference field="8" count="0"/>
        </references>
      </pivotArea>
    </format>
    <format dxfId="1074">
      <pivotArea dataOnly="0" labelOnly="1" fieldPosition="0">
        <references count="1">
          <reference field="0" count="0"/>
        </references>
      </pivotArea>
    </format>
    <format dxfId="1073">
      <pivotArea fieldPosition="0">
        <references count="6">
          <reference field="4294967294" count="2" selected="0">
            <x v="1"/>
            <x v="2"/>
          </reference>
          <reference field="0" count="0" selected="0"/>
          <reference field="1" count="0" selected="0"/>
          <reference field="3" count="0" defaultSubtotal="1"/>
          <reference field="8" count="1" selected="0">
            <x v="1"/>
          </reference>
          <reference field="18" count="1" selected="0">
            <x v="1"/>
          </reference>
        </references>
      </pivotArea>
    </format>
    <format dxfId="1072">
      <pivotArea fieldPosition="0">
        <references count="6">
          <reference field="4294967294" count="2" selected="0">
            <x v="9"/>
            <x v="10"/>
          </reference>
          <reference field="0" count="0" selected="0"/>
          <reference field="1" count="0" selected="0"/>
          <reference field="3" count="0" defaultSubtotal="1"/>
          <reference field="8" count="1" selected="0">
            <x v="1"/>
          </reference>
          <reference field="18" count="1" selected="0">
            <x v="1"/>
          </reference>
        </references>
      </pivotArea>
    </format>
    <format dxfId="1071">
      <pivotArea fieldPosition="0">
        <references count="5">
          <reference field="4294967294" count="2" selected="0">
            <x v="1"/>
            <x v="2"/>
          </reference>
          <reference field="0" count="0" defaultSubtotal="1"/>
          <reference field="1" count="0" selected="0"/>
          <reference field="8" count="1" selected="0">
            <x v="1"/>
          </reference>
          <reference field="18" count="1" selected="0">
            <x v="1"/>
          </reference>
        </references>
      </pivotArea>
    </format>
    <format dxfId="1070">
      <pivotArea fieldPosition="0">
        <references count="5">
          <reference field="4294967294" count="3" selected="0">
            <x v="4"/>
            <x v="5"/>
            <x v="6"/>
          </reference>
          <reference field="0" count="0" defaultSubtotal="1"/>
          <reference field="1" count="0" selected="0"/>
          <reference field="8" count="1" selected="0">
            <x v="1"/>
          </reference>
          <reference field="18" count="1" selected="0">
            <x v="1"/>
          </reference>
        </references>
      </pivotArea>
    </format>
    <format dxfId="1069">
      <pivotArea fieldPosition="0">
        <references count="5">
          <reference field="4294967294" count="2" selected="0">
            <x v="9"/>
            <x v="10"/>
          </reference>
          <reference field="0" count="0" defaultSubtotal="1"/>
          <reference field="1" count="0" selected="0"/>
          <reference field="8" count="1" selected="0">
            <x v="1"/>
          </reference>
          <reference field="18" count="1" selected="0">
            <x v="1"/>
          </reference>
        </references>
      </pivotArea>
    </format>
    <format dxfId="1068">
      <pivotArea fieldPosition="0">
        <references count="4">
          <reference field="4294967294" count="2" selected="0">
            <x v="9"/>
            <x v="10"/>
          </reference>
          <reference field="1" count="0" defaultSubtotal="1"/>
          <reference field="8" count="1" selected="0">
            <x v="1"/>
          </reference>
          <reference field="18" count="1" selected="0">
            <x v="1"/>
          </reference>
        </references>
      </pivotArea>
    </format>
    <format dxfId="1067">
      <pivotArea fieldPosition="0">
        <references count="4">
          <reference field="4294967294" count="3" selected="0">
            <x v="4"/>
            <x v="5"/>
            <x v="6"/>
          </reference>
          <reference field="1" count="0" defaultSubtotal="1"/>
          <reference field="8" count="1" selected="0">
            <x v="1"/>
          </reference>
          <reference field="18" count="1" selected="0">
            <x v="1"/>
          </reference>
        </references>
      </pivotArea>
    </format>
    <format dxfId="1066">
      <pivotArea fieldPosition="0">
        <references count="4">
          <reference field="4294967294" count="2" selected="0">
            <x v="1"/>
            <x v="2"/>
          </reference>
          <reference field="1" count="0" defaultSubtotal="1"/>
          <reference field="8" count="1" selected="0">
            <x v="1"/>
          </reference>
          <reference field="18" count="1" selected="0">
            <x v="1"/>
          </reference>
        </references>
      </pivotArea>
    </format>
    <format dxfId="1065">
      <pivotArea fieldPosition="0">
        <references count="3">
          <reference field="4294967294" count="2" selected="0">
            <x v="1"/>
            <x v="2"/>
          </reference>
          <reference field="8" count="1" defaultSubtotal="1">
            <x v="1"/>
          </reference>
          <reference field="18" count="1" selected="0">
            <x v="1"/>
          </reference>
        </references>
      </pivotArea>
    </format>
    <format dxfId="1064">
      <pivotArea fieldPosition="0">
        <references count="3">
          <reference field="4294967294" count="3" selected="0">
            <x v="4"/>
            <x v="5"/>
            <x v="6"/>
          </reference>
          <reference field="8" count="1" defaultSubtotal="1">
            <x v="1"/>
          </reference>
          <reference field="18" count="1" selected="0">
            <x v="1"/>
          </reference>
        </references>
      </pivotArea>
    </format>
    <format dxfId="1063">
      <pivotArea fieldPosition="0">
        <references count="3">
          <reference field="4294967294" count="2" selected="0">
            <x v="9"/>
            <x v="10"/>
          </reference>
          <reference field="8" count="1" defaultSubtotal="1">
            <x v="1"/>
          </reference>
          <reference field="18" count="1" selected="0">
            <x v="1"/>
          </reference>
        </references>
      </pivotArea>
    </format>
    <format dxfId="1062">
      <pivotArea fieldPosition="0">
        <references count="6">
          <reference field="4294967294" count="2" selected="0">
            <x v="7"/>
            <x v="8"/>
          </reference>
          <reference field="0" count="0" selected="0"/>
          <reference field="1" count="0" selected="0"/>
          <reference field="3" count="0" defaultSubtotal="1"/>
          <reference field="8" count="1" selected="0">
            <x v="0"/>
          </reference>
          <reference field="18" count="1" selected="0">
            <x v="0"/>
          </reference>
        </references>
      </pivotArea>
    </format>
    <format dxfId="1061">
      <pivotArea fieldPosition="0">
        <references count="5">
          <reference field="4294967294" count="2" selected="0">
            <x v="7"/>
            <x v="8"/>
          </reference>
          <reference field="0" count="0" defaultSubtotal="1"/>
          <reference field="1" count="0" selected="0"/>
          <reference field="8" count="1" selected="0">
            <x v="0"/>
          </reference>
          <reference field="18" count="1" selected="0">
            <x v="0"/>
          </reference>
        </references>
      </pivotArea>
    </format>
    <format dxfId="1060">
      <pivotArea fieldPosition="0">
        <references count="4">
          <reference field="4294967294" count="2" selected="0">
            <x v="7"/>
            <x v="8"/>
          </reference>
          <reference field="1" count="0" defaultSubtotal="1"/>
          <reference field="8" count="1" selected="0">
            <x v="0"/>
          </reference>
          <reference field="18" count="1" selected="0">
            <x v="0"/>
          </reference>
        </references>
      </pivotArea>
    </format>
    <format dxfId="1059">
      <pivotArea fieldPosition="0">
        <references count="3">
          <reference field="4294967294" count="2" selected="0">
            <x v="7"/>
            <x v="8"/>
          </reference>
          <reference field="8" count="1" defaultSubtotal="1">
            <x v="0"/>
          </reference>
          <reference field="18" count="1" selected="0">
            <x v="0"/>
          </reference>
        </references>
      </pivotArea>
    </format>
    <format dxfId="1058">
      <pivotArea fieldPosition="0">
        <references count="6">
          <reference field="4294967294" count="2" selected="0">
            <x v="7"/>
            <x v="8"/>
          </reference>
          <reference field="0" count="0" selected="0"/>
          <reference field="1" count="0" selected="0"/>
          <reference field="3" count="0" defaultSubtotal="1"/>
          <reference field="8" count="1" selected="0">
            <x v="1"/>
          </reference>
          <reference field="18" count="1" selected="0">
            <x v="1"/>
          </reference>
        </references>
      </pivotArea>
    </format>
    <format dxfId="1057">
      <pivotArea fieldPosition="0">
        <references count="5">
          <reference field="4294967294" count="2" selected="0">
            <x v="7"/>
            <x v="8"/>
          </reference>
          <reference field="0" count="0" defaultSubtotal="1"/>
          <reference field="1" count="0" selected="0"/>
          <reference field="8" count="1" selected="0">
            <x v="1"/>
          </reference>
          <reference field="18" count="1" selected="0">
            <x v="1"/>
          </reference>
        </references>
      </pivotArea>
    </format>
    <format dxfId="1056">
      <pivotArea fieldPosition="0">
        <references count="4">
          <reference field="4294967294" count="2" selected="0">
            <x v="7"/>
            <x v="8"/>
          </reference>
          <reference field="1" count="0" defaultSubtotal="1"/>
          <reference field="8" count="1" selected="0">
            <x v="1"/>
          </reference>
          <reference field="18" count="1" selected="0">
            <x v="1"/>
          </reference>
        </references>
      </pivotArea>
    </format>
    <format dxfId="1055">
      <pivotArea fieldPosition="0">
        <references count="3">
          <reference field="4294967294" count="2" selected="0">
            <x v="7"/>
            <x v="8"/>
          </reference>
          <reference field="8" count="1" defaultSubtotal="1">
            <x v="1"/>
          </reference>
          <reference field="18" count="1" selected="0">
            <x v="1"/>
          </reference>
        </references>
      </pivotArea>
    </format>
    <format dxfId="1054">
      <pivotArea field="18" grandRow="1" outline="0" axis="axisRow" fieldPosition="0">
        <references count="1">
          <reference field="4294967294" count="2" selected="0">
            <x v="7"/>
            <x v="8"/>
          </reference>
        </references>
      </pivotArea>
    </format>
    <format dxfId="1053">
      <pivotArea dataOnly="0" outline="0" fieldPosition="0">
        <references count="1">
          <reference field="4294967294" count="1">
            <x v="3"/>
          </reference>
        </references>
      </pivotArea>
    </format>
    <format dxfId="1052">
      <pivotArea dataOnly="0" labelOnly="1" outline="0" fieldPosition="0">
        <references count="1">
          <reference field="4294967294" count="1">
            <x v="3"/>
          </reference>
        </references>
      </pivotArea>
    </format>
    <format dxfId="1051">
      <pivotArea dataOnly="0" outline="0" fieldPosition="0">
        <references count="1">
          <reference field="4294967294" count="1">
            <x v="7"/>
          </reference>
        </references>
      </pivotArea>
    </format>
    <format dxfId="1050">
      <pivotArea dataOnly="0" labelOnly="1" outline="0" fieldPosition="0">
        <references count="1">
          <reference field="4294967294" count="1">
            <x v="7"/>
          </reference>
        </references>
      </pivotArea>
    </format>
    <format dxfId="1049">
      <pivotArea dataOnly="0" outline="0" fieldPosition="0">
        <references count="1">
          <reference field="4294967294" count="1">
            <x v="8"/>
          </reference>
        </references>
      </pivotArea>
    </format>
    <format dxfId="1048">
      <pivotArea dataOnly="0" labelOnly="1" outline="0" fieldPosition="0">
        <references count="1">
          <reference field="4294967294" count="1">
            <x v="8"/>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W54"/>
  <sheetViews>
    <sheetView view="pageBreakPreview" topLeftCell="B3" zoomScale="120" zoomScaleNormal="100" zoomScaleSheetLayoutView="120" workbookViewId="0">
      <selection activeCell="B10" sqref="B10"/>
    </sheetView>
  </sheetViews>
  <sheetFormatPr baseColWidth="10" defaultColWidth="10.83203125" defaultRowHeight="20" customHeight="1"/>
  <cols>
    <col min="1" max="1" width="10.83203125" style="1"/>
    <col min="2" max="2" width="37.83203125" style="1" customWidth="1"/>
    <col min="3" max="3" width="40.1640625" style="1" customWidth="1"/>
    <col min="4" max="4" width="28.83203125" style="1" customWidth="1"/>
    <col min="5" max="5" width="13.83203125" style="1" customWidth="1"/>
    <col min="6" max="6" width="10.83203125" style="1"/>
    <col min="7" max="7" width="6" style="1" hidden="1" customWidth="1"/>
    <col min="8" max="8" width="28.33203125" style="1" hidden="1" customWidth="1"/>
    <col min="9" max="12" width="0" style="1" hidden="1" customWidth="1"/>
    <col min="13" max="14" width="23.5" style="1" customWidth="1"/>
    <col min="15" max="15" width="15.5" style="1" customWidth="1"/>
    <col min="16" max="16384" width="10.83203125" style="1"/>
  </cols>
  <sheetData>
    <row r="1" spans="2:23" ht="20" customHeight="1">
      <c r="B1" s="134"/>
      <c r="C1" s="134"/>
      <c r="D1" s="134"/>
      <c r="E1" s="134"/>
      <c r="F1" s="134"/>
      <c r="G1" s="134"/>
      <c r="H1" s="134"/>
      <c r="I1" s="134"/>
      <c r="J1" s="134"/>
      <c r="K1" s="134"/>
      <c r="L1" s="134"/>
      <c r="M1" s="134"/>
      <c r="N1" s="134"/>
      <c r="O1" s="134"/>
      <c r="P1" s="134"/>
      <c r="Q1" s="134"/>
      <c r="R1" s="134"/>
      <c r="S1" s="134"/>
      <c r="T1" s="134"/>
      <c r="U1" s="134"/>
      <c r="V1" s="134"/>
      <c r="W1" s="134"/>
    </row>
    <row r="2" spans="2:23" ht="20" customHeight="1">
      <c r="B2" s="561" t="s">
        <v>442</v>
      </c>
      <c r="C2" s="561"/>
      <c r="D2" s="561"/>
      <c r="E2" s="134"/>
      <c r="F2" s="134"/>
      <c r="G2" s="134"/>
      <c r="H2" s="134"/>
      <c r="I2" s="134"/>
      <c r="J2" s="134"/>
      <c r="K2" s="134"/>
      <c r="L2" s="134"/>
      <c r="M2" s="134"/>
      <c r="N2" s="134"/>
      <c r="O2" s="134"/>
      <c r="P2" s="134"/>
      <c r="Q2" s="134"/>
      <c r="R2" s="134"/>
      <c r="S2" s="134"/>
      <c r="T2" s="134"/>
      <c r="U2" s="134"/>
      <c r="V2" s="134"/>
      <c r="W2" s="134"/>
    </row>
    <row r="3" spans="2:23" ht="20" customHeight="1">
      <c r="B3" s="561" t="s">
        <v>671</v>
      </c>
      <c r="C3" s="134"/>
      <c r="D3" s="134"/>
      <c r="E3" s="134"/>
      <c r="F3" s="134"/>
      <c r="G3" s="745" t="s">
        <v>464</v>
      </c>
      <c r="H3" s="745"/>
      <c r="I3" s="745"/>
      <c r="J3" s="745"/>
      <c r="K3" s="134"/>
      <c r="L3" s="134"/>
      <c r="M3" s="134"/>
      <c r="N3" s="134"/>
      <c r="O3" s="134"/>
      <c r="P3" s="134"/>
      <c r="Q3" s="134"/>
      <c r="R3" s="134"/>
      <c r="S3" s="134"/>
      <c r="T3" s="134"/>
      <c r="U3" s="134"/>
      <c r="V3" s="134"/>
      <c r="W3" s="134"/>
    </row>
    <row r="4" spans="2:23" ht="20" customHeight="1" thickBot="1">
      <c r="B4" s="562" t="s">
        <v>0</v>
      </c>
      <c r="C4" s="562" t="s">
        <v>1</v>
      </c>
      <c r="D4" s="563" t="s">
        <v>2</v>
      </c>
      <c r="E4" s="134"/>
      <c r="F4" s="134"/>
      <c r="G4" s="742" t="s">
        <v>371</v>
      </c>
      <c r="H4" s="743"/>
      <c r="I4" s="743"/>
      <c r="J4" s="744"/>
      <c r="K4" s="134"/>
      <c r="L4" s="134"/>
      <c r="M4" s="562" t="s">
        <v>549</v>
      </c>
      <c r="N4" s="562" t="s">
        <v>501</v>
      </c>
      <c r="O4" s="562" t="s">
        <v>502</v>
      </c>
      <c r="P4" s="134"/>
      <c r="Q4" s="134"/>
      <c r="R4" s="134"/>
      <c r="S4" s="134"/>
      <c r="T4" s="134"/>
      <c r="U4" s="134"/>
      <c r="V4" s="134"/>
      <c r="W4" s="134"/>
    </row>
    <row r="5" spans="2:23" ht="20" customHeight="1">
      <c r="B5" s="5"/>
      <c r="C5" s="6"/>
      <c r="D5" s="6"/>
      <c r="E5" s="134"/>
      <c r="F5" s="134"/>
      <c r="G5" s="564"/>
      <c r="H5" s="134"/>
      <c r="I5" s="134"/>
      <c r="J5" s="565"/>
      <c r="K5" s="134"/>
      <c r="L5" s="134"/>
      <c r="M5" s="6"/>
      <c r="N5" s="6"/>
      <c r="O5" s="6"/>
      <c r="P5" s="134"/>
      <c r="Q5" s="134"/>
      <c r="R5" s="134"/>
      <c r="S5" s="134"/>
      <c r="T5" s="134"/>
      <c r="U5" s="134"/>
      <c r="V5" s="134"/>
      <c r="W5" s="134"/>
    </row>
    <row r="6" spans="2:23" ht="20" customHeight="1">
      <c r="B6" s="566" t="s">
        <v>849</v>
      </c>
      <c r="C6" s="7" t="s">
        <v>679</v>
      </c>
      <c r="D6" s="7" t="s">
        <v>79</v>
      </c>
      <c r="E6" s="134"/>
      <c r="F6" s="134"/>
      <c r="G6" s="564"/>
      <c r="H6" s="567" t="s">
        <v>372</v>
      </c>
      <c r="I6" s="134" t="s">
        <v>446</v>
      </c>
      <c r="J6" s="565"/>
      <c r="K6" s="134"/>
      <c r="L6" s="134"/>
      <c r="M6" s="159"/>
      <c r="N6" s="159"/>
      <c r="O6" s="7"/>
      <c r="P6" s="134"/>
      <c r="Q6" s="134"/>
      <c r="R6" s="134"/>
      <c r="S6" s="134"/>
      <c r="T6" s="134"/>
      <c r="U6" s="134"/>
      <c r="V6" s="134"/>
      <c r="W6" s="134"/>
    </row>
    <row r="7" spans="2:23" ht="20" customHeight="1">
      <c r="B7" s="7" t="s">
        <v>850</v>
      </c>
      <c r="C7" s="7" t="s">
        <v>679</v>
      </c>
      <c r="D7" s="7" t="s">
        <v>79</v>
      </c>
      <c r="E7" s="134"/>
      <c r="F7" s="134"/>
      <c r="G7" s="564"/>
      <c r="H7" s="134"/>
      <c r="I7" s="134"/>
      <c r="J7" s="565"/>
      <c r="K7" s="134"/>
      <c r="L7" s="134"/>
      <c r="M7" s="159"/>
      <c r="N7" s="159"/>
      <c r="O7" s="7"/>
      <c r="P7" s="134"/>
      <c r="Q7" s="134"/>
      <c r="R7" s="134"/>
      <c r="S7" s="134"/>
      <c r="T7" s="134"/>
      <c r="U7" s="134"/>
      <c r="V7" s="134"/>
      <c r="W7" s="134"/>
    </row>
    <row r="8" spans="2:23" ht="20" customHeight="1">
      <c r="B8" s="7" t="s">
        <v>851</v>
      </c>
      <c r="C8" s="7" t="s">
        <v>679</v>
      </c>
      <c r="D8" s="7" t="s">
        <v>79</v>
      </c>
      <c r="E8" s="134"/>
      <c r="F8" s="134"/>
      <c r="G8" s="568">
        <v>1</v>
      </c>
      <c r="H8" s="569" t="s">
        <v>372</v>
      </c>
      <c r="I8" s="134"/>
      <c r="J8" s="565"/>
      <c r="K8" s="134"/>
      <c r="L8" s="134"/>
      <c r="M8" s="159"/>
      <c r="N8" s="159"/>
      <c r="O8" s="7"/>
      <c r="P8" s="134"/>
      <c r="Q8" s="134"/>
      <c r="R8" s="134"/>
      <c r="S8" s="134"/>
      <c r="T8" s="134"/>
      <c r="U8" s="134"/>
      <c r="V8" s="134"/>
      <c r="W8" s="134"/>
    </row>
    <row r="9" spans="2:23" ht="20" customHeight="1">
      <c r="B9" s="7" t="s">
        <v>951</v>
      </c>
      <c r="C9" s="7" t="s">
        <v>679</v>
      </c>
      <c r="D9" s="7" t="s">
        <v>824</v>
      </c>
      <c r="E9" s="134"/>
      <c r="F9" s="134"/>
      <c r="G9" s="568">
        <v>2</v>
      </c>
      <c r="H9" s="569" t="s">
        <v>373</v>
      </c>
      <c r="I9" s="134"/>
      <c r="J9" s="565"/>
      <c r="K9" s="134"/>
      <c r="L9" s="134"/>
      <c r="M9" s="159"/>
      <c r="N9" s="159"/>
      <c r="O9" s="7"/>
      <c r="P9" s="134"/>
      <c r="Q9" s="134"/>
      <c r="R9" s="134"/>
      <c r="S9" s="134"/>
      <c r="T9" s="134"/>
      <c r="U9" s="134"/>
      <c r="V9" s="134"/>
      <c r="W9" s="134"/>
    </row>
    <row r="10" spans="2:23" ht="20" customHeight="1">
      <c r="B10" s="7" t="s">
        <v>952</v>
      </c>
      <c r="C10" s="7" t="s">
        <v>679</v>
      </c>
      <c r="D10" s="7" t="s">
        <v>79</v>
      </c>
      <c r="E10" s="134"/>
      <c r="F10" s="134"/>
      <c r="G10" s="570"/>
      <c r="H10" s="571"/>
      <c r="I10" s="571"/>
      <c r="J10" s="572"/>
      <c r="K10" s="134"/>
      <c r="L10" s="134"/>
      <c r="M10" s="159"/>
      <c r="N10" s="159"/>
      <c r="O10" s="7"/>
      <c r="P10" s="134"/>
      <c r="Q10" s="134"/>
      <c r="R10" s="134"/>
      <c r="S10" s="134"/>
      <c r="T10" s="134"/>
      <c r="U10" s="134"/>
      <c r="V10" s="134"/>
      <c r="W10" s="134"/>
    </row>
    <row r="11" spans="2:23" ht="20" hidden="1" customHeight="1">
      <c r="B11" s="7" t="s">
        <v>8</v>
      </c>
      <c r="C11" s="7"/>
      <c r="D11" s="7"/>
      <c r="E11" s="134"/>
      <c r="F11" s="134"/>
      <c r="G11" s="134"/>
      <c r="H11" s="134"/>
      <c r="I11" s="134"/>
      <c r="J11" s="134"/>
      <c r="K11" s="134"/>
      <c r="L11" s="134"/>
      <c r="M11" s="159"/>
      <c r="N11" s="159"/>
      <c r="O11" s="7"/>
      <c r="P11" s="134"/>
      <c r="Q11" s="134"/>
      <c r="R11" s="134"/>
      <c r="S11" s="134"/>
      <c r="T11" s="134"/>
      <c r="U11" s="134"/>
      <c r="V11" s="134"/>
      <c r="W11" s="134"/>
    </row>
    <row r="12" spans="2:23" ht="20" hidden="1" customHeight="1">
      <c r="B12" s="7" t="s">
        <v>9</v>
      </c>
      <c r="C12" s="7"/>
      <c r="D12" s="7"/>
      <c r="E12" s="134"/>
      <c r="F12" s="134"/>
      <c r="G12" s="134"/>
      <c r="H12" s="134"/>
      <c r="I12" s="134"/>
      <c r="J12" s="134"/>
      <c r="K12" s="134"/>
      <c r="L12" s="134"/>
      <c r="M12" s="159"/>
      <c r="N12" s="159"/>
      <c r="O12" s="7"/>
      <c r="P12" s="134"/>
      <c r="Q12" s="134"/>
      <c r="R12" s="134"/>
      <c r="S12" s="134"/>
      <c r="T12" s="134"/>
      <c r="U12" s="134"/>
      <c r="V12" s="134"/>
      <c r="W12" s="134"/>
    </row>
    <row r="13" spans="2:23" ht="20" hidden="1" customHeight="1">
      <c r="B13" s="7" t="s">
        <v>10</v>
      </c>
      <c r="C13" s="7"/>
      <c r="D13" s="7"/>
      <c r="E13" s="134"/>
      <c r="F13" s="134"/>
      <c r="G13" s="134"/>
      <c r="H13" s="134"/>
      <c r="I13" s="134"/>
      <c r="J13" s="134"/>
      <c r="K13" s="134"/>
      <c r="L13" s="134"/>
      <c r="M13" s="159"/>
      <c r="N13" s="159"/>
      <c r="O13" s="7"/>
      <c r="P13" s="134"/>
      <c r="Q13" s="134"/>
      <c r="R13" s="134"/>
      <c r="S13" s="134"/>
      <c r="T13" s="134"/>
      <c r="U13" s="134"/>
      <c r="V13" s="134"/>
      <c r="W13" s="134"/>
    </row>
    <row r="14" spans="2:23" ht="20" hidden="1" customHeight="1">
      <c r="B14" s="7" t="s">
        <v>11</v>
      </c>
      <c r="C14" s="7"/>
      <c r="D14" s="7"/>
      <c r="E14" s="134"/>
      <c r="F14" s="134"/>
      <c r="G14" s="134"/>
      <c r="H14" s="134"/>
      <c r="I14" s="134"/>
      <c r="J14" s="134"/>
      <c r="K14" s="134"/>
      <c r="L14" s="134"/>
      <c r="M14" s="159"/>
      <c r="N14" s="159"/>
      <c r="O14" s="7"/>
      <c r="P14" s="134"/>
      <c r="Q14" s="134"/>
      <c r="R14" s="134"/>
      <c r="S14" s="134"/>
      <c r="T14" s="134"/>
      <c r="U14" s="134"/>
      <c r="V14" s="134"/>
      <c r="W14" s="134"/>
    </row>
    <row r="15" spans="2:23" ht="20" hidden="1" customHeight="1">
      <c r="B15" s="7" t="s">
        <v>253</v>
      </c>
      <c r="C15" s="7"/>
      <c r="D15" s="7"/>
      <c r="E15" s="134"/>
      <c r="F15" s="134"/>
      <c r="G15" s="134"/>
      <c r="H15" s="134"/>
      <c r="I15" s="134"/>
      <c r="J15" s="134"/>
      <c r="K15" s="134"/>
      <c r="L15" s="134"/>
      <c r="M15" s="159"/>
      <c r="N15" s="159"/>
      <c r="O15" s="7"/>
      <c r="P15" s="134"/>
      <c r="Q15" s="134"/>
      <c r="R15" s="134"/>
      <c r="S15" s="134"/>
      <c r="T15" s="134"/>
      <c r="U15" s="134"/>
      <c r="V15" s="134"/>
      <c r="W15" s="134"/>
    </row>
    <row r="16" spans="2:23" ht="20" hidden="1" customHeight="1">
      <c r="B16" s="7" t="s">
        <v>254</v>
      </c>
      <c r="C16" s="7"/>
      <c r="D16" s="7"/>
      <c r="E16" s="134"/>
      <c r="F16" s="134"/>
      <c r="G16" s="134"/>
      <c r="H16" s="134"/>
      <c r="I16" s="134"/>
      <c r="J16" s="134"/>
      <c r="K16" s="134"/>
      <c r="L16" s="134"/>
      <c r="M16" s="159"/>
      <c r="N16" s="159"/>
      <c r="O16" s="7"/>
      <c r="P16" s="134"/>
      <c r="Q16" s="134"/>
      <c r="R16" s="134"/>
      <c r="S16" s="134"/>
      <c r="T16" s="134"/>
      <c r="U16" s="134"/>
      <c r="V16" s="134"/>
      <c r="W16" s="134"/>
    </row>
    <row r="17" spans="2:23" ht="20" hidden="1" customHeight="1">
      <c r="B17" s="7" t="s">
        <v>255</v>
      </c>
      <c r="C17" s="7"/>
      <c r="D17" s="7"/>
      <c r="E17" s="134"/>
      <c r="F17" s="134"/>
      <c r="G17" s="134"/>
      <c r="H17" s="134"/>
      <c r="I17" s="134"/>
      <c r="J17" s="134"/>
      <c r="K17" s="134"/>
      <c r="L17" s="134"/>
      <c r="M17" s="159"/>
      <c r="N17" s="159"/>
      <c r="O17" s="7"/>
      <c r="P17" s="134"/>
      <c r="Q17" s="134"/>
      <c r="R17" s="134"/>
      <c r="S17" s="134"/>
      <c r="T17" s="134"/>
      <c r="U17" s="134"/>
      <c r="V17" s="134"/>
      <c r="W17" s="134"/>
    </row>
    <row r="18" spans="2:23" ht="20" hidden="1" customHeight="1">
      <c r="B18" s="7" t="s">
        <v>256</v>
      </c>
      <c r="C18" s="7"/>
      <c r="D18" s="7"/>
      <c r="E18" s="134"/>
      <c r="F18" s="134"/>
      <c r="G18" s="134"/>
      <c r="H18" s="134"/>
      <c r="I18" s="134"/>
      <c r="J18" s="134"/>
      <c r="K18" s="134"/>
      <c r="L18" s="134"/>
      <c r="M18" s="159"/>
      <c r="N18" s="159"/>
      <c r="O18" s="7"/>
      <c r="P18" s="134"/>
      <c r="Q18" s="134"/>
      <c r="R18" s="134"/>
      <c r="S18" s="134"/>
      <c r="T18" s="134"/>
      <c r="U18" s="134"/>
      <c r="V18" s="134"/>
      <c r="W18" s="134"/>
    </row>
    <row r="19" spans="2:23" ht="20" hidden="1" customHeight="1">
      <c r="B19" s="7" t="s">
        <v>103</v>
      </c>
      <c r="C19" s="7"/>
      <c r="D19" s="7"/>
      <c r="E19" s="134"/>
      <c r="F19" s="134"/>
      <c r="G19" s="134"/>
      <c r="H19" s="134"/>
      <c r="I19" s="134"/>
      <c r="J19" s="134"/>
      <c r="K19" s="134"/>
      <c r="L19" s="134"/>
      <c r="M19" s="159"/>
      <c r="N19" s="159"/>
      <c r="O19" s="7"/>
      <c r="P19" s="134"/>
      <c r="Q19" s="134"/>
      <c r="R19" s="134"/>
      <c r="S19" s="134"/>
      <c r="T19" s="134"/>
      <c r="U19" s="134"/>
      <c r="V19" s="134"/>
      <c r="W19" s="134"/>
    </row>
    <row r="20" spans="2:23" ht="20" hidden="1" customHeight="1">
      <c r="B20" s="7" t="s">
        <v>257</v>
      </c>
      <c r="C20" s="7"/>
      <c r="D20" s="7"/>
      <c r="E20" s="134"/>
      <c r="F20" s="134"/>
      <c r="G20" s="134"/>
      <c r="H20" s="134"/>
      <c r="I20" s="134"/>
      <c r="J20" s="134"/>
      <c r="K20" s="134"/>
      <c r="L20" s="134"/>
      <c r="M20" s="159"/>
      <c r="N20" s="159"/>
      <c r="O20" s="7"/>
      <c r="P20" s="134"/>
      <c r="Q20" s="134"/>
      <c r="R20" s="134"/>
      <c r="S20" s="134"/>
      <c r="T20" s="134"/>
      <c r="U20" s="134"/>
      <c r="V20" s="134"/>
      <c r="W20" s="134"/>
    </row>
    <row r="21" spans="2:23" ht="20" hidden="1" customHeight="1">
      <c r="B21" s="7" t="s">
        <v>258</v>
      </c>
      <c r="C21" s="7"/>
      <c r="D21" s="7"/>
      <c r="E21" s="134"/>
      <c r="F21" s="134"/>
      <c r="G21" s="134"/>
      <c r="H21" s="134"/>
      <c r="I21" s="134"/>
      <c r="J21" s="134"/>
      <c r="K21" s="134"/>
      <c r="L21" s="134"/>
      <c r="M21" s="159"/>
      <c r="N21" s="159"/>
      <c r="O21" s="7"/>
      <c r="P21" s="134"/>
      <c r="Q21" s="134"/>
      <c r="R21" s="134"/>
      <c r="S21" s="134"/>
      <c r="T21" s="134"/>
      <c r="U21" s="134"/>
      <c r="V21" s="134"/>
      <c r="W21" s="134"/>
    </row>
    <row r="22" spans="2:23" ht="20" hidden="1" customHeight="1">
      <c r="B22" s="7" t="s">
        <v>259</v>
      </c>
      <c r="C22" s="7"/>
      <c r="D22" s="7"/>
      <c r="E22" s="134"/>
      <c r="F22" s="134"/>
      <c r="G22" s="134"/>
      <c r="H22" s="134"/>
      <c r="I22" s="134"/>
      <c r="J22" s="134"/>
      <c r="K22" s="134"/>
      <c r="L22" s="134"/>
      <c r="M22" s="159"/>
      <c r="N22" s="159"/>
      <c r="O22" s="7"/>
      <c r="P22" s="134"/>
      <c r="Q22" s="134"/>
      <c r="R22" s="134"/>
      <c r="S22" s="134"/>
      <c r="T22" s="134"/>
      <c r="U22" s="134"/>
      <c r="V22" s="134"/>
      <c r="W22" s="134"/>
    </row>
    <row r="23" spans="2:23" ht="20" hidden="1" customHeight="1">
      <c r="B23" s="7" t="s">
        <v>260</v>
      </c>
      <c r="C23" s="7"/>
      <c r="D23" s="7"/>
      <c r="E23" s="134"/>
      <c r="F23" s="134"/>
      <c r="G23" s="134"/>
      <c r="H23" s="134"/>
      <c r="I23" s="134"/>
      <c r="J23" s="134"/>
      <c r="K23" s="134"/>
      <c r="L23" s="134"/>
      <c r="M23" s="159"/>
      <c r="N23" s="159"/>
      <c r="O23" s="7"/>
      <c r="P23" s="134"/>
      <c r="Q23" s="134"/>
      <c r="R23" s="134"/>
      <c r="S23" s="134"/>
      <c r="T23" s="134"/>
      <c r="U23" s="134"/>
      <c r="V23" s="134"/>
      <c r="W23" s="134"/>
    </row>
    <row r="24" spans="2:23" ht="20" hidden="1" customHeight="1">
      <c r="B24" s="7" t="s">
        <v>98</v>
      </c>
      <c r="C24" s="7"/>
      <c r="D24" s="7"/>
      <c r="E24" s="134"/>
      <c r="F24" s="134"/>
      <c r="G24" s="134"/>
      <c r="H24" s="134"/>
      <c r="I24" s="134"/>
      <c r="J24" s="134"/>
      <c r="K24" s="134"/>
      <c r="L24" s="134"/>
      <c r="M24" s="159"/>
      <c r="N24" s="159"/>
      <c r="O24" s="7"/>
      <c r="P24" s="134"/>
      <c r="Q24" s="134"/>
      <c r="R24" s="134"/>
      <c r="S24" s="134"/>
      <c r="T24" s="134"/>
      <c r="U24" s="134"/>
      <c r="V24" s="134"/>
      <c r="W24" s="134"/>
    </row>
    <row r="25" spans="2:23" ht="20" hidden="1" customHeight="1">
      <c r="B25" s="7" t="s">
        <v>261</v>
      </c>
      <c r="C25" s="7"/>
      <c r="D25" s="7"/>
      <c r="E25" s="134"/>
      <c r="F25" s="134"/>
      <c r="G25" s="134"/>
      <c r="H25" s="134"/>
      <c r="I25" s="134"/>
      <c r="J25" s="134"/>
      <c r="K25" s="134"/>
      <c r="L25" s="134"/>
      <c r="M25" s="159"/>
      <c r="N25" s="159"/>
      <c r="O25" s="7"/>
      <c r="P25" s="134"/>
      <c r="Q25" s="134"/>
      <c r="R25" s="134"/>
      <c r="S25" s="134"/>
      <c r="T25" s="134"/>
      <c r="U25" s="134"/>
      <c r="V25" s="134"/>
      <c r="W25" s="134"/>
    </row>
    <row r="26" spans="2:23" ht="20" hidden="1" customHeight="1">
      <c r="B26" s="7" t="s">
        <v>262</v>
      </c>
      <c r="C26" s="7"/>
      <c r="D26" s="7"/>
      <c r="E26" s="134"/>
      <c r="F26" s="134"/>
      <c r="G26" s="134"/>
      <c r="H26" s="134"/>
      <c r="I26" s="134"/>
      <c r="J26" s="134"/>
      <c r="K26" s="134"/>
      <c r="L26" s="134"/>
      <c r="M26" s="159"/>
      <c r="N26" s="159"/>
      <c r="O26" s="7"/>
      <c r="P26" s="134"/>
      <c r="Q26" s="134"/>
      <c r="R26" s="134"/>
      <c r="S26" s="134"/>
      <c r="T26" s="134"/>
      <c r="U26" s="134"/>
      <c r="V26" s="134"/>
      <c r="W26" s="134"/>
    </row>
    <row r="27" spans="2:23" ht="20" hidden="1" customHeight="1">
      <c r="B27" s="140"/>
      <c r="C27" s="140"/>
      <c r="D27" s="140"/>
      <c r="E27" s="134"/>
      <c r="F27" s="134"/>
      <c r="G27" s="134"/>
      <c r="H27" s="134"/>
      <c r="I27" s="134"/>
      <c r="J27" s="134"/>
      <c r="K27" s="134"/>
      <c r="L27" s="134"/>
      <c r="M27" s="134"/>
      <c r="N27" s="134"/>
      <c r="O27" s="134"/>
      <c r="P27" s="134"/>
      <c r="Q27" s="134"/>
      <c r="R27" s="134"/>
      <c r="S27" s="134"/>
      <c r="T27" s="134"/>
      <c r="U27" s="134"/>
      <c r="V27" s="134"/>
      <c r="W27" s="134"/>
    </row>
    <row r="28" spans="2:23" ht="20" customHeight="1">
      <c r="B28" s="140" t="s">
        <v>12</v>
      </c>
      <c r="C28" s="140"/>
      <c r="D28" s="140"/>
      <c r="E28" s="134"/>
      <c r="F28" s="134"/>
      <c r="G28" s="134"/>
      <c r="H28" s="134"/>
      <c r="I28" s="134"/>
      <c r="J28" s="134"/>
      <c r="K28" s="134"/>
      <c r="L28" s="134"/>
      <c r="M28" s="134"/>
      <c r="N28" s="134"/>
      <c r="O28" s="134"/>
      <c r="P28" s="134"/>
      <c r="Q28" s="134"/>
      <c r="R28" s="134"/>
      <c r="S28" s="134"/>
      <c r="T28" s="134"/>
      <c r="U28" s="134"/>
      <c r="V28" s="134"/>
      <c r="W28" s="134"/>
    </row>
    <row r="29" spans="2:23" ht="20" customHeight="1">
      <c r="B29" s="140" t="s">
        <v>852</v>
      </c>
      <c r="C29" s="140"/>
      <c r="D29" s="140"/>
      <c r="E29" s="134"/>
      <c r="F29" s="134"/>
      <c r="G29" s="134"/>
      <c r="H29" s="134"/>
      <c r="I29" s="134"/>
      <c r="J29" s="134"/>
      <c r="K29" s="134"/>
      <c r="L29" s="134"/>
      <c r="M29" s="134"/>
      <c r="N29" s="134"/>
      <c r="O29" s="134"/>
      <c r="P29" s="134"/>
      <c r="Q29" s="134"/>
      <c r="R29" s="134"/>
      <c r="S29" s="134"/>
      <c r="T29" s="134"/>
      <c r="U29" s="134"/>
      <c r="V29" s="134"/>
      <c r="W29" s="134"/>
    </row>
    <row r="30" spans="2:23" ht="20" customHeight="1">
      <c r="B30" s="140"/>
      <c r="C30" s="140"/>
      <c r="D30" s="140"/>
      <c r="E30" s="134"/>
      <c r="F30" s="134"/>
      <c r="G30" s="134"/>
      <c r="H30" s="134"/>
      <c r="I30" s="134"/>
      <c r="J30" s="134"/>
      <c r="K30" s="134"/>
      <c r="L30" s="134"/>
      <c r="M30" s="134"/>
      <c r="N30" s="134"/>
      <c r="O30" s="134"/>
      <c r="P30" s="134"/>
      <c r="Q30" s="134"/>
      <c r="R30" s="134"/>
      <c r="S30" s="134"/>
      <c r="T30" s="134"/>
      <c r="U30" s="134"/>
      <c r="V30" s="134"/>
      <c r="W30" s="134"/>
    </row>
    <row r="31" spans="2:23" ht="20" customHeight="1">
      <c r="B31" s="134"/>
      <c r="C31" s="134"/>
      <c r="D31" s="134"/>
      <c r="E31" s="134"/>
      <c r="F31" s="134"/>
      <c r="G31" s="134"/>
      <c r="H31" s="134"/>
      <c r="I31" s="134"/>
      <c r="J31" s="134"/>
      <c r="K31" s="134"/>
      <c r="L31" s="134"/>
      <c r="M31" s="134"/>
      <c r="N31" s="134"/>
      <c r="O31" s="134"/>
      <c r="P31" s="134"/>
      <c r="Q31" s="134"/>
      <c r="R31" s="134"/>
      <c r="S31" s="134"/>
      <c r="T31" s="134"/>
      <c r="U31" s="134"/>
      <c r="V31" s="134"/>
      <c r="W31" s="134"/>
    </row>
    <row r="32" spans="2:23" ht="20" customHeight="1">
      <c r="B32" s="134" t="s">
        <v>789</v>
      </c>
      <c r="C32" s="134"/>
      <c r="D32" s="134"/>
      <c r="E32" s="134"/>
      <c r="F32" s="134"/>
      <c r="G32" s="134"/>
      <c r="H32" s="134"/>
      <c r="I32" s="134"/>
      <c r="J32" s="134"/>
      <c r="K32" s="134"/>
      <c r="L32" s="134"/>
      <c r="M32" s="134"/>
      <c r="N32" s="134"/>
      <c r="O32" s="134"/>
      <c r="P32" s="134"/>
      <c r="Q32" s="134"/>
      <c r="R32" s="134"/>
      <c r="S32" s="134"/>
      <c r="T32" s="134"/>
      <c r="U32" s="134"/>
      <c r="V32" s="134"/>
      <c r="W32" s="134"/>
    </row>
    <row r="33" spans="2:23" ht="20" customHeight="1">
      <c r="B33" s="134" t="s">
        <v>790</v>
      </c>
      <c r="C33" s="672">
        <v>44805</v>
      </c>
      <c r="D33" s="271">
        <v>2500000</v>
      </c>
      <c r="E33" s="134" t="s">
        <v>59</v>
      </c>
      <c r="F33" s="134"/>
      <c r="G33" s="134"/>
      <c r="H33" s="134"/>
      <c r="I33" s="134"/>
      <c r="J33" s="134"/>
      <c r="K33" s="134"/>
      <c r="L33" s="134"/>
      <c r="M33" s="134"/>
      <c r="N33" s="134"/>
      <c r="O33" s="134"/>
      <c r="P33" s="134"/>
      <c r="Q33" s="134"/>
      <c r="R33" s="134"/>
      <c r="S33" s="134"/>
      <c r="T33" s="134"/>
      <c r="U33" s="134"/>
      <c r="V33" s="134"/>
      <c r="W33" s="134"/>
    </row>
    <row r="34" spans="2:23" ht="20" customHeight="1">
      <c r="B34" s="134"/>
      <c r="C34" s="672"/>
      <c r="D34" s="271"/>
      <c r="E34" s="134"/>
      <c r="F34" s="134"/>
      <c r="G34" s="134"/>
      <c r="H34" s="134"/>
      <c r="I34" s="134"/>
      <c r="J34" s="134"/>
      <c r="K34" s="134"/>
      <c r="L34" s="134"/>
      <c r="M34" s="134"/>
      <c r="N34" s="134"/>
      <c r="O34" s="134"/>
      <c r="P34" s="134"/>
      <c r="Q34" s="134"/>
      <c r="R34" s="134"/>
      <c r="S34" s="134"/>
      <c r="T34" s="134"/>
      <c r="U34" s="134"/>
      <c r="V34" s="134"/>
      <c r="W34" s="134"/>
    </row>
    <row r="35" spans="2:23" ht="20" customHeight="1">
      <c r="B35" s="134"/>
      <c r="C35" s="134"/>
      <c r="D35" s="134"/>
      <c r="E35" s="134"/>
      <c r="F35" s="134"/>
      <c r="G35" s="134"/>
      <c r="H35" s="134"/>
      <c r="I35" s="134"/>
      <c r="J35" s="134"/>
      <c r="K35" s="134"/>
      <c r="L35" s="134"/>
      <c r="M35" s="134"/>
      <c r="N35" s="134"/>
      <c r="O35" s="134"/>
      <c r="P35" s="134"/>
      <c r="Q35" s="134"/>
      <c r="R35" s="134"/>
      <c r="S35" s="134"/>
      <c r="T35" s="134"/>
      <c r="U35" s="134"/>
      <c r="V35" s="134"/>
      <c r="W35" s="134"/>
    </row>
    <row r="36" spans="2:23" ht="20" customHeight="1">
      <c r="B36" s="134"/>
      <c r="C36" s="134"/>
      <c r="D36" s="134"/>
      <c r="E36" s="134"/>
      <c r="F36" s="134"/>
      <c r="G36" s="134"/>
      <c r="H36" s="134"/>
      <c r="I36" s="134"/>
      <c r="J36" s="134"/>
      <c r="K36" s="134"/>
      <c r="L36" s="134"/>
      <c r="M36" s="134"/>
      <c r="N36" s="134"/>
      <c r="O36" s="134"/>
      <c r="P36" s="134"/>
      <c r="Q36" s="134"/>
      <c r="R36" s="134"/>
      <c r="S36" s="134"/>
      <c r="T36" s="134"/>
      <c r="U36" s="134"/>
      <c r="V36" s="134"/>
      <c r="W36" s="134"/>
    </row>
    <row r="37" spans="2:23" ht="20" customHeight="1">
      <c r="B37" s="134"/>
      <c r="C37" s="134"/>
      <c r="D37" s="134"/>
      <c r="E37" s="134"/>
      <c r="F37" s="134"/>
      <c r="G37" s="134"/>
      <c r="H37" s="134"/>
      <c r="I37" s="134"/>
      <c r="J37" s="134"/>
      <c r="K37" s="134"/>
      <c r="L37" s="134"/>
      <c r="M37" s="134"/>
      <c r="N37" s="134"/>
      <c r="O37" s="134"/>
      <c r="P37" s="134"/>
      <c r="Q37" s="134"/>
      <c r="R37" s="134"/>
      <c r="S37" s="134"/>
      <c r="T37" s="134"/>
      <c r="U37" s="134"/>
      <c r="V37" s="134"/>
      <c r="W37" s="134"/>
    </row>
    <row r="38" spans="2:23" ht="20" customHeight="1">
      <c r="B38" s="134"/>
      <c r="C38" s="134"/>
      <c r="D38" s="134"/>
      <c r="E38" s="134"/>
      <c r="F38" s="134"/>
      <c r="G38" s="134"/>
      <c r="H38" s="134"/>
      <c r="I38" s="134"/>
      <c r="J38" s="134"/>
      <c r="K38" s="134"/>
      <c r="L38" s="134"/>
      <c r="M38" s="134"/>
      <c r="N38" s="134"/>
      <c r="O38" s="134"/>
      <c r="P38" s="134"/>
      <c r="Q38" s="134"/>
      <c r="R38" s="134"/>
      <c r="S38" s="134"/>
      <c r="T38" s="134"/>
      <c r="U38" s="134"/>
      <c r="V38" s="134"/>
      <c r="W38" s="134"/>
    </row>
    <row r="39" spans="2:23" ht="20" customHeight="1">
      <c r="B39" s="134"/>
      <c r="C39" s="134"/>
      <c r="D39" s="134"/>
      <c r="E39" s="134"/>
      <c r="F39" s="134"/>
      <c r="G39" s="134"/>
      <c r="H39" s="134"/>
      <c r="I39" s="134"/>
      <c r="J39" s="134"/>
      <c r="K39" s="134"/>
      <c r="L39" s="134"/>
      <c r="M39" s="134"/>
      <c r="N39" s="134"/>
      <c r="O39" s="134"/>
      <c r="P39" s="134"/>
      <c r="Q39" s="134"/>
      <c r="R39" s="134"/>
      <c r="S39" s="134"/>
      <c r="T39" s="134"/>
      <c r="U39" s="134"/>
      <c r="V39" s="134"/>
      <c r="W39" s="134"/>
    </row>
    <row r="40" spans="2:23" ht="20" customHeight="1">
      <c r="B40" s="134"/>
      <c r="C40" s="134"/>
      <c r="D40" s="134"/>
      <c r="E40" s="134"/>
      <c r="F40" s="134"/>
      <c r="G40" s="134"/>
      <c r="H40" s="134"/>
      <c r="I40" s="134"/>
      <c r="J40" s="134"/>
      <c r="K40" s="134"/>
      <c r="L40" s="134"/>
      <c r="M40" s="134"/>
      <c r="N40" s="134"/>
      <c r="O40" s="134"/>
      <c r="P40" s="134"/>
      <c r="Q40" s="134"/>
      <c r="R40" s="134"/>
      <c r="S40" s="134"/>
      <c r="T40" s="134"/>
      <c r="U40" s="134"/>
      <c r="V40" s="134"/>
      <c r="W40" s="134"/>
    </row>
    <row r="41" spans="2:23" ht="20" customHeight="1">
      <c r="B41" s="134"/>
      <c r="C41" s="134"/>
      <c r="D41" s="134"/>
      <c r="E41" s="134"/>
      <c r="F41" s="134"/>
      <c r="G41" s="134"/>
      <c r="H41" s="134"/>
      <c r="I41" s="134"/>
      <c r="J41" s="134"/>
      <c r="K41" s="134"/>
      <c r="L41" s="134"/>
      <c r="M41" s="134"/>
      <c r="N41" s="134"/>
      <c r="O41" s="134"/>
      <c r="P41" s="134"/>
      <c r="Q41" s="134"/>
      <c r="R41" s="134"/>
      <c r="S41" s="134"/>
      <c r="T41" s="134"/>
      <c r="U41" s="134"/>
      <c r="V41" s="134"/>
      <c r="W41" s="134"/>
    </row>
    <row r="42" spans="2:23" ht="20" customHeight="1">
      <c r="B42" s="134"/>
      <c r="C42" s="134"/>
      <c r="D42" s="134"/>
      <c r="E42" s="134"/>
      <c r="F42" s="134"/>
      <c r="G42" s="134"/>
      <c r="H42" s="134"/>
      <c r="I42" s="134"/>
      <c r="J42" s="134"/>
      <c r="K42" s="134"/>
      <c r="L42" s="134"/>
      <c r="M42" s="134"/>
      <c r="N42" s="134"/>
      <c r="O42" s="134"/>
      <c r="P42" s="134"/>
      <c r="Q42" s="134"/>
      <c r="R42" s="134"/>
      <c r="S42" s="134"/>
      <c r="T42" s="134"/>
      <c r="U42" s="134"/>
      <c r="V42" s="134"/>
      <c r="W42" s="134"/>
    </row>
    <row r="43" spans="2:23" ht="20" customHeight="1">
      <c r="B43" s="134"/>
      <c r="C43" s="134"/>
      <c r="D43" s="134"/>
      <c r="E43" s="134"/>
      <c r="F43" s="134"/>
      <c r="G43" s="134"/>
      <c r="H43" s="134"/>
      <c r="I43" s="134"/>
      <c r="J43" s="134"/>
      <c r="K43" s="134"/>
      <c r="L43" s="134"/>
      <c r="M43" s="134"/>
      <c r="N43" s="134"/>
      <c r="O43" s="134"/>
      <c r="P43" s="134"/>
      <c r="Q43" s="134"/>
      <c r="R43" s="134"/>
      <c r="S43" s="134"/>
      <c r="T43" s="134"/>
      <c r="U43" s="134"/>
      <c r="V43" s="134"/>
      <c r="W43" s="134"/>
    </row>
    <row r="44" spans="2:23" ht="20" customHeight="1">
      <c r="B44" s="134"/>
      <c r="C44" s="134"/>
      <c r="D44" s="134"/>
      <c r="E44" s="134"/>
      <c r="F44" s="134"/>
      <c r="G44" s="134"/>
      <c r="H44" s="134"/>
      <c r="I44" s="134"/>
      <c r="J44" s="134"/>
      <c r="K44" s="134"/>
      <c r="L44" s="134"/>
      <c r="M44" s="134"/>
      <c r="N44" s="134"/>
      <c r="O44" s="134"/>
      <c r="P44" s="134"/>
      <c r="Q44" s="134"/>
      <c r="R44" s="134"/>
      <c r="S44" s="134"/>
      <c r="T44" s="134"/>
      <c r="U44" s="134"/>
      <c r="V44" s="134"/>
      <c r="W44" s="134"/>
    </row>
    <row r="45" spans="2:23" ht="20" customHeight="1">
      <c r="B45" s="134"/>
      <c r="C45" s="134"/>
      <c r="D45" s="134"/>
      <c r="E45" s="134"/>
      <c r="F45" s="134"/>
      <c r="G45" s="134"/>
      <c r="H45" s="134"/>
      <c r="I45" s="134"/>
      <c r="J45" s="134"/>
      <c r="K45" s="134"/>
      <c r="L45" s="134"/>
      <c r="M45" s="134"/>
      <c r="N45" s="134"/>
      <c r="O45" s="134"/>
      <c r="P45" s="134"/>
      <c r="Q45" s="134"/>
      <c r="R45" s="134"/>
      <c r="S45" s="134"/>
      <c r="T45" s="134"/>
      <c r="U45" s="134"/>
      <c r="V45" s="134"/>
      <c r="W45" s="134"/>
    </row>
    <row r="46" spans="2:23" ht="20" customHeight="1">
      <c r="B46" s="134"/>
      <c r="C46" s="134"/>
      <c r="D46" s="134"/>
      <c r="E46" s="134"/>
      <c r="F46" s="134"/>
      <c r="G46" s="134"/>
      <c r="H46" s="134"/>
      <c r="I46" s="134"/>
      <c r="J46" s="134"/>
      <c r="K46" s="134"/>
      <c r="L46" s="134"/>
      <c r="M46" s="134"/>
      <c r="N46" s="134"/>
      <c r="O46" s="134"/>
      <c r="P46" s="134"/>
      <c r="Q46" s="134"/>
      <c r="R46" s="134"/>
      <c r="S46" s="134"/>
      <c r="T46" s="134"/>
      <c r="U46" s="134"/>
      <c r="V46" s="134"/>
      <c r="W46" s="134"/>
    </row>
    <row r="47" spans="2:23" ht="20" customHeight="1">
      <c r="B47" s="134"/>
      <c r="C47" s="134"/>
      <c r="D47" s="134"/>
      <c r="E47" s="134"/>
      <c r="F47" s="134"/>
      <c r="G47" s="134"/>
      <c r="H47" s="134"/>
      <c r="I47" s="134"/>
      <c r="J47" s="134"/>
      <c r="K47" s="134"/>
      <c r="L47" s="134"/>
      <c r="M47" s="134"/>
      <c r="N47" s="134"/>
      <c r="O47" s="134"/>
      <c r="P47" s="134"/>
      <c r="Q47" s="134"/>
      <c r="R47" s="134"/>
      <c r="S47" s="134"/>
      <c r="T47" s="134"/>
      <c r="U47" s="134"/>
      <c r="V47" s="134"/>
      <c r="W47" s="134"/>
    </row>
    <row r="48" spans="2:23" ht="20" customHeight="1">
      <c r="B48" s="134"/>
      <c r="C48" s="134"/>
      <c r="D48" s="134"/>
      <c r="E48" s="134"/>
      <c r="F48" s="134"/>
      <c r="G48" s="134"/>
      <c r="H48" s="134"/>
      <c r="I48" s="134"/>
      <c r="J48" s="134"/>
      <c r="K48" s="134"/>
      <c r="L48" s="134"/>
      <c r="M48" s="134"/>
      <c r="N48" s="134"/>
      <c r="O48" s="134"/>
      <c r="P48" s="134"/>
      <c r="Q48" s="134"/>
      <c r="R48" s="134"/>
      <c r="S48" s="134"/>
      <c r="T48" s="134"/>
      <c r="U48" s="134"/>
      <c r="V48" s="134"/>
      <c r="W48" s="134"/>
    </row>
    <row r="49" spans="2:23" ht="20" customHeight="1">
      <c r="B49" s="134"/>
      <c r="C49" s="134"/>
      <c r="D49" s="134"/>
      <c r="E49" s="134"/>
      <c r="F49" s="134"/>
      <c r="G49" s="134"/>
      <c r="H49" s="134"/>
      <c r="I49" s="134"/>
      <c r="J49" s="134"/>
      <c r="K49" s="134"/>
      <c r="L49" s="134"/>
      <c r="M49" s="134"/>
      <c r="N49" s="134"/>
      <c r="O49" s="134"/>
      <c r="P49" s="134"/>
      <c r="Q49" s="134"/>
      <c r="R49" s="134"/>
      <c r="S49" s="134"/>
      <c r="T49" s="134"/>
      <c r="U49" s="134"/>
      <c r="V49" s="134"/>
      <c r="W49" s="134"/>
    </row>
    <row r="50" spans="2:23" ht="20" customHeight="1">
      <c r="B50" s="134"/>
      <c r="C50" s="134"/>
      <c r="D50" s="134"/>
      <c r="E50" s="134"/>
      <c r="F50" s="134"/>
      <c r="G50" s="134"/>
      <c r="H50" s="134"/>
      <c r="I50" s="134"/>
      <c r="J50" s="134"/>
      <c r="K50" s="134"/>
      <c r="L50" s="134"/>
      <c r="M50" s="134"/>
      <c r="N50" s="134"/>
      <c r="O50" s="134"/>
      <c r="P50" s="134"/>
      <c r="Q50" s="134"/>
      <c r="R50" s="134"/>
      <c r="S50" s="134"/>
      <c r="T50" s="134"/>
      <c r="U50" s="134"/>
      <c r="V50" s="134"/>
      <c r="W50" s="134"/>
    </row>
    <row r="51" spans="2:23" ht="20" customHeight="1">
      <c r="B51" s="134"/>
      <c r="C51" s="134"/>
      <c r="D51" s="134"/>
      <c r="E51" s="134"/>
      <c r="F51" s="134"/>
      <c r="G51" s="134"/>
      <c r="H51" s="134"/>
      <c r="I51" s="134"/>
      <c r="J51" s="134"/>
      <c r="K51" s="134"/>
      <c r="L51" s="134"/>
      <c r="M51" s="134"/>
      <c r="N51" s="134"/>
      <c r="O51" s="134"/>
      <c r="P51" s="134"/>
      <c r="Q51" s="134"/>
      <c r="R51" s="134"/>
      <c r="S51" s="134"/>
      <c r="T51" s="134"/>
      <c r="U51" s="134"/>
      <c r="V51" s="134"/>
      <c r="W51" s="134"/>
    </row>
    <row r="52" spans="2:23" ht="20" customHeight="1">
      <c r="B52" s="134"/>
      <c r="C52" s="134"/>
      <c r="D52" s="134"/>
      <c r="E52" s="134"/>
      <c r="F52" s="134"/>
      <c r="G52" s="134"/>
      <c r="H52" s="134"/>
      <c r="I52" s="134"/>
      <c r="J52" s="134"/>
      <c r="K52" s="134"/>
      <c r="L52" s="134"/>
      <c r="M52" s="134"/>
      <c r="N52" s="134"/>
      <c r="O52" s="134"/>
      <c r="P52" s="134"/>
      <c r="Q52" s="134"/>
      <c r="R52" s="134"/>
      <c r="S52" s="134"/>
      <c r="T52" s="134"/>
      <c r="U52" s="134"/>
      <c r="V52" s="134"/>
      <c r="W52" s="134"/>
    </row>
    <row r="53" spans="2:23" ht="20" customHeight="1">
      <c r="B53" s="134"/>
      <c r="C53" s="134"/>
      <c r="D53" s="134"/>
      <c r="E53" s="134"/>
      <c r="F53" s="134"/>
      <c r="G53" s="134"/>
      <c r="H53" s="134"/>
      <c r="I53" s="134"/>
      <c r="J53" s="134"/>
      <c r="K53" s="134"/>
      <c r="L53" s="134"/>
      <c r="M53" s="134"/>
      <c r="N53" s="134"/>
      <c r="O53" s="134"/>
      <c r="P53" s="134"/>
      <c r="Q53" s="134"/>
      <c r="R53" s="134"/>
      <c r="S53" s="134"/>
      <c r="T53" s="134"/>
      <c r="U53" s="134"/>
      <c r="V53" s="134"/>
      <c r="W53" s="134"/>
    </row>
    <row r="54" spans="2:23" ht="20" customHeight="1">
      <c r="B54" s="134"/>
      <c r="C54" s="134"/>
      <c r="D54" s="134"/>
      <c r="E54" s="134"/>
      <c r="F54" s="134"/>
      <c r="G54" s="134"/>
      <c r="H54" s="134"/>
      <c r="I54" s="134"/>
      <c r="J54" s="134"/>
      <c r="K54" s="134"/>
      <c r="L54" s="134"/>
      <c r="M54" s="134"/>
      <c r="N54" s="134"/>
      <c r="O54" s="134"/>
      <c r="P54" s="134"/>
      <c r="Q54" s="134"/>
      <c r="R54" s="134"/>
      <c r="S54" s="134"/>
      <c r="T54" s="134"/>
      <c r="U54" s="134"/>
      <c r="V54" s="134"/>
      <c r="W54" s="134"/>
    </row>
  </sheetData>
  <sheetProtection formatCells="0" formatColumns="0" formatRows="0" insertRows="0" deleteColumns="0" deleteRows="0"/>
  <mergeCells count="2">
    <mergeCell ref="G4:J4"/>
    <mergeCell ref="G3:J3"/>
  </mergeCells>
  <phoneticPr fontId="8" type="noConversion"/>
  <dataValidations disablePrompts="1" count="1">
    <dataValidation type="list" allowBlank="1" showInputMessage="1" showErrorMessage="1" sqref="H6" xr:uid="{1E00743F-E189-8C49-9C7E-31285FAC05C4}">
      <formula1>$H$8:$H$9</formula1>
    </dataValidation>
  </dataValidations>
  <printOptions horizontalCentered="1"/>
  <pageMargins left="0.7" right="0.7" top="0.75" bottom="0.75" header="0.3" footer="0.3"/>
  <pageSetup scale="7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19BB-4FCC-4F60-B0E4-1813B599A19B}">
  <dimension ref="B2:F149"/>
  <sheetViews>
    <sheetView workbookViewId="0">
      <selection activeCell="F12" sqref="F12"/>
    </sheetView>
  </sheetViews>
  <sheetFormatPr baseColWidth="10" defaultColWidth="11" defaultRowHeight="16"/>
  <cols>
    <col min="2" max="2" width="23.1640625" bestFit="1" customWidth="1"/>
  </cols>
  <sheetData>
    <row r="2" spans="2:6">
      <c r="B2" s="333" t="s">
        <v>681</v>
      </c>
      <c r="C2" s="134"/>
      <c r="D2" s="134"/>
      <c r="E2" s="134"/>
      <c r="F2" s="134"/>
    </row>
    <row r="3" spans="2:6">
      <c r="B3" s="1" t="s">
        <v>682</v>
      </c>
      <c r="C3" s="1"/>
      <c r="D3" s="1"/>
      <c r="E3" s="1"/>
      <c r="F3" s="1"/>
    </row>
    <row r="4" spans="2:6">
      <c r="B4" s="41" t="s">
        <v>683</v>
      </c>
      <c r="C4" s="41" t="s">
        <v>54</v>
      </c>
      <c r="D4" s="41" t="s">
        <v>684</v>
      </c>
      <c r="E4" s="41" t="s">
        <v>556</v>
      </c>
      <c r="F4" s="41" t="s">
        <v>685</v>
      </c>
    </row>
    <row r="5" spans="2:6">
      <c r="B5" s="624" t="s">
        <v>687</v>
      </c>
      <c r="C5" s="623">
        <v>44566</v>
      </c>
      <c r="D5" s="271">
        <v>-1655.34</v>
      </c>
      <c r="E5" s="3" t="s">
        <v>59</v>
      </c>
      <c r="F5" s="134" t="s">
        <v>686</v>
      </c>
    </row>
    <row r="6" spans="2:6">
      <c r="B6" s="624" t="s">
        <v>687</v>
      </c>
      <c r="C6" s="623">
        <v>44603</v>
      </c>
      <c r="D6" s="271">
        <v>-1722.56</v>
      </c>
      <c r="E6" s="3" t="s">
        <v>59</v>
      </c>
      <c r="F6" s="134" t="s">
        <v>686</v>
      </c>
    </row>
    <row r="7" spans="2:6">
      <c r="B7" s="624" t="s">
        <v>687</v>
      </c>
      <c r="C7" s="623">
        <v>44655</v>
      </c>
      <c r="D7" s="271">
        <v>-7326.18</v>
      </c>
      <c r="E7" s="3" t="s">
        <v>59</v>
      </c>
      <c r="F7" s="134" t="s">
        <v>686</v>
      </c>
    </row>
    <row r="8" spans="2:6">
      <c r="B8" s="624" t="s">
        <v>687</v>
      </c>
      <c r="C8" s="623">
        <v>44663</v>
      </c>
      <c r="D8" s="271">
        <v>-6507.51</v>
      </c>
      <c r="E8" s="3" t="s">
        <v>59</v>
      </c>
      <c r="F8" s="134" t="s">
        <v>728</v>
      </c>
    </row>
    <row r="9" spans="2:6">
      <c r="B9" s="624" t="s">
        <v>687</v>
      </c>
      <c r="C9" s="623">
        <v>44664</v>
      </c>
      <c r="D9" s="271">
        <v>-7194.56</v>
      </c>
      <c r="E9" s="3" t="s">
        <v>59</v>
      </c>
      <c r="F9" s="134" t="s">
        <v>728</v>
      </c>
    </row>
    <row r="10" spans="2:6">
      <c r="B10" s="624" t="s">
        <v>687</v>
      </c>
      <c r="C10" s="623">
        <v>44693</v>
      </c>
      <c r="D10" s="271">
        <v>-15289.7</v>
      </c>
      <c r="E10" s="3" t="s">
        <v>59</v>
      </c>
      <c r="F10" s="134" t="s">
        <v>686</v>
      </c>
    </row>
    <row r="11" spans="2:6">
      <c r="B11" s="689" t="s">
        <v>816</v>
      </c>
      <c r="C11" s="623">
        <v>44841</v>
      </c>
      <c r="D11" s="271">
        <v>495716.84</v>
      </c>
      <c r="E11" s="3" t="s">
        <v>59</v>
      </c>
      <c r="F11" s="134" t="s">
        <v>817</v>
      </c>
    </row>
    <row r="12" spans="2:6">
      <c r="B12" s="624" t="s">
        <v>687</v>
      </c>
      <c r="C12" s="623">
        <v>44846</v>
      </c>
      <c r="D12" s="271">
        <v>-490296.76</v>
      </c>
      <c r="E12" s="3" t="s">
        <v>59</v>
      </c>
      <c r="F12" s="134" t="s">
        <v>818</v>
      </c>
    </row>
    <row r="13" spans="2:6">
      <c r="C13" s="623"/>
      <c r="D13" s="271"/>
      <c r="E13" s="3"/>
      <c r="F13" s="134"/>
    </row>
    <row r="14" spans="2:6">
      <c r="C14" s="623"/>
      <c r="D14" s="271"/>
      <c r="E14" s="3"/>
      <c r="F14" s="134"/>
    </row>
    <row r="15" spans="2:6">
      <c r="C15" s="623"/>
      <c r="D15" s="271"/>
      <c r="E15" s="3"/>
      <c r="F15" s="134"/>
    </row>
    <row r="16" spans="2:6">
      <c r="C16" s="623"/>
      <c r="D16" s="271"/>
      <c r="E16" s="3"/>
      <c r="F16" s="134"/>
    </row>
    <row r="17" spans="3:6">
      <c r="C17" s="623"/>
      <c r="D17" s="271"/>
      <c r="E17" s="3"/>
      <c r="F17" s="134"/>
    </row>
    <row r="18" spans="3:6">
      <c r="C18" s="623"/>
      <c r="D18" s="271"/>
      <c r="E18" s="3"/>
      <c r="F18" s="134"/>
    </row>
    <row r="19" spans="3:6">
      <c r="C19" s="623"/>
      <c r="D19" s="271"/>
      <c r="E19" s="3"/>
      <c r="F19" s="134"/>
    </row>
    <row r="20" spans="3:6">
      <c r="C20" s="623"/>
      <c r="D20" s="271"/>
      <c r="E20" s="3"/>
      <c r="F20" s="134"/>
    </row>
    <row r="21" spans="3:6">
      <c r="C21" s="623"/>
      <c r="D21" s="271"/>
      <c r="E21" s="3"/>
      <c r="F21" s="134"/>
    </row>
    <row r="22" spans="3:6">
      <c r="C22" s="623"/>
      <c r="D22" s="271"/>
      <c r="E22" s="3"/>
      <c r="F22" s="134"/>
    </row>
    <row r="23" spans="3:6">
      <c r="C23" s="623"/>
      <c r="D23" s="271"/>
      <c r="E23" s="3"/>
      <c r="F23" s="134"/>
    </row>
    <row r="24" spans="3:6">
      <c r="C24" s="623"/>
      <c r="D24" s="271"/>
      <c r="E24" s="3"/>
      <c r="F24" s="134"/>
    </row>
    <row r="25" spans="3:6">
      <c r="C25" s="623"/>
      <c r="D25" s="271"/>
      <c r="E25" s="3"/>
      <c r="F25" s="134"/>
    </row>
    <row r="26" spans="3:6">
      <c r="C26" s="623"/>
      <c r="D26" s="271"/>
      <c r="E26" s="3"/>
      <c r="F26" s="134"/>
    </row>
    <row r="27" spans="3:6">
      <c r="C27" s="623"/>
      <c r="D27" s="271"/>
      <c r="E27" s="3"/>
      <c r="F27" s="134"/>
    </row>
    <row r="28" spans="3:6">
      <c r="C28" s="623"/>
      <c r="D28" s="271"/>
      <c r="E28" s="3"/>
      <c r="F28" s="134"/>
    </row>
    <row r="29" spans="3:6">
      <c r="C29" s="623"/>
      <c r="D29" s="271"/>
      <c r="E29" s="3"/>
      <c r="F29" s="134"/>
    </row>
    <row r="30" spans="3:6">
      <c r="C30" s="623"/>
      <c r="D30" s="271"/>
      <c r="E30" s="3"/>
      <c r="F30" s="134"/>
    </row>
    <row r="31" spans="3:6">
      <c r="C31" s="623"/>
      <c r="D31" s="271"/>
      <c r="E31" s="3"/>
      <c r="F31" s="134"/>
    </row>
    <row r="32" spans="3:6">
      <c r="C32" s="623"/>
      <c r="D32" s="271"/>
      <c r="E32" s="3"/>
      <c r="F32" s="134"/>
    </row>
    <row r="33" spans="3:6">
      <c r="C33" s="623"/>
      <c r="D33" s="271"/>
      <c r="E33" s="3"/>
      <c r="F33" s="134"/>
    </row>
    <row r="34" spans="3:6">
      <c r="C34" s="623"/>
      <c r="D34" s="271"/>
      <c r="E34" s="3"/>
      <c r="F34" s="134"/>
    </row>
    <row r="35" spans="3:6">
      <c r="C35" s="623"/>
      <c r="D35" s="271"/>
      <c r="E35" s="3"/>
      <c r="F35" s="134"/>
    </row>
    <row r="36" spans="3:6">
      <c r="C36" s="623"/>
      <c r="D36" s="271"/>
      <c r="E36" s="3"/>
      <c r="F36" s="134"/>
    </row>
    <row r="37" spans="3:6">
      <c r="C37" s="623"/>
      <c r="D37" s="271"/>
      <c r="E37" s="3"/>
      <c r="F37" s="134"/>
    </row>
    <row r="38" spans="3:6">
      <c r="C38" s="623"/>
      <c r="D38" s="271"/>
      <c r="E38" s="3"/>
      <c r="F38" s="134"/>
    </row>
    <row r="39" spans="3:6">
      <c r="C39" s="623"/>
      <c r="D39" s="271"/>
      <c r="E39" s="3"/>
      <c r="F39" s="134"/>
    </row>
    <row r="40" spans="3:6">
      <c r="C40" s="623"/>
      <c r="D40" s="271"/>
      <c r="E40" s="3"/>
      <c r="F40" s="134"/>
    </row>
    <row r="41" spans="3:6">
      <c r="C41" s="623"/>
      <c r="D41" s="271"/>
      <c r="E41" s="3"/>
      <c r="F41" s="134"/>
    </row>
    <row r="42" spans="3:6">
      <c r="C42" s="623"/>
      <c r="D42" s="271"/>
      <c r="E42" s="3"/>
      <c r="F42" s="134"/>
    </row>
    <row r="43" spans="3:6">
      <c r="C43" s="623"/>
      <c r="D43" s="271"/>
      <c r="E43" s="3"/>
      <c r="F43" s="134"/>
    </row>
    <row r="44" spans="3:6">
      <c r="C44" s="623"/>
      <c r="D44" s="271"/>
      <c r="E44" s="3"/>
      <c r="F44" s="134"/>
    </row>
    <row r="45" spans="3:6">
      <c r="C45" s="623"/>
      <c r="D45" s="271"/>
      <c r="E45" s="3"/>
      <c r="F45" s="134"/>
    </row>
    <row r="46" spans="3:6">
      <c r="C46" s="623"/>
      <c r="D46" s="271"/>
      <c r="E46" s="3"/>
      <c r="F46" s="134"/>
    </row>
    <row r="47" spans="3:6">
      <c r="C47" s="623"/>
      <c r="D47" s="271"/>
      <c r="E47" s="3"/>
      <c r="F47" s="134"/>
    </row>
    <row r="48" spans="3:6">
      <c r="C48" s="623"/>
      <c r="D48" s="271"/>
      <c r="E48" s="3"/>
      <c r="F48" s="134"/>
    </row>
    <row r="49" spans="3:6">
      <c r="C49" s="623"/>
      <c r="D49" s="271"/>
      <c r="E49" s="3"/>
      <c r="F49" s="134"/>
    </row>
    <row r="50" spans="3:6">
      <c r="C50" s="623"/>
      <c r="D50" s="271"/>
      <c r="E50" s="3"/>
      <c r="F50" s="134"/>
    </row>
    <row r="51" spans="3:6">
      <c r="C51" s="623"/>
      <c r="D51" s="271"/>
      <c r="E51" s="3"/>
      <c r="F51" s="134"/>
    </row>
    <row r="52" spans="3:6">
      <c r="C52" s="623"/>
      <c r="D52" s="271"/>
      <c r="E52" s="3"/>
      <c r="F52" s="134"/>
    </row>
    <row r="53" spans="3:6">
      <c r="C53" s="623"/>
      <c r="D53" s="271"/>
      <c r="E53" s="3"/>
      <c r="F53" s="134"/>
    </row>
    <row r="54" spans="3:6">
      <c r="C54" s="623"/>
      <c r="D54" s="271"/>
      <c r="E54" s="3"/>
      <c r="F54" s="134"/>
    </row>
    <row r="55" spans="3:6">
      <c r="C55" s="623"/>
      <c r="D55" s="271"/>
      <c r="E55" s="3"/>
      <c r="F55" s="134"/>
    </row>
    <row r="56" spans="3:6">
      <c r="C56" s="623"/>
      <c r="D56" s="271"/>
      <c r="E56" s="3"/>
      <c r="F56" s="134"/>
    </row>
    <row r="57" spans="3:6">
      <c r="C57" s="623"/>
      <c r="D57" s="271"/>
      <c r="E57" s="3"/>
      <c r="F57" s="134"/>
    </row>
    <row r="58" spans="3:6">
      <c r="C58" s="623"/>
      <c r="D58" s="271"/>
      <c r="E58" s="3"/>
      <c r="F58" s="134"/>
    </row>
    <row r="59" spans="3:6">
      <c r="C59" s="623"/>
      <c r="D59" s="271"/>
      <c r="E59" s="3"/>
      <c r="F59" s="134"/>
    </row>
    <row r="60" spans="3:6">
      <c r="C60" s="623"/>
      <c r="D60" s="271"/>
      <c r="E60" s="3"/>
      <c r="F60" s="134"/>
    </row>
    <row r="61" spans="3:6">
      <c r="C61" s="623"/>
      <c r="D61" s="271"/>
      <c r="E61" s="3"/>
      <c r="F61" s="134"/>
    </row>
    <row r="62" spans="3:6">
      <c r="C62" s="623"/>
      <c r="D62" s="271"/>
      <c r="E62" s="3"/>
      <c r="F62" s="134"/>
    </row>
    <row r="63" spans="3:6">
      <c r="C63" s="623"/>
      <c r="D63" s="271"/>
      <c r="E63" s="3"/>
      <c r="F63" s="134"/>
    </row>
    <row r="64" spans="3:6">
      <c r="C64" s="623"/>
      <c r="D64" s="271"/>
      <c r="E64" s="3"/>
      <c r="F64" s="134"/>
    </row>
    <row r="65" spans="3:6">
      <c r="C65" s="623"/>
      <c r="D65" s="271"/>
      <c r="E65" s="3"/>
      <c r="F65" s="134"/>
    </row>
    <row r="66" spans="3:6">
      <c r="C66" s="623"/>
      <c r="D66" s="271"/>
      <c r="E66" s="3"/>
      <c r="F66" s="134"/>
    </row>
    <row r="67" spans="3:6">
      <c r="C67" s="623"/>
      <c r="D67" s="271"/>
      <c r="E67" s="3"/>
      <c r="F67" s="134"/>
    </row>
    <row r="68" spans="3:6">
      <c r="C68" s="623"/>
      <c r="D68" s="271"/>
      <c r="E68" s="3"/>
      <c r="F68" s="134"/>
    </row>
    <row r="69" spans="3:6">
      <c r="C69" s="623"/>
      <c r="D69" s="271"/>
      <c r="E69" s="3"/>
      <c r="F69" s="134"/>
    </row>
    <row r="70" spans="3:6">
      <c r="C70" s="623"/>
      <c r="D70" s="271"/>
      <c r="E70" s="3"/>
      <c r="F70" s="134"/>
    </row>
    <row r="71" spans="3:6">
      <c r="C71" s="623"/>
      <c r="D71" s="271"/>
      <c r="E71" s="3"/>
      <c r="F71" s="134"/>
    </row>
    <row r="72" spans="3:6">
      <c r="C72" s="623"/>
      <c r="D72" s="271"/>
      <c r="E72" s="3"/>
      <c r="F72" s="134"/>
    </row>
    <row r="73" spans="3:6">
      <c r="C73" s="623"/>
      <c r="D73" s="271"/>
      <c r="E73" s="3"/>
      <c r="F73" s="134"/>
    </row>
    <row r="74" spans="3:6">
      <c r="C74" s="623"/>
      <c r="D74" s="271"/>
      <c r="E74" s="3"/>
      <c r="F74" s="134"/>
    </row>
    <row r="75" spans="3:6">
      <c r="C75" s="623"/>
      <c r="D75" s="271"/>
      <c r="E75" s="3"/>
      <c r="F75" s="134"/>
    </row>
    <row r="76" spans="3:6">
      <c r="C76" s="623"/>
      <c r="D76" s="271"/>
      <c r="E76" s="3"/>
      <c r="F76" s="134"/>
    </row>
    <row r="77" spans="3:6">
      <c r="C77" s="623"/>
      <c r="D77" s="271"/>
      <c r="E77" s="3"/>
      <c r="F77" s="134"/>
    </row>
    <row r="78" spans="3:6">
      <c r="C78" s="623"/>
      <c r="D78" s="271"/>
      <c r="E78" s="3"/>
      <c r="F78" s="134"/>
    </row>
    <row r="79" spans="3:6">
      <c r="C79" s="623"/>
      <c r="D79" s="271"/>
      <c r="E79" s="3"/>
      <c r="F79" s="134"/>
    </row>
    <row r="80" spans="3:6">
      <c r="C80" s="623"/>
      <c r="D80" s="271"/>
      <c r="E80" s="3"/>
      <c r="F80" s="134"/>
    </row>
    <row r="81" spans="3:6">
      <c r="C81" s="623"/>
      <c r="D81" s="271"/>
      <c r="E81" s="3"/>
      <c r="F81" s="134"/>
    </row>
    <row r="82" spans="3:6">
      <c r="C82" s="623"/>
      <c r="D82" s="271"/>
      <c r="E82" s="3"/>
      <c r="F82" s="134"/>
    </row>
    <row r="83" spans="3:6">
      <c r="C83" s="623"/>
      <c r="D83" s="271"/>
      <c r="E83" s="3"/>
      <c r="F83" s="134"/>
    </row>
    <row r="84" spans="3:6">
      <c r="C84" s="623"/>
      <c r="D84" s="271"/>
      <c r="E84" s="3"/>
      <c r="F84" s="134"/>
    </row>
    <row r="85" spans="3:6">
      <c r="C85" s="623"/>
      <c r="D85" s="271"/>
      <c r="E85" s="3"/>
      <c r="F85" s="134"/>
    </row>
    <row r="86" spans="3:6">
      <c r="C86" s="623"/>
      <c r="D86" s="271"/>
      <c r="E86" s="3"/>
      <c r="F86" s="134"/>
    </row>
    <row r="87" spans="3:6">
      <c r="C87" s="623"/>
      <c r="D87" s="271"/>
      <c r="E87" s="3"/>
      <c r="F87" s="134"/>
    </row>
    <row r="88" spans="3:6">
      <c r="C88" s="623"/>
      <c r="D88" s="271"/>
      <c r="E88" s="3"/>
      <c r="F88" s="134"/>
    </row>
    <row r="89" spans="3:6">
      <c r="C89" s="623"/>
      <c r="D89" s="271"/>
      <c r="E89" s="3"/>
      <c r="F89" s="134"/>
    </row>
    <row r="90" spans="3:6">
      <c r="C90" s="623"/>
      <c r="D90" s="271"/>
      <c r="E90" s="3"/>
      <c r="F90" s="134"/>
    </row>
    <row r="91" spans="3:6">
      <c r="C91" s="623"/>
      <c r="D91" s="271"/>
      <c r="E91" s="3"/>
      <c r="F91" s="134"/>
    </row>
    <row r="92" spans="3:6">
      <c r="C92" s="623"/>
      <c r="D92" s="271"/>
      <c r="E92" s="3"/>
      <c r="F92" s="134"/>
    </row>
    <row r="93" spans="3:6">
      <c r="C93" s="623"/>
      <c r="D93" s="271"/>
      <c r="E93" s="3"/>
      <c r="F93" s="134"/>
    </row>
    <row r="94" spans="3:6">
      <c r="C94" s="623"/>
      <c r="D94" s="271"/>
      <c r="E94" s="3"/>
      <c r="F94" s="134"/>
    </row>
    <row r="95" spans="3:6">
      <c r="C95" s="623"/>
      <c r="D95" s="271"/>
      <c r="E95" s="3"/>
      <c r="F95" s="134"/>
    </row>
    <row r="96" spans="3:6">
      <c r="C96" s="623"/>
      <c r="D96" s="271"/>
      <c r="E96" s="3"/>
      <c r="F96" s="134"/>
    </row>
    <row r="97" spans="3:6">
      <c r="C97" s="623"/>
      <c r="D97" s="271"/>
      <c r="E97" s="3"/>
      <c r="F97" s="134"/>
    </row>
    <row r="98" spans="3:6">
      <c r="C98" s="623"/>
      <c r="D98" s="271"/>
      <c r="E98" s="3"/>
      <c r="F98" s="134"/>
    </row>
    <row r="99" spans="3:6">
      <c r="C99" s="623"/>
      <c r="D99" s="271"/>
      <c r="E99" s="3"/>
      <c r="F99" s="134"/>
    </row>
    <row r="100" spans="3:6">
      <c r="C100" s="623"/>
      <c r="D100" s="271"/>
      <c r="E100" s="3"/>
      <c r="F100" s="134"/>
    </row>
    <row r="101" spans="3:6">
      <c r="C101" s="623"/>
      <c r="D101" s="271"/>
      <c r="E101" s="3"/>
      <c r="F101" s="134"/>
    </row>
    <row r="102" spans="3:6">
      <c r="C102" s="623"/>
      <c r="D102" s="271"/>
      <c r="E102" s="3"/>
      <c r="F102" s="134"/>
    </row>
    <row r="103" spans="3:6">
      <c r="C103" s="623"/>
      <c r="D103" s="271"/>
      <c r="E103" s="3"/>
      <c r="F103" s="134"/>
    </row>
    <row r="104" spans="3:6">
      <c r="C104" s="623"/>
      <c r="D104" s="271"/>
      <c r="E104" s="3"/>
      <c r="F104" s="134"/>
    </row>
    <row r="105" spans="3:6">
      <c r="C105" s="623"/>
      <c r="D105" s="271"/>
      <c r="E105" s="3"/>
      <c r="F105" s="134"/>
    </row>
    <row r="106" spans="3:6">
      <c r="C106" s="623"/>
      <c r="D106" s="271"/>
      <c r="E106" s="3"/>
      <c r="F106" s="134"/>
    </row>
    <row r="107" spans="3:6">
      <c r="C107" s="623"/>
      <c r="D107" s="271"/>
      <c r="E107" s="3"/>
      <c r="F107" s="134"/>
    </row>
    <row r="108" spans="3:6">
      <c r="C108" s="623"/>
      <c r="D108" s="271"/>
      <c r="E108" s="3"/>
      <c r="F108" s="134"/>
    </row>
    <row r="109" spans="3:6">
      <c r="C109" s="623"/>
      <c r="D109" s="271"/>
      <c r="E109" s="3"/>
      <c r="F109" s="134"/>
    </row>
    <row r="110" spans="3:6">
      <c r="C110" s="623"/>
      <c r="D110" s="271"/>
      <c r="E110" s="3"/>
      <c r="F110" s="134"/>
    </row>
    <row r="111" spans="3:6">
      <c r="C111" s="623"/>
      <c r="D111" s="271"/>
      <c r="E111" s="3"/>
      <c r="F111" s="134"/>
    </row>
    <row r="112" spans="3:6">
      <c r="C112" s="623"/>
      <c r="D112" s="271"/>
      <c r="E112" s="3"/>
      <c r="F112" s="134"/>
    </row>
    <row r="113" spans="3:6">
      <c r="C113" s="623"/>
      <c r="D113" s="271"/>
      <c r="E113" s="3"/>
      <c r="F113" s="134"/>
    </row>
    <row r="114" spans="3:6">
      <c r="C114" s="623"/>
      <c r="D114" s="271"/>
      <c r="E114" s="3"/>
      <c r="F114" s="134"/>
    </row>
    <row r="115" spans="3:6">
      <c r="C115" s="623"/>
      <c r="D115" s="271"/>
      <c r="E115" s="3"/>
      <c r="F115" s="134"/>
    </row>
    <row r="116" spans="3:6">
      <c r="C116" s="623"/>
      <c r="D116" s="271"/>
      <c r="E116" s="3"/>
      <c r="F116" s="134"/>
    </row>
    <row r="117" spans="3:6">
      <c r="C117" s="623"/>
      <c r="D117" s="271"/>
      <c r="E117" s="3"/>
      <c r="F117" s="134"/>
    </row>
    <row r="118" spans="3:6">
      <c r="C118" s="623"/>
      <c r="D118" s="271"/>
      <c r="E118" s="3"/>
      <c r="F118" s="134"/>
    </row>
    <row r="119" spans="3:6">
      <c r="C119" s="623"/>
      <c r="D119" s="271"/>
      <c r="E119" s="3"/>
      <c r="F119" s="134"/>
    </row>
    <row r="120" spans="3:6">
      <c r="C120" s="623"/>
      <c r="D120" s="271"/>
      <c r="E120" s="3"/>
      <c r="F120" s="134"/>
    </row>
    <row r="121" spans="3:6">
      <c r="C121" s="623"/>
      <c r="D121" s="271"/>
      <c r="E121" s="3"/>
      <c r="F121" s="134"/>
    </row>
    <row r="122" spans="3:6">
      <c r="C122" s="623"/>
      <c r="D122" s="271"/>
      <c r="E122" s="3"/>
      <c r="F122" s="134"/>
    </row>
    <row r="123" spans="3:6">
      <c r="C123" s="623"/>
      <c r="D123" s="271"/>
      <c r="E123" s="3"/>
      <c r="F123" s="134"/>
    </row>
    <row r="124" spans="3:6">
      <c r="C124" s="623"/>
      <c r="D124" s="271"/>
      <c r="E124" s="3"/>
      <c r="F124" s="134"/>
    </row>
    <row r="125" spans="3:6">
      <c r="C125" s="623"/>
      <c r="D125" s="271"/>
      <c r="E125" s="3"/>
      <c r="F125" s="134"/>
    </row>
    <row r="126" spans="3:6">
      <c r="C126" s="623"/>
      <c r="D126" s="271"/>
      <c r="E126" s="3"/>
      <c r="F126" s="134"/>
    </row>
    <row r="127" spans="3:6">
      <c r="C127" s="623"/>
      <c r="D127" s="271"/>
      <c r="E127" s="3"/>
      <c r="F127" s="134"/>
    </row>
    <row r="128" spans="3:6">
      <c r="C128" s="623"/>
      <c r="D128" s="271"/>
      <c r="E128" s="3"/>
      <c r="F128" s="134"/>
    </row>
    <row r="129" spans="3:6">
      <c r="C129" s="623"/>
      <c r="D129" s="271"/>
      <c r="E129" s="3"/>
      <c r="F129" s="134"/>
    </row>
    <row r="130" spans="3:6">
      <c r="C130" s="623"/>
      <c r="D130" s="271"/>
      <c r="E130" s="3"/>
      <c r="F130" s="134"/>
    </row>
    <row r="131" spans="3:6">
      <c r="C131" s="623"/>
      <c r="D131" s="271"/>
      <c r="E131" s="3"/>
      <c r="F131" s="134"/>
    </row>
    <row r="132" spans="3:6">
      <c r="C132" s="623"/>
      <c r="D132" s="271"/>
      <c r="E132" s="3"/>
      <c r="F132" s="134"/>
    </row>
    <row r="133" spans="3:6">
      <c r="C133" s="623"/>
      <c r="D133" s="271"/>
      <c r="E133" s="3"/>
      <c r="F133" s="134"/>
    </row>
    <row r="134" spans="3:6">
      <c r="C134" s="623"/>
      <c r="D134" s="271"/>
      <c r="E134" s="3"/>
      <c r="F134" s="134"/>
    </row>
    <row r="135" spans="3:6">
      <c r="C135" s="623"/>
      <c r="D135" s="271"/>
      <c r="E135" s="3"/>
      <c r="F135" s="134"/>
    </row>
    <row r="136" spans="3:6">
      <c r="C136" s="623"/>
      <c r="D136" s="271"/>
      <c r="E136" s="3"/>
      <c r="F136" s="134"/>
    </row>
    <row r="137" spans="3:6">
      <c r="C137" s="623"/>
      <c r="D137" s="271"/>
      <c r="E137" s="3"/>
      <c r="F137" s="134"/>
    </row>
    <row r="138" spans="3:6">
      <c r="C138" s="623"/>
      <c r="D138" s="271"/>
      <c r="E138" s="3"/>
      <c r="F138" s="134"/>
    </row>
    <row r="139" spans="3:6">
      <c r="C139" s="623"/>
      <c r="D139" s="271"/>
      <c r="E139" s="3"/>
      <c r="F139" s="134"/>
    </row>
    <row r="140" spans="3:6">
      <c r="C140" s="623"/>
      <c r="D140" s="271"/>
      <c r="E140" s="3"/>
      <c r="F140" s="134"/>
    </row>
    <row r="141" spans="3:6">
      <c r="C141" s="623"/>
      <c r="D141" s="271"/>
      <c r="E141" s="3"/>
      <c r="F141" s="134"/>
    </row>
    <row r="142" spans="3:6">
      <c r="C142" s="623"/>
      <c r="D142" s="271"/>
      <c r="E142" s="3"/>
      <c r="F142" s="134"/>
    </row>
    <row r="143" spans="3:6">
      <c r="C143" s="623"/>
      <c r="D143" s="271"/>
      <c r="E143" s="3"/>
      <c r="F143" s="134"/>
    </row>
    <row r="144" spans="3:6">
      <c r="C144" s="623"/>
      <c r="D144" s="271"/>
      <c r="E144" s="3"/>
      <c r="F144" s="134"/>
    </row>
    <row r="145" spans="3:6">
      <c r="C145" s="623"/>
      <c r="D145" s="271"/>
      <c r="E145" s="3"/>
      <c r="F145" s="134"/>
    </row>
    <row r="146" spans="3:6">
      <c r="C146" s="623"/>
      <c r="D146" s="271"/>
      <c r="E146" s="3"/>
      <c r="F146" s="134"/>
    </row>
    <row r="147" spans="3:6">
      <c r="C147" s="623"/>
      <c r="D147" s="271"/>
      <c r="E147" s="3"/>
      <c r="F147" s="134"/>
    </row>
    <row r="148" spans="3:6">
      <c r="C148" s="623"/>
      <c r="D148" s="271"/>
      <c r="E148" s="3"/>
      <c r="F148" s="134"/>
    </row>
    <row r="149" spans="3:6">
      <c r="C149" s="623"/>
      <c r="D149" s="271"/>
      <c r="E149" s="3"/>
      <c r="F149" s="1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3:I24"/>
  <sheetViews>
    <sheetView view="pageBreakPreview" zoomScale="90" zoomScaleNormal="110" zoomScaleSheetLayoutView="90" zoomScalePageLayoutView="80" workbookViewId="0">
      <pane ySplit="8" topLeftCell="A13" activePane="bottomLeft" state="frozen"/>
      <selection pane="bottomLeft" activeCell="E16" sqref="E16"/>
    </sheetView>
  </sheetViews>
  <sheetFormatPr baseColWidth="10" defaultColWidth="10.83203125" defaultRowHeight="23" customHeight="1"/>
  <cols>
    <col min="1" max="1" width="10.83203125" style="1"/>
    <col min="2" max="2" width="3.83203125" style="3" customWidth="1"/>
    <col min="3" max="3" width="67.33203125" style="1" customWidth="1"/>
    <col min="4" max="4" width="4.83203125" style="1" customWidth="1"/>
    <col min="5" max="5" width="23.5" style="1" customWidth="1"/>
    <col min="6" max="6" width="4.1640625" style="1" customWidth="1"/>
    <col min="7" max="7" width="14" style="1" bestFit="1" customWidth="1"/>
    <col min="8" max="8" width="10.83203125" style="1"/>
    <col min="9" max="9" width="23" style="1" customWidth="1"/>
    <col min="10" max="16384" width="10.83203125" style="1"/>
  </cols>
  <sheetData>
    <row r="3" spans="2:9" ht="23" customHeight="1">
      <c r="B3" s="746" t="s">
        <v>688</v>
      </c>
      <c r="C3" s="746"/>
      <c r="D3" s="746"/>
      <c r="E3" s="746"/>
      <c r="F3" s="746"/>
      <c r="G3" s="746"/>
    </row>
    <row r="4" spans="2:9" ht="23" customHeight="1">
      <c r="B4" s="747" t="s">
        <v>233</v>
      </c>
      <c r="C4" s="747"/>
      <c r="D4" s="747"/>
      <c r="E4" s="747"/>
      <c r="F4" s="747"/>
      <c r="G4" s="747"/>
    </row>
    <row r="5" spans="2:9" ht="23" customHeight="1">
      <c r="B5" s="748" t="s">
        <v>678</v>
      </c>
      <c r="C5" s="748"/>
      <c r="D5" s="748"/>
      <c r="E5" s="748"/>
      <c r="F5" s="748"/>
      <c r="G5" s="748"/>
    </row>
    <row r="6" spans="2:9" ht="14" customHeight="1">
      <c r="B6" s="22" t="s">
        <v>672</v>
      </c>
      <c r="C6" s="23"/>
      <c r="D6" s="24"/>
      <c r="E6" s="23"/>
      <c r="F6" s="22"/>
      <c r="G6" s="23"/>
    </row>
    <row r="7" spans="2:9" ht="22" customHeight="1">
      <c r="B7" s="31"/>
      <c r="C7" s="32"/>
      <c r="D7" s="31"/>
      <c r="E7" s="32"/>
      <c r="F7" s="31"/>
      <c r="G7" s="32"/>
    </row>
    <row r="8" spans="2:9" ht="30">
      <c r="B8" s="27"/>
      <c r="C8" s="28"/>
      <c r="D8" s="27"/>
      <c r="E8" s="29" t="s">
        <v>251</v>
      </c>
      <c r="F8" s="30"/>
      <c r="G8" s="29" t="s">
        <v>271</v>
      </c>
      <c r="I8" s="41" t="s">
        <v>622</v>
      </c>
    </row>
    <row r="9" spans="2:9" ht="23" customHeight="1">
      <c r="B9" s="10"/>
      <c r="C9" s="11"/>
      <c r="D9" s="10"/>
      <c r="E9" s="12"/>
      <c r="F9" s="9"/>
      <c r="G9" s="9"/>
    </row>
    <row r="10" spans="2:9" ht="23" customHeight="1">
      <c r="B10" s="8" t="s">
        <v>13</v>
      </c>
      <c r="C10" s="13" t="str">
        <f>+'1 Ingresos Acum &amp; No Acum'!E48</f>
        <v>Total de Ingresos acumulables sujetos a tarifa</v>
      </c>
      <c r="D10" s="10"/>
      <c r="E10" s="14">
        <f>+'1 Ingresos Acum &amp; No Acum'!K48</f>
        <v>0</v>
      </c>
      <c r="F10" s="9"/>
      <c r="G10" s="15">
        <v>0.35</v>
      </c>
      <c r="I10" s="539">
        <f>+E10*G10</f>
        <v>0</v>
      </c>
    </row>
    <row r="11" spans="2:9" ht="23" customHeight="1">
      <c r="B11" s="10"/>
      <c r="C11" s="11"/>
      <c r="D11" s="10"/>
      <c r="E11" s="14"/>
      <c r="F11" s="9"/>
      <c r="G11" s="9"/>
    </row>
    <row r="12" spans="2:9" ht="23" customHeight="1">
      <c r="B12" s="8" t="s">
        <v>16</v>
      </c>
      <c r="C12" s="11" t="s">
        <v>25</v>
      </c>
      <c r="D12" s="10"/>
      <c r="E12" s="14">
        <f>+'1 Ingresos Acum &amp; No Acum'!K79</f>
        <v>93174.662638000009</v>
      </c>
      <c r="F12" s="9"/>
      <c r="G12" s="9"/>
      <c r="I12" s="539">
        <f>-E12</f>
        <v>-93174.662638000009</v>
      </c>
    </row>
    <row r="13" spans="2:9" ht="23" customHeight="1">
      <c r="B13" s="10"/>
      <c r="C13" s="11"/>
      <c r="D13" s="10"/>
      <c r="E13" s="14"/>
      <c r="F13" s="9"/>
      <c r="G13" s="9"/>
    </row>
    <row r="14" spans="2:9" ht="23" customHeight="1">
      <c r="B14" s="8" t="s">
        <v>18</v>
      </c>
      <c r="C14" s="11" t="str">
        <f>+'2 Ingresos BMV &amp; SIC'!D10</f>
        <v>Total de ingresos en enajenación de bienes BMV &amp; SIC</v>
      </c>
      <c r="D14" s="10"/>
      <c r="E14" s="14">
        <f>+'2 Ingresos BMV &amp; SIC'!J10</f>
        <v>-26255310.344723932</v>
      </c>
      <c r="F14" s="9"/>
      <c r="G14" s="15">
        <v>0.1</v>
      </c>
      <c r="I14" s="539">
        <f>+E14*G14</f>
        <v>-2625531.0344723933</v>
      </c>
    </row>
    <row r="15" spans="2:9" ht="23" customHeight="1">
      <c r="B15" s="10"/>
      <c r="C15" s="11"/>
      <c r="D15" s="10"/>
      <c r="E15" s="14"/>
      <c r="F15" s="9"/>
      <c r="G15" s="9"/>
    </row>
    <row r="16" spans="2:9" ht="47" customHeight="1">
      <c r="B16" s="8" t="s">
        <v>19</v>
      </c>
      <c r="C16" s="13" t="str">
        <f>+'3 Ingresos 10% Ad - Dividendos'!D17</f>
        <v>Ingresos sujetos al 10% adicional por dividendos y utilidades del extranjero ( 1- 2 )</v>
      </c>
      <c r="D16" s="10"/>
      <c r="E16" s="14">
        <f>+'3 Ingresos 10% Ad - Dividendos'!J17</f>
        <v>291450.84909100004</v>
      </c>
      <c r="F16" s="9"/>
      <c r="G16" s="15">
        <v>0.1</v>
      </c>
      <c r="I16" s="539">
        <f>+E16*G16</f>
        <v>29145.084909100005</v>
      </c>
    </row>
    <row r="17" spans="2:9" ht="23" customHeight="1">
      <c r="B17" s="10"/>
      <c r="C17" s="11"/>
      <c r="D17" s="10"/>
      <c r="E17" s="16"/>
      <c r="F17" s="9"/>
      <c r="G17" s="9"/>
    </row>
    <row r="18" spans="2:9" ht="23" customHeight="1">
      <c r="B18" s="10"/>
      <c r="C18" s="17"/>
      <c r="D18" s="18"/>
      <c r="E18" s="19"/>
      <c r="F18" s="20"/>
      <c r="G18" s="9"/>
      <c r="I18" s="111">
        <f>SUM(I10:I16)</f>
        <v>-2689560.6122012935</v>
      </c>
    </row>
    <row r="19" spans="2:9" ht="23" customHeight="1">
      <c r="B19" s="10"/>
      <c r="C19" s="17"/>
      <c r="D19" s="18"/>
      <c r="E19" s="19"/>
      <c r="F19" s="20"/>
      <c r="G19" s="9"/>
    </row>
    <row r="20" spans="2:9" ht="23" customHeight="1">
      <c r="C20" s="21"/>
      <c r="D20" s="21"/>
      <c r="E20" s="21"/>
      <c r="F20" s="21"/>
    </row>
    <row r="21" spans="2:9" ht="23" customHeight="1">
      <c r="C21" s="21"/>
      <c r="D21" s="21"/>
      <c r="E21" s="21"/>
      <c r="F21" s="21"/>
    </row>
    <row r="22" spans="2:9" ht="23" customHeight="1">
      <c r="C22" s="21"/>
      <c r="D22" s="21"/>
      <c r="E22" s="21"/>
      <c r="F22" s="21"/>
    </row>
    <row r="23" spans="2:9" ht="23" customHeight="1">
      <c r="C23" s="21"/>
      <c r="D23" s="21"/>
      <c r="E23" s="21"/>
      <c r="F23" s="21"/>
    </row>
    <row r="24" spans="2:9" ht="23" customHeight="1">
      <c r="C24" s="21"/>
      <c r="D24" s="21"/>
      <c r="E24" s="21"/>
      <c r="F24" s="21"/>
    </row>
  </sheetData>
  <sheetProtection formatCells="0" formatColumns="0" formatRows="0"/>
  <mergeCells count="3">
    <mergeCell ref="B3:G3"/>
    <mergeCell ref="B4:G4"/>
    <mergeCell ref="B5:G5"/>
  </mergeCells>
  <phoneticPr fontId="8" type="noConversion"/>
  <printOptions horizontalCentered="1"/>
  <pageMargins left="0.70866141732283472" right="0.70866141732283472" top="0.74803149606299213" bottom="0.74803149606299213" header="0.31496062992125984" footer="0.31496062992125984"/>
  <pageSetup scale="72"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Q83"/>
  <sheetViews>
    <sheetView view="pageBreakPreview" topLeftCell="A46" zoomScaleNormal="100" zoomScaleSheetLayoutView="100" zoomScalePageLayoutView="140" workbookViewId="0">
      <selection activeCell="K45" sqref="K45"/>
    </sheetView>
  </sheetViews>
  <sheetFormatPr baseColWidth="10" defaultColWidth="10.83203125" defaultRowHeight="23" customHeight="1"/>
  <cols>
    <col min="1" max="1" width="10.83203125" style="1"/>
    <col min="2" max="2" width="4.33203125" style="3" customWidth="1"/>
    <col min="3" max="4" width="3.5" style="1" customWidth="1"/>
    <col min="5" max="5" width="68.33203125" style="1" customWidth="1"/>
    <col min="6" max="6" width="3.83203125" style="1" hidden="1" customWidth="1"/>
    <col min="7" max="7" width="21" style="1" hidden="1" customWidth="1"/>
    <col min="8" max="8" width="3.83203125" style="1" hidden="1" customWidth="1"/>
    <col min="9" max="9" width="21" style="1" hidden="1" customWidth="1"/>
    <col min="10" max="10" width="5" style="3" customWidth="1"/>
    <col min="11" max="11" width="21.1640625" style="1" customWidth="1"/>
    <col min="12" max="12" width="15" style="1" customWidth="1"/>
    <col min="13" max="13" width="20.1640625" style="1" customWidth="1"/>
    <col min="14" max="14" width="24" style="1" customWidth="1"/>
    <col min="15" max="15" width="21.1640625" style="1" customWidth="1"/>
    <col min="16" max="16" width="18.33203125" style="1" customWidth="1"/>
    <col min="17" max="16384" width="10.83203125" style="1"/>
  </cols>
  <sheetData>
    <row r="2" spans="2:11" ht="23" customHeight="1">
      <c r="B2" s="746" t="str">
        <f>'Sumaria Ingresos'!B3:E3</f>
        <v>EZEQUIEL INVESTMENTS LP</v>
      </c>
      <c r="C2" s="746"/>
      <c r="D2" s="746"/>
      <c r="E2" s="746"/>
      <c r="F2" s="746"/>
      <c r="G2" s="746"/>
      <c r="H2" s="746"/>
      <c r="I2" s="746"/>
      <c r="J2" s="746"/>
      <c r="K2" s="746"/>
    </row>
    <row r="3" spans="2:11" ht="23" customHeight="1">
      <c r="B3" s="747" t="s">
        <v>447</v>
      </c>
      <c r="C3" s="747"/>
      <c r="D3" s="747"/>
      <c r="E3" s="747"/>
      <c r="F3" s="747"/>
      <c r="G3" s="747"/>
      <c r="H3" s="747"/>
      <c r="I3" s="747"/>
      <c r="J3" s="747"/>
      <c r="K3" s="747"/>
    </row>
    <row r="4" spans="2:11" ht="23" customHeight="1">
      <c r="B4" s="749" t="s">
        <v>448</v>
      </c>
      <c r="C4" s="749"/>
      <c r="D4" s="749"/>
      <c r="E4" s="749"/>
      <c r="F4" s="749"/>
      <c r="G4" s="749"/>
      <c r="H4" s="749"/>
      <c r="I4" s="749"/>
      <c r="J4" s="749"/>
      <c r="K4" s="749"/>
    </row>
    <row r="5" spans="2:11" ht="14" customHeight="1">
      <c r="B5" s="22" t="s">
        <v>443</v>
      </c>
      <c r="C5" s="23"/>
      <c r="D5" s="24" t="s">
        <v>673</v>
      </c>
      <c r="E5" s="23"/>
      <c r="F5" s="22"/>
      <c r="G5" s="22"/>
      <c r="H5" s="22"/>
      <c r="I5" s="22"/>
      <c r="J5" s="22"/>
      <c r="K5" s="22"/>
    </row>
    <row r="6" spans="2:11" s="85" customFormat="1" ht="15">
      <c r="B6" s="80"/>
      <c r="C6" s="81"/>
      <c r="D6" s="82"/>
      <c r="E6" s="82"/>
      <c r="F6" s="82"/>
      <c r="G6" s="83" t="s">
        <v>26</v>
      </c>
      <c r="H6" s="82"/>
      <c r="I6" s="83" t="s">
        <v>27</v>
      </c>
      <c r="J6" s="80"/>
      <c r="K6" s="84" t="s">
        <v>28</v>
      </c>
    </row>
    <row r="7" spans="2:11" ht="23" customHeight="1">
      <c r="B7" s="38" t="s">
        <v>13</v>
      </c>
      <c r="C7" s="39" t="s">
        <v>14</v>
      </c>
      <c r="D7" s="40"/>
      <c r="E7" s="35"/>
      <c r="F7" s="35"/>
      <c r="G7" s="4"/>
      <c r="H7" s="4"/>
      <c r="I7" s="4"/>
      <c r="J7" s="41"/>
      <c r="K7" s="4"/>
    </row>
    <row r="8" spans="2:11" ht="23" customHeight="1">
      <c r="B8" s="33"/>
      <c r="C8" s="34"/>
      <c r="D8" s="33"/>
      <c r="E8" s="35"/>
      <c r="F8" s="35"/>
      <c r="G8" s="42"/>
      <c r="H8" s="35"/>
      <c r="I8" s="42"/>
      <c r="J8" s="33"/>
      <c r="K8" s="42"/>
    </row>
    <row r="9" spans="2:11" ht="23" customHeight="1">
      <c r="B9" s="33"/>
      <c r="C9" s="43" t="s">
        <v>29</v>
      </c>
      <c r="D9" s="44" t="s">
        <v>15</v>
      </c>
      <c r="E9" s="35"/>
      <c r="F9" s="35"/>
      <c r="G9" s="42"/>
      <c r="H9" s="35"/>
      <c r="I9" s="42"/>
      <c r="J9" s="33"/>
      <c r="K9" s="42"/>
    </row>
    <row r="10" spans="2:11" ht="23" customHeight="1">
      <c r="B10" s="33"/>
      <c r="C10" s="34"/>
      <c r="D10" s="33"/>
      <c r="E10" s="35"/>
      <c r="F10" s="35"/>
      <c r="G10" s="42"/>
      <c r="H10" s="35"/>
      <c r="I10" s="42"/>
      <c r="J10" s="33"/>
      <c r="K10" s="42"/>
    </row>
    <row r="11" spans="2:11" ht="23" customHeight="1">
      <c r="B11" s="33"/>
      <c r="C11" s="34"/>
      <c r="D11" s="33" t="s">
        <v>23</v>
      </c>
      <c r="E11" s="45" t="s">
        <v>30</v>
      </c>
      <c r="F11" s="4"/>
      <c r="G11" s="46">
        <f>SUMIF('Ventas Acciones &amp; Bonos'!$E:$E,'Ventas Acciones &amp; Bonos'!$AT$3,'Ventas Acciones &amp; Bonos'!$AI:$AI)</f>
        <v>0</v>
      </c>
      <c r="H11" s="4"/>
      <c r="I11" s="46">
        <f>SUMIF('Ventas Acciones &amp; Bonos'!$E:$E,'Ventas Acciones &amp; Bonos'!$AT$4,'Ventas Acciones &amp; Bonos'!$AI:$AI)</f>
        <v>0</v>
      </c>
      <c r="J11" s="41"/>
      <c r="K11" s="42">
        <f>G11+I11</f>
        <v>0</v>
      </c>
    </row>
    <row r="12" spans="2:11" ht="23" customHeight="1">
      <c r="B12" s="33"/>
      <c r="C12" s="34"/>
      <c r="D12" s="33" t="s">
        <v>23</v>
      </c>
      <c r="E12" s="45" t="s">
        <v>234</v>
      </c>
      <c r="F12" s="4"/>
      <c r="G12" s="46">
        <f>SUMIF('Ventas Acciones &amp; Bonos'!$E:$E,'Ventas Acciones &amp; Bonos'!$AT$5,'Ventas Acciones &amp; Bonos'!$AI:$AI)</f>
        <v>0</v>
      </c>
      <c r="H12" s="4"/>
      <c r="I12" s="46">
        <f>SUMIF('Ventas Acciones &amp; Bonos'!$E:$E,'Ventas Acciones &amp; Bonos'!$AT$6,'Ventas Acciones &amp; Bonos'!$AI:$AI)</f>
        <v>0</v>
      </c>
      <c r="J12" s="41"/>
      <c r="K12" s="42">
        <f>G12+I12</f>
        <v>0</v>
      </c>
    </row>
    <row r="13" spans="2:11" ht="23" customHeight="1">
      <c r="B13" s="33"/>
      <c r="C13" s="34"/>
      <c r="D13" s="33" t="s">
        <v>23</v>
      </c>
      <c r="E13" s="45" t="s">
        <v>235</v>
      </c>
      <c r="F13" s="4"/>
      <c r="G13" s="46">
        <f>SUMIF('Ventas Acciones &amp; Bonos'!$E:$E,'Ventas Acciones &amp; Bonos'!$AT$7,'Ventas Acciones &amp; Bonos'!$AI:$AI)</f>
        <v>0</v>
      </c>
      <c r="H13" s="4"/>
      <c r="I13" s="46">
        <f>SUMIF('Ventas Acciones &amp; Bonos'!$E:$E,'Ventas Acciones &amp; Bonos'!$AT$8,'Ventas Acciones &amp; Bonos'!$AI:$AI)</f>
        <v>0</v>
      </c>
      <c r="J13" s="41"/>
      <c r="K13" s="42">
        <f>G13+I13</f>
        <v>0</v>
      </c>
    </row>
    <row r="14" spans="2:11" ht="23" customHeight="1">
      <c r="B14" s="41"/>
      <c r="C14" s="34"/>
      <c r="D14" s="86" t="s">
        <v>21</v>
      </c>
      <c r="E14" s="87" t="s">
        <v>31</v>
      </c>
      <c r="F14" s="4"/>
      <c r="G14" s="88">
        <f>SUM(G11:G13)</f>
        <v>0</v>
      </c>
      <c r="H14" s="35"/>
      <c r="I14" s="88">
        <f>SUM(I11:I13)</f>
        <v>0</v>
      </c>
      <c r="J14" s="47" t="s">
        <v>32</v>
      </c>
      <c r="K14" s="89">
        <f>SUM(K11:K13)</f>
        <v>0</v>
      </c>
    </row>
    <row r="15" spans="2:11" ht="23" customHeight="1">
      <c r="B15" s="41"/>
      <c r="C15" s="34"/>
      <c r="D15" s="33"/>
      <c r="E15" s="35"/>
      <c r="F15" s="35"/>
      <c r="G15" s="48"/>
      <c r="H15" s="35"/>
      <c r="I15" s="48"/>
      <c r="J15" s="33"/>
      <c r="K15" s="48"/>
    </row>
    <row r="16" spans="2:11" ht="23" customHeight="1">
      <c r="B16" s="43" t="s">
        <v>16</v>
      </c>
      <c r="C16" s="49" t="s">
        <v>17</v>
      </c>
      <c r="D16" s="33"/>
      <c r="E16" s="4"/>
      <c r="F16" s="4"/>
      <c r="G16" s="48"/>
      <c r="H16" s="4"/>
      <c r="I16" s="48"/>
      <c r="J16" s="41"/>
      <c r="K16" s="48"/>
    </row>
    <row r="17" spans="2:17" ht="23" customHeight="1">
      <c r="B17" s="33"/>
      <c r="C17" s="34"/>
      <c r="D17" s="33"/>
      <c r="E17" s="35"/>
      <c r="F17" s="35"/>
      <c r="G17" s="42"/>
      <c r="H17" s="35"/>
      <c r="I17" s="42"/>
      <c r="J17" s="33"/>
      <c r="K17" s="42"/>
    </row>
    <row r="18" spans="2:17" ht="23" customHeight="1">
      <c r="B18" s="33"/>
      <c r="C18" s="50"/>
      <c r="D18" s="33" t="s">
        <v>23</v>
      </c>
      <c r="E18" s="4" t="s">
        <v>62</v>
      </c>
      <c r="F18" s="4"/>
      <c r="G18" s="42"/>
      <c r="H18" s="4"/>
      <c r="I18" s="42"/>
      <c r="J18" s="33"/>
      <c r="K18" s="42">
        <f>'Intereses percibidos'!K85</f>
        <v>172951.83408900001</v>
      </c>
    </row>
    <row r="19" spans="2:17" ht="23" customHeight="1">
      <c r="B19" s="33"/>
      <c r="C19" s="50"/>
      <c r="D19" s="33" t="s">
        <v>23</v>
      </c>
      <c r="E19" s="4" t="s">
        <v>207</v>
      </c>
      <c r="F19" s="4"/>
      <c r="G19" s="42"/>
      <c r="H19" s="4"/>
      <c r="I19" s="42"/>
      <c r="J19" s="33"/>
      <c r="K19" s="42">
        <f>'Intereses en Compra Venta Bonos'!K42</f>
        <v>0</v>
      </c>
    </row>
    <row r="20" spans="2:17" ht="23" customHeight="1">
      <c r="B20" s="33"/>
      <c r="C20" s="50"/>
      <c r="D20" s="33" t="s">
        <v>23</v>
      </c>
      <c r="E20" s="4" t="s">
        <v>164</v>
      </c>
      <c r="F20" s="4"/>
      <c r="G20" s="42"/>
      <c r="H20" s="4"/>
      <c r="I20" s="42"/>
      <c r="J20" s="33"/>
      <c r="K20" s="42">
        <f>IF(M20="Economica",AAI!J23,AAI!W23)</f>
        <v>-1185262.346773684</v>
      </c>
      <c r="M20" s="508" t="s">
        <v>588</v>
      </c>
      <c r="N20" s="507" t="s">
        <v>591</v>
      </c>
      <c r="O20" s="326"/>
      <c r="P20" s="326"/>
      <c r="Q20" s="326"/>
    </row>
    <row r="21" spans="2:17" ht="23" customHeight="1">
      <c r="B21" s="33"/>
      <c r="C21" s="50"/>
      <c r="D21" s="33" t="s">
        <v>23</v>
      </c>
      <c r="E21" s="4" t="s">
        <v>35</v>
      </c>
      <c r="F21" s="4"/>
      <c r="G21" s="42"/>
      <c r="H21" s="4"/>
      <c r="I21" s="42"/>
      <c r="J21" s="33"/>
      <c r="K21" s="42">
        <f>'Ganancias Cambiarias - Contrato'!K43</f>
        <v>0</v>
      </c>
    </row>
    <row r="22" spans="2:17" ht="23" customHeight="1">
      <c r="B22" s="33"/>
      <c r="C22" s="50"/>
      <c r="D22" s="33" t="s">
        <v>23</v>
      </c>
      <c r="E22" s="4" t="s">
        <v>174</v>
      </c>
      <c r="F22" s="4"/>
      <c r="G22" s="42"/>
      <c r="H22" s="4"/>
      <c r="I22" s="42"/>
      <c r="J22" s="33"/>
      <c r="K22" s="42">
        <f>AAI!F27</f>
        <v>-1964786.4506944441</v>
      </c>
    </row>
    <row r="23" spans="2:17" ht="23" customHeight="1">
      <c r="B23" s="41"/>
      <c r="C23" s="50"/>
      <c r="D23" s="86" t="s">
        <v>21</v>
      </c>
      <c r="E23" s="87" t="s">
        <v>36</v>
      </c>
      <c r="F23" s="51"/>
      <c r="G23" s="52"/>
      <c r="H23" s="51"/>
      <c r="I23" s="52"/>
      <c r="J23" s="33"/>
      <c r="K23" s="89">
        <f>SUM(K18:K22)</f>
        <v>-2977096.9633791279</v>
      </c>
    </row>
    <row r="24" spans="2:17" ht="23" customHeight="1">
      <c r="B24" s="41"/>
      <c r="C24" s="50"/>
      <c r="D24" s="4"/>
      <c r="E24" s="4"/>
      <c r="F24" s="4"/>
      <c r="G24" s="4"/>
      <c r="H24" s="4"/>
      <c r="I24" s="4"/>
      <c r="J24" s="41"/>
      <c r="K24" s="4"/>
    </row>
    <row r="25" spans="2:17" ht="23" customHeight="1">
      <c r="B25" s="41"/>
      <c r="C25" s="50"/>
      <c r="D25" s="41" t="s">
        <v>37</v>
      </c>
      <c r="E25" s="4" t="s">
        <v>38</v>
      </c>
      <c r="F25" s="53"/>
      <c r="G25" s="54"/>
      <c r="H25" s="53"/>
      <c r="I25" s="54"/>
      <c r="J25" s="55"/>
      <c r="K25" s="56">
        <f>'239'!D10</f>
        <v>0</v>
      </c>
    </row>
    <row r="26" spans="2:17" ht="23" customHeight="1">
      <c r="B26" s="41"/>
      <c r="C26" s="50"/>
      <c r="D26" s="4"/>
      <c r="E26" s="4"/>
      <c r="F26" s="4"/>
      <c r="G26" s="4"/>
      <c r="H26" s="4"/>
      <c r="I26" s="4"/>
      <c r="J26" s="41"/>
      <c r="K26" s="4"/>
    </row>
    <row r="27" spans="2:17" ht="23" customHeight="1">
      <c r="B27" s="41"/>
      <c r="C27" s="34"/>
      <c r="D27" s="86" t="s">
        <v>21</v>
      </c>
      <c r="E27" s="87" t="s">
        <v>39</v>
      </c>
      <c r="G27" s="52"/>
      <c r="H27" s="51"/>
      <c r="I27" s="52"/>
      <c r="J27" s="47" t="s">
        <v>34</v>
      </c>
      <c r="K27" s="89">
        <f>IF(K25=0,K23,IF(K25&lt;K23,K25,K23))</f>
        <v>-2977096.9633791279</v>
      </c>
    </row>
    <row r="28" spans="2:17" ht="23" customHeight="1">
      <c r="B28" s="41"/>
      <c r="C28" s="34"/>
      <c r="D28" s="33"/>
      <c r="E28" s="35"/>
      <c r="G28" s="48"/>
      <c r="H28" s="35"/>
      <c r="I28" s="48"/>
      <c r="J28" s="33"/>
      <c r="K28" s="48"/>
    </row>
    <row r="29" spans="2:17" ht="23" customHeight="1">
      <c r="B29" s="43" t="s">
        <v>18</v>
      </c>
      <c r="C29" s="49" t="s">
        <v>41</v>
      </c>
      <c r="D29" s="33"/>
      <c r="E29" s="4"/>
      <c r="G29" s="48"/>
      <c r="H29" s="4"/>
      <c r="I29" s="48"/>
      <c r="J29" s="41"/>
      <c r="K29" s="48"/>
    </row>
    <row r="30" spans="2:17" ht="23" customHeight="1">
      <c r="B30" s="33"/>
      <c r="C30" s="34"/>
      <c r="D30" s="35"/>
      <c r="E30" s="35"/>
      <c r="G30" s="42"/>
      <c r="H30" s="35"/>
      <c r="I30" s="42"/>
      <c r="J30" s="33"/>
      <c r="K30" s="42"/>
    </row>
    <row r="31" spans="2:17" ht="23" customHeight="1">
      <c r="B31" s="33"/>
      <c r="C31" s="34"/>
      <c r="D31" s="33" t="s">
        <v>23</v>
      </c>
      <c r="E31" s="35" t="s">
        <v>42</v>
      </c>
      <c r="G31" s="42"/>
      <c r="H31" s="35"/>
      <c r="I31" s="42"/>
      <c r="J31" s="33"/>
      <c r="K31" s="42">
        <f>+'Dividendos Nacionales'!N57</f>
        <v>0</v>
      </c>
    </row>
    <row r="32" spans="2:17" ht="23" customHeight="1">
      <c r="B32" s="33"/>
      <c r="C32" s="34"/>
      <c r="D32" s="86" t="s">
        <v>21</v>
      </c>
      <c r="E32" s="87" t="s">
        <v>43</v>
      </c>
      <c r="G32" s="52"/>
      <c r="H32" s="51"/>
      <c r="I32" s="52"/>
      <c r="J32" s="47" t="s">
        <v>40</v>
      </c>
      <c r="K32" s="89">
        <f>K31</f>
        <v>0</v>
      </c>
    </row>
    <row r="33" spans="2:16" ht="23" customHeight="1">
      <c r="B33" s="41"/>
      <c r="C33" s="34"/>
      <c r="D33" s="35"/>
      <c r="E33" s="4"/>
      <c r="G33" s="42"/>
      <c r="H33" s="4"/>
      <c r="I33" s="42"/>
      <c r="J33" s="41"/>
      <c r="K33" s="42"/>
    </row>
    <row r="34" spans="2:16" ht="23" customHeight="1">
      <c r="B34" s="43" t="s">
        <v>19</v>
      </c>
      <c r="C34" s="49" t="s">
        <v>20</v>
      </c>
      <c r="D34" s="57"/>
      <c r="E34" s="35"/>
      <c r="G34" s="42"/>
      <c r="H34" s="35"/>
      <c r="I34" s="42"/>
      <c r="J34" s="33"/>
      <c r="K34" s="42"/>
    </row>
    <row r="35" spans="2:16" ht="23" customHeight="1">
      <c r="B35" s="33"/>
      <c r="C35" s="34"/>
      <c r="D35" s="33"/>
      <c r="E35" s="35"/>
      <c r="G35" s="42"/>
      <c r="H35" s="35"/>
      <c r="I35" s="42"/>
      <c r="J35" s="33"/>
      <c r="K35" s="42"/>
    </row>
    <row r="36" spans="2:16" ht="23" customHeight="1">
      <c r="B36" s="33"/>
      <c r="C36" s="34"/>
      <c r="D36" s="33" t="s">
        <v>23</v>
      </c>
      <c r="E36" s="4" t="s">
        <v>444</v>
      </c>
      <c r="G36" s="42"/>
      <c r="H36" s="35"/>
      <c r="I36" s="42"/>
      <c r="J36" s="33"/>
      <c r="K36" s="42">
        <f>+'Dividendos Extranjero'!K57</f>
        <v>384625.51172900002</v>
      </c>
      <c r="M36" s="1" t="s">
        <v>632</v>
      </c>
    </row>
    <row r="37" spans="2:16" ht="23" customHeight="1">
      <c r="B37" s="33"/>
      <c r="C37" s="34"/>
      <c r="D37" s="33" t="s">
        <v>23</v>
      </c>
      <c r="E37" s="4" t="s">
        <v>576</v>
      </c>
      <c r="G37" s="42"/>
      <c r="H37" s="35"/>
      <c r="I37" s="42"/>
      <c r="J37" s="33"/>
      <c r="K37" s="42">
        <f>+'PE - Inventario'!T165</f>
        <v>0</v>
      </c>
      <c r="M37" s="1" t="s">
        <v>632</v>
      </c>
    </row>
    <row r="38" spans="2:16" ht="23" customHeight="1">
      <c r="B38" s="33"/>
      <c r="C38" s="34"/>
      <c r="D38" s="33" t="s">
        <v>23</v>
      </c>
      <c r="E38" s="4" t="s">
        <v>658</v>
      </c>
      <c r="G38" s="42"/>
      <c r="H38" s="35"/>
      <c r="I38" s="42"/>
      <c r="J38" s="33"/>
      <c r="K38" s="42">
        <f>'PE - Real Gain Loss'!K42</f>
        <v>0</v>
      </c>
      <c r="O38" s="42">
        <f>+SUMIF('Ventas OFD'!$C:$C,'Ventas OFD'!$AQ$3,'Ventas OFD'!$AE:$AE)</f>
        <v>0</v>
      </c>
      <c r="P38" s="1" t="s">
        <v>437</v>
      </c>
    </row>
    <row r="39" spans="2:16" ht="23" customHeight="1">
      <c r="B39" s="33"/>
      <c r="C39" s="34"/>
      <c r="D39" s="33" t="s">
        <v>23</v>
      </c>
      <c r="E39" s="45" t="s">
        <v>236</v>
      </c>
      <c r="H39" s="35"/>
      <c r="J39" s="33"/>
      <c r="K39" s="42">
        <f>+IF(O40&gt;0,O40,0)</f>
        <v>0</v>
      </c>
      <c r="O39" s="46">
        <f>SUMIF('Ventas OFD'!C:C,'Ventas OFD'!AQ4,'Ventas OFD'!AE:AE)</f>
        <v>0</v>
      </c>
      <c r="P39" s="1" t="s">
        <v>438</v>
      </c>
    </row>
    <row r="40" spans="2:16" ht="23" customHeight="1">
      <c r="B40" s="33"/>
      <c r="C40" s="34"/>
      <c r="D40" s="33" t="s">
        <v>23</v>
      </c>
      <c r="E40" s="45" t="s">
        <v>543</v>
      </c>
      <c r="H40" s="35"/>
      <c r="J40" s="33"/>
      <c r="K40" s="42">
        <f>IF(Swap!J40&lt;=0,0,Swap!J40)</f>
        <v>0</v>
      </c>
      <c r="O40" s="58">
        <f>+O38+O39</f>
        <v>0</v>
      </c>
      <c r="P40" s="59" t="s">
        <v>221</v>
      </c>
    </row>
    <row r="41" spans="2:16" ht="23" customHeight="1">
      <c r="B41" s="33"/>
      <c r="C41" s="34"/>
      <c r="D41" s="33" t="s">
        <v>23</v>
      </c>
      <c r="E41" s="45" t="s">
        <v>544</v>
      </c>
      <c r="H41" s="35"/>
      <c r="J41" s="33"/>
      <c r="K41" s="42">
        <f>IF(FWD!J40&lt;=0,0,FWD!J40)</f>
        <v>0</v>
      </c>
      <c r="O41" s="58"/>
      <c r="P41" s="59"/>
    </row>
    <row r="42" spans="2:16" ht="23" customHeight="1">
      <c r="B42" s="33"/>
      <c r="C42" s="34"/>
      <c r="D42" s="33" t="s">
        <v>23</v>
      </c>
      <c r="E42" s="4" t="s">
        <v>165</v>
      </c>
      <c r="G42" s="42"/>
      <c r="H42" s="35"/>
      <c r="I42" s="42"/>
      <c r="J42" s="33"/>
      <c r="K42" s="42">
        <f>'Otros Ingresos'!K42</f>
        <v>0</v>
      </c>
    </row>
    <row r="43" spans="2:16" ht="23" customHeight="1">
      <c r="B43" s="33"/>
      <c r="C43" s="34"/>
      <c r="D43" s="86" t="s">
        <v>21</v>
      </c>
      <c r="E43" s="90" t="s">
        <v>45</v>
      </c>
      <c r="G43" s="52"/>
      <c r="H43" s="53"/>
      <c r="I43" s="52"/>
      <c r="J43" s="47" t="s">
        <v>44</v>
      </c>
      <c r="K43" s="89">
        <f>SUM(K36:K42)</f>
        <v>384625.51172900002</v>
      </c>
    </row>
    <row r="44" spans="2:16" ht="23" customHeight="1">
      <c r="B44" s="33"/>
      <c r="C44" s="60"/>
      <c r="D44" s="53"/>
      <c r="E44" s="35"/>
      <c r="G44" s="35"/>
      <c r="H44" s="35"/>
      <c r="I44" s="35"/>
      <c r="J44" s="33"/>
      <c r="K44" s="52"/>
    </row>
    <row r="45" spans="2:16" ht="23" customHeight="1">
      <c r="B45" s="33"/>
      <c r="C45" s="60"/>
      <c r="D45" s="91" t="s">
        <v>238</v>
      </c>
      <c r="E45" s="92"/>
      <c r="G45" s="61"/>
      <c r="H45" s="35"/>
      <c r="I45" s="61"/>
      <c r="J45" s="33"/>
      <c r="K45" s="93">
        <f>K14+K27+K32+K43</f>
        <v>-2592471.4516501278</v>
      </c>
    </row>
    <row r="46" spans="2:16" ht="20" customHeight="1">
      <c r="B46" s="33"/>
      <c r="C46" s="60"/>
      <c r="D46" s="33" t="s">
        <v>23</v>
      </c>
      <c r="E46" s="62" t="s">
        <v>237</v>
      </c>
      <c r="G46" s="61"/>
      <c r="H46" s="35"/>
      <c r="I46" s="61"/>
      <c r="J46" s="33"/>
      <c r="K46" s="63">
        <v>0</v>
      </c>
      <c r="M46" s="64"/>
      <c r="P46" s="331" t="s">
        <v>542</v>
      </c>
    </row>
    <row r="47" spans="2:16" ht="20" customHeight="1">
      <c r="B47" s="33"/>
      <c r="C47" s="34"/>
      <c r="D47" s="33" t="s">
        <v>23</v>
      </c>
      <c r="E47" s="62" t="s">
        <v>173</v>
      </c>
      <c r="G47" s="4"/>
      <c r="H47" s="4"/>
      <c r="I47" s="4"/>
      <c r="J47" s="41"/>
      <c r="K47" s="63">
        <v>0</v>
      </c>
      <c r="M47" s="64"/>
      <c r="P47" s="331" t="s">
        <v>542</v>
      </c>
    </row>
    <row r="48" spans="2:16" ht="23" customHeight="1">
      <c r="B48" s="65"/>
      <c r="C48" s="34"/>
      <c r="D48" s="105" t="s">
        <v>21</v>
      </c>
      <c r="E48" s="105" t="s">
        <v>22</v>
      </c>
      <c r="F48" s="4"/>
      <c r="G48" s="4"/>
      <c r="H48" s="4"/>
      <c r="I48" s="4"/>
      <c r="J48" s="47"/>
      <c r="K48" s="106">
        <f>IF(K45&lt;0,0,SUM(K45:K47))</f>
        <v>0</v>
      </c>
    </row>
    <row r="49" spans="2:11" ht="23" customHeight="1">
      <c r="B49" s="65"/>
      <c r="C49" s="34"/>
      <c r="D49" s="33"/>
      <c r="E49" s="35"/>
      <c r="F49" s="35"/>
      <c r="G49" s="35"/>
      <c r="H49" s="35"/>
      <c r="I49" s="35"/>
      <c r="J49" s="33"/>
      <c r="K49" s="48"/>
    </row>
    <row r="50" spans="2:11" ht="23" customHeight="1">
      <c r="B50" s="65"/>
      <c r="C50" s="34"/>
      <c r="D50" s="33"/>
      <c r="E50" s="35"/>
      <c r="F50" s="35"/>
      <c r="G50" s="35"/>
      <c r="H50" s="35"/>
      <c r="I50" s="35"/>
      <c r="J50" s="33"/>
      <c r="K50" s="48"/>
    </row>
    <row r="51" spans="2:11" ht="23" customHeight="1">
      <c r="B51" s="65"/>
      <c r="C51" s="34"/>
      <c r="D51" s="33"/>
      <c r="E51" s="35"/>
      <c r="F51" s="35"/>
      <c r="G51" s="35"/>
      <c r="H51" s="35"/>
      <c r="I51" s="35"/>
      <c r="J51" s="33"/>
      <c r="K51" s="48"/>
    </row>
    <row r="52" spans="2:11" ht="23" customHeight="1">
      <c r="B52" s="746" t="str">
        <f>+B2</f>
        <v>EZEQUIEL INVESTMENTS LP</v>
      </c>
      <c r="C52" s="746"/>
      <c r="D52" s="746"/>
      <c r="E52" s="746"/>
      <c r="F52" s="746"/>
      <c r="G52" s="746"/>
      <c r="H52" s="746"/>
      <c r="I52" s="746"/>
      <c r="J52" s="746"/>
      <c r="K52" s="746"/>
    </row>
    <row r="53" spans="2:11" ht="23" customHeight="1">
      <c r="B53" s="747" t="s">
        <v>450</v>
      </c>
      <c r="C53" s="747"/>
      <c r="D53" s="747"/>
      <c r="E53" s="747"/>
      <c r="F53" s="747"/>
      <c r="G53" s="747"/>
      <c r="H53" s="747"/>
      <c r="I53" s="747"/>
      <c r="J53" s="747"/>
      <c r="K53" s="747"/>
    </row>
    <row r="54" spans="2:11" ht="23" customHeight="1">
      <c r="B54" s="749" t="str">
        <f>+B4</f>
        <v>INGRESOS OBTENIDOS EN CUENTAS DEL EXTRANJERO</v>
      </c>
      <c r="C54" s="749"/>
      <c r="D54" s="749"/>
      <c r="E54" s="749"/>
      <c r="F54" s="749"/>
      <c r="G54" s="749"/>
      <c r="H54" s="749"/>
      <c r="I54" s="749"/>
      <c r="J54" s="749"/>
      <c r="K54" s="749"/>
    </row>
    <row r="55" spans="2:11" ht="14" customHeight="1">
      <c r="B55" s="22" t="s">
        <v>443</v>
      </c>
      <c r="C55" s="23"/>
      <c r="D55" s="24" t="s">
        <v>673</v>
      </c>
      <c r="E55" s="23"/>
      <c r="F55" s="22"/>
      <c r="G55" s="22"/>
      <c r="H55" s="22"/>
      <c r="I55" s="22"/>
      <c r="J55" s="22"/>
      <c r="K55" s="22"/>
    </row>
    <row r="56" spans="2:11" s="85" customFormat="1" ht="15">
      <c r="B56" s="80"/>
      <c r="C56" s="81"/>
      <c r="D56" s="82"/>
      <c r="E56" s="82"/>
      <c r="F56" s="82"/>
      <c r="G56" s="83" t="s">
        <v>26</v>
      </c>
      <c r="H56" s="82"/>
      <c r="I56" s="83" t="s">
        <v>27</v>
      </c>
      <c r="J56" s="80"/>
      <c r="K56" s="84" t="s">
        <v>28</v>
      </c>
    </row>
    <row r="57" spans="2:11" ht="23" customHeight="1">
      <c r="B57" s="65"/>
      <c r="C57" s="34"/>
      <c r="D57" s="33"/>
      <c r="E57" s="35"/>
      <c r="F57" s="35"/>
      <c r="G57" s="35"/>
      <c r="H57" s="35"/>
      <c r="I57" s="35"/>
      <c r="J57" s="33"/>
      <c r="K57" s="48"/>
    </row>
    <row r="58" spans="2:11" ht="23" customHeight="1">
      <c r="B58" s="66" t="s">
        <v>13</v>
      </c>
      <c r="C58" s="67" t="s">
        <v>246</v>
      </c>
      <c r="D58" s="33"/>
      <c r="E58" s="35"/>
      <c r="F58" s="35"/>
      <c r="G58" s="35"/>
      <c r="H58" s="35"/>
      <c r="I58" s="35"/>
      <c r="J58" s="33"/>
      <c r="K58" s="48"/>
    </row>
    <row r="59" spans="2:11" ht="23" customHeight="1">
      <c r="B59" s="65"/>
      <c r="C59" s="34"/>
      <c r="D59" s="33"/>
      <c r="E59" s="35"/>
      <c r="F59" s="35"/>
      <c r="G59" s="48"/>
      <c r="H59" s="35"/>
      <c r="I59" s="48"/>
      <c r="J59" s="33"/>
      <c r="K59" s="48"/>
    </row>
    <row r="60" spans="2:11" ht="23" customHeight="1">
      <c r="B60" s="65"/>
      <c r="C60" s="65" t="s">
        <v>29</v>
      </c>
      <c r="D60" s="34" t="s">
        <v>24</v>
      </c>
      <c r="E60" s="68"/>
      <c r="G60" s="42"/>
      <c r="H60" s="35"/>
      <c r="I60" s="42"/>
      <c r="J60" s="69"/>
      <c r="K60" s="42"/>
    </row>
    <row r="61" spans="2:11" ht="23" customHeight="1">
      <c r="B61" s="65"/>
      <c r="C61" s="34"/>
      <c r="D61" s="33"/>
      <c r="E61" s="35"/>
      <c r="G61" s="48"/>
      <c r="H61" s="35"/>
      <c r="I61" s="48"/>
      <c r="J61" s="33"/>
      <c r="K61" s="48"/>
    </row>
    <row r="62" spans="2:11" ht="23" customHeight="1">
      <c r="B62" s="65"/>
      <c r="C62" s="34"/>
      <c r="D62" s="33" t="s">
        <v>23</v>
      </c>
      <c r="E62" s="35" t="s">
        <v>175</v>
      </c>
      <c r="G62" s="46"/>
      <c r="H62" s="35"/>
      <c r="I62" s="46"/>
      <c r="J62" s="33"/>
      <c r="K62" s="70">
        <f>+'Dividendos Extranjeros - Ret'!K46</f>
        <v>93174.662638000009</v>
      </c>
    </row>
    <row r="63" spans="2:11" ht="23" customHeight="1">
      <c r="B63" s="65"/>
      <c r="C63" s="34"/>
      <c r="D63" s="33" t="s">
        <v>23</v>
      </c>
      <c r="E63" s="35" t="s">
        <v>176</v>
      </c>
      <c r="G63" s="46"/>
      <c r="H63" s="35"/>
      <c r="I63" s="46"/>
      <c r="J63" s="33"/>
      <c r="K63" s="71">
        <f>+'PE - Retenciones'!K42</f>
        <v>0</v>
      </c>
    </row>
    <row r="64" spans="2:11" ht="23" customHeight="1">
      <c r="D64" s="72" t="s">
        <v>23</v>
      </c>
      <c r="E64" s="73" t="s">
        <v>239</v>
      </c>
      <c r="K64" s="74">
        <v>0</v>
      </c>
    </row>
    <row r="65" spans="2:16" ht="23" customHeight="1">
      <c r="B65" s="65"/>
      <c r="C65" s="34"/>
      <c r="D65" s="33" t="s">
        <v>23</v>
      </c>
      <c r="E65" s="35" t="s">
        <v>177</v>
      </c>
      <c r="G65" s="46"/>
      <c r="H65" s="35"/>
      <c r="I65" s="46"/>
      <c r="J65" s="1"/>
      <c r="K65" s="70">
        <f>'Otras Retenciones'!K45</f>
        <v>0</v>
      </c>
    </row>
    <row r="66" spans="2:16" ht="23" customHeight="1">
      <c r="B66" s="65"/>
      <c r="C66" s="34"/>
      <c r="D66" s="86" t="s">
        <v>21</v>
      </c>
      <c r="E66" s="90" t="s">
        <v>46</v>
      </c>
      <c r="G66" s="52"/>
      <c r="H66" s="53"/>
      <c r="I66" s="52"/>
      <c r="J66" s="47" t="s">
        <v>47</v>
      </c>
      <c r="K66" s="89">
        <f>SUM(K62:K65)</f>
        <v>93174.662638000009</v>
      </c>
    </row>
    <row r="67" spans="2:16" ht="23" customHeight="1">
      <c r="B67" s="65"/>
      <c r="C67" s="34"/>
      <c r="D67" s="33"/>
      <c r="E67" s="35"/>
      <c r="F67" s="35"/>
      <c r="G67" s="48"/>
      <c r="H67" s="35"/>
      <c r="I67" s="48"/>
      <c r="J67" s="33"/>
      <c r="K67" s="48"/>
    </row>
    <row r="68" spans="2:16" ht="23" customHeight="1">
      <c r="B68" s="65"/>
      <c r="C68" s="65" t="s">
        <v>33</v>
      </c>
      <c r="D68" s="35" t="s">
        <v>244</v>
      </c>
      <c r="E68" s="4"/>
      <c r="F68" s="68"/>
      <c r="G68" s="48"/>
      <c r="H68" s="68"/>
      <c r="I68" s="48"/>
      <c r="J68" s="33"/>
      <c r="K68" s="48"/>
    </row>
    <row r="69" spans="2:16" ht="23" customHeight="1">
      <c r="B69" s="65"/>
      <c r="C69" s="34"/>
      <c r="D69" s="33"/>
      <c r="E69" s="35"/>
      <c r="F69" s="35"/>
      <c r="G69" s="42"/>
      <c r="H69" s="35"/>
      <c r="I69" s="42"/>
      <c r="J69" s="33"/>
      <c r="K69" s="42"/>
    </row>
    <row r="70" spans="2:16" ht="23" customHeight="1">
      <c r="B70" s="65"/>
      <c r="C70" s="34"/>
      <c r="D70" s="33" t="s">
        <v>23</v>
      </c>
      <c r="E70" s="35" t="s">
        <v>240</v>
      </c>
      <c r="F70" s="35"/>
      <c r="G70" s="46"/>
      <c r="H70" s="35"/>
      <c r="I70" s="46"/>
      <c r="J70" s="33"/>
      <c r="K70" s="75">
        <v>0</v>
      </c>
      <c r="M70" s="64"/>
    </row>
    <row r="71" spans="2:16" ht="23" customHeight="1">
      <c r="B71" s="65"/>
      <c r="C71" s="34"/>
      <c r="D71" s="33" t="s">
        <v>23</v>
      </c>
      <c r="E71" s="35" t="s">
        <v>241</v>
      </c>
      <c r="F71" s="35"/>
      <c r="G71" s="46"/>
      <c r="H71" s="35"/>
      <c r="I71" s="46"/>
      <c r="J71" s="33"/>
      <c r="K71" s="75">
        <v>0</v>
      </c>
      <c r="M71" s="64"/>
    </row>
    <row r="72" spans="2:16" ht="23" customHeight="1">
      <c r="B72" s="65"/>
      <c r="C72" s="34"/>
      <c r="D72" s="33" t="s">
        <v>23</v>
      </c>
      <c r="E72" s="35" t="s">
        <v>242</v>
      </c>
      <c r="F72" s="35"/>
      <c r="G72" s="46"/>
      <c r="H72" s="35"/>
      <c r="I72" s="46"/>
      <c r="J72" s="33"/>
      <c r="K72" s="75">
        <v>0</v>
      </c>
      <c r="M72" s="64"/>
    </row>
    <row r="73" spans="2:16" ht="23" customHeight="1">
      <c r="B73" s="65"/>
      <c r="C73" s="34"/>
      <c r="D73" s="33" t="s">
        <v>23</v>
      </c>
      <c r="E73" s="35" t="s">
        <v>48</v>
      </c>
      <c r="F73" s="35"/>
      <c r="G73" s="46"/>
      <c r="H73" s="35"/>
      <c r="I73" s="46"/>
      <c r="J73" s="33"/>
      <c r="K73" s="75">
        <v>0</v>
      </c>
      <c r="M73" s="64"/>
    </row>
    <row r="74" spans="2:16" ht="23" customHeight="1">
      <c r="B74" s="65"/>
      <c r="C74" s="34"/>
      <c r="D74" s="76" t="s">
        <v>23</v>
      </c>
      <c r="E74" s="45" t="s">
        <v>243</v>
      </c>
      <c r="F74" s="35"/>
      <c r="G74" s="46"/>
      <c r="H74" s="35"/>
      <c r="I74" s="46"/>
      <c r="J74" s="33"/>
      <c r="K74" s="48">
        <f>+'Dividendos Nacionales'!Q57</f>
        <v>0</v>
      </c>
      <c r="M74" s="77"/>
    </row>
    <row r="75" spans="2:16" ht="23" customHeight="1">
      <c r="B75" s="65"/>
      <c r="C75" s="34"/>
      <c r="D75" s="86" t="s">
        <v>21</v>
      </c>
      <c r="E75" s="90" t="s">
        <v>245</v>
      </c>
      <c r="G75" s="52"/>
      <c r="H75" s="53"/>
      <c r="I75" s="52"/>
      <c r="J75" s="47" t="s">
        <v>49</v>
      </c>
      <c r="K75" s="89">
        <f>SUM(K70:K74)</f>
        <v>0</v>
      </c>
    </row>
    <row r="76" spans="2:16" ht="23" customHeight="1">
      <c r="B76" s="65"/>
      <c r="C76" s="34"/>
      <c r="D76" s="33"/>
      <c r="E76" s="35"/>
      <c r="G76" s="48"/>
      <c r="H76" s="35"/>
      <c r="I76" s="48"/>
      <c r="J76" s="33"/>
      <c r="K76" s="48"/>
    </row>
    <row r="77" spans="2:16" ht="23" customHeight="1">
      <c r="B77" s="65"/>
      <c r="C77" s="34"/>
      <c r="D77" s="94" t="s">
        <v>21</v>
      </c>
      <c r="E77" s="95" t="s">
        <v>50</v>
      </c>
      <c r="G77" s="53"/>
      <c r="H77" s="53"/>
      <c r="I77" s="53"/>
      <c r="J77" s="47" t="s">
        <v>51</v>
      </c>
      <c r="K77" s="96">
        <v>0</v>
      </c>
      <c r="M77" s="64"/>
      <c r="P77" s="331" t="s">
        <v>465</v>
      </c>
    </row>
    <row r="78" spans="2:16" ht="23" customHeight="1">
      <c r="B78" s="65"/>
      <c r="C78" s="34"/>
      <c r="D78" s="33"/>
      <c r="E78" s="35"/>
      <c r="F78" s="35"/>
      <c r="G78" s="51"/>
      <c r="H78" s="51"/>
      <c r="I78" s="51"/>
      <c r="J78" s="33"/>
      <c r="K78" s="46"/>
    </row>
    <row r="79" spans="2:16" ht="23" customHeight="1">
      <c r="B79" s="65"/>
      <c r="C79" s="34"/>
      <c r="D79" s="750" t="s">
        <v>247</v>
      </c>
      <c r="E79" s="750"/>
      <c r="F79" s="4"/>
      <c r="G79" s="51"/>
      <c r="H79" s="51"/>
      <c r="I79" s="51"/>
      <c r="J79" s="78"/>
      <c r="K79" s="106">
        <f>+K66+K75+K77</f>
        <v>93174.662638000009</v>
      </c>
    </row>
    <row r="80" spans="2:16" ht="23" customHeight="1">
      <c r="B80" s="65"/>
      <c r="C80" s="34"/>
      <c r="D80" s="33"/>
      <c r="E80" s="35"/>
      <c r="F80" s="35"/>
      <c r="G80" s="51"/>
      <c r="H80" s="51"/>
      <c r="I80" s="51"/>
      <c r="J80" s="33"/>
      <c r="K80" s="48"/>
    </row>
    <row r="81" spans="2:11" ht="23" customHeight="1">
      <c r="B81" s="65"/>
      <c r="C81" s="34"/>
      <c r="D81" s="33"/>
      <c r="E81" s="35"/>
      <c r="F81" s="35"/>
      <c r="G81" s="51"/>
      <c r="H81" s="51"/>
      <c r="I81" s="51"/>
      <c r="J81" s="33"/>
      <c r="K81" s="48"/>
    </row>
    <row r="82" spans="2:11" ht="23" customHeight="1">
      <c r="B82" s="41"/>
      <c r="C82" s="34" t="s">
        <v>52</v>
      </c>
      <c r="D82" s="35"/>
      <c r="E82" s="35"/>
      <c r="F82" s="35"/>
      <c r="G82" s="35"/>
      <c r="H82" s="35"/>
      <c r="I82" s="35"/>
      <c r="J82" s="79"/>
      <c r="K82" s="4"/>
    </row>
    <row r="83" spans="2:11" ht="23" customHeight="1">
      <c r="B83" s="41"/>
      <c r="C83" s="34" t="s">
        <v>674</v>
      </c>
      <c r="D83" s="35"/>
      <c r="E83" s="35"/>
      <c r="F83" s="35"/>
      <c r="G83" s="35"/>
      <c r="H83" s="35"/>
      <c r="I83" s="35"/>
      <c r="J83" s="79"/>
      <c r="K83" s="4"/>
    </row>
  </sheetData>
  <mergeCells count="7">
    <mergeCell ref="B54:K54"/>
    <mergeCell ref="D79:E79"/>
    <mergeCell ref="B53:K53"/>
    <mergeCell ref="B52:K52"/>
    <mergeCell ref="B2:K2"/>
    <mergeCell ref="B3:K3"/>
    <mergeCell ref="B4:K4"/>
  </mergeCells>
  <phoneticPr fontId="8" type="noConversion"/>
  <printOptions horizontalCentered="1"/>
  <pageMargins left="0.7" right="0.7" top="0.75" bottom="0.75" header="0.3" footer="0.3"/>
  <pageSetup scale="69" orientation="portrait"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B200E0F-34D6-9440-9BE3-8A309F5623D8}">
          <x14:formula1>
            <xm:f>AAI!$H$56:$H$57</xm:f>
          </x14:formula1>
          <xm:sqref>M20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CEBA-4893-C64B-9A3B-D9CE55DBC891}">
  <sheetPr>
    <pageSetUpPr fitToPage="1"/>
  </sheetPr>
  <dimension ref="B2:P16"/>
  <sheetViews>
    <sheetView view="pageBreakPreview" zoomScale="90" zoomScaleNormal="100" zoomScaleSheetLayoutView="90" workbookViewId="0">
      <selection activeCell="J10" sqref="J10"/>
    </sheetView>
  </sheetViews>
  <sheetFormatPr baseColWidth="10" defaultColWidth="10.83203125" defaultRowHeight="23" customHeight="1"/>
  <cols>
    <col min="1" max="1" width="10.83203125" style="1"/>
    <col min="2" max="2" width="3.5" style="1" customWidth="1"/>
    <col min="3" max="3" width="5" style="1" customWidth="1"/>
    <col min="4" max="4" width="73" style="1" customWidth="1"/>
    <col min="5" max="5" width="3" style="1" customWidth="1"/>
    <col min="6" max="6" width="22.83203125" style="1" customWidth="1"/>
    <col min="7" max="7" width="3" style="1" customWidth="1"/>
    <col min="8" max="8" width="22.83203125" style="1" customWidth="1"/>
    <col min="9" max="9" width="3" style="1" customWidth="1"/>
    <col min="10" max="10" width="22.83203125" style="1" customWidth="1"/>
    <col min="11" max="11" width="10.83203125" style="1"/>
    <col min="12" max="12" width="15.5" style="1" customWidth="1"/>
    <col min="13" max="16384" width="10.83203125" style="1"/>
  </cols>
  <sheetData>
    <row r="2" spans="2:16" ht="23" customHeight="1">
      <c r="B2" s="746" t="str">
        <f>'1 Ingresos Acum &amp; No Acum'!B2</f>
        <v>EZEQUIEL INVESTMENTS LP</v>
      </c>
      <c r="C2" s="746"/>
      <c r="D2" s="746"/>
      <c r="E2" s="746"/>
      <c r="F2" s="746"/>
      <c r="G2" s="746"/>
      <c r="H2" s="746"/>
      <c r="I2" s="746"/>
      <c r="J2" s="746"/>
    </row>
    <row r="3" spans="2:16" ht="23" customHeight="1">
      <c r="B3" s="747" t="s">
        <v>460</v>
      </c>
      <c r="C3" s="747"/>
      <c r="D3" s="747"/>
      <c r="E3" s="747"/>
      <c r="F3" s="747"/>
      <c r="G3" s="747"/>
      <c r="H3" s="747"/>
      <c r="I3" s="747"/>
      <c r="J3" s="747"/>
    </row>
    <row r="4" spans="2:16" ht="23" customHeight="1">
      <c r="B4" s="749" t="s">
        <v>449</v>
      </c>
      <c r="C4" s="749"/>
      <c r="D4" s="749"/>
      <c r="E4" s="749"/>
      <c r="F4" s="749"/>
      <c r="G4" s="749"/>
      <c r="H4" s="749"/>
      <c r="I4" s="749"/>
      <c r="J4" s="749"/>
    </row>
    <row r="5" spans="2:16" ht="14" customHeight="1">
      <c r="B5" s="22" t="s">
        <v>443</v>
      </c>
      <c r="C5" s="23"/>
      <c r="D5" s="24" t="s">
        <v>673</v>
      </c>
      <c r="E5" s="23"/>
      <c r="F5" s="327" t="s">
        <v>432</v>
      </c>
      <c r="G5" s="327"/>
      <c r="H5" s="327" t="s">
        <v>433</v>
      </c>
      <c r="I5" s="327"/>
      <c r="J5" s="327" t="s">
        <v>434</v>
      </c>
    </row>
    <row r="6" spans="2:16" ht="23" customHeight="1">
      <c r="B6" s="98" t="s">
        <v>13</v>
      </c>
      <c r="C6" s="97" t="s">
        <v>435</v>
      </c>
      <c r="D6" s="35"/>
      <c r="E6" s="35"/>
      <c r="F6" s="51"/>
      <c r="G6" s="51"/>
      <c r="H6" s="51"/>
      <c r="I6" s="33"/>
      <c r="J6" s="61"/>
    </row>
    <row r="7" spans="2:16" ht="23" customHeight="1">
      <c r="B7" s="98"/>
      <c r="C7" s="99"/>
      <c r="D7" s="35"/>
      <c r="E7" s="35"/>
      <c r="F7" s="51"/>
      <c r="G7" s="51"/>
      <c r="H7" s="51"/>
      <c r="I7" s="33"/>
      <c r="J7" s="61"/>
    </row>
    <row r="8" spans="2:16" ht="46" customHeight="1">
      <c r="B8" s="33"/>
      <c r="C8" s="33" t="s">
        <v>23</v>
      </c>
      <c r="D8" s="100" t="s">
        <v>248</v>
      </c>
      <c r="E8" s="35"/>
      <c r="F8" s="46">
        <f>SUMIF('Ventas Acciones &amp; Bonos'!$E:$E,'Ventas Acciones &amp; Bonos'!$AT$9,'Ventas Acciones &amp; Bonos'!$AI:$AI)</f>
        <v>0</v>
      </c>
      <c r="G8" s="35"/>
      <c r="H8" s="46">
        <f>SUMIF('Ventas Acciones &amp; Bonos'!$E:$E,'Ventas Acciones &amp; Bonos'!$AT$10,'Ventas Acciones &amp; Bonos'!$AI:$AI)</f>
        <v>-28324990.525631953</v>
      </c>
      <c r="I8" s="33"/>
      <c r="J8" s="42">
        <f>F8+H8</f>
        <v>-28324990.525631953</v>
      </c>
    </row>
    <row r="9" spans="2:16" ht="46" customHeight="1">
      <c r="B9" s="33"/>
      <c r="C9" s="33" t="s">
        <v>23</v>
      </c>
      <c r="D9" s="100" t="s">
        <v>249</v>
      </c>
      <c r="E9" s="35"/>
      <c r="F9" s="46">
        <f>SUMIF('Ventas OFD'!$C:$C,'Ventas OFD'!$AQ$5,'Ventas OFD'!$AH:$AH)</f>
        <v>0</v>
      </c>
      <c r="G9" s="35"/>
      <c r="H9" s="46">
        <f>SUMIF('Ventas OFD'!$C:$C,'Ventas OFD'!$AQ$6,'Ventas OFD'!$AH:$AH)</f>
        <v>2069680.1809080224</v>
      </c>
      <c r="I9" s="33"/>
      <c r="J9" s="42">
        <f>F9+H9</f>
        <v>2069680.1809080224</v>
      </c>
    </row>
    <row r="10" spans="2:16" ht="23" customHeight="1">
      <c r="B10" s="33"/>
      <c r="C10" s="101" t="s">
        <v>21</v>
      </c>
      <c r="D10" s="102" t="s">
        <v>441</v>
      </c>
      <c r="E10" s="4"/>
      <c r="F10" s="89">
        <f>SUM(F8:F9)</f>
        <v>0</v>
      </c>
      <c r="G10" s="51"/>
      <c r="H10" s="89">
        <f>SUM(H8:H9)</f>
        <v>-26255310.344723932</v>
      </c>
      <c r="I10" s="47"/>
      <c r="J10" s="89">
        <f>SUM(J8:J9)</f>
        <v>-26255310.344723932</v>
      </c>
      <c r="L10" s="74"/>
    </row>
    <row r="12" spans="2:16" ht="23" customHeight="1">
      <c r="C12" s="41" t="s">
        <v>252</v>
      </c>
      <c r="D12" s="4" t="s">
        <v>439</v>
      </c>
      <c r="F12" s="271"/>
      <c r="G12" s="134"/>
      <c r="H12" s="271"/>
      <c r="I12" s="134"/>
      <c r="J12" s="271"/>
      <c r="L12" s="418" t="s">
        <v>554</v>
      </c>
      <c r="M12" s="418"/>
      <c r="N12" s="418"/>
      <c r="O12" s="326"/>
      <c r="P12" s="326"/>
    </row>
    <row r="13" spans="2:16" ht="23" customHeight="1">
      <c r="C13" s="41"/>
      <c r="D13" s="4"/>
    </row>
    <row r="14" spans="2:16" ht="23" customHeight="1">
      <c r="C14" s="104" t="s">
        <v>21</v>
      </c>
      <c r="D14" s="105" t="s">
        <v>440</v>
      </c>
      <c r="F14" s="419">
        <f>+IF(F10-F12&lt;0,0,F10-F12)</f>
        <v>0</v>
      </c>
      <c r="H14" s="419">
        <f>+IF(H10-H12&lt;0,0,H10-H12)</f>
        <v>0</v>
      </c>
      <c r="J14" s="419">
        <f>+IF(J10-J12&lt;0,0,J10-J12)</f>
        <v>0</v>
      </c>
    </row>
    <row r="16" spans="2:16" ht="23" customHeight="1">
      <c r="C16" s="2" t="s">
        <v>431</v>
      </c>
    </row>
  </sheetData>
  <mergeCells count="3">
    <mergeCell ref="B4:J4"/>
    <mergeCell ref="B2:J2"/>
    <mergeCell ref="B3:J3"/>
  </mergeCells>
  <pageMargins left="0.70866141732283505" right="0.70866141732283505" top="0.74803149606299202" bottom="0.74803149606299202" header="0.31496062992126" footer="0.31496062992126"/>
  <pageSetup scale="53"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6AF57-3CA6-5F4B-94DD-E3CD33B4E30C}">
  <sheetPr>
    <pageSetUpPr fitToPage="1"/>
  </sheetPr>
  <dimension ref="B3:J25"/>
  <sheetViews>
    <sheetView view="pageBreakPreview" topLeftCell="D1" zoomScale="130" zoomScaleNormal="110" zoomScaleSheetLayoutView="130" workbookViewId="0">
      <selection activeCell="L23" sqref="L23"/>
    </sheetView>
  </sheetViews>
  <sheetFormatPr baseColWidth="10" defaultColWidth="10.83203125" defaultRowHeight="23" customHeight="1"/>
  <cols>
    <col min="1" max="1" width="10.83203125" style="1"/>
    <col min="2" max="2" width="3.33203125" style="1" customWidth="1"/>
    <col min="3" max="3" width="6.83203125" style="1" customWidth="1"/>
    <col min="4" max="4" width="95.33203125" style="1" bestFit="1" customWidth="1"/>
    <col min="5" max="5" width="3.6640625" style="1" customWidth="1"/>
    <col min="6" max="6" width="22.83203125" style="1" customWidth="1"/>
    <col min="7" max="7" width="4" style="1" customWidth="1"/>
    <col min="8" max="8" width="21.83203125" style="1" customWidth="1"/>
    <col min="9" max="9" width="3.5" style="1" customWidth="1"/>
    <col min="10" max="10" width="21.83203125" style="1" customWidth="1"/>
    <col min="11" max="16384" width="10.83203125" style="1"/>
  </cols>
  <sheetData>
    <row r="3" spans="2:10" ht="23" customHeight="1">
      <c r="B3" s="746" t="str">
        <f>'2 Ingresos BMV &amp; SIC'!B2</f>
        <v>EZEQUIEL INVESTMENTS LP</v>
      </c>
      <c r="C3" s="746"/>
      <c r="D3" s="746"/>
      <c r="E3" s="746"/>
      <c r="F3" s="746"/>
      <c r="G3" s="746"/>
      <c r="H3" s="746"/>
      <c r="I3" s="746"/>
      <c r="J3" s="746"/>
    </row>
    <row r="4" spans="2:10" ht="23" customHeight="1">
      <c r="B4" s="747" t="s">
        <v>436</v>
      </c>
      <c r="C4" s="747"/>
      <c r="D4" s="747"/>
      <c r="E4" s="747"/>
      <c r="F4" s="747"/>
      <c r="G4" s="747"/>
      <c r="H4" s="747"/>
      <c r="I4" s="747"/>
      <c r="J4" s="747"/>
    </row>
    <row r="5" spans="2:10" ht="23" customHeight="1">
      <c r="B5" s="749" t="s">
        <v>445</v>
      </c>
      <c r="C5" s="749"/>
      <c r="D5" s="749"/>
      <c r="E5" s="749"/>
      <c r="F5" s="749"/>
      <c r="G5" s="749"/>
      <c r="H5" s="749"/>
      <c r="I5" s="749"/>
      <c r="J5" s="749"/>
    </row>
    <row r="6" spans="2:10" ht="14" customHeight="1">
      <c r="B6" s="22" t="s">
        <v>443</v>
      </c>
      <c r="C6" s="23"/>
      <c r="D6" s="24" t="s">
        <v>673</v>
      </c>
      <c r="E6" s="23"/>
      <c r="F6" s="327" t="s">
        <v>26</v>
      </c>
      <c r="G6" s="327"/>
      <c r="H6" s="327" t="s">
        <v>27</v>
      </c>
      <c r="I6" s="327"/>
      <c r="J6" s="327" t="s">
        <v>28</v>
      </c>
    </row>
    <row r="7" spans="2:10" ht="23" customHeight="1">
      <c r="B7" s="98" t="s">
        <v>13</v>
      </c>
      <c r="C7" s="97" t="s">
        <v>430</v>
      </c>
      <c r="D7" s="99"/>
      <c r="E7" s="35"/>
      <c r="F7" s="51"/>
      <c r="G7" s="51"/>
      <c r="H7" s="51"/>
      <c r="I7" s="33"/>
      <c r="J7" s="35"/>
    </row>
    <row r="8" spans="2:10" ht="23" customHeight="1">
      <c r="B8" s="107"/>
      <c r="C8" s="108"/>
      <c r="D8" s="99"/>
      <c r="E8" s="35"/>
      <c r="F8" s="36"/>
      <c r="G8" s="35"/>
      <c r="H8" s="36"/>
      <c r="I8" s="33"/>
      <c r="J8" s="37"/>
    </row>
    <row r="9" spans="2:10" ht="23" customHeight="1">
      <c r="B9" s="107"/>
      <c r="C9" s="33" t="s">
        <v>23</v>
      </c>
      <c r="D9" s="35" t="s">
        <v>427</v>
      </c>
      <c r="E9" s="35"/>
      <c r="F9" s="109" t="s">
        <v>250</v>
      </c>
      <c r="G9" s="46"/>
      <c r="H9" s="48">
        <f>+'1 Ingresos Acum &amp; No Acum'!K36</f>
        <v>384625.51172900002</v>
      </c>
      <c r="I9" s="110"/>
      <c r="J9" s="58">
        <f>+H9</f>
        <v>384625.51172900002</v>
      </c>
    </row>
    <row r="10" spans="2:10" ht="23" customHeight="1">
      <c r="B10" s="107"/>
      <c r="C10" s="33" t="s">
        <v>23</v>
      </c>
      <c r="D10" s="35" t="s">
        <v>631</v>
      </c>
      <c r="E10" s="35"/>
      <c r="F10" s="109" t="s">
        <v>250</v>
      </c>
      <c r="G10" s="46"/>
      <c r="H10" s="48">
        <f>IF('1 Ingresos Acum &amp; No Acum'!K37&lt;0,0,'1 Ingresos Acum &amp; No Acum'!K37)</f>
        <v>0</v>
      </c>
      <c r="I10" s="110"/>
      <c r="J10" s="58">
        <f>+H10</f>
        <v>0</v>
      </c>
    </row>
    <row r="11" spans="2:10" ht="23" customHeight="1">
      <c r="B11" s="107"/>
      <c r="C11" s="86" t="s">
        <v>21</v>
      </c>
      <c r="D11" s="87" t="s">
        <v>492</v>
      </c>
      <c r="E11" s="35"/>
      <c r="F11" s="113" t="s">
        <v>250</v>
      </c>
      <c r="G11" s="46"/>
      <c r="H11" s="114">
        <f>SUM(H9:H10)</f>
        <v>384625.51172900002</v>
      </c>
      <c r="I11" s="110"/>
      <c r="J11" s="114">
        <f>SUM(J9:J10)</f>
        <v>384625.51172900002</v>
      </c>
    </row>
    <row r="12" spans="2:10" ht="23" customHeight="1">
      <c r="B12" s="107"/>
      <c r="C12" s="33"/>
      <c r="D12" s="35"/>
      <c r="E12" s="35"/>
      <c r="F12" s="109"/>
      <c r="G12" s="46"/>
      <c r="H12" s="48"/>
      <c r="I12" s="110"/>
      <c r="J12" s="111"/>
    </row>
    <row r="13" spans="2:10" ht="23" customHeight="1">
      <c r="B13" s="107"/>
      <c r="C13" s="33" t="s">
        <v>252</v>
      </c>
      <c r="D13" s="35" t="s">
        <v>428</v>
      </c>
      <c r="E13" s="35"/>
      <c r="F13" s="109" t="s">
        <v>250</v>
      </c>
      <c r="G13" s="46"/>
      <c r="H13" s="48">
        <f>+'1 Ingresos Acum &amp; No Acum'!K62</f>
        <v>93174.662638000009</v>
      </c>
      <c r="I13" s="110"/>
      <c r="J13" s="111">
        <f>+H13</f>
        <v>93174.662638000009</v>
      </c>
    </row>
    <row r="14" spans="2:10" ht="23" customHeight="1">
      <c r="B14" s="107"/>
      <c r="C14" s="33" t="s">
        <v>252</v>
      </c>
      <c r="D14" s="35" t="s">
        <v>429</v>
      </c>
      <c r="E14" s="35"/>
      <c r="F14" s="109" t="s">
        <v>250</v>
      </c>
      <c r="G14" s="46"/>
      <c r="H14" s="48">
        <f>+'1 Ingresos Acum &amp; No Acum'!K63</f>
        <v>0</v>
      </c>
      <c r="I14" s="110"/>
      <c r="J14" s="111">
        <f>+H14</f>
        <v>0</v>
      </c>
    </row>
    <row r="15" spans="2:10" ht="23" customHeight="1">
      <c r="B15" s="107"/>
      <c r="C15" s="86" t="s">
        <v>21</v>
      </c>
      <c r="D15" s="87" t="s">
        <v>493</v>
      </c>
      <c r="E15" s="35"/>
      <c r="F15" s="113" t="s">
        <v>250</v>
      </c>
      <c r="G15" s="46"/>
      <c r="H15" s="114">
        <f>+H13+H14</f>
        <v>93174.662638000009</v>
      </c>
      <c r="I15" s="110"/>
      <c r="J15" s="115">
        <f>+J13+J14</f>
        <v>93174.662638000009</v>
      </c>
    </row>
    <row r="16" spans="2:10" ht="23" customHeight="1">
      <c r="B16" s="107"/>
      <c r="C16" s="33"/>
      <c r="D16" s="35"/>
      <c r="E16" s="35"/>
      <c r="F16" s="109"/>
      <c r="G16" s="46"/>
      <c r="H16" s="48"/>
      <c r="I16" s="110"/>
      <c r="J16" s="111"/>
    </row>
    <row r="17" spans="2:10" ht="23" customHeight="1">
      <c r="B17" s="112"/>
      <c r="C17" s="104" t="s">
        <v>21</v>
      </c>
      <c r="D17" s="364" t="s">
        <v>491</v>
      </c>
      <c r="E17" s="53"/>
      <c r="F17" s="117" t="s">
        <v>250</v>
      </c>
      <c r="G17" s="53"/>
      <c r="H17" s="106">
        <f>+H11-H15</f>
        <v>291450.84909100004</v>
      </c>
      <c r="I17" s="65"/>
      <c r="J17" s="106">
        <f>+J11-J15</f>
        <v>291450.84909100004</v>
      </c>
    </row>
    <row r="18" spans="2:10" ht="23" customHeight="1">
      <c r="B18" s="33"/>
      <c r="C18" s="34"/>
      <c r="D18" s="35"/>
      <c r="E18" s="35"/>
      <c r="F18" s="51"/>
      <c r="G18" s="51"/>
      <c r="H18" s="51"/>
      <c r="I18" s="33"/>
      <c r="J18" s="42"/>
    </row>
    <row r="19" spans="2:10" ht="23" customHeight="1">
      <c r="B19" s="33"/>
      <c r="C19" s="33" t="s">
        <v>550</v>
      </c>
      <c r="D19" s="35" t="s">
        <v>551</v>
      </c>
      <c r="E19" s="35"/>
      <c r="F19" s="51"/>
      <c r="G19" s="51"/>
      <c r="H19" s="410">
        <v>0.1</v>
      </c>
      <c r="I19" s="33"/>
      <c r="J19" s="410">
        <v>0.1</v>
      </c>
    </row>
    <row r="20" spans="2:10" ht="23" customHeight="1">
      <c r="B20" s="33"/>
      <c r="C20" s="33" t="s">
        <v>21</v>
      </c>
      <c r="D20" s="35" t="s">
        <v>552</v>
      </c>
      <c r="E20" s="35"/>
      <c r="F20" s="33" t="s">
        <v>250</v>
      </c>
      <c r="G20" s="51"/>
      <c r="H20" s="42">
        <f>+H17*0.1</f>
        <v>29145.084909100005</v>
      </c>
      <c r="I20" s="33"/>
      <c r="J20" s="42">
        <f>+J17*0.1</f>
        <v>29145.084909100005</v>
      </c>
    </row>
    <row r="21" spans="2:10" ht="23" customHeight="1">
      <c r="B21" s="33"/>
      <c r="C21" s="33" t="s">
        <v>252</v>
      </c>
      <c r="D21" s="35" t="s">
        <v>675</v>
      </c>
      <c r="E21" s="35"/>
      <c r="F21" s="33" t="s">
        <v>250</v>
      </c>
      <c r="G21" s="51"/>
      <c r="H21" s="417"/>
      <c r="I21" s="72"/>
      <c r="J21" s="417"/>
    </row>
    <row r="22" spans="2:10" ht="23" customHeight="1">
      <c r="B22" s="33"/>
      <c r="C22" s="411" t="s">
        <v>21</v>
      </c>
      <c r="D22" s="412" t="s">
        <v>553</v>
      </c>
      <c r="E22" s="413"/>
      <c r="F22" s="411" t="s">
        <v>250</v>
      </c>
      <c r="G22" s="414"/>
      <c r="H22" s="415">
        <f>+H20-H21</f>
        <v>29145.084909100005</v>
      </c>
      <c r="I22" s="416"/>
      <c r="J22" s="415">
        <f>+J20-J21</f>
        <v>29145.084909100005</v>
      </c>
    </row>
    <row r="23" spans="2:10" ht="23" customHeight="1">
      <c r="B23" s="33"/>
      <c r="C23" s="34"/>
      <c r="D23" s="35"/>
      <c r="E23" s="35"/>
      <c r="F23" s="51"/>
      <c r="G23" s="51"/>
      <c r="H23" s="51"/>
      <c r="I23" s="33"/>
      <c r="J23" s="42"/>
    </row>
    <row r="24" spans="2:10" ht="23" customHeight="1">
      <c r="B24" s="33"/>
      <c r="C24" s="34"/>
      <c r="D24" s="35"/>
      <c r="E24" s="35"/>
      <c r="F24" s="51"/>
      <c r="G24" s="51"/>
      <c r="H24" s="51"/>
      <c r="I24" s="33"/>
      <c r="J24" s="42"/>
    </row>
    <row r="25" spans="2:10" ht="23" customHeight="1">
      <c r="C25" s="2" t="s">
        <v>431</v>
      </c>
    </row>
  </sheetData>
  <mergeCells count="3">
    <mergeCell ref="B3:J3"/>
    <mergeCell ref="B4:J4"/>
    <mergeCell ref="B5:J5"/>
  </mergeCells>
  <printOptions horizontalCentered="1"/>
  <pageMargins left="0.70866141732283505" right="0.70866141732283505" top="0.74803149606299202" bottom="0.74803149606299202" header="0.31496062992126" footer="0.31496062992126"/>
  <pageSetup scale="62" orientation="landscape"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2:K79"/>
  <sheetViews>
    <sheetView view="pageBreakPreview" zoomScale="140" zoomScaleNormal="110" zoomScaleSheetLayoutView="140" workbookViewId="0">
      <pane ySplit="6" topLeftCell="A7" activePane="bottomLeft" state="frozen"/>
      <selection pane="bottomLeft" activeCell="D7" sqref="D7"/>
    </sheetView>
  </sheetViews>
  <sheetFormatPr baseColWidth="10" defaultColWidth="11.5" defaultRowHeight="20" customHeight="1"/>
  <cols>
    <col min="1" max="1" width="11.5" style="1"/>
    <col min="2" max="2" width="19.5" style="1" bestFit="1" customWidth="1"/>
    <col min="3" max="3" width="8.33203125" style="1" bestFit="1" customWidth="1"/>
    <col min="4" max="4" width="10" style="1" bestFit="1" customWidth="1"/>
    <col min="5" max="5" width="20.1640625" style="1" bestFit="1" customWidth="1"/>
    <col min="6" max="6" width="19.83203125" style="1" bestFit="1" customWidth="1"/>
    <col min="7" max="7" width="10" style="1" bestFit="1" customWidth="1"/>
    <col min="8" max="8" width="17.83203125" style="1" bestFit="1" customWidth="1"/>
    <col min="9" max="9" width="26.83203125" style="1" bestFit="1" customWidth="1"/>
    <col min="10" max="10" width="21.83203125" style="1" customWidth="1"/>
    <col min="11" max="11" width="17.5" style="1" customWidth="1"/>
    <col min="12" max="16384" width="11.5" style="1"/>
  </cols>
  <sheetData>
    <row r="2" spans="2:11" ht="49" customHeight="1">
      <c r="B2" s="752" t="s">
        <v>461</v>
      </c>
      <c r="C2" s="752"/>
      <c r="D2" s="752"/>
      <c r="E2" s="752"/>
      <c r="F2" s="752"/>
      <c r="G2" s="752"/>
      <c r="H2" s="752"/>
      <c r="I2" s="752"/>
      <c r="J2" s="125"/>
    </row>
    <row r="3" spans="2:11" ht="20" customHeight="1">
      <c r="B3" s="751" t="s">
        <v>451</v>
      </c>
      <c r="C3" s="751"/>
      <c r="D3" s="751"/>
      <c r="E3" s="751"/>
      <c r="F3" s="751"/>
      <c r="G3" s="751"/>
      <c r="H3" s="751"/>
      <c r="I3" s="751"/>
      <c r="J3" s="751"/>
    </row>
    <row r="4" spans="2:11" ht="14" customHeight="1">
      <c r="B4" s="540" t="s">
        <v>443</v>
      </c>
      <c r="C4" s="122" t="s">
        <v>676</v>
      </c>
      <c r="D4" s="24"/>
      <c r="E4" s="123"/>
      <c r="F4" s="123"/>
      <c r="G4" s="123"/>
      <c r="H4" s="123"/>
      <c r="I4" s="123"/>
      <c r="J4" s="26"/>
      <c r="K4" s="26"/>
    </row>
    <row r="5" spans="2:11" s="85" customFormat="1" ht="30">
      <c r="B5" s="126" t="s">
        <v>169</v>
      </c>
      <c r="C5" s="127" t="s">
        <v>167</v>
      </c>
      <c r="D5" s="127" t="s">
        <v>168</v>
      </c>
      <c r="E5" s="127" t="s">
        <v>310</v>
      </c>
      <c r="F5" s="127" t="s">
        <v>311</v>
      </c>
      <c r="G5" s="127" t="s">
        <v>489</v>
      </c>
      <c r="H5" s="127" t="s">
        <v>312</v>
      </c>
      <c r="I5" s="127" t="s">
        <v>313</v>
      </c>
      <c r="J5"/>
      <c r="K5"/>
    </row>
    <row r="6" spans="2:11" ht="16">
      <c r="B6" s="741">
        <v>0</v>
      </c>
      <c r="C6" s="711"/>
      <c r="D6" s="712"/>
      <c r="E6" s="711"/>
      <c r="F6" s="711"/>
      <c r="G6" s="711"/>
      <c r="H6" s="712"/>
      <c r="I6" s="349"/>
      <c r="J6"/>
      <c r="K6"/>
    </row>
    <row r="7" spans="2:11" ht="16">
      <c r="B7" s="350" t="s">
        <v>843</v>
      </c>
      <c r="C7" s="711"/>
      <c r="D7" s="712"/>
      <c r="E7" s="711"/>
      <c r="F7" s="711"/>
      <c r="G7" s="711"/>
      <c r="H7" s="712"/>
      <c r="I7" s="349"/>
      <c r="J7"/>
      <c r="K7"/>
    </row>
    <row r="8" spans="2:11" ht="16">
      <c r="B8" s="351" t="s">
        <v>843</v>
      </c>
      <c r="C8" s="711"/>
      <c r="D8" s="712"/>
      <c r="E8" s="711"/>
      <c r="F8" s="711"/>
      <c r="G8" s="711"/>
      <c r="H8" s="712"/>
      <c r="I8" s="349"/>
      <c r="J8"/>
      <c r="K8"/>
    </row>
    <row r="9" spans="2:11" ht="16">
      <c r="B9" s="352" t="s">
        <v>843</v>
      </c>
      <c r="C9" s="711">
        <v>0</v>
      </c>
      <c r="D9" s="712">
        <v>0</v>
      </c>
      <c r="E9" s="711">
        <v>0</v>
      </c>
      <c r="F9" s="711">
        <v>0</v>
      </c>
      <c r="G9" s="711">
        <v>0</v>
      </c>
      <c r="H9" s="712">
        <v>0</v>
      </c>
      <c r="I9" s="349">
        <v>0</v>
      </c>
      <c r="J9"/>
      <c r="K9"/>
    </row>
    <row r="10" spans="2:11" ht="16">
      <c r="B10" s="354" t="s">
        <v>845</v>
      </c>
      <c r="C10" s="713">
        <v>0</v>
      </c>
      <c r="D10" s="714">
        <v>0</v>
      </c>
      <c r="E10" s="713">
        <v>0</v>
      </c>
      <c r="F10" s="713">
        <v>0</v>
      </c>
      <c r="G10" s="713">
        <v>0</v>
      </c>
      <c r="H10" s="714">
        <v>0</v>
      </c>
      <c r="I10" s="355">
        <v>0</v>
      </c>
      <c r="J10"/>
      <c r="K10"/>
    </row>
    <row r="11" spans="2:11" ht="16">
      <c r="B11" s="353"/>
      <c r="C11" s="711"/>
      <c r="D11" s="712"/>
      <c r="E11" s="711"/>
      <c r="F11" s="711"/>
      <c r="G11" s="711"/>
      <c r="H11" s="712"/>
      <c r="I11" s="349"/>
      <c r="J11"/>
      <c r="K11"/>
    </row>
    <row r="12" spans="2:11" ht="16">
      <c r="B12" s="356" t="s">
        <v>845</v>
      </c>
      <c r="C12" s="715">
        <v>0</v>
      </c>
      <c r="D12" s="716">
        <v>0</v>
      </c>
      <c r="E12" s="715">
        <v>0</v>
      </c>
      <c r="F12" s="715">
        <v>0</v>
      </c>
      <c r="G12" s="715">
        <v>0</v>
      </c>
      <c r="H12" s="716">
        <v>0</v>
      </c>
      <c r="I12" s="357">
        <v>0</v>
      </c>
      <c r="J12"/>
      <c r="K12"/>
    </row>
    <row r="13" spans="2:11" ht="16">
      <c r="B13" s="350"/>
      <c r="C13" s="711"/>
      <c r="D13" s="712"/>
      <c r="E13" s="711"/>
      <c r="F13" s="711"/>
      <c r="G13" s="711"/>
      <c r="H13" s="712"/>
      <c r="I13" s="349"/>
      <c r="J13"/>
      <c r="K13"/>
    </row>
    <row r="14" spans="2:11" ht="16">
      <c r="B14" s="358" t="s">
        <v>846</v>
      </c>
      <c r="C14" s="719">
        <v>0</v>
      </c>
      <c r="D14" s="720">
        <v>0</v>
      </c>
      <c r="E14" s="719">
        <v>0</v>
      </c>
      <c r="F14" s="719">
        <v>0</v>
      </c>
      <c r="G14" s="719">
        <v>0</v>
      </c>
      <c r="H14" s="720">
        <v>0</v>
      </c>
      <c r="I14" s="359">
        <v>0</v>
      </c>
      <c r="J14"/>
      <c r="K14"/>
    </row>
    <row r="15" spans="2:11" ht="16">
      <c r="B15" s="67"/>
      <c r="C15" s="711"/>
      <c r="D15" s="712"/>
      <c r="E15" s="711"/>
      <c r="F15" s="711"/>
      <c r="G15" s="711"/>
      <c r="H15" s="712"/>
      <c r="I15" s="349"/>
      <c r="J15"/>
      <c r="K15"/>
    </row>
    <row r="16" spans="2:11" ht="16">
      <c r="B16" s="128" t="s">
        <v>61</v>
      </c>
      <c r="C16" s="721">
        <v>0</v>
      </c>
      <c r="D16" s="722">
        <v>0</v>
      </c>
      <c r="E16" s="721">
        <v>0</v>
      </c>
      <c r="F16" s="721">
        <v>0</v>
      </c>
      <c r="G16" s="721">
        <v>0</v>
      </c>
      <c r="H16" s="722">
        <v>0</v>
      </c>
      <c r="I16" s="129">
        <v>0</v>
      </c>
      <c r="J16"/>
      <c r="K16"/>
    </row>
    <row r="17" spans="2:10" ht="16">
      <c r="B17"/>
      <c r="C17"/>
      <c r="D17"/>
      <c r="E17"/>
      <c r="F17"/>
      <c r="G17"/>
      <c r="H17"/>
      <c r="I17"/>
      <c r="J17"/>
    </row>
    <row r="18" spans="2:10" ht="16">
      <c r="B18"/>
      <c r="C18"/>
      <c r="D18"/>
      <c r="E18"/>
      <c r="F18"/>
      <c r="G18"/>
      <c r="H18"/>
      <c r="I18"/>
      <c r="J18"/>
    </row>
    <row r="19" spans="2:10" ht="16">
      <c r="B19"/>
      <c r="C19"/>
      <c r="D19"/>
      <c r="E19"/>
      <c r="F19"/>
      <c r="G19"/>
      <c r="H19"/>
      <c r="I19"/>
      <c r="J19"/>
    </row>
    <row r="20" spans="2:10" ht="16">
      <c r="B20"/>
      <c r="C20"/>
      <c r="D20"/>
      <c r="E20"/>
      <c r="F20"/>
      <c r="G20"/>
      <c r="H20"/>
      <c r="I20"/>
      <c r="J20"/>
    </row>
    <row r="21" spans="2:10" ht="16">
      <c r="B21"/>
      <c r="C21"/>
      <c r="D21"/>
      <c r="E21"/>
      <c r="F21"/>
      <c r="G21"/>
      <c r="H21"/>
      <c r="I21"/>
      <c r="J21"/>
    </row>
    <row r="22" spans="2:10" ht="16">
      <c r="B22"/>
      <c r="C22"/>
      <c r="D22"/>
      <c r="E22"/>
      <c r="F22"/>
      <c r="G22"/>
      <c r="H22"/>
      <c r="I22"/>
      <c r="J22"/>
    </row>
    <row r="23" spans="2:10" ht="16">
      <c r="B23"/>
      <c r="C23"/>
      <c r="D23"/>
      <c r="E23"/>
      <c r="F23"/>
      <c r="G23"/>
      <c r="H23"/>
      <c r="I23"/>
      <c r="J23"/>
    </row>
    <row r="24" spans="2:10" ht="16">
      <c r="B24"/>
      <c r="C24"/>
      <c r="D24"/>
      <c r="E24"/>
      <c r="F24"/>
      <c r="G24"/>
      <c r="H24"/>
      <c r="I24"/>
      <c r="J24"/>
    </row>
    <row r="25" spans="2:10" ht="16">
      <c r="B25"/>
      <c r="C25"/>
      <c r="D25"/>
      <c r="E25"/>
      <c r="F25"/>
      <c r="G25"/>
      <c r="H25"/>
      <c r="I25"/>
      <c r="J25"/>
    </row>
    <row r="26" spans="2:10" ht="16">
      <c r="B26"/>
      <c r="C26"/>
      <c r="D26"/>
      <c r="E26"/>
      <c r="F26"/>
      <c r="G26"/>
      <c r="H26"/>
      <c r="I26"/>
      <c r="J26"/>
    </row>
    <row r="27" spans="2:10" ht="16">
      <c r="B27"/>
      <c r="C27"/>
      <c r="D27"/>
      <c r="E27"/>
      <c r="F27"/>
      <c r="G27"/>
      <c r="H27"/>
      <c r="I27"/>
      <c r="J27"/>
    </row>
    <row r="28" spans="2:10" ht="16">
      <c r="B28"/>
      <c r="C28"/>
      <c r="D28"/>
      <c r="E28"/>
      <c r="F28"/>
      <c r="G28"/>
      <c r="H28"/>
      <c r="I28"/>
      <c r="J28"/>
    </row>
    <row r="29" spans="2:10" ht="16">
      <c r="B29"/>
      <c r="C29"/>
      <c r="D29"/>
      <c r="E29"/>
      <c r="F29"/>
      <c r="G29"/>
      <c r="H29"/>
      <c r="I29"/>
      <c r="J29"/>
    </row>
    <row r="30" spans="2:10" ht="16">
      <c r="B30"/>
      <c r="C30"/>
      <c r="D30"/>
      <c r="E30"/>
      <c r="F30"/>
      <c r="G30"/>
      <c r="H30"/>
      <c r="I30"/>
      <c r="J30"/>
    </row>
    <row r="31" spans="2:10" ht="16">
      <c r="B31"/>
      <c r="C31"/>
      <c r="D31"/>
      <c r="E31"/>
      <c r="F31"/>
      <c r="G31"/>
      <c r="H31"/>
      <c r="I31"/>
      <c r="J31"/>
    </row>
    <row r="32" spans="2:10" ht="16">
      <c r="B32"/>
      <c r="C32"/>
      <c r="D32"/>
      <c r="E32"/>
      <c r="F32"/>
      <c r="G32"/>
      <c r="H32"/>
      <c r="I32"/>
      <c r="J32"/>
    </row>
    <row r="33" spans="2:10" ht="16">
      <c r="B33"/>
      <c r="C33"/>
      <c r="D33"/>
      <c r="E33"/>
      <c r="F33"/>
      <c r="G33"/>
      <c r="H33"/>
      <c r="I33"/>
      <c r="J33"/>
    </row>
    <row r="34" spans="2:10" ht="16">
      <c r="B34"/>
      <c r="C34"/>
      <c r="D34"/>
      <c r="E34"/>
      <c r="F34"/>
      <c r="G34"/>
      <c r="H34"/>
      <c r="I34"/>
      <c r="J34"/>
    </row>
    <row r="35" spans="2:10" ht="16">
      <c r="B35"/>
      <c r="C35"/>
      <c r="D35"/>
      <c r="E35"/>
      <c r="F35"/>
      <c r="G35"/>
      <c r="H35"/>
      <c r="I35"/>
      <c r="J35"/>
    </row>
    <row r="36" spans="2:10" ht="16">
      <c r="B36"/>
      <c r="C36"/>
      <c r="D36"/>
      <c r="E36"/>
      <c r="F36"/>
      <c r="G36"/>
      <c r="H36"/>
      <c r="I36"/>
      <c r="J36"/>
    </row>
    <row r="37" spans="2:10" ht="16">
      <c r="B37"/>
      <c r="C37"/>
      <c r="D37"/>
      <c r="E37"/>
      <c r="F37"/>
      <c r="G37"/>
      <c r="H37"/>
      <c r="I37"/>
      <c r="J37"/>
    </row>
    <row r="38" spans="2:10" ht="16">
      <c r="B38"/>
      <c r="C38"/>
      <c r="D38"/>
      <c r="E38"/>
      <c r="F38"/>
      <c r="G38"/>
      <c r="H38"/>
      <c r="I38"/>
      <c r="J38"/>
    </row>
    <row r="39" spans="2:10" ht="16">
      <c r="B39"/>
      <c r="C39"/>
      <c r="D39"/>
      <c r="E39"/>
      <c r="F39"/>
      <c r="G39"/>
      <c r="H39"/>
      <c r="I39"/>
      <c r="J39"/>
    </row>
    <row r="40" spans="2:10" ht="16">
      <c r="B40"/>
      <c r="C40"/>
      <c r="D40"/>
      <c r="E40"/>
      <c r="F40"/>
      <c r="G40"/>
      <c r="H40"/>
      <c r="I40"/>
      <c r="J40"/>
    </row>
    <row r="41" spans="2:10" ht="16">
      <c r="B41"/>
      <c r="C41"/>
      <c r="D41"/>
      <c r="E41"/>
      <c r="F41"/>
      <c r="G41"/>
      <c r="H41"/>
      <c r="I41"/>
      <c r="J41"/>
    </row>
    <row r="42" spans="2:10" ht="16">
      <c r="B42"/>
      <c r="C42"/>
      <c r="D42"/>
      <c r="E42"/>
      <c r="F42"/>
      <c r="G42"/>
      <c r="H42"/>
      <c r="I42"/>
      <c r="J42"/>
    </row>
    <row r="43" spans="2:10" ht="16">
      <c r="B43"/>
      <c r="C43"/>
      <c r="D43"/>
      <c r="E43"/>
      <c r="F43"/>
      <c r="G43"/>
      <c r="H43"/>
      <c r="I43"/>
      <c r="J43"/>
    </row>
    <row r="44" spans="2:10" ht="16">
      <c r="B44"/>
      <c r="C44"/>
      <c r="D44"/>
      <c r="E44"/>
      <c r="F44"/>
      <c r="G44"/>
      <c r="H44"/>
      <c r="I44"/>
      <c r="J44"/>
    </row>
    <row r="45" spans="2:10" ht="16">
      <c r="B45"/>
      <c r="C45"/>
      <c r="D45"/>
      <c r="E45"/>
      <c r="F45"/>
      <c r="G45"/>
      <c r="H45"/>
      <c r="I45"/>
      <c r="J45"/>
    </row>
    <row r="46" spans="2:10" ht="16">
      <c r="B46"/>
      <c r="C46"/>
      <c r="D46"/>
      <c r="E46"/>
      <c r="F46"/>
      <c r="G46"/>
      <c r="H46"/>
      <c r="I46"/>
      <c r="J46"/>
    </row>
    <row r="47" spans="2:10" ht="16">
      <c r="B47"/>
      <c r="C47"/>
      <c r="D47"/>
      <c r="E47"/>
      <c r="F47"/>
      <c r="G47"/>
      <c r="H47"/>
      <c r="I47"/>
      <c r="J47"/>
    </row>
    <row r="48" spans="2:10" ht="16">
      <c r="B48"/>
      <c r="C48"/>
      <c r="D48"/>
      <c r="E48"/>
      <c r="F48"/>
      <c r="G48"/>
      <c r="H48"/>
      <c r="I48"/>
      <c r="J48"/>
    </row>
    <row r="49" spans="2:10" ht="16">
      <c r="B49"/>
      <c r="C49"/>
      <c r="D49"/>
      <c r="E49"/>
      <c r="F49"/>
      <c r="G49"/>
      <c r="H49"/>
      <c r="I49"/>
      <c r="J49"/>
    </row>
    <row r="50" spans="2:10" ht="16">
      <c r="B50"/>
      <c r="C50"/>
      <c r="D50"/>
      <c r="E50"/>
      <c r="F50"/>
      <c r="G50"/>
      <c r="H50"/>
      <c r="I50"/>
      <c r="J50"/>
    </row>
    <row r="51" spans="2:10" ht="16">
      <c r="B51"/>
      <c r="C51"/>
      <c r="D51"/>
      <c r="E51"/>
      <c r="F51"/>
      <c r="G51"/>
      <c r="H51"/>
      <c r="I51"/>
      <c r="J51"/>
    </row>
    <row r="52" spans="2:10" ht="16">
      <c r="B52"/>
      <c r="C52"/>
      <c r="D52"/>
      <c r="E52"/>
      <c r="F52"/>
      <c r="G52"/>
      <c r="H52"/>
      <c r="I52"/>
      <c r="J52"/>
    </row>
    <row r="53" spans="2:10" ht="16">
      <c r="B53"/>
      <c r="C53"/>
      <c r="D53"/>
      <c r="E53"/>
      <c r="F53"/>
      <c r="G53"/>
      <c r="H53"/>
      <c r="I53"/>
      <c r="J53"/>
    </row>
    <row r="54" spans="2:10" ht="16">
      <c r="B54"/>
      <c r="C54"/>
      <c r="D54"/>
      <c r="E54"/>
      <c r="F54"/>
      <c r="G54"/>
      <c r="H54"/>
      <c r="I54"/>
      <c r="J54"/>
    </row>
    <row r="55" spans="2:10" ht="16">
      <c r="B55"/>
      <c r="C55"/>
      <c r="D55"/>
      <c r="E55"/>
      <c r="F55"/>
      <c r="G55"/>
      <c r="H55"/>
      <c r="I55"/>
      <c r="J55"/>
    </row>
    <row r="56" spans="2:10" ht="16">
      <c r="B56"/>
      <c r="C56"/>
      <c r="D56"/>
      <c r="E56"/>
      <c r="F56"/>
      <c r="G56"/>
      <c r="H56"/>
      <c r="I56"/>
      <c r="J56"/>
    </row>
    <row r="57" spans="2:10" ht="16">
      <c r="B57"/>
      <c r="C57"/>
      <c r="D57"/>
      <c r="E57"/>
      <c r="F57"/>
      <c r="G57"/>
      <c r="H57"/>
      <c r="I57"/>
      <c r="J57"/>
    </row>
    <row r="58" spans="2:10" ht="16">
      <c r="B58"/>
      <c r="C58"/>
      <c r="D58"/>
      <c r="E58"/>
      <c r="F58"/>
      <c r="G58"/>
      <c r="H58"/>
      <c r="I58"/>
      <c r="J58"/>
    </row>
    <row r="59" spans="2:10" ht="16">
      <c r="B59"/>
      <c r="C59"/>
      <c r="D59"/>
      <c r="E59"/>
      <c r="F59"/>
      <c r="G59"/>
      <c r="H59"/>
      <c r="I59"/>
      <c r="J59"/>
    </row>
    <row r="60" spans="2:10" ht="16">
      <c r="B60"/>
      <c r="C60"/>
      <c r="D60"/>
      <c r="E60"/>
      <c r="F60"/>
      <c r="G60"/>
      <c r="H60"/>
      <c r="I60"/>
      <c r="J60"/>
    </row>
    <row r="61" spans="2:10" ht="16">
      <c r="B61"/>
      <c r="C61"/>
      <c r="D61"/>
      <c r="E61"/>
      <c r="F61"/>
      <c r="G61"/>
      <c r="H61"/>
      <c r="I61"/>
      <c r="J61"/>
    </row>
    <row r="62" spans="2:10" ht="16">
      <c r="B62"/>
      <c r="C62"/>
      <c r="D62"/>
      <c r="E62"/>
      <c r="F62"/>
      <c r="G62"/>
      <c r="H62"/>
      <c r="I62"/>
      <c r="J62"/>
    </row>
    <row r="63" spans="2:10" ht="16">
      <c r="B63"/>
      <c r="C63"/>
      <c r="D63"/>
      <c r="E63"/>
      <c r="F63"/>
      <c r="G63"/>
      <c r="H63"/>
      <c r="I63"/>
      <c r="J63"/>
    </row>
    <row r="64" spans="2:10" ht="16">
      <c r="B64"/>
      <c r="C64"/>
      <c r="D64"/>
      <c r="E64"/>
      <c r="F64"/>
      <c r="G64"/>
      <c r="H64"/>
      <c r="I64"/>
      <c r="J64"/>
    </row>
    <row r="65" spans="2:10" ht="16">
      <c r="B65"/>
      <c r="C65"/>
      <c r="D65"/>
      <c r="E65"/>
      <c r="F65"/>
      <c r="G65"/>
      <c r="H65"/>
      <c r="I65"/>
      <c r="J65"/>
    </row>
    <row r="66" spans="2:10" ht="16">
      <c r="B66"/>
      <c r="C66"/>
      <c r="D66"/>
      <c r="E66"/>
      <c r="F66"/>
      <c r="G66"/>
      <c r="H66"/>
      <c r="I66"/>
      <c r="J66"/>
    </row>
    <row r="67" spans="2:10" ht="16">
      <c r="B67"/>
      <c r="C67"/>
      <c r="D67"/>
      <c r="E67"/>
      <c r="F67"/>
      <c r="G67"/>
      <c r="H67"/>
      <c r="I67"/>
      <c r="J67"/>
    </row>
    <row r="68" spans="2:10" ht="16">
      <c r="B68"/>
      <c r="C68"/>
      <c r="D68"/>
      <c r="E68"/>
      <c r="F68"/>
      <c r="G68"/>
      <c r="H68"/>
      <c r="I68"/>
      <c r="J68"/>
    </row>
    <row r="69" spans="2:10" ht="16">
      <c r="B69"/>
      <c r="C69"/>
      <c r="D69"/>
      <c r="E69"/>
      <c r="F69"/>
      <c r="G69"/>
      <c r="H69"/>
      <c r="I69"/>
      <c r="J69"/>
    </row>
    <row r="70" spans="2:10" ht="16">
      <c r="B70"/>
      <c r="C70"/>
      <c r="D70"/>
      <c r="E70"/>
      <c r="F70"/>
      <c r="G70"/>
      <c r="H70"/>
      <c r="I70"/>
      <c r="J70"/>
    </row>
    <row r="71" spans="2:10" ht="16">
      <c r="B71"/>
      <c r="C71"/>
      <c r="D71"/>
      <c r="E71"/>
      <c r="F71"/>
      <c r="G71"/>
      <c r="H71"/>
      <c r="I71"/>
      <c r="J71"/>
    </row>
    <row r="72" spans="2:10" ht="16">
      <c r="B72"/>
      <c r="C72"/>
      <c r="D72"/>
      <c r="E72"/>
      <c r="F72"/>
      <c r="G72"/>
      <c r="H72"/>
      <c r="I72"/>
      <c r="J72"/>
    </row>
    <row r="73" spans="2:10" ht="16">
      <c r="B73"/>
      <c r="C73"/>
      <c r="D73"/>
      <c r="E73"/>
      <c r="F73"/>
      <c r="G73"/>
      <c r="H73"/>
      <c r="I73"/>
      <c r="J73"/>
    </row>
    <row r="74" spans="2:10" ht="16">
      <c r="B74"/>
      <c r="C74"/>
      <c r="D74"/>
      <c r="E74"/>
      <c r="F74"/>
      <c r="G74"/>
      <c r="H74"/>
      <c r="I74"/>
      <c r="J74"/>
    </row>
    <row r="75" spans="2:10" ht="16">
      <c r="B75"/>
      <c r="C75"/>
      <c r="D75"/>
      <c r="E75"/>
      <c r="F75"/>
      <c r="G75"/>
      <c r="H75"/>
      <c r="I75"/>
      <c r="J75"/>
    </row>
    <row r="76" spans="2:10" ht="16">
      <c r="B76"/>
      <c r="C76"/>
      <c r="D76"/>
      <c r="E76"/>
      <c r="F76"/>
      <c r="G76"/>
      <c r="H76"/>
      <c r="I76"/>
      <c r="J76"/>
    </row>
    <row r="77" spans="2:10" ht="16">
      <c r="B77"/>
      <c r="C77"/>
      <c r="D77"/>
      <c r="E77"/>
      <c r="F77"/>
      <c r="G77"/>
      <c r="H77"/>
      <c r="I77"/>
      <c r="J77"/>
    </row>
    <row r="78" spans="2:10" ht="16">
      <c r="B78"/>
      <c r="C78"/>
      <c r="D78"/>
      <c r="E78"/>
      <c r="F78"/>
      <c r="G78"/>
      <c r="H78"/>
      <c r="I78"/>
      <c r="J78"/>
    </row>
    <row r="79" spans="2:10" ht="16">
      <c r="B79"/>
      <c r="C79"/>
      <c r="D79"/>
      <c r="E79"/>
      <c r="F79"/>
      <c r="G79"/>
      <c r="H79"/>
      <c r="I79"/>
      <c r="J79"/>
    </row>
  </sheetData>
  <sheetProtection formatCells="0" formatColumns="0" formatRows="0"/>
  <mergeCells count="2">
    <mergeCell ref="B3:J3"/>
    <mergeCell ref="B2:I2"/>
  </mergeCells>
  <phoneticPr fontId="8" type="noConversion"/>
  <printOptions horizontalCentered="1"/>
  <pageMargins left="0.70866141732283472" right="0.70866141732283472" top="0.74803149606299213" bottom="0.74803149606299213" header="0.31496062992125984" footer="0.31496062992125984"/>
  <pageSetup scale="86" fitToHeight="10" orientation="landscape" horizontalDpi="1200" verticalDpi="12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7C0AD-313E-7842-BCEA-0FEE93CB8A6B}">
  <sheetPr>
    <pageSetUpPr fitToPage="1"/>
  </sheetPr>
  <dimension ref="B2:J67"/>
  <sheetViews>
    <sheetView view="pageBreakPreview" zoomScaleNormal="100" zoomScaleSheetLayoutView="100" workbookViewId="0">
      <pane ySplit="6" topLeftCell="A31" activePane="bottomLeft" state="frozen"/>
      <selection pane="bottomLeft" activeCell="C46" sqref="C46"/>
    </sheetView>
  </sheetViews>
  <sheetFormatPr baseColWidth="10" defaultColWidth="10.83203125" defaultRowHeight="23" customHeight="1"/>
  <cols>
    <col min="1" max="1" width="10.83203125" style="1"/>
    <col min="2" max="2" width="49" style="1" bestFit="1" customWidth="1"/>
    <col min="3" max="3" width="13.6640625" style="3" bestFit="1" customWidth="1"/>
    <col min="4" max="5" width="14.83203125" style="1" bestFit="1" customWidth="1"/>
    <col min="6" max="6" width="12.83203125" style="1" bestFit="1" customWidth="1"/>
    <col min="7" max="8" width="16" style="1" bestFit="1" customWidth="1"/>
    <col min="9" max="9" width="15.6640625" style="1" bestFit="1" customWidth="1"/>
    <col min="10" max="10" width="20.6640625" style="1" bestFit="1" customWidth="1"/>
    <col min="11" max="16384" width="10.83203125" style="1"/>
  </cols>
  <sheetData>
    <row r="2" spans="2:10" ht="46" customHeight="1">
      <c r="B2" s="752" t="s">
        <v>462</v>
      </c>
      <c r="C2" s="752"/>
      <c r="D2" s="752"/>
      <c r="E2" s="752"/>
      <c r="F2" s="752"/>
      <c r="G2" s="752"/>
      <c r="H2" s="752"/>
      <c r="I2" s="752"/>
      <c r="J2" s="125"/>
    </row>
    <row r="3" spans="2:10" ht="22" customHeight="1">
      <c r="B3" s="753" t="s">
        <v>453</v>
      </c>
      <c r="C3" s="753"/>
      <c r="D3" s="753"/>
      <c r="E3" s="753"/>
      <c r="F3" s="753"/>
      <c r="G3" s="753"/>
      <c r="H3" s="753"/>
      <c r="I3" s="753"/>
      <c r="J3" s="2"/>
    </row>
    <row r="4" spans="2:10" ht="14" customHeight="1">
      <c r="B4" s="540" t="s">
        <v>459</v>
      </c>
      <c r="C4" s="122" t="s">
        <v>676</v>
      </c>
      <c r="D4" s="24"/>
      <c r="E4" s="123"/>
      <c r="F4" s="123"/>
      <c r="G4" s="123"/>
      <c r="H4" s="123"/>
      <c r="I4" s="123"/>
      <c r="J4" s="26"/>
    </row>
    <row r="5" spans="2:10" ht="45">
      <c r="B5" s="126" t="s">
        <v>169</v>
      </c>
      <c r="C5" s="127" t="s">
        <v>167</v>
      </c>
      <c r="D5" s="127" t="s">
        <v>168</v>
      </c>
      <c r="E5" s="127" t="s">
        <v>310</v>
      </c>
      <c r="F5" s="127" t="s">
        <v>311</v>
      </c>
      <c r="G5" s="127" t="s">
        <v>490</v>
      </c>
      <c r="H5" s="127" t="s">
        <v>312</v>
      </c>
      <c r="I5" s="127" t="s">
        <v>314</v>
      </c>
      <c r="J5"/>
    </row>
    <row r="6" spans="2:10" ht="16">
      <c r="B6" s="741" t="s">
        <v>774</v>
      </c>
      <c r="C6" s="723"/>
      <c r="D6" s="712"/>
      <c r="E6" s="711"/>
      <c r="F6" s="711"/>
      <c r="G6" s="711"/>
      <c r="H6" s="712"/>
      <c r="I6" s="349"/>
      <c r="J6"/>
    </row>
    <row r="7" spans="2:10" ht="16">
      <c r="B7" s="350" t="s">
        <v>113</v>
      </c>
      <c r="C7" s="723"/>
      <c r="D7" s="712"/>
      <c r="E7" s="711"/>
      <c r="F7" s="711"/>
      <c r="G7" s="711"/>
      <c r="H7" s="712"/>
      <c r="I7" s="349"/>
      <c r="J7"/>
    </row>
    <row r="8" spans="2:10" ht="16">
      <c r="B8" s="351" t="s">
        <v>957</v>
      </c>
      <c r="C8" s="723"/>
      <c r="D8" s="712"/>
      <c r="E8" s="711"/>
      <c r="F8" s="711"/>
      <c r="G8" s="711"/>
      <c r="H8" s="712"/>
      <c r="I8" s="349"/>
      <c r="J8"/>
    </row>
    <row r="9" spans="2:10" ht="16">
      <c r="B9" s="352" t="s">
        <v>738</v>
      </c>
      <c r="C9" s="723">
        <v>1895</v>
      </c>
      <c r="D9" s="712">
        <v>9978.5</v>
      </c>
      <c r="E9" s="711">
        <v>10121.31</v>
      </c>
      <c r="F9" s="711">
        <v>-142.80999999999949</v>
      </c>
      <c r="G9" s="711">
        <v>202763.12</v>
      </c>
      <c r="H9" s="712">
        <v>211987.77382461063</v>
      </c>
      <c r="I9" s="349">
        <v>-9224.6538246106356</v>
      </c>
      <c r="J9"/>
    </row>
    <row r="10" spans="2:10" ht="16">
      <c r="B10" s="352" t="s">
        <v>819</v>
      </c>
      <c r="C10" s="723">
        <v>89712</v>
      </c>
      <c r="D10" s="712">
        <v>499303.20437182504</v>
      </c>
      <c r="E10" s="711">
        <v>464421.87730272958</v>
      </c>
      <c r="F10" s="711">
        <v>34881.327069095452</v>
      </c>
      <c r="G10" s="711">
        <v>9986463.5299999993</v>
      </c>
      <c r="H10" s="712">
        <v>11330499.379499998</v>
      </c>
      <c r="I10" s="349">
        <v>-1344035.8494999986</v>
      </c>
      <c r="J10"/>
    </row>
    <row r="11" spans="2:10" ht="16">
      <c r="B11" s="352" t="s">
        <v>735</v>
      </c>
      <c r="C11" s="723">
        <v>424961</v>
      </c>
      <c r="D11" s="712">
        <v>2317981.8874903964</v>
      </c>
      <c r="E11" s="711">
        <v>2170390.814722002</v>
      </c>
      <c r="F11" s="711">
        <v>147591.0727683944</v>
      </c>
      <c r="G11" s="711">
        <v>47036976.700000003</v>
      </c>
      <c r="H11" s="712">
        <v>48756084.775489002</v>
      </c>
      <c r="I11" s="349">
        <v>-1719108.0754890007</v>
      </c>
      <c r="J11"/>
    </row>
    <row r="12" spans="2:10" ht="16">
      <c r="B12" s="352" t="s">
        <v>734</v>
      </c>
      <c r="C12" s="723">
        <v>169960</v>
      </c>
      <c r="D12" s="712">
        <v>913760.61552905268</v>
      </c>
      <c r="E12" s="711">
        <v>856297.32730552636</v>
      </c>
      <c r="F12" s="711">
        <v>57463.288223526324</v>
      </c>
      <c r="G12" s="711">
        <v>18687044.219999999</v>
      </c>
      <c r="H12" s="712">
        <v>18990868.853</v>
      </c>
      <c r="I12" s="349">
        <v>-303824.63300000108</v>
      </c>
      <c r="J12"/>
    </row>
    <row r="13" spans="2:10" ht="16">
      <c r="B13" s="354" t="s">
        <v>958</v>
      </c>
      <c r="C13" s="727">
        <v>686528</v>
      </c>
      <c r="D13" s="714">
        <v>3741024.2073912742</v>
      </c>
      <c r="E13" s="713">
        <v>3501231.3293302581</v>
      </c>
      <c r="F13" s="713">
        <v>239792.87806101618</v>
      </c>
      <c r="G13" s="713">
        <v>75913247.569999993</v>
      </c>
      <c r="H13" s="714">
        <v>79289440.781813607</v>
      </c>
      <c r="I13" s="355">
        <v>-3376193.211813611</v>
      </c>
      <c r="J13"/>
    </row>
    <row r="14" spans="2:10" ht="16">
      <c r="B14" s="353"/>
      <c r="C14" s="723"/>
      <c r="D14" s="712"/>
      <c r="E14" s="711"/>
      <c r="F14" s="711"/>
      <c r="G14" s="711"/>
      <c r="H14" s="712"/>
      <c r="I14" s="349"/>
      <c r="J14"/>
    </row>
    <row r="15" spans="2:10" ht="16">
      <c r="B15" s="351" t="s">
        <v>953</v>
      </c>
      <c r="C15" s="723"/>
      <c r="D15" s="712"/>
      <c r="E15" s="711"/>
      <c r="F15" s="711"/>
      <c r="G15" s="711"/>
      <c r="H15" s="712"/>
      <c r="I15" s="349"/>
      <c r="J15"/>
    </row>
    <row r="16" spans="2:10" ht="16">
      <c r="B16" s="352" t="s">
        <v>702</v>
      </c>
      <c r="C16" s="723">
        <v>10968</v>
      </c>
      <c r="D16" s="712">
        <v>477941.36</v>
      </c>
      <c r="E16" s="711">
        <v>574334.35152572813</v>
      </c>
      <c r="F16" s="711">
        <v>-96392.991525728197</v>
      </c>
      <c r="G16" s="711">
        <v>9643029.4596469998</v>
      </c>
      <c r="H16" s="712">
        <v>12499410.099157427</v>
      </c>
      <c r="I16" s="349">
        <v>-2856380.6395104285</v>
      </c>
      <c r="J16"/>
    </row>
    <row r="17" spans="2:10" ht="16">
      <c r="B17" s="352" t="s">
        <v>703</v>
      </c>
      <c r="C17" s="723">
        <v>2560</v>
      </c>
      <c r="D17" s="712">
        <v>178114.64</v>
      </c>
      <c r="E17" s="711">
        <v>167811.32867932232</v>
      </c>
      <c r="F17" s="711">
        <v>10303.311320677687</v>
      </c>
      <c r="G17" s="711">
        <v>3550215.4391919998</v>
      </c>
      <c r="H17" s="712">
        <v>3677968.6186188711</v>
      </c>
      <c r="I17" s="349">
        <v>-127753.17942687089</v>
      </c>
      <c r="J17"/>
    </row>
    <row r="18" spans="2:10" ht="16">
      <c r="B18" s="352" t="s">
        <v>704</v>
      </c>
      <c r="C18" s="723">
        <v>3891</v>
      </c>
      <c r="D18" s="712">
        <v>644507.62</v>
      </c>
      <c r="E18" s="711">
        <v>705477.84810620872</v>
      </c>
      <c r="F18" s="711">
        <v>-60970.228106208619</v>
      </c>
      <c r="G18" s="711">
        <v>12629562.363354001</v>
      </c>
      <c r="H18" s="712">
        <v>15755094.764470709</v>
      </c>
      <c r="I18" s="349">
        <v>-3125532.4011167092</v>
      </c>
      <c r="J18"/>
    </row>
    <row r="19" spans="2:10" ht="16">
      <c r="B19" s="352" t="s">
        <v>708</v>
      </c>
      <c r="C19" s="723">
        <v>939</v>
      </c>
      <c r="D19" s="712">
        <v>218632.63999999998</v>
      </c>
      <c r="E19" s="711">
        <v>226045.48878862054</v>
      </c>
      <c r="F19" s="711">
        <v>-7412.8487886205485</v>
      </c>
      <c r="G19" s="711">
        <v>4311953.1199679999</v>
      </c>
      <c r="H19" s="712">
        <v>5378512.4162621917</v>
      </c>
      <c r="I19" s="349">
        <v>-1066559.2962941919</v>
      </c>
      <c r="J19"/>
    </row>
    <row r="20" spans="2:10" ht="16">
      <c r="B20" s="352" t="s">
        <v>709</v>
      </c>
      <c r="C20" s="723">
        <v>98067</v>
      </c>
      <c r="D20" s="712">
        <v>613105.07999999996</v>
      </c>
      <c r="E20" s="711">
        <v>636627.44837402692</v>
      </c>
      <c r="F20" s="711">
        <v>-23522.368374027043</v>
      </c>
      <c r="G20" s="711">
        <v>12569144.624063998</v>
      </c>
      <c r="H20" s="712">
        <v>13373827.66793715</v>
      </c>
      <c r="I20" s="349">
        <v>-804683.04387315025</v>
      </c>
      <c r="J20"/>
    </row>
    <row r="21" spans="2:10" ht="16">
      <c r="B21" s="352" t="s">
        <v>710</v>
      </c>
      <c r="C21" s="723">
        <v>46087</v>
      </c>
      <c r="D21" s="712">
        <v>282392.38</v>
      </c>
      <c r="E21" s="711">
        <v>243975.02470896885</v>
      </c>
      <c r="F21" s="711">
        <v>38417.355291031148</v>
      </c>
      <c r="G21" s="711">
        <v>5785977.2129840003</v>
      </c>
      <c r="H21" s="712">
        <v>5221275.03135591</v>
      </c>
      <c r="I21" s="349">
        <v>564702.18162808986</v>
      </c>
      <c r="J21"/>
    </row>
    <row r="22" spans="2:10" ht="16">
      <c r="B22" s="352" t="s">
        <v>731</v>
      </c>
      <c r="C22" s="723">
        <v>14765</v>
      </c>
      <c r="D22" s="712">
        <v>423826.51</v>
      </c>
      <c r="E22" s="711">
        <v>521528.99626349413</v>
      </c>
      <c r="F22" s="711">
        <v>-97702.486263494138</v>
      </c>
      <c r="G22" s="711">
        <v>8655662.4830709994</v>
      </c>
      <c r="H22" s="712">
        <v>10914182.401356043</v>
      </c>
      <c r="I22" s="349">
        <v>-2258519.9182850439</v>
      </c>
      <c r="J22"/>
    </row>
    <row r="23" spans="2:10" ht="16">
      <c r="B23" s="352" t="s">
        <v>844</v>
      </c>
      <c r="C23" s="723">
        <v>5346</v>
      </c>
      <c r="D23" s="712">
        <v>35614.519999999997</v>
      </c>
      <c r="E23" s="711">
        <v>33830.022516655408</v>
      </c>
      <c r="F23" s="711">
        <v>1784.4974833445885</v>
      </c>
      <c r="G23" s="711">
        <v>690797.03717999987</v>
      </c>
      <c r="H23" s="712">
        <v>765946.47350821656</v>
      </c>
      <c r="I23" s="349">
        <v>-75149.436328216805</v>
      </c>
      <c r="J23"/>
    </row>
    <row r="24" spans="2:10" ht="16">
      <c r="B24" s="352" t="s">
        <v>711</v>
      </c>
      <c r="C24" s="723">
        <v>48505</v>
      </c>
      <c r="D24" s="712">
        <v>295162.63</v>
      </c>
      <c r="E24" s="711">
        <v>296672.08220302651</v>
      </c>
      <c r="F24" s="711">
        <v>-1509.452203026507</v>
      </c>
      <c r="G24" s="711">
        <v>6040562.2554760007</v>
      </c>
      <c r="H24" s="712">
        <v>6541533.9167993329</v>
      </c>
      <c r="I24" s="349">
        <v>-500971.66132333223</v>
      </c>
      <c r="J24"/>
    </row>
    <row r="25" spans="2:10" ht="16">
      <c r="B25" s="352" t="s">
        <v>712</v>
      </c>
      <c r="C25" s="723">
        <v>521</v>
      </c>
      <c r="D25" s="712">
        <v>224822.72</v>
      </c>
      <c r="E25" s="711">
        <v>149269.51303820816</v>
      </c>
      <c r="F25" s="711">
        <v>75553.206961791817</v>
      </c>
      <c r="G25" s="711">
        <v>4552887.858151</v>
      </c>
      <c r="H25" s="712">
        <v>4144132.2765599326</v>
      </c>
      <c r="I25" s="349">
        <v>408755.5815910669</v>
      </c>
      <c r="J25"/>
    </row>
    <row r="26" spans="2:10" ht="16">
      <c r="B26" s="352" t="s">
        <v>714</v>
      </c>
      <c r="C26" s="723">
        <v>34155</v>
      </c>
      <c r="D26" s="712">
        <v>212393.77</v>
      </c>
      <c r="E26" s="711">
        <v>180571.15653864754</v>
      </c>
      <c r="F26" s="711">
        <v>31822.613461352459</v>
      </c>
      <c r="G26" s="711">
        <v>4347406.097077</v>
      </c>
      <c r="H26" s="712">
        <v>3814011.2805519346</v>
      </c>
      <c r="I26" s="349">
        <v>533394.81652506569</v>
      </c>
      <c r="J26"/>
    </row>
    <row r="27" spans="2:10" ht="16">
      <c r="B27" s="352" t="s">
        <v>715</v>
      </c>
      <c r="C27" s="723">
        <v>3735</v>
      </c>
      <c r="D27" s="712">
        <v>293074.19000000006</v>
      </c>
      <c r="E27" s="711">
        <v>262787.34938041674</v>
      </c>
      <c r="F27" s="711">
        <v>30286.840619583305</v>
      </c>
      <c r="G27" s="711">
        <v>5732866.8359820005</v>
      </c>
      <c r="H27" s="712">
        <v>5865298.0182804577</v>
      </c>
      <c r="I27" s="349">
        <v>-132431.18229845766</v>
      </c>
      <c r="J27"/>
    </row>
    <row r="28" spans="2:10" ht="16">
      <c r="B28" s="352" t="s">
        <v>730</v>
      </c>
      <c r="C28" s="723">
        <v>106282</v>
      </c>
      <c r="D28" s="712">
        <v>568774.40000000002</v>
      </c>
      <c r="E28" s="711">
        <v>567110.12576822564</v>
      </c>
      <c r="F28" s="711">
        <v>1664.2742317743032</v>
      </c>
      <c r="G28" s="711">
        <v>11159083.048703</v>
      </c>
      <c r="H28" s="712">
        <v>12221817.184157129</v>
      </c>
      <c r="I28" s="349">
        <v>-1062734.135454129</v>
      </c>
      <c r="J28"/>
    </row>
    <row r="29" spans="2:10" ht="16">
      <c r="B29" s="352" t="s">
        <v>732</v>
      </c>
      <c r="C29" s="723">
        <v>10362</v>
      </c>
      <c r="D29" s="712">
        <v>79220.609999999986</v>
      </c>
      <c r="E29" s="711">
        <v>90919.295667699684</v>
      </c>
      <c r="F29" s="711">
        <v>-11698.685667699692</v>
      </c>
      <c r="G29" s="711">
        <v>1620214.66029</v>
      </c>
      <c r="H29" s="712">
        <v>1912713.3463830324</v>
      </c>
      <c r="I29" s="349">
        <v>-292498.68609303236</v>
      </c>
      <c r="J29"/>
    </row>
    <row r="30" spans="2:10" ht="16">
      <c r="B30" s="352" t="s">
        <v>729</v>
      </c>
      <c r="C30" s="723">
        <v>85183</v>
      </c>
      <c r="D30" s="712">
        <v>451813.43999999994</v>
      </c>
      <c r="E30" s="711">
        <v>450564.58491616917</v>
      </c>
      <c r="F30" s="711">
        <v>1248.855083830771</v>
      </c>
      <c r="G30" s="711">
        <v>8886498.402516</v>
      </c>
      <c r="H30" s="712">
        <v>9387811.8515542783</v>
      </c>
      <c r="I30" s="349">
        <v>-501313.44903827924</v>
      </c>
      <c r="J30"/>
    </row>
    <row r="31" spans="2:10" ht="16">
      <c r="B31" s="352" t="s">
        <v>716</v>
      </c>
      <c r="C31" s="723">
        <v>42942</v>
      </c>
      <c r="D31" s="712">
        <v>243859.03</v>
      </c>
      <c r="E31" s="711">
        <v>258486.00850739007</v>
      </c>
      <c r="F31" s="711">
        <v>-14626.978507390057</v>
      </c>
      <c r="G31" s="711">
        <v>4999305.2022240004</v>
      </c>
      <c r="H31" s="712">
        <v>5550565.435869162</v>
      </c>
      <c r="I31" s="349">
        <v>-551260.2336451615</v>
      </c>
      <c r="J31"/>
    </row>
    <row r="32" spans="2:10" ht="16">
      <c r="B32" s="352" t="s">
        <v>718</v>
      </c>
      <c r="C32" s="723">
        <v>60773</v>
      </c>
      <c r="D32" s="712">
        <v>419153.94</v>
      </c>
      <c r="E32" s="711">
        <v>433718.67036547005</v>
      </c>
      <c r="F32" s="711">
        <v>-14564.730365470059</v>
      </c>
      <c r="G32" s="711">
        <v>8303397.8892659992</v>
      </c>
      <c r="H32" s="712">
        <v>9837510.1138530374</v>
      </c>
      <c r="I32" s="349">
        <v>-1534112.2245870384</v>
      </c>
      <c r="J32"/>
    </row>
    <row r="33" spans="2:10" ht="16">
      <c r="B33" s="352" t="s">
        <v>719</v>
      </c>
      <c r="C33" s="723">
        <v>12492</v>
      </c>
      <c r="D33" s="712">
        <v>422793.5400000001</v>
      </c>
      <c r="E33" s="711">
        <v>433773.27440827608</v>
      </c>
      <c r="F33" s="711">
        <v>-10979.734408276085</v>
      </c>
      <c r="G33" s="711">
        <v>8310874.4977860004</v>
      </c>
      <c r="H33" s="712">
        <v>9915783.2301084418</v>
      </c>
      <c r="I33" s="349">
        <v>-1604908.7323224402</v>
      </c>
      <c r="J33"/>
    </row>
    <row r="34" spans="2:10" ht="16">
      <c r="B34" s="352" t="s">
        <v>720</v>
      </c>
      <c r="C34" s="723">
        <v>287267</v>
      </c>
      <c r="D34" s="712">
        <v>1587891.62</v>
      </c>
      <c r="E34" s="711">
        <v>1662058.06</v>
      </c>
      <c r="F34" s="711">
        <v>-74166.439999999944</v>
      </c>
      <c r="G34" s="711">
        <v>32431935.567546003</v>
      </c>
      <c r="H34" s="712">
        <v>35538596.628833786</v>
      </c>
      <c r="I34" s="349">
        <v>-3106661.061287784</v>
      </c>
      <c r="J34"/>
    </row>
    <row r="35" spans="2:10" ht="16">
      <c r="B35" s="352" t="s">
        <v>721</v>
      </c>
      <c r="C35" s="723">
        <v>76821</v>
      </c>
      <c r="D35" s="712">
        <v>410347.04999999993</v>
      </c>
      <c r="E35" s="711">
        <v>427023.49000000005</v>
      </c>
      <c r="F35" s="711">
        <v>-16676.440000000068</v>
      </c>
      <c r="G35" s="711">
        <v>8412442.8026400004</v>
      </c>
      <c r="H35" s="712">
        <v>9006042.2320500016</v>
      </c>
      <c r="I35" s="349">
        <v>-593599.42941000301</v>
      </c>
      <c r="J35"/>
    </row>
    <row r="36" spans="2:10" ht="16">
      <c r="B36" s="352" t="s">
        <v>733</v>
      </c>
      <c r="C36" s="723">
        <v>67287</v>
      </c>
      <c r="D36" s="712">
        <v>363215.23</v>
      </c>
      <c r="E36" s="711">
        <v>367824.39</v>
      </c>
      <c r="F36" s="711">
        <v>-4609.1600000000326</v>
      </c>
      <c r="G36" s="711">
        <v>7433272.3249959992</v>
      </c>
      <c r="H36" s="712">
        <v>7408374.7783761304</v>
      </c>
      <c r="I36" s="349">
        <v>24897.546619868837</v>
      </c>
      <c r="J36"/>
    </row>
    <row r="37" spans="2:10" ht="16">
      <c r="B37" s="352" t="s">
        <v>722</v>
      </c>
      <c r="C37" s="723">
        <v>150667</v>
      </c>
      <c r="D37" s="712">
        <v>828894.5</v>
      </c>
      <c r="E37" s="711">
        <v>840315.66275159444</v>
      </c>
      <c r="F37" s="711">
        <v>-11421.162751594346</v>
      </c>
      <c r="G37" s="711">
        <v>16993000.365600001</v>
      </c>
      <c r="H37" s="712">
        <v>17805154.35615347</v>
      </c>
      <c r="I37" s="349">
        <v>-812153.99055346695</v>
      </c>
      <c r="J37"/>
    </row>
    <row r="38" spans="2:10" ht="16">
      <c r="B38" s="352" t="s">
        <v>723</v>
      </c>
      <c r="C38" s="723">
        <v>153195</v>
      </c>
      <c r="D38" s="712">
        <v>891518.36</v>
      </c>
      <c r="E38" s="711">
        <v>947143.58625334816</v>
      </c>
      <c r="F38" s="711">
        <v>-55625.226253348075</v>
      </c>
      <c r="G38" s="711">
        <v>18244249.959740002</v>
      </c>
      <c r="H38" s="712">
        <v>20291727.366544664</v>
      </c>
      <c r="I38" s="349">
        <v>-2047477.4068046645</v>
      </c>
      <c r="J38"/>
    </row>
    <row r="39" spans="2:10" ht="16">
      <c r="B39" s="352" t="s">
        <v>724</v>
      </c>
      <c r="C39" s="723">
        <v>196504</v>
      </c>
      <c r="D39" s="712">
        <v>1043141.4800000002</v>
      </c>
      <c r="E39" s="711">
        <v>1064327.2895537738</v>
      </c>
      <c r="F39" s="711">
        <v>-21185.809553773652</v>
      </c>
      <c r="G39" s="711">
        <v>21385234.853184003</v>
      </c>
      <c r="H39" s="712">
        <v>22430415.394277021</v>
      </c>
      <c r="I39" s="349">
        <v>-1045180.5410930199</v>
      </c>
      <c r="J39"/>
    </row>
    <row r="40" spans="2:10" ht="16">
      <c r="B40" s="352" t="s">
        <v>781</v>
      </c>
      <c r="C40" s="723">
        <v>2137</v>
      </c>
      <c r="D40" s="712">
        <v>264129.14</v>
      </c>
      <c r="E40" s="711">
        <v>278241.46000000002</v>
      </c>
      <c r="F40" s="711">
        <v>-14112.320000000007</v>
      </c>
      <c r="G40" s="711">
        <v>5244363.3134420002</v>
      </c>
      <c r="H40" s="712">
        <v>5769431.4532709345</v>
      </c>
      <c r="I40" s="349">
        <v>-525068.13982893433</v>
      </c>
      <c r="J40"/>
    </row>
    <row r="41" spans="2:10" ht="16">
      <c r="B41" s="352" t="s">
        <v>727</v>
      </c>
      <c r="C41" s="723">
        <v>104154</v>
      </c>
      <c r="D41" s="712">
        <v>616987.47000000009</v>
      </c>
      <c r="E41" s="711">
        <v>633258.11881068395</v>
      </c>
      <c r="F41" s="711">
        <v>-16270.648810683973</v>
      </c>
      <c r="G41" s="711">
        <v>12648736.724976001</v>
      </c>
      <c r="H41" s="712">
        <v>13454996.166241068</v>
      </c>
      <c r="I41" s="349">
        <v>-806259.44126506941</v>
      </c>
      <c r="J41"/>
    </row>
    <row r="42" spans="2:10" ht="16">
      <c r="B42" s="354" t="s">
        <v>954</v>
      </c>
      <c r="C42" s="727">
        <v>1625605</v>
      </c>
      <c r="D42" s="714">
        <v>12091327.870000001</v>
      </c>
      <c r="E42" s="713">
        <v>12453694.627125958</v>
      </c>
      <c r="F42" s="713">
        <v>-362366.75712595502</v>
      </c>
      <c r="G42" s="713">
        <v>244582674.399055</v>
      </c>
      <c r="H42" s="714">
        <v>268482132.5025304</v>
      </c>
      <c r="I42" s="355">
        <v>-23899458.103475336</v>
      </c>
      <c r="J42"/>
    </row>
    <row r="43" spans="2:10" ht="16">
      <c r="B43" s="353"/>
      <c r="C43" s="723"/>
      <c r="D43" s="712"/>
      <c r="E43" s="711"/>
      <c r="F43" s="711"/>
      <c r="G43" s="711"/>
      <c r="H43" s="712"/>
      <c r="I43" s="349"/>
      <c r="J43"/>
    </row>
    <row r="44" spans="2:10" ht="16">
      <c r="B44" s="351" t="s">
        <v>853</v>
      </c>
      <c r="C44" s="723"/>
      <c r="D44" s="712"/>
      <c r="E44" s="711"/>
      <c r="F44" s="711"/>
      <c r="G44" s="711"/>
      <c r="H44" s="712"/>
      <c r="I44" s="349"/>
      <c r="J44"/>
    </row>
    <row r="45" spans="2:10" ht="16">
      <c r="B45" s="352" t="s">
        <v>810</v>
      </c>
      <c r="C45" s="723">
        <v>1400</v>
      </c>
      <c r="D45" s="712">
        <v>538630.64</v>
      </c>
      <c r="E45" s="711">
        <v>588014</v>
      </c>
      <c r="F45" s="711">
        <v>-49383.360000000001</v>
      </c>
      <c r="G45" s="711">
        <v>10876176.520457</v>
      </c>
      <c r="H45" s="712">
        <v>11925515.730799999</v>
      </c>
      <c r="I45" s="349">
        <v>-1049339.2103429995</v>
      </c>
      <c r="J45"/>
    </row>
    <row r="46" spans="2:10" ht="16">
      <c r="B46" s="354" t="s">
        <v>854</v>
      </c>
      <c r="C46" s="727">
        <v>1400</v>
      </c>
      <c r="D46" s="714">
        <v>538630.64</v>
      </c>
      <c r="E46" s="713">
        <v>588014</v>
      </c>
      <c r="F46" s="713">
        <v>-49383.360000000001</v>
      </c>
      <c r="G46" s="713">
        <v>10876176.520457</v>
      </c>
      <c r="H46" s="714">
        <v>11925515.730799999</v>
      </c>
      <c r="I46" s="355">
        <v>-1049339.2103429995</v>
      </c>
      <c r="J46"/>
    </row>
    <row r="47" spans="2:10" ht="16">
      <c r="B47" s="353"/>
      <c r="C47" s="723"/>
      <c r="D47" s="712"/>
      <c r="E47" s="711"/>
      <c r="F47" s="711"/>
      <c r="G47" s="711"/>
      <c r="H47" s="712"/>
      <c r="I47" s="349"/>
      <c r="J47"/>
    </row>
    <row r="48" spans="2:10" ht="16">
      <c r="B48" s="356" t="s">
        <v>855</v>
      </c>
      <c r="C48" s="724">
        <v>2313533</v>
      </c>
      <c r="D48" s="716">
        <v>16370982.717391277</v>
      </c>
      <c r="E48" s="715">
        <v>16542939.956456214</v>
      </c>
      <c r="F48" s="715">
        <v>-171957.2390649388</v>
      </c>
      <c r="G48" s="715">
        <v>331372098.48951197</v>
      </c>
      <c r="H48" s="716">
        <v>359697089.01514387</v>
      </c>
      <c r="I48" s="357">
        <v>-28324990.525631949</v>
      </c>
      <c r="J48"/>
    </row>
    <row r="49" spans="2:10" ht="16">
      <c r="B49" s="350"/>
      <c r="C49" s="723"/>
      <c r="D49" s="712"/>
      <c r="E49" s="711"/>
      <c r="F49" s="711"/>
      <c r="G49" s="711"/>
      <c r="H49" s="712"/>
      <c r="I49" s="349"/>
      <c r="J49"/>
    </row>
    <row r="50" spans="2:10" ht="16">
      <c r="B50" s="362" t="s">
        <v>856</v>
      </c>
      <c r="C50" s="725">
        <v>2313533</v>
      </c>
      <c r="D50" s="718">
        <v>16370982.717391277</v>
      </c>
      <c r="E50" s="717">
        <v>16542939.956456214</v>
      </c>
      <c r="F50" s="717">
        <v>-171957.2390649388</v>
      </c>
      <c r="G50" s="717">
        <v>331372098.48951197</v>
      </c>
      <c r="H50" s="718">
        <v>359697089.01514387</v>
      </c>
      <c r="I50" s="363">
        <v>-28324990.525631949</v>
      </c>
      <c r="J50"/>
    </row>
    <row r="51" spans="2:10" ht="16">
      <c r="B51" s="67"/>
      <c r="C51" s="723"/>
      <c r="D51" s="712"/>
      <c r="E51" s="711"/>
      <c r="F51" s="711"/>
      <c r="G51" s="711"/>
      <c r="H51" s="712"/>
      <c r="I51" s="349"/>
      <c r="J51"/>
    </row>
    <row r="52" spans="2:10" ht="16">
      <c r="B52" s="128" t="s">
        <v>61</v>
      </c>
      <c r="C52" s="726">
        <v>2313533</v>
      </c>
      <c r="D52" s="722">
        <v>16370982.717391277</v>
      </c>
      <c r="E52" s="721">
        <v>16542939.956456214</v>
      </c>
      <c r="F52" s="721">
        <v>-171957.2390649388</v>
      </c>
      <c r="G52" s="721">
        <v>331372098.48951197</v>
      </c>
      <c r="H52" s="722">
        <v>359697089.01514387</v>
      </c>
      <c r="I52" s="129">
        <v>-28324990.525631949</v>
      </c>
      <c r="J52"/>
    </row>
    <row r="53" spans="2:10" ht="16">
      <c r="B53"/>
      <c r="C53"/>
      <c r="D53"/>
      <c r="E53"/>
      <c r="F53"/>
      <c r="G53"/>
      <c r="H53"/>
      <c r="I53"/>
      <c r="J53"/>
    </row>
    <row r="54" spans="2:10" ht="16">
      <c r="B54"/>
      <c r="C54"/>
      <c r="D54"/>
      <c r="E54"/>
      <c r="F54"/>
      <c r="G54"/>
      <c r="H54"/>
      <c r="I54"/>
      <c r="J54"/>
    </row>
    <row r="55" spans="2:10" ht="16">
      <c r="B55"/>
      <c r="C55"/>
      <c r="D55"/>
      <c r="E55"/>
      <c r="F55"/>
      <c r="G55"/>
      <c r="H55"/>
      <c r="I55"/>
      <c r="J55"/>
    </row>
    <row r="56" spans="2:10" ht="16">
      <c r="B56"/>
      <c r="C56"/>
      <c r="D56"/>
      <c r="E56"/>
      <c r="F56"/>
      <c r="G56"/>
      <c r="H56"/>
      <c r="I56"/>
      <c r="J56"/>
    </row>
    <row r="57" spans="2:10" ht="16">
      <c r="B57"/>
      <c r="C57"/>
      <c r="D57"/>
      <c r="E57"/>
      <c r="F57"/>
      <c r="G57"/>
      <c r="H57"/>
      <c r="I57"/>
      <c r="J57"/>
    </row>
    <row r="58" spans="2:10" ht="16">
      <c r="B58"/>
      <c r="C58"/>
      <c r="D58"/>
      <c r="E58"/>
      <c r="F58"/>
      <c r="G58"/>
      <c r="H58"/>
      <c r="I58"/>
      <c r="J58"/>
    </row>
    <row r="59" spans="2:10" ht="16">
      <c r="B59"/>
      <c r="C59"/>
      <c r="D59"/>
      <c r="E59"/>
      <c r="F59"/>
      <c r="G59"/>
      <c r="H59"/>
      <c r="I59"/>
      <c r="J59"/>
    </row>
    <row r="60" spans="2:10" ht="16">
      <c r="B60"/>
      <c r="C60"/>
      <c r="D60"/>
      <c r="E60"/>
      <c r="F60"/>
      <c r="G60"/>
      <c r="H60"/>
      <c r="I60"/>
      <c r="J60"/>
    </row>
    <row r="61" spans="2:10" ht="16">
      <c r="B61"/>
      <c r="C61"/>
      <c r="D61"/>
      <c r="E61"/>
      <c r="F61"/>
      <c r="G61"/>
      <c r="H61"/>
      <c r="I61"/>
      <c r="J61"/>
    </row>
    <row r="62" spans="2:10" ht="16">
      <c r="B62"/>
      <c r="C62"/>
      <c r="D62"/>
      <c r="E62"/>
      <c r="F62"/>
      <c r="G62"/>
      <c r="H62"/>
      <c r="I62"/>
      <c r="J62"/>
    </row>
    <row r="63" spans="2:10" ht="16">
      <c r="B63"/>
      <c r="C63"/>
      <c r="D63"/>
      <c r="E63"/>
      <c r="F63"/>
      <c r="G63"/>
      <c r="H63"/>
      <c r="I63"/>
      <c r="J63"/>
    </row>
    <row r="64" spans="2:10" ht="16">
      <c r="B64"/>
      <c r="C64"/>
      <c r="D64"/>
      <c r="E64"/>
      <c r="F64"/>
      <c r="G64"/>
      <c r="H64"/>
      <c r="I64"/>
      <c r="J64"/>
    </row>
    <row r="65" spans="2:10" ht="16">
      <c r="B65"/>
      <c r="C65"/>
      <c r="D65"/>
      <c r="E65"/>
      <c r="F65"/>
      <c r="G65"/>
      <c r="H65"/>
      <c r="I65"/>
      <c r="J65"/>
    </row>
    <row r="66" spans="2:10" ht="16">
      <c r="B66"/>
      <c r="C66"/>
      <c r="D66"/>
      <c r="E66"/>
      <c r="F66"/>
      <c r="G66"/>
      <c r="H66"/>
      <c r="I66"/>
      <c r="J66"/>
    </row>
    <row r="67" spans="2:10" ht="16">
      <c r="B67"/>
      <c r="C67"/>
      <c r="D67"/>
      <c r="E67"/>
      <c r="F67"/>
      <c r="G67"/>
      <c r="H67"/>
      <c r="I67"/>
      <c r="J67"/>
    </row>
  </sheetData>
  <mergeCells count="2">
    <mergeCell ref="B2:I2"/>
    <mergeCell ref="B3:I3"/>
  </mergeCells>
  <pageMargins left="0.7" right="0.7" top="0.75" bottom="0.75" header="0.3" footer="0.3"/>
  <pageSetup scale="52" orientation="landscape"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38D4-2CDA-3C44-88F2-17B4232B5AEF}">
  <sheetPr>
    <pageSetUpPr fitToPage="1"/>
  </sheetPr>
  <dimension ref="B2:AA434"/>
  <sheetViews>
    <sheetView view="pageBreakPreview" topLeftCell="E1" zoomScale="110" zoomScaleNormal="110" zoomScaleSheetLayoutView="110" workbookViewId="0">
      <pane ySplit="5" topLeftCell="A50" activePane="bottomLeft" state="frozen"/>
      <selection pane="bottomLeft" activeCell="C52" sqref="C52"/>
    </sheetView>
  </sheetViews>
  <sheetFormatPr baseColWidth="10" defaultColWidth="10.83203125" defaultRowHeight="17" customHeight="1"/>
  <cols>
    <col min="1" max="1" width="10.83203125" style="1"/>
    <col min="2" max="2" width="4.1640625" style="1" customWidth="1"/>
    <col min="3" max="3" width="41.33203125" style="1" customWidth="1"/>
    <col min="4" max="4" width="30.1640625" style="1" customWidth="1"/>
    <col min="5" max="5" width="35.6640625" style="1" bestFit="1" customWidth="1"/>
    <col min="6" max="6" width="32.6640625" style="1" customWidth="1"/>
    <col min="7" max="7" width="16" style="1" customWidth="1"/>
    <col min="8" max="8" width="22" style="1" bestFit="1" customWidth="1"/>
    <col min="9" max="10" width="14.33203125" style="1" bestFit="1" customWidth="1"/>
    <col min="11" max="11" width="13.33203125" style="1" bestFit="1" customWidth="1"/>
    <col min="12" max="12" width="17.33203125" style="1" bestFit="1" customWidth="1"/>
    <col min="13" max="13" width="14.5" style="1" bestFit="1" customWidth="1"/>
    <col min="14" max="14" width="15.33203125" style="1" bestFit="1" customWidth="1"/>
    <col min="15" max="16" width="7.33203125" style="3" bestFit="1" customWidth="1"/>
    <col min="17" max="17" width="7.33203125" style="1" bestFit="1" customWidth="1"/>
    <col min="18" max="20" width="10.83203125" style="3" bestFit="1" customWidth="1"/>
    <col min="21" max="21" width="15.33203125" style="1" bestFit="1" customWidth="1"/>
    <col min="22" max="23" width="7.33203125" style="1" bestFit="1" customWidth="1"/>
    <col min="24" max="24" width="7.33203125" style="3" bestFit="1" customWidth="1"/>
    <col min="25" max="25" width="7.33203125" style="1" bestFit="1" customWidth="1"/>
    <col min="26" max="26" width="10.83203125" style="1" bestFit="1" customWidth="1"/>
    <col min="27" max="16384" width="10.83203125" style="1"/>
  </cols>
  <sheetData>
    <row r="2" spans="2:27" s="67" customFormat="1" ht="51" customHeight="1">
      <c r="B2" s="754" t="s">
        <v>488</v>
      </c>
      <c r="C2" s="754"/>
      <c r="D2" s="754"/>
      <c r="E2" s="754"/>
      <c r="F2" s="754"/>
      <c r="G2" s="754"/>
      <c r="H2" s="754"/>
      <c r="I2" s="754"/>
      <c r="J2" s="754"/>
      <c r="K2" s="754"/>
      <c r="L2" s="754"/>
      <c r="M2" s="754"/>
      <c r="N2" s="754"/>
      <c r="O2" s="125"/>
      <c r="P2" s="125"/>
      <c r="Q2" s="125"/>
      <c r="R2" s="125"/>
      <c r="S2" s="125"/>
      <c r="T2" s="125"/>
      <c r="U2" s="125"/>
      <c r="V2" s="125"/>
      <c r="W2" s="125"/>
      <c r="X2" s="125"/>
      <c r="Y2" s="125"/>
      <c r="Z2" s="124"/>
    </row>
    <row r="3" spans="2:27" ht="16">
      <c r="B3" s="755" t="s">
        <v>454</v>
      </c>
      <c r="C3" s="755"/>
      <c r="D3" s="755"/>
      <c r="E3" s="755"/>
      <c r="F3" s="755"/>
      <c r="G3" s="755"/>
      <c r="H3" s="755"/>
      <c r="I3" s="755"/>
      <c r="J3" s="755"/>
      <c r="K3" s="755"/>
      <c r="L3" s="755"/>
      <c r="M3" s="755"/>
      <c r="N3" s="755"/>
      <c r="O3" s="592"/>
      <c r="P3" s="592"/>
      <c r="Q3" s="592"/>
      <c r="R3" s="592"/>
      <c r="S3" s="592"/>
      <c r="T3" s="592"/>
      <c r="U3" s="592"/>
      <c r="V3" s="53"/>
      <c r="W3" s="53"/>
      <c r="X3" s="53"/>
      <c r="Y3" s="53"/>
      <c r="Z3" s="60"/>
    </row>
    <row r="4" spans="2:27" ht="16">
      <c r="B4" s="24" t="s">
        <v>443</v>
      </c>
      <c r="C4" s="122" t="s">
        <v>676</v>
      </c>
      <c r="D4" s="24"/>
      <c r="E4" s="123"/>
      <c r="F4" s="123"/>
      <c r="G4" s="123"/>
      <c r="H4" s="123"/>
      <c r="I4" s="123"/>
      <c r="J4" s="123"/>
      <c r="K4" s="123"/>
      <c r="L4" s="123"/>
      <c r="M4" s="123"/>
      <c r="N4" s="123"/>
      <c r="O4" s="123"/>
      <c r="P4" s="123"/>
      <c r="Q4" s="123"/>
      <c r="R4" s="123"/>
      <c r="S4" s="123"/>
      <c r="T4" s="123"/>
      <c r="U4" s="123"/>
      <c r="V4" s="123"/>
      <c r="W4" s="123"/>
      <c r="X4" s="123"/>
      <c r="Y4" s="123"/>
      <c r="Z4" s="123"/>
    </row>
    <row r="5" spans="2:27" s="85" customFormat="1" ht="39" customHeight="1">
      <c r="B5" s="573" t="s">
        <v>662</v>
      </c>
      <c r="C5" s="127" t="s">
        <v>272</v>
      </c>
      <c r="D5" s="127" t="s">
        <v>452</v>
      </c>
      <c r="E5" s="127" t="s">
        <v>178</v>
      </c>
      <c r="F5" s="127" t="s">
        <v>273</v>
      </c>
      <c r="G5" s="127" t="s">
        <v>664</v>
      </c>
      <c r="H5" s="127" t="s">
        <v>333</v>
      </c>
      <c r="I5" s="127" t="s">
        <v>338</v>
      </c>
      <c r="J5" s="127" t="s">
        <v>343</v>
      </c>
      <c r="K5" s="127" t="s">
        <v>666</v>
      </c>
      <c r="L5" s="127" t="s">
        <v>342</v>
      </c>
      <c r="M5" s="127" t="s">
        <v>345</v>
      </c>
      <c r="N5" s="127" t="s">
        <v>665</v>
      </c>
      <c r="O5"/>
      <c r="P5"/>
      <c r="Q5"/>
      <c r="R5"/>
      <c r="S5"/>
      <c r="T5"/>
      <c r="U5"/>
      <c r="V5"/>
      <c r="W5"/>
      <c r="X5"/>
      <c r="Y5"/>
      <c r="Z5"/>
      <c r="AA5"/>
    </row>
    <row r="6" spans="2:27" ht="16">
      <c r="B6" s="472" t="s">
        <v>776</v>
      </c>
      <c r="C6" s="50" t="s">
        <v>775</v>
      </c>
      <c r="D6" s="50" t="s">
        <v>114</v>
      </c>
      <c r="E6" s="3" t="s">
        <v>851</v>
      </c>
      <c r="F6" s="1" t="s">
        <v>772</v>
      </c>
      <c r="G6" s="691">
        <v>-4</v>
      </c>
      <c r="H6" s="691">
        <v>4</v>
      </c>
      <c r="I6" s="699">
        <v>2275.94</v>
      </c>
      <c r="J6" s="593">
        <v>-432</v>
      </c>
      <c r="K6" s="593">
        <v>1843.94</v>
      </c>
      <c r="L6" s="699">
        <v>46627.471187116804</v>
      </c>
      <c r="M6" s="593">
        <v>-8912.3760000000002</v>
      </c>
      <c r="N6" s="593">
        <v>37715.095187116807</v>
      </c>
      <c r="O6"/>
      <c r="P6"/>
      <c r="Q6"/>
      <c r="R6"/>
      <c r="S6"/>
      <c r="T6"/>
      <c r="U6"/>
      <c r="V6"/>
      <c r="W6"/>
      <c r="X6"/>
      <c r="Y6"/>
      <c r="Z6"/>
      <c r="AA6"/>
    </row>
    <row r="7" spans="2:27" ht="17" customHeight="1">
      <c r="B7" s="472" t="s">
        <v>776</v>
      </c>
      <c r="C7" s="50" t="s">
        <v>775</v>
      </c>
      <c r="D7" s="50" t="s">
        <v>114</v>
      </c>
      <c r="E7" s="3" t="s">
        <v>851</v>
      </c>
      <c r="F7" s="1" t="s">
        <v>771</v>
      </c>
      <c r="G7" s="691">
        <v>-2</v>
      </c>
      <c r="H7" s="691">
        <v>2</v>
      </c>
      <c r="I7" s="700">
        <v>937.97</v>
      </c>
      <c r="J7" s="596">
        <v>-30</v>
      </c>
      <c r="K7" s="596">
        <v>907.97</v>
      </c>
      <c r="L7" s="700">
        <v>19482.438301568</v>
      </c>
      <c r="M7" s="593">
        <v>-596.21999999999991</v>
      </c>
      <c r="N7" s="596">
        <v>18886.218301567998</v>
      </c>
      <c r="O7"/>
      <c r="P7"/>
      <c r="Q7"/>
      <c r="R7"/>
      <c r="S7"/>
      <c r="T7"/>
      <c r="U7"/>
      <c r="V7"/>
      <c r="W7"/>
      <c r="X7"/>
      <c r="Y7"/>
      <c r="Z7"/>
      <c r="AA7"/>
    </row>
    <row r="8" spans="2:27" ht="17" customHeight="1">
      <c r="B8" s="472" t="s">
        <v>776</v>
      </c>
      <c r="C8" s="50" t="s">
        <v>775</v>
      </c>
      <c r="D8" s="50" t="s">
        <v>114</v>
      </c>
      <c r="E8" s="3" t="s">
        <v>851</v>
      </c>
      <c r="F8" s="1" t="s">
        <v>770</v>
      </c>
      <c r="G8" s="691">
        <v>-7</v>
      </c>
      <c r="H8" s="691">
        <v>7</v>
      </c>
      <c r="I8" s="700">
        <v>8676.23</v>
      </c>
      <c r="J8" s="596">
        <v>-1321.88</v>
      </c>
      <c r="K8" s="596">
        <v>7354.3499999999995</v>
      </c>
      <c r="L8" s="700">
        <v>181817.16294480959</v>
      </c>
      <c r="M8" s="593">
        <v>-27271.045340000004</v>
      </c>
      <c r="N8" s="596">
        <v>154546.11760480958</v>
      </c>
      <c r="O8"/>
      <c r="P8"/>
      <c r="Q8"/>
      <c r="R8"/>
      <c r="S8"/>
      <c r="T8"/>
      <c r="U8"/>
      <c r="V8"/>
      <c r="W8"/>
      <c r="X8"/>
      <c r="Y8"/>
      <c r="Z8"/>
      <c r="AA8"/>
    </row>
    <row r="9" spans="2:27" ht="17" customHeight="1">
      <c r="B9" s="472" t="s">
        <v>776</v>
      </c>
      <c r="C9" s="50" t="s">
        <v>775</v>
      </c>
      <c r="D9" s="50" t="s">
        <v>114</v>
      </c>
      <c r="E9" s="3" t="s">
        <v>851</v>
      </c>
      <c r="F9" s="1" t="s">
        <v>821</v>
      </c>
      <c r="G9" s="691">
        <v>-7</v>
      </c>
      <c r="H9" s="691">
        <v>7</v>
      </c>
      <c r="I9" s="700">
        <v>3149.92</v>
      </c>
      <c r="J9" s="596">
        <v>-70</v>
      </c>
      <c r="K9" s="596">
        <v>3079.92</v>
      </c>
      <c r="L9" s="700">
        <v>63888.079280396807</v>
      </c>
      <c r="M9" s="593">
        <v>-1386.21</v>
      </c>
      <c r="N9" s="596">
        <v>62501.869280396808</v>
      </c>
      <c r="O9"/>
      <c r="P9"/>
      <c r="Q9"/>
      <c r="R9"/>
      <c r="S9"/>
      <c r="T9"/>
      <c r="U9"/>
      <c r="V9"/>
      <c r="W9"/>
      <c r="X9"/>
      <c r="Y9"/>
      <c r="Z9"/>
      <c r="AA9"/>
    </row>
    <row r="10" spans="2:27" ht="17" customHeight="1">
      <c r="B10" s="472" t="s">
        <v>776</v>
      </c>
      <c r="C10" s="50" t="s">
        <v>775</v>
      </c>
      <c r="D10" s="50" t="s">
        <v>114</v>
      </c>
      <c r="E10" s="3" t="s">
        <v>851</v>
      </c>
      <c r="F10" s="1" t="s">
        <v>777</v>
      </c>
      <c r="G10" s="691">
        <v>-4</v>
      </c>
      <c r="H10" s="691">
        <v>4</v>
      </c>
      <c r="I10" s="700">
        <v>1885.59</v>
      </c>
      <c r="J10" s="596">
        <v>-16</v>
      </c>
      <c r="K10" s="596">
        <v>1869.59</v>
      </c>
      <c r="L10" s="700">
        <v>39054.600970232401</v>
      </c>
      <c r="M10" s="593">
        <v>-325.62720000000002</v>
      </c>
      <c r="N10" s="596">
        <v>38728.973770232398</v>
      </c>
      <c r="O10"/>
      <c r="P10"/>
      <c r="Q10"/>
      <c r="R10"/>
      <c r="S10"/>
      <c r="T10"/>
      <c r="U10"/>
      <c r="V10"/>
      <c r="W10"/>
      <c r="X10"/>
      <c r="Y10"/>
      <c r="Z10"/>
      <c r="AA10"/>
    </row>
    <row r="11" spans="2:27" ht="17" customHeight="1">
      <c r="B11" s="472" t="s">
        <v>776</v>
      </c>
      <c r="C11" s="50" t="s">
        <v>775</v>
      </c>
      <c r="D11" s="50" t="s">
        <v>114</v>
      </c>
      <c r="E11" s="3" t="s">
        <v>851</v>
      </c>
      <c r="F11" s="1" t="s">
        <v>778</v>
      </c>
      <c r="G11" s="691">
        <v>-2</v>
      </c>
      <c r="H11" s="691">
        <v>2</v>
      </c>
      <c r="I11" s="700">
        <v>2049.21</v>
      </c>
      <c r="J11" s="596">
        <v>-120</v>
      </c>
      <c r="K11" s="596">
        <v>1929.21</v>
      </c>
      <c r="L11" s="700">
        <v>43973.495436010504</v>
      </c>
      <c r="M11" s="593">
        <v>-2378.94</v>
      </c>
      <c r="N11" s="596">
        <v>41594.555436010502</v>
      </c>
      <c r="O11"/>
      <c r="P11"/>
      <c r="Q11"/>
      <c r="R11"/>
      <c r="S11"/>
      <c r="T11"/>
      <c r="U11"/>
      <c r="V11"/>
      <c r="W11"/>
      <c r="X11"/>
      <c r="Y11"/>
      <c r="Z11"/>
      <c r="AA11"/>
    </row>
    <row r="12" spans="2:27" ht="17" customHeight="1">
      <c r="B12" s="472" t="s">
        <v>776</v>
      </c>
      <c r="C12" s="50" t="s">
        <v>775</v>
      </c>
      <c r="D12" s="50" t="s">
        <v>114</v>
      </c>
      <c r="E12" s="3" t="s">
        <v>851</v>
      </c>
      <c r="F12" s="1" t="s">
        <v>779</v>
      </c>
      <c r="G12" s="691">
        <v>-8</v>
      </c>
      <c r="H12" s="691">
        <v>8</v>
      </c>
      <c r="I12" s="700">
        <v>9143.7900000000009</v>
      </c>
      <c r="J12" s="596">
        <v>-24</v>
      </c>
      <c r="K12" s="596">
        <v>9119.7900000000009</v>
      </c>
      <c r="L12" s="700">
        <v>196214.34983863952</v>
      </c>
      <c r="M12" s="593">
        <v>-465.45599999999996</v>
      </c>
      <c r="N12" s="596">
        <v>195748.89383863952</v>
      </c>
      <c r="O12"/>
      <c r="P12"/>
      <c r="Q12"/>
      <c r="R12"/>
      <c r="S12"/>
      <c r="T12"/>
      <c r="U12"/>
      <c r="V12"/>
      <c r="W12"/>
      <c r="X12"/>
      <c r="Y12"/>
      <c r="Z12"/>
      <c r="AA12"/>
    </row>
    <row r="13" spans="2:27" ht="17" customHeight="1">
      <c r="B13" s="472" t="s">
        <v>776</v>
      </c>
      <c r="C13" s="50" t="s">
        <v>775</v>
      </c>
      <c r="D13" s="50" t="s">
        <v>114</v>
      </c>
      <c r="E13" s="3" t="s">
        <v>851</v>
      </c>
      <c r="F13" s="1" t="s">
        <v>812</v>
      </c>
      <c r="G13" s="691">
        <v>-7</v>
      </c>
      <c r="H13" s="691">
        <v>7</v>
      </c>
      <c r="I13" s="700">
        <v>4171.8999999999996</v>
      </c>
      <c r="J13" s="596">
        <v>-35</v>
      </c>
      <c r="K13" s="596">
        <v>4136.8999999999996</v>
      </c>
      <c r="L13" s="700">
        <v>83877.094185478985</v>
      </c>
      <c r="M13" s="593">
        <v>-682.255</v>
      </c>
      <c r="N13" s="596">
        <v>83194.839185478981</v>
      </c>
      <c r="O13"/>
      <c r="P13"/>
      <c r="Q13"/>
      <c r="R13"/>
      <c r="S13"/>
      <c r="T13"/>
      <c r="U13"/>
      <c r="V13"/>
      <c r="W13"/>
      <c r="X13"/>
      <c r="Y13"/>
      <c r="Z13"/>
      <c r="AA13"/>
    </row>
    <row r="14" spans="2:27" ht="17" customHeight="1">
      <c r="B14" s="472" t="s">
        <v>776</v>
      </c>
      <c r="C14" s="50" t="s">
        <v>775</v>
      </c>
      <c r="D14" s="50" t="s">
        <v>114</v>
      </c>
      <c r="E14" s="3" t="s">
        <v>851</v>
      </c>
      <c r="F14" s="1" t="s">
        <v>813</v>
      </c>
      <c r="G14" s="691">
        <v>-4</v>
      </c>
      <c r="H14" s="691">
        <v>4</v>
      </c>
      <c r="I14" s="700">
        <v>2882.13</v>
      </c>
      <c r="J14" s="596">
        <v>-24</v>
      </c>
      <c r="K14" s="596">
        <v>2858.13</v>
      </c>
      <c r="L14" s="700">
        <v>57945.945364173305</v>
      </c>
      <c r="M14" s="593">
        <v>-467.83199999999999</v>
      </c>
      <c r="N14" s="596">
        <v>57478.113364173303</v>
      </c>
      <c r="O14"/>
      <c r="P14"/>
      <c r="Q14"/>
      <c r="R14"/>
      <c r="S14"/>
      <c r="T14"/>
      <c r="U14"/>
      <c r="V14"/>
      <c r="W14"/>
      <c r="X14"/>
      <c r="Y14"/>
      <c r="Z14"/>
      <c r="AA14"/>
    </row>
    <row r="15" spans="2:27" ht="17" customHeight="1">
      <c r="B15" s="472" t="s">
        <v>776</v>
      </c>
      <c r="C15" s="50" t="s">
        <v>775</v>
      </c>
      <c r="D15" s="50" t="s">
        <v>114</v>
      </c>
      <c r="E15" s="3" t="s">
        <v>851</v>
      </c>
      <c r="F15" s="1" t="s">
        <v>773</v>
      </c>
      <c r="G15" s="691">
        <v>-5</v>
      </c>
      <c r="H15" s="691">
        <v>5</v>
      </c>
      <c r="I15" s="700">
        <v>5659.87</v>
      </c>
      <c r="J15" s="596">
        <v>-125</v>
      </c>
      <c r="K15" s="596">
        <v>5534.87</v>
      </c>
      <c r="L15" s="700">
        <v>115486.95370466959</v>
      </c>
      <c r="M15" s="593">
        <v>-2498.9124999999999</v>
      </c>
      <c r="N15" s="596">
        <v>112988.04120466959</v>
      </c>
      <c r="O15"/>
      <c r="P15"/>
      <c r="Q15"/>
      <c r="R15"/>
      <c r="S15"/>
      <c r="T15"/>
      <c r="U15"/>
      <c r="V15"/>
      <c r="W15"/>
      <c r="X15"/>
      <c r="Y15"/>
      <c r="Z15"/>
      <c r="AA15"/>
    </row>
    <row r="16" spans="2:27" ht="17" customHeight="1">
      <c r="B16" s="472" t="s">
        <v>776</v>
      </c>
      <c r="C16" s="50" t="s">
        <v>775</v>
      </c>
      <c r="D16" s="50" t="s">
        <v>114</v>
      </c>
      <c r="E16" s="3" t="s">
        <v>851</v>
      </c>
      <c r="F16" s="1" t="s">
        <v>783</v>
      </c>
      <c r="G16" s="691">
        <v>-2</v>
      </c>
      <c r="H16" s="691">
        <v>2</v>
      </c>
      <c r="I16" s="700">
        <v>1019.97</v>
      </c>
      <c r="J16" s="596">
        <v>-8.8000000000000007</v>
      </c>
      <c r="K16" s="596">
        <v>1011.1700000000001</v>
      </c>
      <c r="L16" s="700">
        <v>21414.943177204503</v>
      </c>
      <c r="M16" s="593">
        <v>-170.66720000000001</v>
      </c>
      <c r="N16" s="596">
        <v>21244.275977204503</v>
      </c>
      <c r="O16"/>
      <c r="P16"/>
      <c r="Q16"/>
      <c r="R16"/>
      <c r="S16"/>
      <c r="T16"/>
      <c r="U16"/>
      <c r="V16"/>
      <c r="W16"/>
      <c r="X16"/>
      <c r="Y16"/>
      <c r="Z16"/>
      <c r="AA16"/>
    </row>
    <row r="17" spans="2:27" ht="17" customHeight="1">
      <c r="B17" s="472" t="s">
        <v>776</v>
      </c>
      <c r="C17" s="50" t="s">
        <v>775</v>
      </c>
      <c r="D17" s="50" t="s">
        <v>114</v>
      </c>
      <c r="E17" s="3" t="s">
        <v>851</v>
      </c>
      <c r="F17" s="1" t="s">
        <v>814</v>
      </c>
      <c r="G17" s="691">
        <v>-7</v>
      </c>
      <c r="H17" s="691">
        <v>7</v>
      </c>
      <c r="I17" s="700">
        <v>3036.25</v>
      </c>
      <c r="J17" s="596">
        <v>-35</v>
      </c>
      <c r="K17" s="596">
        <v>3001.25</v>
      </c>
      <c r="L17" s="700">
        <v>60907.103344500007</v>
      </c>
      <c r="M17" s="593">
        <v>-678.87749999999994</v>
      </c>
      <c r="N17" s="596">
        <v>60228.225844500004</v>
      </c>
      <c r="O17"/>
      <c r="P17"/>
      <c r="Q17"/>
      <c r="R17"/>
      <c r="S17"/>
      <c r="T17"/>
      <c r="U17"/>
      <c r="V17"/>
      <c r="W17"/>
      <c r="X17"/>
      <c r="Y17"/>
      <c r="Z17"/>
      <c r="AA17"/>
    </row>
    <row r="18" spans="2:27" ht="17" customHeight="1">
      <c r="B18" s="472" t="s">
        <v>776</v>
      </c>
      <c r="C18" s="50" t="s">
        <v>775</v>
      </c>
      <c r="D18" s="50" t="s">
        <v>114</v>
      </c>
      <c r="E18" s="3" t="s">
        <v>851</v>
      </c>
      <c r="F18" s="1" t="s">
        <v>767</v>
      </c>
      <c r="G18" s="691">
        <v>-6</v>
      </c>
      <c r="H18" s="691">
        <v>6</v>
      </c>
      <c r="I18" s="700">
        <v>5843.86</v>
      </c>
      <c r="J18" s="596">
        <v>-856.98</v>
      </c>
      <c r="K18" s="596">
        <v>4986.8799999999992</v>
      </c>
      <c r="L18" s="700">
        <v>119621.99734392601</v>
      </c>
      <c r="M18" s="593">
        <v>-17440.999866000002</v>
      </c>
      <c r="N18" s="596">
        <v>102180.99747792599</v>
      </c>
      <c r="O18"/>
      <c r="P18"/>
      <c r="Q18"/>
      <c r="R18"/>
      <c r="S18"/>
      <c r="T18"/>
      <c r="U18"/>
      <c r="V18"/>
      <c r="W18"/>
      <c r="X18"/>
      <c r="Y18"/>
      <c r="Z18"/>
      <c r="AA18"/>
    </row>
    <row r="19" spans="2:27" ht="17" customHeight="1">
      <c r="B19" s="472" t="s">
        <v>776</v>
      </c>
      <c r="C19" s="50" t="s">
        <v>775</v>
      </c>
      <c r="D19" s="50" t="s">
        <v>114</v>
      </c>
      <c r="E19" s="3" t="s">
        <v>851</v>
      </c>
      <c r="F19" s="1" t="s">
        <v>811</v>
      </c>
      <c r="G19" s="691">
        <v>-5</v>
      </c>
      <c r="H19" s="691">
        <v>5</v>
      </c>
      <c r="I19" s="700">
        <v>2774.93</v>
      </c>
      <c r="J19" s="596">
        <v>-85</v>
      </c>
      <c r="K19" s="596">
        <v>2689.93</v>
      </c>
      <c r="L19" s="700">
        <v>56073.0861268425</v>
      </c>
      <c r="M19" s="593">
        <v>-1685.0825</v>
      </c>
      <c r="N19" s="596">
        <v>54388.003626842503</v>
      </c>
      <c r="O19"/>
      <c r="P19"/>
      <c r="Q19"/>
      <c r="R19"/>
      <c r="S19"/>
      <c r="T19"/>
      <c r="U19"/>
      <c r="V19"/>
      <c r="W19"/>
      <c r="X19"/>
      <c r="Y19"/>
      <c r="Z19"/>
      <c r="AA19"/>
    </row>
    <row r="20" spans="2:27" ht="17" customHeight="1">
      <c r="B20" s="472" t="s">
        <v>776</v>
      </c>
      <c r="C20" s="50" t="s">
        <v>775</v>
      </c>
      <c r="D20" s="50" t="s">
        <v>114</v>
      </c>
      <c r="E20" s="3" t="s">
        <v>851</v>
      </c>
      <c r="F20" s="1" t="s">
        <v>820</v>
      </c>
      <c r="G20" s="691">
        <v>-7</v>
      </c>
      <c r="H20" s="691">
        <v>7</v>
      </c>
      <c r="I20" s="700">
        <v>6291.45</v>
      </c>
      <c r="J20" s="596">
        <v>-42</v>
      </c>
      <c r="K20" s="596">
        <v>6249.45</v>
      </c>
      <c r="L20" s="700">
        <v>128105.50770517501</v>
      </c>
      <c r="M20" s="593">
        <v>-825.12360000000001</v>
      </c>
      <c r="N20" s="596">
        <v>127280.38410517502</v>
      </c>
      <c r="O20"/>
      <c r="P20"/>
      <c r="Q20"/>
      <c r="R20"/>
      <c r="S20"/>
      <c r="T20"/>
      <c r="U20"/>
      <c r="V20"/>
      <c r="W20"/>
      <c r="X20"/>
      <c r="Y20"/>
      <c r="Z20"/>
      <c r="AA20"/>
    </row>
    <row r="21" spans="2:27" ht="17" customHeight="1">
      <c r="B21" s="472" t="s">
        <v>776</v>
      </c>
      <c r="C21" s="50" t="s">
        <v>775</v>
      </c>
      <c r="D21" s="50" t="s">
        <v>114</v>
      </c>
      <c r="E21" s="3" t="s">
        <v>851</v>
      </c>
      <c r="F21" s="1" t="s">
        <v>768</v>
      </c>
      <c r="G21" s="691">
        <v>-7</v>
      </c>
      <c r="H21" s="691">
        <v>7</v>
      </c>
      <c r="I21" s="700">
        <v>6791.38</v>
      </c>
      <c r="J21" s="596">
        <v>-42</v>
      </c>
      <c r="K21" s="596">
        <v>6749.38</v>
      </c>
      <c r="L21" s="700">
        <v>139017.43715995803</v>
      </c>
      <c r="M21" s="593">
        <v>-842.31</v>
      </c>
      <c r="N21" s="596">
        <v>138175.12715995804</v>
      </c>
      <c r="O21"/>
      <c r="P21"/>
      <c r="Q21"/>
      <c r="R21"/>
      <c r="S21"/>
      <c r="T21"/>
      <c r="U21"/>
      <c r="V21"/>
      <c r="W21"/>
      <c r="X21"/>
      <c r="Y21"/>
      <c r="Z21"/>
      <c r="AA21"/>
    </row>
    <row r="22" spans="2:27" ht="17" customHeight="1">
      <c r="B22" s="472" t="s">
        <v>776</v>
      </c>
      <c r="C22" s="50" t="s">
        <v>775</v>
      </c>
      <c r="D22" s="50" t="s">
        <v>114</v>
      </c>
      <c r="E22" s="3" t="s">
        <v>851</v>
      </c>
      <c r="F22" s="1" t="s">
        <v>827</v>
      </c>
      <c r="G22" s="691">
        <v>-6</v>
      </c>
      <c r="H22" s="691">
        <v>6</v>
      </c>
      <c r="I22" s="700">
        <v>1493.96</v>
      </c>
      <c r="J22" s="596">
        <v>-54</v>
      </c>
      <c r="K22" s="596">
        <v>1439.96</v>
      </c>
      <c r="L22" s="700">
        <v>29083.960908911999</v>
      </c>
      <c r="M22" s="593">
        <v>-1066.4028000000001</v>
      </c>
      <c r="N22" s="596">
        <v>28017.558108911999</v>
      </c>
      <c r="O22"/>
      <c r="P22"/>
      <c r="Q22"/>
      <c r="R22"/>
      <c r="S22"/>
      <c r="T22"/>
      <c r="U22"/>
      <c r="V22"/>
      <c r="W22"/>
      <c r="X22"/>
      <c r="Y22"/>
      <c r="Z22"/>
      <c r="AA22"/>
    </row>
    <row r="23" spans="2:27" ht="17" customHeight="1">
      <c r="B23" s="472" t="s">
        <v>776</v>
      </c>
      <c r="C23" s="50" t="s">
        <v>775</v>
      </c>
      <c r="D23" s="50" t="s">
        <v>114</v>
      </c>
      <c r="E23" s="3" t="s">
        <v>851</v>
      </c>
      <c r="F23" s="1" t="s">
        <v>815</v>
      </c>
      <c r="G23" s="691">
        <v>-7</v>
      </c>
      <c r="H23" s="691">
        <v>7</v>
      </c>
      <c r="I23" s="700">
        <v>4061.02</v>
      </c>
      <c r="J23" s="596">
        <v>-98</v>
      </c>
      <c r="K23" s="596">
        <v>3963.02</v>
      </c>
      <c r="L23" s="700">
        <v>81899.84113416</v>
      </c>
      <c r="M23" s="593">
        <v>-1947.3776000000003</v>
      </c>
      <c r="N23" s="596">
        <v>79952.463534159993</v>
      </c>
      <c r="O23"/>
      <c r="P23"/>
      <c r="Q23"/>
      <c r="R23"/>
      <c r="S23"/>
      <c r="T23"/>
      <c r="U23"/>
      <c r="V23"/>
      <c r="W23"/>
      <c r="X23"/>
      <c r="Y23"/>
      <c r="Z23"/>
      <c r="AA23"/>
    </row>
    <row r="24" spans="2:27" ht="17" customHeight="1">
      <c r="B24" s="472" t="s">
        <v>776</v>
      </c>
      <c r="C24" s="50" t="s">
        <v>775</v>
      </c>
      <c r="D24" s="50" t="s">
        <v>114</v>
      </c>
      <c r="E24" s="3" t="s">
        <v>851</v>
      </c>
      <c r="F24" s="1" t="s">
        <v>765</v>
      </c>
      <c r="G24" s="691">
        <v>-7</v>
      </c>
      <c r="H24" s="691">
        <v>7</v>
      </c>
      <c r="I24" s="700">
        <v>7344.58</v>
      </c>
      <c r="J24" s="596">
        <v>-21</v>
      </c>
      <c r="K24" s="596">
        <v>7323.58</v>
      </c>
      <c r="L24" s="700">
        <v>152659.50432223998</v>
      </c>
      <c r="M24" s="593">
        <v>-417.35399999999998</v>
      </c>
      <c r="N24" s="596">
        <v>152242.15032223999</v>
      </c>
      <c r="O24"/>
      <c r="P24"/>
      <c r="Q24"/>
      <c r="R24"/>
      <c r="S24"/>
      <c r="T24"/>
      <c r="U24"/>
      <c r="V24"/>
      <c r="W24"/>
      <c r="X24"/>
      <c r="Y24"/>
      <c r="Z24"/>
      <c r="AA24"/>
    </row>
    <row r="25" spans="2:27" ht="17" customHeight="1">
      <c r="B25" s="472" t="s">
        <v>776</v>
      </c>
      <c r="C25" s="50" t="s">
        <v>775</v>
      </c>
      <c r="D25" s="50" t="s">
        <v>114</v>
      </c>
      <c r="E25" s="3" t="s">
        <v>851</v>
      </c>
      <c r="F25" s="1" t="s">
        <v>828</v>
      </c>
      <c r="G25" s="691">
        <v>-3</v>
      </c>
      <c r="H25" s="691">
        <v>3</v>
      </c>
      <c r="I25" s="700">
        <v>506.98</v>
      </c>
      <c r="J25" s="596">
        <v>-102</v>
      </c>
      <c r="K25" s="596">
        <v>404.98</v>
      </c>
      <c r="L25" s="700">
        <v>9920.1148723320002</v>
      </c>
      <c r="M25" s="593">
        <v>-2014.3164000000002</v>
      </c>
      <c r="N25" s="596">
        <v>7905.7984723320005</v>
      </c>
      <c r="O25"/>
      <c r="P25"/>
      <c r="Q25"/>
      <c r="R25"/>
      <c r="S25"/>
      <c r="T25"/>
      <c r="U25"/>
      <c r="V25"/>
      <c r="W25"/>
      <c r="X25"/>
      <c r="Y25"/>
      <c r="Z25"/>
      <c r="AA25"/>
    </row>
    <row r="26" spans="2:27" ht="17" customHeight="1">
      <c r="B26" s="472" t="s">
        <v>776</v>
      </c>
      <c r="C26" s="50" t="s">
        <v>775</v>
      </c>
      <c r="D26" s="50" t="s">
        <v>114</v>
      </c>
      <c r="E26" s="3" t="s">
        <v>851</v>
      </c>
      <c r="F26" s="1" t="s">
        <v>784</v>
      </c>
      <c r="G26" s="691">
        <v>-7</v>
      </c>
      <c r="H26" s="691">
        <v>7</v>
      </c>
      <c r="I26" s="700">
        <v>4171.8999999999996</v>
      </c>
      <c r="J26" s="596">
        <v>-5866</v>
      </c>
      <c r="K26" s="596">
        <v>-1694.1000000000004</v>
      </c>
      <c r="L26" s="700">
        <v>87083.989868810007</v>
      </c>
      <c r="M26" s="593">
        <v>-117268.96579999999</v>
      </c>
      <c r="N26" s="596">
        <v>-30184.975931189983</v>
      </c>
      <c r="O26"/>
      <c r="P26"/>
      <c r="Q26"/>
      <c r="R26"/>
      <c r="S26"/>
      <c r="T26"/>
      <c r="U26"/>
      <c r="V26"/>
      <c r="W26"/>
      <c r="X26"/>
      <c r="Y26"/>
      <c r="Z26"/>
      <c r="AA26"/>
    </row>
    <row r="27" spans="2:27" ht="17" customHeight="1">
      <c r="B27" s="472" t="s">
        <v>776</v>
      </c>
      <c r="C27" s="50" t="s">
        <v>775</v>
      </c>
      <c r="D27" s="50" t="s">
        <v>114</v>
      </c>
      <c r="E27" s="3" t="s">
        <v>851</v>
      </c>
      <c r="F27" s="1" t="s">
        <v>766</v>
      </c>
      <c r="G27" s="691">
        <v>-6</v>
      </c>
      <c r="H27" s="691">
        <v>6</v>
      </c>
      <c r="I27" s="700">
        <v>5322.95</v>
      </c>
      <c r="J27" s="596">
        <v>-2322</v>
      </c>
      <c r="K27" s="596">
        <v>3000.95</v>
      </c>
      <c r="L27" s="700">
        <v>109882.1252696</v>
      </c>
      <c r="M27" s="593">
        <v>-48270.200400000002</v>
      </c>
      <c r="N27" s="596">
        <v>61611.924869600014</v>
      </c>
      <c r="O27"/>
      <c r="P27"/>
      <c r="Q27"/>
      <c r="R27"/>
      <c r="S27"/>
      <c r="T27"/>
      <c r="U27"/>
      <c r="V27"/>
      <c r="W27"/>
      <c r="X27"/>
      <c r="Y27"/>
      <c r="Z27"/>
      <c r="AA27"/>
    </row>
    <row r="28" spans="2:27" ht="17" customHeight="1">
      <c r="B28" s="472" t="s">
        <v>776</v>
      </c>
      <c r="C28" s="50" t="s">
        <v>775</v>
      </c>
      <c r="D28" s="50" t="s">
        <v>114</v>
      </c>
      <c r="E28" s="3" t="s">
        <v>851</v>
      </c>
      <c r="F28" s="1" t="s">
        <v>780</v>
      </c>
      <c r="G28" s="691">
        <v>-5</v>
      </c>
      <c r="H28" s="691">
        <v>5</v>
      </c>
      <c r="I28" s="700">
        <v>3004.93</v>
      </c>
      <c r="J28" s="596">
        <v>-10</v>
      </c>
      <c r="K28" s="596">
        <v>2994.93</v>
      </c>
      <c r="L28" s="700">
        <v>62071.497308754995</v>
      </c>
      <c r="M28" s="593">
        <v>-199.982</v>
      </c>
      <c r="N28" s="596">
        <v>61871.515308754992</v>
      </c>
      <c r="O28"/>
      <c r="P28"/>
      <c r="Q28"/>
      <c r="R28"/>
      <c r="S28"/>
      <c r="T28"/>
      <c r="U28"/>
      <c r="V28"/>
      <c r="W28"/>
      <c r="X28"/>
      <c r="Y28"/>
      <c r="Z28"/>
      <c r="AA28"/>
    </row>
    <row r="29" spans="2:27" ht="17" customHeight="1">
      <c r="B29" s="472" t="s">
        <v>776</v>
      </c>
      <c r="C29" s="50" t="s">
        <v>775</v>
      </c>
      <c r="D29" s="50" t="s">
        <v>114</v>
      </c>
      <c r="E29" s="3" t="s">
        <v>851</v>
      </c>
      <c r="F29" s="1" t="s">
        <v>755</v>
      </c>
      <c r="G29" s="691">
        <v>-7</v>
      </c>
      <c r="H29" s="691">
        <v>7</v>
      </c>
      <c r="I29" s="700">
        <v>5383.74</v>
      </c>
      <c r="J29" s="596">
        <v>-9971.15</v>
      </c>
      <c r="K29" s="596">
        <v>-4587.41</v>
      </c>
      <c r="L29" s="700">
        <v>112646.46552550561</v>
      </c>
      <c r="M29" s="593">
        <v>-205987.008045</v>
      </c>
      <c r="N29" s="596">
        <v>-93340.542519494382</v>
      </c>
      <c r="O29"/>
      <c r="P29"/>
      <c r="Q29"/>
      <c r="R29"/>
      <c r="S29"/>
      <c r="T29"/>
      <c r="U29"/>
      <c r="V29"/>
      <c r="W29"/>
      <c r="X29"/>
      <c r="Y29"/>
      <c r="Z29"/>
      <c r="AA29"/>
    </row>
    <row r="30" spans="2:27" ht="17" customHeight="1">
      <c r="B30" s="472" t="s">
        <v>776</v>
      </c>
      <c r="C30" s="50" t="s">
        <v>775</v>
      </c>
      <c r="D30" s="50" t="s">
        <v>114</v>
      </c>
      <c r="E30" s="3" t="s">
        <v>851</v>
      </c>
      <c r="F30" s="1" t="s">
        <v>786</v>
      </c>
      <c r="G30" s="691">
        <v>-2</v>
      </c>
      <c r="H30" s="691">
        <v>2</v>
      </c>
      <c r="I30" s="700">
        <v>971.97</v>
      </c>
      <c r="J30" s="596">
        <v>-48</v>
      </c>
      <c r="K30" s="596">
        <v>923.97</v>
      </c>
      <c r="L30" s="700">
        <v>19658.841472505999</v>
      </c>
      <c r="M30" s="593">
        <v>-930.91199999999992</v>
      </c>
      <c r="N30" s="596">
        <v>18727.929472505999</v>
      </c>
      <c r="O30"/>
      <c r="P30"/>
      <c r="Q30"/>
      <c r="R30"/>
      <c r="S30"/>
      <c r="T30"/>
      <c r="U30"/>
      <c r="V30"/>
      <c r="W30"/>
      <c r="X30"/>
      <c r="Y30"/>
      <c r="Z30"/>
      <c r="AA30"/>
    </row>
    <row r="31" spans="2:27" ht="17" customHeight="1">
      <c r="B31" s="472" t="s">
        <v>776</v>
      </c>
      <c r="C31" s="50" t="s">
        <v>775</v>
      </c>
      <c r="D31" s="50" t="s">
        <v>114</v>
      </c>
      <c r="E31" s="3" t="s">
        <v>851</v>
      </c>
      <c r="F31" s="1" t="s">
        <v>757</v>
      </c>
      <c r="G31" s="691">
        <v>-6</v>
      </c>
      <c r="H31" s="691">
        <v>6</v>
      </c>
      <c r="I31" s="700">
        <v>5399.97</v>
      </c>
      <c r="J31" s="596">
        <v>-11412</v>
      </c>
      <c r="K31" s="596">
        <v>-6012.03</v>
      </c>
      <c r="L31" s="700">
        <v>112575.46590527042</v>
      </c>
      <c r="M31" s="593">
        <v>-235752.5196</v>
      </c>
      <c r="N31" s="596">
        <v>-123177.05369472958</v>
      </c>
      <c r="O31"/>
      <c r="P31"/>
      <c r="Q31"/>
      <c r="R31"/>
      <c r="S31"/>
      <c r="T31"/>
      <c r="U31"/>
      <c r="V31"/>
      <c r="W31"/>
      <c r="X31"/>
      <c r="Y31"/>
      <c r="Z31"/>
      <c r="AA31"/>
    </row>
    <row r="32" spans="2:27" ht="17" customHeight="1">
      <c r="B32" s="472" t="s">
        <v>776</v>
      </c>
      <c r="C32" s="50" t="s">
        <v>775</v>
      </c>
      <c r="D32" s="50" t="s">
        <v>114</v>
      </c>
      <c r="E32" s="3" t="s">
        <v>851</v>
      </c>
      <c r="F32" s="1" t="s">
        <v>769</v>
      </c>
      <c r="G32" s="691">
        <v>-5</v>
      </c>
      <c r="H32" s="691">
        <v>5</v>
      </c>
      <c r="I32" s="700">
        <v>3271.87</v>
      </c>
      <c r="J32" s="596">
        <v>-1250</v>
      </c>
      <c r="K32" s="596">
        <v>2021.87</v>
      </c>
      <c r="L32" s="700">
        <v>64602.544808432394</v>
      </c>
      <c r="M32" s="593">
        <v>-25643.75</v>
      </c>
      <c r="N32" s="596">
        <v>38958.794808432394</v>
      </c>
      <c r="O32"/>
      <c r="P32"/>
      <c r="Q32"/>
      <c r="R32"/>
      <c r="S32"/>
      <c r="T32"/>
      <c r="U32"/>
      <c r="V32"/>
      <c r="W32"/>
      <c r="X32"/>
      <c r="Y32"/>
      <c r="Z32"/>
      <c r="AA32"/>
    </row>
    <row r="33" spans="2:27" ht="17" customHeight="1">
      <c r="B33" s="472" t="s">
        <v>776</v>
      </c>
      <c r="C33" s="50" t="s">
        <v>775</v>
      </c>
      <c r="D33" s="50" t="s">
        <v>114</v>
      </c>
      <c r="E33" s="3" t="s">
        <v>851</v>
      </c>
      <c r="F33" s="1" t="s">
        <v>756</v>
      </c>
      <c r="G33" s="691">
        <v>-6</v>
      </c>
      <c r="H33" s="691">
        <v>6</v>
      </c>
      <c r="I33" s="700">
        <v>4231.1099999999997</v>
      </c>
      <c r="J33" s="596">
        <v>-1054.56</v>
      </c>
      <c r="K33" s="596">
        <v>3176.5499999999997</v>
      </c>
      <c r="L33" s="700">
        <v>87787.181642815194</v>
      </c>
      <c r="M33" s="593">
        <v>-21428.659199999998</v>
      </c>
      <c r="N33" s="596">
        <v>66358.5224428152</v>
      </c>
      <c r="O33"/>
      <c r="P33"/>
      <c r="Q33"/>
      <c r="R33"/>
      <c r="S33"/>
      <c r="T33"/>
      <c r="U33"/>
      <c r="V33"/>
      <c r="W33"/>
      <c r="X33"/>
      <c r="Y33"/>
      <c r="Z33"/>
      <c r="AA33"/>
    </row>
    <row r="34" spans="2:27" ht="17" customHeight="1">
      <c r="B34" s="472" t="s">
        <v>776</v>
      </c>
      <c r="C34" s="50" t="s">
        <v>775</v>
      </c>
      <c r="D34" s="50" t="s">
        <v>114</v>
      </c>
      <c r="E34" s="3" t="s">
        <v>851</v>
      </c>
      <c r="F34" s="1" t="s">
        <v>763</v>
      </c>
      <c r="G34" s="691">
        <v>-7</v>
      </c>
      <c r="H34" s="691">
        <v>7</v>
      </c>
      <c r="I34" s="700">
        <v>10366.94</v>
      </c>
      <c r="J34" s="596">
        <v>-56</v>
      </c>
      <c r="K34" s="596">
        <v>10310.94</v>
      </c>
      <c r="L34" s="700">
        <v>215639.31340021003</v>
      </c>
      <c r="M34" s="593">
        <v>-1117.5472</v>
      </c>
      <c r="N34" s="596">
        <v>214521.76620021003</v>
      </c>
      <c r="O34"/>
      <c r="P34"/>
      <c r="Q34"/>
      <c r="R34"/>
      <c r="S34"/>
      <c r="T34"/>
      <c r="U34"/>
      <c r="V34"/>
      <c r="W34"/>
      <c r="X34"/>
      <c r="Y34"/>
      <c r="Z34"/>
      <c r="AA34"/>
    </row>
    <row r="35" spans="2:27" ht="17" customHeight="1">
      <c r="B35" s="472" t="s">
        <v>776</v>
      </c>
      <c r="C35" s="50" t="s">
        <v>775</v>
      </c>
      <c r="D35" s="50" t="s">
        <v>114</v>
      </c>
      <c r="E35" s="3" t="s">
        <v>851</v>
      </c>
      <c r="F35" s="1" t="s">
        <v>788</v>
      </c>
      <c r="G35" s="691">
        <v>-5</v>
      </c>
      <c r="H35" s="691">
        <v>5</v>
      </c>
      <c r="I35" s="700">
        <v>2229.94</v>
      </c>
      <c r="J35" s="596">
        <v>-6700.8</v>
      </c>
      <c r="K35" s="596">
        <v>-4470.8600000000006</v>
      </c>
      <c r="L35" s="700">
        <v>45121.004584074399</v>
      </c>
      <c r="M35" s="593">
        <v>-134635.82400000002</v>
      </c>
      <c r="N35" s="596">
        <v>-89514.819415925624</v>
      </c>
      <c r="O35"/>
      <c r="P35"/>
      <c r="Q35"/>
      <c r="R35"/>
      <c r="S35"/>
      <c r="T35"/>
      <c r="U35"/>
      <c r="V35"/>
      <c r="W35"/>
      <c r="X35"/>
      <c r="Y35"/>
      <c r="Z35"/>
    </row>
    <row r="36" spans="2:27" ht="17" customHeight="1">
      <c r="B36" s="472" t="s">
        <v>776</v>
      </c>
      <c r="C36" s="50" t="s">
        <v>775</v>
      </c>
      <c r="D36" s="50" t="s">
        <v>114</v>
      </c>
      <c r="E36" s="3" t="s">
        <v>851</v>
      </c>
      <c r="F36" s="1" t="s">
        <v>750</v>
      </c>
      <c r="G36" s="691">
        <v>-7</v>
      </c>
      <c r="H36" s="691">
        <v>7</v>
      </c>
      <c r="I36" s="700">
        <v>4502.09</v>
      </c>
      <c r="J36" s="596">
        <v>-84</v>
      </c>
      <c r="K36" s="596">
        <v>4418.09</v>
      </c>
      <c r="L36" s="700">
        <v>94616.265508798198</v>
      </c>
      <c r="M36" s="593">
        <v>-1729.4759999999999</v>
      </c>
      <c r="N36" s="596">
        <v>92886.789508798203</v>
      </c>
      <c r="O36"/>
      <c r="P36"/>
      <c r="Q36"/>
      <c r="R36"/>
      <c r="S36"/>
      <c r="T36"/>
      <c r="U36"/>
      <c r="V36"/>
      <c r="W36"/>
      <c r="X36"/>
      <c r="Y36"/>
      <c r="Z36"/>
    </row>
    <row r="37" spans="2:27" ht="17" customHeight="1">
      <c r="B37" s="472" t="s">
        <v>776</v>
      </c>
      <c r="C37" s="50" t="s">
        <v>775</v>
      </c>
      <c r="D37" s="50" t="s">
        <v>114</v>
      </c>
      <c r="E37" s="3" t="s">
        <v>851</v>
      </c>
      <c r="F37" s="1" t="s">
        <v>785</v>
      </c>
      <c r="G37" s="691">
        <v>-6</v>
      </c>
      <c r="H37" s="691">
        <v>6</v>
      </c>
      <c r="I37" s="700">
        <v>2231.94</v>
      </c>
      <c r="J37" s="596">
        <v>-8592</v>
      </c>
      <c r="K37" s="596">
        <v>-6360.0599999999995</v>
      </c>
      <c r="L37" s="700">
        <v>44817.195482373601</v>
      </c>
      <c r="M37" s="593">
        <v>-171640.66560000001</v>
      </c>
      <c r="N37" s="596">
        <v>-126823.47011762641</v>
      </c>
      <c r="O37"/>
      <c r="P37"/>
      <c r="Q37"/>
      <c r="R37"/>
      <c r="S37"/>
      <c r="T37"/>
      <c r="U37"/>
      <c r="V37"/>
      <c r="W37"/>
      <c r="X37"/>
      <c r="Y37"/>
      <c r="Z37"/>
    </row>
    <row r="38" spans="2:27" ht="17" customHeight="1">
      <c r="B38" s="472" t="s">
        <v>776</v>
      </c>
      <c r="C38" s="50" t="s">
        <v>775</v>
      </c>
      <c r="D38" s="50" t="s">
        <v>114</v>
      </c>
      <c r="E38" s="3" t="s">
        <v>851</v>
      </c>
      <c r="F38" s="1" t="s">
        <v>764</v>
      </c>
      <c r="G38" s="691">
        <v>-5</v>
      </c>
      <c r="H38" s="691">
        <v>5</v>
      </c>
      <c r="I38" s="700">
        <v>4599.97</v>
      </c>
      <c r="J38" s="596">
        <v>-240</v>
      </c>
      <c r="K38" s="596">
        <v>4359.97</v>
      </c>
      <c r="L38" s="700">
        <v>94326.129225580007</v>
      </c>
      <c r="M38" s="593">
        <v>-4703.9519999999993</v>
      </c>
      <c r="N38" s="596">
        <v>89622.177225580002</v>
      </c>
      <c r="O38"/>
      <c r="P38"/>
      <c r="Q38"/>
      <c r="R38"/>
      <c r="S38"/>
      <c r="T38"/>
      <c r="U38"/>
      <c r="V38"/>
      <c r="W38"/>
      <c r="X38"/>
      <c r="Y38"/>
      <c r="Z38"/>
    </row>
    <row r="39" spans="2:27" ht="17" customHeight="1">
      <c r="B39" s="472" t="s">
        <v>776</v>
      </c>
      <c r="C39" s="50" t="s">
        <v>775</v>
      </c>
      <c r="D39" s="50" t="s">
        <v>114</v>
      </c>
      <c r="E39" s="3" t="s">
        <v>851</v>
      </c>
      <c r="F39" s="1" t="s">
        <v>787</v>
      </c>
      <c r="G39" s="691">
        <v>-6</v>
      </c>
      <c r="H39" s="691">
        <v>6</v>
      </c>
      <c r="I39" s="700">
        <v>1349.96</v>
      </c>
      <c r="J39" s="596">
        <v>-8584.08</v>
      </c>
      <c r="K39" s="596">
        <v>-7234.12</v>
      </c>
      <c r="L39" s="700">
        <v>26995.445491248</v>
      </c>
      <c r="M39" s="593">
        <v>-172153.72440000001</v>
      </c>
      <c r="N39" s="596">
        <v>-145158.27890875202</v>
      </c>
      <c r="O39"/>
      <c r="P39"/>
      <c r="Q39"/>
      <c r="R39"/>
      <c r="S39"/>
      <c r="T39"/>
      <c r="U39"/>
      <c r="V39"/>
      <c r="W39"/>
      <c r="X39"/>
      <c r="Y39"/>
      <c r="Z39"/>
    </row>
    <row r="40" spans="2:27" ht="17" customHeight="1">
      <c r="B40" s="472" t="s">
        <v>776</v>
      </c>
      <c r="C40" s="50" t="s">
        <v>775</v>
      </c>
      <c r="D40" s="50" t="s">
        <v>114</v>
      </c>
      <c r="E40" s="3" t="s">
        <v>851</v>
      </c>
      <c r="F40" s="1" t="s">
        <v>741</v>
      </c>
      <c r="G40" s="691">
        <v>-6</v>
      </c>
      <c r="H40" s="691">
        <v>6</v>
      </c>
      <c r="I40" s="700">
        <v>3851.98</v>
      </c>
      <c r="J40" s="596">
        <v>-47.34</v>
      </c>
      <c r="K40" s="596">
        <v>3804.64</v>
      </c>
      <c r="L40" s="700">
        <v>80999.892053709191</v>
      </c>
      <c r="M40" s="593">
        <v>-988.18936200000019</v>
      </c>
      <c r="N40" s="596">
        <v>80011.702691709186</v>
      </c>
      <c r="O40"/>
      <c r="P40"/>
      <c r="Q40"/>
      <c r="R40"/>
      <c r="S40"/>
      <c r="T40"/>
      <c r="U40"/>
      <c r="V40"/>
      <c r="W40"/>
      <c r="X40"/>
      <c r="Y40"/>
      <c r="Z40"/>
    </row>
    <row r="41" spans="2:27" ht="17" customHeight="1">
      <c r="B41" s="472" t="s">
        <v>776</v>
      </c>
      <c r="C41" s="50" t="s">
        <v>775</v>
      </c>
      <c r="D41" s="50" t="s">
        <v>114</v>
      </c>
      <c r="E41" s="3" t="s">
        <v>851</v>
      </c>
      <c r="F41" s="1" t="s">
        <v>758</v>
      </c>
      <c r="G41" s="691">
        <v>-6</v>
      </c>
      <c r="H41" s="691">
        <v>6</v>
      </c>
      <c r="I41" s="700">
        <v>4470.45</v>
      </c>
      <c r="J41" s="596">
        <v>-162</v>
      </c>
      <c r="K41" s="596">
        <v>4308.45</v>
      </c>
      <c r="L41" s="700">
        <v>93821.429012949011</v>
      </c>
      <c r="M41" s="593">
        <v>-3247.2413999999999</v>
      </c>
      <c r="N41" s="596">
        <v>90574.187612949012</v>
      </c>
      <c r="O41"/>
      <c r="P41"/>
      <c r="Q41"/>
      <c r="R41"/>
      <c r="S41"/>
      <c r="T41"/>
      <c r="U41"/>
      <c r="V41"/>
      <c r="W41"/>
      <c r="X41"/>
      <c r="Y41"/>
      <c r="Z41"/>
    </row>
    <row r="42" spans="2:27" ht="17" customHeight="1">
      <c r="B42" s="472" t="s">
        <v>776</v>
      </c>
      <c r="C42" s="50" t="s">
        <v>775</v>
      </c>
      <c r="D42" s="50" t="s">
        <v>114</v>
      </c>
      <c r="E42" s="3" t="s">
        <v>851</v>
      </c>
      <c r="F42" s="1" t="s">
        <v>761</v>
      </c>
      <c r="G42" s="691">
        <v>-2</v>
      </c>
      <c r="H42" s="691">
        <v>2</v>
      </c>
      <c r="I42" s="700">
        <v>4044.2971428571432</v>
      </c>
      <c r="J42" s="596">
        <v>-7920</v>
      </c>
      <c r="K42" s="596">
        <v>-3875.7028571428564</v>
      </c>
      <c r="L42" s="700">
        <v>82811.529789988592</v>
      </c>
      <c r="M42" s="593">
        <v>-164642.54399999999</v>
      </c>
      <c r="N42" s="596">
        <v>-81831.014210011403</v>
      </c>
      <c r="O42"/>
      <c r="P42"/>
      <c r="Q42"/>
      <c r="R42"/>
      <c r="S42"/>
      <c r="T42"/>
      <c r="U42"/>
      <c r="V42"/>
      <c r="W42"/>
      <c r="X42"/>
      <c r="Y42"/>
      <c r="Z42"/>
    </row>
    <row r="43" spans="2:27" ht="17" customHeight="1">
      <c r="B43" s="472" t="s">
        <v>776</v>
      </c>
      <c r="C43" s="50" t="s">
        <v>775</v>
      </c>
      <c r="D43" s="50" t="s">
        <v>114</v>
      </c>
      <c r="E43" s="3" t="s">
        <v>851</v>
      </c>
      <c r="F43" s="1" t="s">
        <v>761</v>
      </c>
      <c r="G43" s="691">
        <v>-3</v>
      </c>
      <c r="H43" s="691">
        <v>3</v>
      </c>
      <c r="I43" s="700">
        <v>3033.2228571428573</v>
      </c>
      <c r="J43" s="596">
        <v>0</v>
      </c>
      <c r="K43" s="596">
        <v>3033.2228571428573</v>
      </c>
      <c r="L43" s="700">
        <v>62108.647342491437</v>
      </c>
      <c r="M43" s="593">
        <v>0</v>
      </c>
      <c r="N43" s="596">
        <v>62108.647342491429</v>
      </c>
      <c r="O43"/>
      <c r="P43"/>
      <c r="Q43"/>
      <c r="R43"/>
      <c r="S43"/>
      <c r="T43"/>
      <c r="U43"/>
      <c r="V43"/>
      <c r="W43"/>
      <c r="X43"/>
      <c r="Y43"/>
      <c r="Z43"/>
    </row>
    <row r="44" spans="2:27" ht="17" customHeight="1">
      <c r="B44" s="472" t="s">
        <v>776</v>
      </c>
      <c r="C44" s="50" t="s">
        <v>775</v>
      </c>
      <c r="D44" s="50" t="s">
        <v>114</v>
      </c>
      <c r="E44" s="3" t="s">
        <v>851</v>
      </c>
      <c r="F44" s="1" t="s">
        <v>742</v>
      </c>
      <c r="G44" s="691">
        <v>-6</v>
      </c>
      <c r="H44" s="691">
        <v>6</v>
      </c>
      <c r="I44" s="700">
        <v>4712.91</v>
      </c>
      <c r="J44" s="596">
        <v>-113.4</v>
      </c>
      <c r="K44" s="596">
        <v>4599.51</v>
      </c>
      <c r="L44" s="700">
        <v>103392.5270349201</v>
      </c>
      <c r="M44" s="593">
        <v>-2367.1456200000002</v>
      </c>
      <c r="N44" s="596">
        <v>101025.38141492012</v>
      </c>
      <c r="O44"/>
      <c r="P44"/>
      <c r="Q44"/>
      <c r="R44"/>
      <c r="S44"/>
      <c r="T44"/>
      <c r="U44"/>
      <c r="V44"/>
      <c r="W44"/>
      <c r="X44"/>
      <c r="Y44"/>
      <c r="Z44"/>
    </row>
    <row r="45" spans="2:27" ht="17" customHeight="1">
      <c r="B45" s="472" t="s">
        <v>776</v>
      </c>
      <c r="C45" s="50" t="s">
        <v>775</v>
      </c>
      <c r="D45" s="50" t="s">
        <v>114</v>
      </c>
      <c r="E45" s="3" t="s">
        <v>851</v>
      </c>
      <c r="F45" s="1" t="s">
        <v>743</v>
      </c>
      <c r="G45" s="691">
        <v>-6</v>
      </c>
      <c r="H45" s="691">
        <v>6</v>
      </c>
      <c r="I45" s="700">
        <v>3839.02</v>
      </c>
      <c r="J45" s="596">
        <v>-60</v>
      </c>
      <c r="K45" s="596">
        <v>3779.02</v>
      </c>
      <c r="L45" s="700">
        <v>79438.096613333386</v>
      </c>
      <c r="M45" s="593">
        <v>-1218.7080000000001</v>
      </c>
      <c r="N45" s="596">
        <v>78219.388613333387</v>
      </c>
      <c r="O45"/>
      <c r="P45"/>
      <c r="Q45"/>
      <c r="R45"/>
      <c r="S45"/>
      <c r="T45"/>
      <c r="U45"/>
      <c r="V45"/>
      <c r="W45"/>
      <c r="X45"/>
      <c r="Y45"/>
      <c r="Z45"/>
    </row>
    <row r="46" spans="2:27" ht="17" customHeight="1">
      <c r="B46" s="472" t="s">
        <v>776</v>
      </c>
      <c r="C46" s="50" t="s">
        <v>775</v>
      </c>
      <c r="D46" s="50" t="s">
        <v>114</v>
      </c>
      <c r="E46" s="3" t="s">
        <v>851</v>
      </c>
      <c r="F46" s="1" t="s">
        <v>749</v>
      </c>
      <c r="G46" s="691">
        <v>-6</v>
      </c>
      <c r="H46" s="691">
        <v>6</v>
      </c>
      <c r="I46" s="700">
        <v>2237.98</v>
      </c>
      <c r="J46" s="596">
        <v>-132</v>
      </c>
      <c r="K46" s="596">
        <v>2105.98</v>
      </c>
      <c r="L46" s="700">
        <v>46284.726883384807</v>
      </c>
      <c r="M46" s="593">
        <v>-2709.5904</v>
      </c>
      <c r="N46" s="596">
        <v>43575.136483384806</v>
      </c>
      <c r="O46"/>
      <c r="P46"/>
      <c r="Q46"/>
      <c r="R46"/>
      <c r="S46"/>
      <c r="T46"/>
      <c r="U46"/>
      <c r="V46"/>
      <c r="W46"/>
      <c r="X46"/>
      <c r="Y46"/>
      <c r="Z46"/>
    </row>
    <row r="47" spans="2:27" ht="17" customHeight="1">
      <c r="B47" s="472" t="s">
        <v>776</v>
      </c>
      <c r="C47" s="50" t="s">
        <v>775</v>
      </c>
      <c r="D47" s="50" t="s">
        <v>114</v>
      </c>
      <c r="E47" s="3" t="s">
        <v>851</v>
      </c>
      <c r="F47" s="1" t="s">
        <v>762</v>
      </c>
      <c r="G47" s="691">
        <v>-2</v>
      </c>
      <c r="H47" s="691">
        <v>2</v>
      </c>
      <c r="I47" s="700">
        <v>1509.99</v>
      </c>
      <c r="J47" s="596">
        <v>-7914.26</v>
      </c>
      <c r="K47" s="596">
        <v>-6404.27</v>
      </c>
      <c r="L47" s="700">
        <v>30576.022977840599</v>
      </c>
      <c r="M47" s="593">
        <v>-157333.11452199999</v>
      </c>
      <c r="N47" s="596">
        <v>-126757.0915441594</v>
      </c>
      <c r="O47"/>
      <c r="P47"/>
      <c r="Q47"/>
      <c r="R47"/>
      <c r="S47"/>
      <c r="T47"/>
      <c r="U47"/>
      <c r="V47"/>
      <c r="W47"/>
      <c r="X47"/>
      <c r="Y47"/>
      <c r="Z47"/>
    </row>
    <row r="48" spans="2:27" ht="17" customHeight="1">
      <c r="B48" s="472" t="s">
        <v>776</v>
      </c>
      <c r="C48" s="50" t="s">
        <v>775</v>
      </c>
      <c r="D48" s="50" t="s">
        <v>114</v>
      </c>
      <c r="E48" s="3" t="s">
        <v>851</v>
      </c>
      <c r="F48" s="1" t="s">
        <v>762</v>
      </c>
      <c r="G48" s="691">
        <v>-1</v>
      </c>
      <c r="H48" s="691">
        <v>1</v>
      </c>
      <c r="I48" s="700">
        <v>754.995</v>
      </c>
      <c r="J48" s="596">
        <v>0</v>
      </c>
      <c r="K48" s="596">
        <v>754.995</v>
      </c>
      <c r="L48" s="700">
        <v>15288.0114889203</v>
      </c>
      <c r="M48" s="593">
        <v>0</v>
      </c>
      <c r="N48" s="596">
        <v>15288.0114889203</v>
      </c>
      <c r="O48"/>
      <c r="P48"/>
      <c r="Q48"/>
      <c r="R48"/>
      <c r="S48"/>
      <c r="T48"/>
      <c r="U48"/>
      <c r="V48"/>
      <c r="W48"/>
      <c r="X48"/>
      <c r="Y48"/>
      <c r="Z48"/>
    </row>
    <row r="49" spans="2:26" ht="17" customHeight="1">
      <c r="B49" s="472" t="s">
        <v>776</v>
      </c>
      <c r="C49" s="50" t="s">
        <v>775</v>
      </c>
      <c r="D49" s="50" t="s">
        <v>114</v>
      </c>
      <c r="E49" s="3" t="s">
        <v>851</v>
      </c>
      <c r="F49" s="1" t="s">
        <v>762</v>
      </c>
      <c r="G49" s="691">
        <v>-3</v>
      </c>
      <c r="H49" s="691">
        <v>3</v>
      </c>
      <c r="I49" s="700">
        <v>2264.9850000000001</v>
      </c>
      <c r="J49" s="596">
        <v>0</v>
      </c>
      <c r="K49" s="596">
        <v>2264.9850000000001</v>
      </c>
      <c r="L49" s="700">
        <v>45864.034466760895</v>
      </c>
      <c r="M49" s="593">
        <v>0</v>
      </c>
      <c r="N49" s="596">
        <v>45864.034466760895</v>
      </c>
      <c r="O49"/>
      <c r="P49"/>
      <c r="Q49"/>
      <c r="R49"/>
      <c r="S49"/>
      <c r="T49"/>
      <c r="U49"/>
      <c r="V49"/>
      <c r="W49"/>
      <c r="X49"/>
      <c r="Y49"/>
      <c r="Z49"/>
    </row>
    <row r="50" spans="2:26" ht="17" customHeight="1">
      <c r="B50" s="472" t="s">
        <v>776</v>
      </c>
      <c r="C50" s="50" t="s">
        <v>775</v>
      </c>
      <c r="D50" s="50" t="s">
        <v>114</v>
      </c>
      <c r="E50" s="3" t="s">
        <v>851</v>
      </c>
      <c r="F50" s="1" t="s">
        <v>752</v>
      </c>
      <c r="G50" s="691">
        <v>-6</v>
      </c>
      <c r="H50" s="691">
        <v>6</v>
      </c>
      <c r="I50" s="700">
        <v>6814.7</v>
      </c>
      <c r="J50" s="596">
        <v>-12670.74</v>
      </c>
      <c r="K50" s="596">
        <v>-5856.04</v>
      </c>
      <c r="L50" s="700">
        <v>142644.74159459997</v>
      </c>
      <c r="M50" s="593">
        <v>-257469.4368</v>
      </c>
      <c r="N50" s="596">
        <v>-114824.69520540003</v>
      </c>
      <c r="O50"/>
      <c r="P50"/>
      <c r="Q50"/>
      <c r="R50"/>
      <c r="S50"/>
      <c r="T50"/>
      <c r="U50"/>
      <c r="V50"/>
      <c r="W50"/>
      <c r="X50"/>
      <c r="Y50"/>
      <c r="Z50"/>
    </row>
    <row r="51" spans="2:26" ht="17" customHeight="1">
      <c r="B51" s="472" t="s">
        <v>776</v>
      </c>
      <c r="C51" s="50" t="s">
        <v>775</v>
      </c>
      <c r="D51" s="50" t="s">
        <v>114</v>
      </c>
      <c r="E51" s="3" t="s">
        <v>851</v>
      </c>
      <c r="F51" s="1" t="s">
        <v>760</v>
      </c>
      <c r="G51" s="691">
        <v>-5</v>
      </c>
      <c r="H51" s="691">
        <v>5</v>
      </c>
      <c r="I51" s="700">
        <v>2614.9833333333336</v>
      </c>
      <c r="J51" s="596">
        <v>0</v>
      </c>
      <c r="K51" s="596">
        <v>2614.9833333333336</v>
      </c>
      <c r="L51" s="700">
        <v>52562.768115532512</v>
      </c>
      <c r="M51" s="593">
        <v>0</v>
      </c>
      <c r="N51" s="596">
        <v>52562.768115532512</v>
      </c>
      <c r="O51"/>
      <c r="P51"/>
      <c r="Q51"/>
      <c r="R51"/>
      <c r="S51"/>
      <c r="T51"/>
      <c r="U51"/>
      <c r="V51"/>
      <c r="W51"/>
      <c r="X51"/>
      <c r="Y51"/>
      <c r="Z51"/>
    </row>
    <row r="52" spans="2:26" ht="17" customHeight="1">
      <c r="B52" s="472" t="s">
        <v>776</v>
      </c>
      <c r="C52" s="50" t="s">
        <v>775</v>
      </c>
      <c r="D52" s="50" t="s">
        <v>114</v>
      </c>
      <c r="E52" s="3" t="s">
        <v>851</v>
      </c>
      <c r="F52" s="1" t="s">
        <v>760</v>
      </c>
      <c r="G52" s="691">
        <v>-1</v>
      </c>
      <c r="H52" s="691">
        <v>1</v>
      </c>
      <c r="I52" s="700">
        <v>522.99666666666667</v>
      </c>
      <c r="J52" s="596">
        <v>-1851.18</v>
      </c>
      <c r="K52" s="596">
        <v>-1328.1833333333334</v>
      </c>
      <c r="L52" s="700">
        <v>10512.553623106502</v>
      </c>
      <c r="M52" s="593">
        <v>-36814.416660000003</v>
      </c>
      <c r="N52" s="596">
        <v>-26301.863036893501</v>
      </c>
      <c r="O52"/>
      <c r="P52"/>
      <c r="Q52"/>
      <c r="R52"/>
      <c r="S52"/>
      <c r="T52"/>
      <c r="U52"/>
      <c r="V52"/>
      <c r="W52"/>
      <c r="X52"/>
      <c r="Y52"/>
      <c r="Z52"/>
    </row>
    <row r="53" spans="2:26" ht="17" customHeight="1">
      <c r="B53" s="472" t="s">
        <v>776</v>
      </c>
      <c r="C53" s="50" t="s">
        <v>775</v>
      </c>
      <c r="D53" s="50" t="s">
        <v>114</v>
      </c>
      <c r="E53" s="3" t="s">
        <v>851</v>
      </c>
      <c r="F53" s="1" t="s">
        <v>748</v>
      </c>
      <c r="G53" s="691">
        <v>-6</v>
      </c>
      <c r="H53" s="691">
        <v>6</v>
      </c>
      <c r="I53" s="700">
        <v>4055.97</v>
      </c>
      <c r="J53" s="596">
        <v>-126</v>
      </c>
      <c r="K53" s="596">
        <v>3929.97</v>
      </c>
      <c r="L53" s="700">
        <v>84801.173062389309</v>
      </c>
      <c r="M53" s="593">
        <v>-2528.3790000000004</v>
      </c>
      <c r="N53" s="596">
        <v>82272.794062389308</v>
      </c>
      <c r="O53"/>
      <c r="P53"/>
      <c r="Q53"/>
      <c r="R53"/>
      <c r="S53"/>
      <c r="T53"/>
      <c r="U53"/>
      <c r="V53"/>
      <c r="W53"/>
      <c r="X53"/>
      <c r="Y53"/>
      <c r="Z53"/>
    </row>
    <row r="54" spans="2:26" ht="17" customHeight="1">
      <c r="B54" s="472" t="s">
        <v>776</v>
      </c>
      <c r="C54" s="50" t="s">
        <v>775</v>
      </c>
      <c r="D54" s="50" t="s">
        <v>114</v>
      </c>
      <c r="E54" s="3" t="s">
        <v>851</v>
      </c>
      <c r="F54" s="1" t="s">
        <v>753</v>
      </c>
      <c r="G54" s="691">
        <v>-6</v>
      </c>
      <c r="H54" s="691">
        <v>6</v>
      </c>
      <c r="I54" s="700">
        <v>5336.79</v>
      </c>
      <c r="J54" s="596">
        <v>-107.4</v>
      </c>
      <c r="K54" s="596">
        <v>5229.3900000000003</v>
      </c>
      <c r="L54" s="700">
        <v>111843.70516343311</v>
      </c>
      <c r="M54" s="593">
        <v>-2160.8880000000004</v>
      </c>
      <c r="N54" s="596">
        <v>109682.81716343312</v>
      </c>
      <c r="O54"/>
      <c r="P54"/>
      <c r="Q54"/>
      <c r="R54"/>
      <c r="S54"/>
      <c r="T54"/>
      <c r="U54"/>
      <c r="V54"/>
      <c r="W54"/>
      <c r="X54"/>
      <c r="Y54"/>
      <c r="Z54"/>
    </row>
    <row r="55" spans="2:26" ht="17" customHeight="1">
      <c r="B55" s="472" t="s">
        <v>776</v>
      </c>
      <c r="C55" s="50" t="s">
        <v>775</v>
      </c>
      <c r="D55" s="50" t="s">
        <v>114</v>
      </c>
      <c r="E55" s="3" t="s">
        <v>851</v>
      </c>
      <c r="F55" s="1" t="s">
        <v>744</v>
      </c>
      <c r="G55" s="691">
        <v>-6</v>
      </c>
      <c r="H55" s="691">
        <v>6</v>
      </c>
      <c r="I55" s="700">
        <v>5161.47</v>
      </c>
      <c r="J55" s="596">
        <v>-370.92</v>
      </c>
      <c r="K55" s="596">
        <v>4790.55</v>
      </c>
      <c r="L55" s="700">
        <v>107860.1760677961</v>
      </c>
      <c r="M55" s="593">
        <v>-7566.4712640000007</v>
      </c>
      <c r="N55" s="596">
        <v>100293.70480379609</v>
      </c>
      <c r="O55"/>
      <c r="P55"/>
      <c r="Q55"/>
      <c r="R55"/>
      <c r="S55"/>
      <c r="T55"/>
      <c r="U55"/>
      <c r="V55"/>
      <c r="W55"/>
      <c r="X55"/>
      <c r="Y55"/>
      <c r="Z55"/>
    </row>
    <row r="56" spans="2:26" ht="17" customHeight="1">
      <c r="B56" s="472" t="s">
        <v>776</v>
      </c>
      <c r="C56" s="50" t="s">
        <v>775</v>
      </c>
      <c r="D56" s="50" t="s">
        <v>114</v>
      </c>
      <c r="E56" s="3" t="s">
        <v>851</v>
      </c>
      <c r="F56" s="1" t="s">
        <v>754</v>
      </c>
      <c r="G56" s="691">
        <v>-6</v>
      </c>
      <c r="H56" s="691">
        <v>6</v>
      </c>
      <c r="I56" s="700">
        <v>5003.97</v>
      </c>
      <c r="J56" s="596">
        <v>-143.88</v>
      </c>
      <c r="K56" s="596">
        <v>4860.09</v>
      </c>
      <c r="L56" s="700">
        <v>104311.00157601391</v>
      </c>
      <c r="M56" s="593">
        <v>-2896.4914439999998</v>
      </c>
      <c r="N56" s="596">
        <v>101414.51013201389</v>
      </c>
      <c r="O56"/>
      <c r="P56"/>
      <c r="Q56"/>
      <c r="R56"/>
      <c r="S56"/>
      <c r="T56"/>
      <c r="U56"/>
      <c r="V56"/>
      <c r="W56"/>
      <c r="X56"/>
      <c r="Y56"/>
      <c r="Z56"/>
    </row>
    <row r="57" spans="2:26" ht="17" customHeight="1">
      <c r="B57" s="472" t="s">
        <v>776</v>
      </c>
      <c r="C57" s="50" t="s">
        <v>775</v>
      </c>
      <c r="D57" s="50" t="s">
        <v>114</v>
      </c>
      <c r="E57" s="3" t="s">
        <v>851</v>
      </c>
      <c r="F57" s="1" t="s">
        <v>759</v>
      </c>
      <c r="G57" s="691">
        <v>-6</v>
      </c>
      <c r="H57" s="691">
        <v>6</v>
      </c>
      <c r="I57" s="700">
        <v>3432.04</v>
      </c>
      <c r="J57" s="596">
        <v>-11804.28</v>
      </c>
      <c r="K57" s="596">
        <v>-8372.2400000000016</v>
      </c>
      <c r="L57" s="700">
        <v>69581.975982649208</v>
      </c>
      <c r="M57" s="593">
        <v>-240040.03380000003</v>
      </c>
      <c r="N57" s="596">
        <v>-170458.05781735084</v>
      </c>
      <c r="O57"/>
      <c r="P57"/>
      <c r="Q57"/>
      <c r="R57"/>
      <c r="S57"/>
      <c r="T57"/>
      <c r="U57"/>
      <c r="V57"/>
      <c r="W57"/>
      <c r="X57"/>
      <c r="Y57"/>
      <c r="Z57"/>
    </row>
    <row r="58" spans="2:26" ht="17" customHeight="1">
      <c r="B58" s="472" t="s">
        <v>776</v>
      </c>
      <c r="C58" s="50" t="s">
        <v>775</v>
      </c>
      <c r="D58" s="50" t="s">
        <v>114</v>
      </c>
      <c r="E58" s="3" t="s">
        <v>851</v>
      </c>
      <c r="F58" s="1" t="s">
        <v>751</v>
      </c>
      <c r="G58" s="691">
        <v>-6</v>
      </c>
      <c r="H58" s="691">
        <v>6</v>
      </c>
      <c r="I58" s="700">
        <v>2249.98</v>
      </c>
      <c r="J58" s="596">
        <v>-78</v>
      </c>
      <c r="K58" s="596">
        <v>2171.98</v>
      </c>
      <c r="L58" s="700">
        <v>47602.5872821296</v>
      </c>
      <c r="M58" s="593">
        <v>-1593.0486000000001</v>
      </c>
      <c r="N58" s="596">
        <v>46009.538682129598</v>
      </c>
      <c r="O58"/>
      <c r="P58"/>
      <c r="Q58"/>
      <c r="R58"/>
      <c r="S58"/>
      <c r="T58"/>
      <c r="U58"/>
      <c r="V58"/>
      <c r="W58"/>
      <c r="X58"/>
      <c r="Y58"/>
      <c r="Z58"/>
    </row>
    <row r="59" spans="2:26" ht="17" customHeight="1">
      <c r="B59" s="472" t="s">
        <v>776</v>
      </c>
      <c r="C59" s="50" t="s">
        <v>775</v>
      </c>
      <c r="D59" s="50" t="s">
        <v>114</v>
      </c>
      <c r="E59" s="3" t="s">
        <v>851</v>
      </c>
      <c r="F59" s="1" t="s">
        <v>745</v>
      </c>
      <c r="G59" s="691">
        <v>-5</v>
      </c>
      <c r="H59" s="691">
        <v>5</v>
      </c>
      <c r="I59" s="700">
        <v>4353.72</v>
      </c>
      <c r="J59" s="596">
        <v>-3169</v>
      </c>
      <c r="K59" s="596">
        <v>1184.7200000000003</v>
      </c>
      <c r="L59" s="700">
        <v>92013.495591326413</v>
      </c>
      <c r="M59" s="593">
        <v>-64645.0648</v>
      </c>
      <c r="N59" s="596">
        <v>27368.430791326413</v>
      </c>
      <c r="O59"/>
      <c r="P59"/>
      <c r="Q59"/>
      <c r="R59"/>
      <c r="S59"/>
      <c r="T59"/>
      <c r="U59"/>
      <c r="V59"/>
      <c r="W59"/>
      <c r="X59"/>
      <c r="Y59"/>
      <c r="Z59"/>
    </row>
    <row r="60" spans="2:26" ht="17" customHeight="1">
      <c r="B60" s="472" t="s">
        <v>776</v>
      </c>
      <c r="C60" s="50" t="s">
        <v>775</v>
      </c>
      <c r="D60" s="50" t="s">
        <v>114</v>
      </c>
      <c r="E60" s="3" t="s">
        <v>851</v>
      </c>
      <c r="F60" s="1" t="s">
        <v>747</v>
      </c>
      <c r="G60" s="691">
        <v>-6</v>
      </c>
      <c r="H60" s="691">
        <v>6</v>
      </c>
      <c r="I60" s="700">
        <v>1997.98</v>
      </c>
      <c r="J60" s="596">
        <v>-3618</v>
      </c>
      <c r="K60" s="596">
        <v>-1620.02</v>
      </c>
      <c r="L60" s="700">
        <v>41473.728783803999</v>
      </c>
      <c r="M60" s="593">
        <v>-74680.223400000003</v>
      </c>
      <c r="N60" s="596">
        <v>-33206.494616196003</v>
      </c>
      <c r="O60"/>
      <c r="P60"/>
      <c r="Q60"/>
      <c r="R60"/>
      <c r="S60"/>
      <c r="T60"/>
      <c r="U60"/>
      <c r="V60"/>
      <c r="W60"/>
      <c r="X60"/>
      <c r="Y60"/>
      <c r="Z60"/>
    </row>
    <row r="61" spans="2:26" ht="17" customHeight="1">
      <c r="B61" s="472" t="s">
        <v>776</v>
      </c>
      <c r="C61" s="50" t="s">
        <v>775</v>
      </c>
      <c r="D61" s="50" t="s">
        <v>114</v>
      </c>
      <c r="E61" s="3" t="s">
        <v>851</v>
      </c>
      <c r="F61" s="1" t="s">
        <v>746</v>
      </c>
      <c r="G61" s="691">
        <v>-5</v>
      </c>
      <c r="H61" s="691">
        <v>5</v>
      </c>
      <c r="I61" s="700">
        <v>1979.98</v>
      </c>
      <c r="J61" s="596">
        <v>-3205</v>
      </c>
      <c r="K61" s="596">
        <v>-1225.02</v>
      </c>
      <c r="L61" s="700">
        <v>41389.262421619198</v>
      </c>
      <c r="M61" s="593">
        <v>-65958.899999999994</v>
      </c>
      <c r="N61" s="596">
        <v>-24569.637578380796</v>
      </c>
      <c r="O61"/>
      <c r="P61"/>
      <c r="Q61"/>
      <c r="R61"/>
      <c r="S61"/>
      <c r="T61"/>
      <c r="U61"/>
      <c r="V61"/>
      <c r="W61"/>
      <c r="X61"/>
      <c r="Y61"/>
      <c r="Z61"/>
    </row>
    <row r="62" spans="2:26" ht="17" customHeight="1">
      <c r="B62" s="472" t="s">
        <v>776</v>
      </c>
      <c r="C62" s="50" t="s">
        <v>775</v>
      </c>
      <c r="D62" s="50" t="s">
        <v>114</v>
      </c>
      <c r="E62" s="578" t="s">
        <v>857</v>
      </c>
      <c r="F62" s="578"/>
      <c r="G62" s="578"/>
      <c r="H62" s="578"/>
      <c r="I62" s="701">
        <v>211280.62000000005</v>
      </c>
      <c r="J62" s="579">
        <v>-113226.64999999998</v>
      </c>
      <c r="K62" s="579">
        <v>98053.969999999958</v>
      </c>
      <c r="L62" s="701">
        <v>4372076.6397310225</v>
      </c>
      <c r="M62" s="601">
        <v>-2302396.4588230005</v>
      </c>
      <c r="N62" s="579">
        <v>2069680.1809080229</v>
      </c>
      <c r="O62"/>
      <c r="P62"/>
      <c r="Q62"/>
      <c r="R62"/>
      <c r="S62"/>
      <c r="T62"/>
      <c r="U62"/>
      <c r="V62"/>
      <c r="W62"/>
      <c r="X62"/>
      <c r="Y62"/>
      <c r="Z62"/>
    </row>
    <row r="63" spans="2:26" ht="17" customHeight="1">
      <c r="B63" s="472" t="s">
        <v>776</v>
      </c>
      <c r="C63" s="50" t="s">
        <v>775</v>
      </c>
      <c r="D63" s="577" t="s">
        <v>840</v>
      </c>
      <c r="E63" s="577"/>
      <c r="F63" s="577"/>
      <c r="G63" s="577"/>
      <c r="H63" s="577"/>
      <c r="I63" s="702">
        <v>211280.62000000005</v>
      </c>
      <c r="J63" s="594">
        <v>-113226.64999999998</v>
      </c>
      <c r="K63" s="594">
        <v>98053.969999999958</v>
      </c>
      <c r="L63" s="702">
        <v>4372076.6397310225</v>
      </c>
      <c r="M63" s="602">
        <v>-2302396.4588230005</v>
      </c>
      <c r="N63" s="594">
        <v>2069680.1809080229</v>
      </c>
      <c r="O63"/>
      <c r="P63"/>
      <c r="Q63"/>
      <c r="R63"/>
      <c r="S63"/>
      <c r="T63"/>
      <c r="U63"/>
      <c r="V63"/>
      <c r="W63"/>
      <c r="X63"/>
      <c r="Y63"/>
      <c r="Z63"/>
    </row>
    <row r="64" spans="2:26" ht="17" customHeight="1">
      <c r="B64" s="472" t="s">
        <v>776</v>
      </c>
      <c r="C64" s="575" t="s">
        <v>841</v>
      </c>
      <c r="D64" s="575"/>
      <c r="E64" s="575"/>
      <c r="F64" s="575"/>
      <c r="G64" s="575"/>
      <c r="H64" s="575"/>
      <c r="I64" s="703">
        <v>211280.62000000005</v>
      </c>
      <c r="J64" s="595">
        <v>-113226.64999999998</v>
      </c>
      <c r="K64" s="595">
        <v>98053.969999999958</v>
      </c>
      <c r="L64" s="703">
        <v>4372076.6397310225</v>
      </c>
      <c r="M64" s="595">
        <v>-2302396.4588230005</v>
      </c>
      <c r="N64" s="595">
        <v>2069680.1809080229</v>
      </c>
      <c r="O64"/>
      <c r="P64"/>
      <c r="Q64"/>
      <c r="R64"/>
      <c r="S64"/>
      <c r="T64"/>
      <c r="U64"/>
      <c r="V64"/>
      <c r="W64"/>
      <c r="X64"/>
      <c r="Y64"/>
      <c r="Z64"/>
    </row>
    <row r="65" spans="2:26" ht="17" customHeight="1">
      <c r="B65" s="560" t="s">
        <v>842</v>
      </c>
      <c r="C65" s="560"/>
      <c r="D65" s="560"/>
      <c r="E65" s="560"/>
      <c r="F65" s="560"/>
      <c r="G65" s="560"/>
      <c r="H65" s="560"/>
      <c r="I65" s="698">
        <v>211280.62000000005</v>
      </c>
      <c r="J65" s="574">
        <v>-113226.64999999998</v>
      </c>
      <c r="K65" s="574">
        <v>98053.969999999958</v>
      </c>
      <c r="L65" s="698">
        <v>4372076.6397310225</v>
      </c>
      <c r="M65" s="574">
        <v>-2302396.4588230005</v>
      </c>
      <c r="N65" s="574">
        <v>2069680.1809080229</v>
      </c>
      <c r="O65"/>
      <c r="P65"/>
      <c r="Q65"/>
      <c r="R65"/>
      <c r="S65"/>
      <c r="T65"/>
      <c r="U65"/>
      <c r="V65"/>
      <c r="W65"/>
      <c r="X65"/>
      <c r="Y65"/>
      <c r="Z65"/>
    </row>
    <row r="66" spans="2:26" ht="17" customHeight="1">
      <c r="B66"/>
      <c r="C66"/>
      <c r="D66"/>
      <c r="E66"/>
      <c r="F66"/>
      <c r="G66"/>
      <c r="H66"/>
      <c r="I66"/>
      <c r="J66"/>
      <c r="K66"/>
      <c r="L66"/>
      <c r="M66"/>
      <c r="N66"/>
      <c r="O66"/>
      <c r="P66"/>
      <c r="Q66"/>
      <c r="R66"/>
      <c r="S66"/>
      <c r="T66"/>
      <c r="U66"/>
      <c r="V66"/>
      <c r="W66"/>
      <c r="X66"/>
      <c r="Y66"/>
      <c r="Z66"/>
    </row>
    <row r="67" spans="2:26" ht="17" customHeight="1">
      <c r="B67"/>
      <c r="C67"/>
      <c r="D67"/>
      <c r="E67"/>
      <c r="F67"/>
      <c r="G67"/>
      <c r="H67"/>
      <c r="I67"/>
      <c r="J67"/>
      <c r="K67"/>
      <c r="L67"/>
      <c r="M67"/>
      <c r="N67"/>
      <c r="O67"/>
      <c r="P67"/>
      <c r="Q67"/>
      <c r="R67"/>
      <c r="S67"/>
      <c r="T67"/>
      <c r="U67"/>
      <c r="V67"/>
      <c r="W67"/>
      <c r="X67"/>
      <c r="Y67"/>
      <c r="Z67"/>
    </row>
    <row r="68" spans="2:26" ht="17" customHeight="1">
      <c r="B68"/>
      <c r="C68"/>
      <c r="D68"/>
      <c r="E68"/>
      <c r="F68"/>
      <c r="G68"/>
      <c r="H68"/>
      <c r="I68"/>
      <c r="J68"/>
      <c r="K68"/>
      <c r="L68"/>
      <c r="M68"/>
      <c r="N68"/>
      <c r="O68"/>
      <c r="P68"/>
      <c r="Q68"/>
      <c r="R68"/>
      <c r="S68"/>
      <c r="T68"/>
      <c r="U68"/>
      <c r="V68"/>
      <c r="W68"/>
      <c r="X68"/>
      <c r="Y68"/>
      <c r="Z68"/>
    </row>
    <row r="69" spans="2:26" ht="17" customHeight="1">
      <c r="B69"/>
      <c r="C69"/>
      <c r="D69"/>
      <c r="E69"/>
      <c r="F69"/>
      <c r="G69"/>
      <c r="H69"/>
      <c r="I69"/>
      <c r="J69"/>
      <c r="K69"/>
      <c r="L69"/>
      <c r="M69"/>
      <c r="N69"/>
      <c r="O69"/>
      <c r="P69"/>
      <c r="Q69"/>
      <c r="R69"/>
      <c r="S69"/>
      <c r="T69"/>
      <c r="U69"/>
      <c r="V69"/>
      <c r="W69"/>
      <c r="X69"/>
      <c r="Y69"/>
      <c r="Z69"/>
    </row>
    <row r="70" spans="2:26" ht="17" customHeight="1">
      <c r="B70"/>
      <c r="C70"/>
      <c r="D70"/>
      <c r="E70"/>
      <c r="F70"/>
      <c r="G70"/>
      <c r="H70"/>
      <c r="I70"/>
      <c r="J70"/>
      <c r="K70"/>
      <c r="L70"/>
      <c r="M70"/>
      <c r="N70"/>
      <c r="O70"/>
      <c r="P70"/>
      <c r="Q70"/>
      <c r="R70"/>
      <c r="S70"/>
      <c r="T70"/>
      <c r="U70"/>
      <c r="V70"/>
      <c r="W70"/>
      <c r="X70"/>
      <c r="Y70"/>
      <c r="Z70"/>
    </row>
    <row r="71" spans="2:26" ht="17" customHeight="1">
      <c r="B71"/>
      <c r="C71"/>
      <c r="D71"/>
      <c r="E71"/>
      <c r="F71"/>
      <c r="G71"/>
      <c r="H71"/>
      <c r="I71"/>
      <c r="J71"/>
      <c r="K71"/>
      <c r="L71"/>
      <c r="M71"/>
      <c r="N71"/>
      <c r="O71"/>
      <c r="P71"/>
      <c r="Q71"/>
      <c r="R71"/>
      <c r="S71"/>
      <c r="T71"/>
      <c r="U71"/>
      <c r="V71"/>
      <c r="W71"/>
      <c r="X71"/>
      <c r="Y71"/>
      <c r="Z71"/>
    </row>
    <row r="72" spans="2:26" ht="17" customHeight="1">
      <c r="B72"/>
      <c r="C72"/>
      <c r="D72"/>
      <c r="E72"/>
      <c r="F72"/>
      <c r="G72"/>
      <c r="H72"/>
      <c r="I72"/>
      <c r="J72"/>
      <c r="K72"/>
      <c r="L72"/>
      <c r="M72"/>
      <c r="N72"/>
      <c r="O72"/>
      <c r="P72"/>
      <c r="Q72"/>
      <c r="R72"/>
      <c r="S72"/>
      <c r="T72"/>
      <c r="U72"/>
      <c r="V72"/>
      <c r="W72"/>
      <c r="X72"/>
      <c r="Y72"/>
      <c r="Z72"/>
    </row>
    <row r="73" spans="2:26" ht="17" customHeight="1">
      <c r="B73"/>
      <c r="C73"/>
      <c r="D73"/>
      <c r="E73"/>
      <c r="F73"/>
      <c r="G73"/>
      <c r="H73"/>
      <c r="I73"/>
      <c r="J73"/>
      <c r="K73"/>
      <c r="L73"/>
      <c r="M73"/>
      <c r="N73"/>
      <c r="O73"/>
      <c r="P73"/>
      <c r="Q73"/>
      <c r="R73"/>
      <c r="S73"/>
      <c r="T73"/>
      <c r="U73"/>
      <c r="V73"/>
      <c r="W73"/>
      <c r="X73"/>
      <c r="Y73"/>
      <c r="Z73"/>
    </row>
    <row r="74" spans="2:26" ht="17" customHeight="1">
      <c r="B74"/>
      <c r="C74"/>
      <c r="D74"/>
      <c r="E74"/>
      <c r="F74"/>
      <c r="G74"/>
      <c r="H74"/>
      <c r="I74"/>
      <c r="J74"/>
      <c r="K74"/>
      <c r="L74"/>
      <c r="M74"/>
      <c r="N74"/>
      <c r="O74"/>
      <c r="P74"/>
      <c r="Q74"/>
      <c r="R74"/>
      <c r="S74"/>
      <c r="T74"/>
      <c r="U74"/>
      <c r="V74"/>
      <c r="W74"/>
      <c r="X74"/>
      <c r="Y74"/>
      <c r="Z74"/>
    </row>
    <row r="75" spans="2:26" ht="17" customHeight="1">
      <c r="B75"/>
      <c r="C75"/>
      <c r="D75"/>
      <c r="E75"/>
      <c r="F75"/>
      <c r="G75"/>
      <c r="H75"/>
      <c r="I75"/>
      <c r="J75"/>
      <c r="K75"/>
      <c r="L75"/>
      <c r="M75"/>
      <c r="N75"/>
      <c r="O75"/>
      <c r="P75"/>
      <c r="Q75"/>
      <c r="R75"/>
      <c r="S75"/>
      <c r="T75"/>
      <c r="U75"/>
      <c r="V75"/>
      <c r="W75"/>
      <c r="X75"/>
      <c r="Y75"/>
      <c r="Z75"/>
    </row>
    <row r="76" spans="2:26" ht="17" customHeight="1">
      <c r="B76"/>
      <c r="C76"/>
      <c r="D76"/>
      <c r="E76"/>
      <c r="F76"/>
      <c r="G76"/>
      <c r="H76"/>
      <c r="I76"/>
      <c r="J76"/>
      <c r="K76"/>
      <c r="L76"/>
      <c r="M76"/>
      <c r="N76"/>
      <c r="O76"/>
      <c r="P76"/>
      <c r="Q76"/>
      <c r="R76"/>
      <c r="S76"/>
      <c r="T76"/>
      <c r="U76"/>
      <c r="V76"/>
      <c r="W76"/>
      <c r="X76"/>
      <c r="Y76"/>
      <c r="Z76"/>
    </row>
    <row r="77" spans="2:26" ht="17" customHeight="1">
      <c r="B77"/>
      <c r="C77"/>
      <c r="D77"/>
      <c r="E77"/>
      <c r="F77"/>
      <c r="G77"/>
      <c r="H77"/>
      <c r="I77"/>
      <c r="J77"/>
      <c r="K77"/>
      <c r="L77"/>
      <c r="M77"/>
      <c r="N77"/>
      <c r="O77"/>
      <c r="P77"/>
      <c r="Q77"/>
      <c r="R77"/>
      <c r="S77"/>
      <c r="T77"/>
      <c r="U77"/>
      <c r="V77"/>
      <c r="W77"/>
      <c r="X77"/>
      <c r="Y77"/>
      <c r="Z77"/>
    </row>
    <row r="78" spans="2:26" ht="17" customHeight="1">
      <c r="B78"/>
      <c r="C78"/>
      <c r="D78"/>
      <c r="E78"/>
      <c r="F78"/>
      <c r="G78"/>
      <c r="H78"/>
      <c r="I78"/>
      <c r="J78"/>
      <c r="K78"/>
      <c r="L78"/>
      <c r="M78"/>
      <c r="N78"/>
      <c r="O78"/>
      <c r="P78"/>
      <c r="Q78"/>
      <c r="R78"/>
      <c r="S78"/>
      <c r="T78"/>
      <c r="U78"/>
      <c r="V78"/>
      <c r="W78"/>
      <c r="X78"/>
      <c r="Y78"/>
      <c r="Z78"/>
    </row>
    <row r="79" spans="2:26" ht="17" customHeight="1">
      <c r="B79"/>
      <c r="C79"/>
      <c r="D79"/>
      <c r="E79"/>
      <c r="F79"/>
      <c r="G79"/>
      <c r="H79"/>
      <c r="I79"/>
      <c r="J79"/>
      <c r="K79"/>
      <c r="L79"/>
      <c r="M79"/>
      <c r="N79"/>
      <c r="O79"/>
      <c r="P79"/>
      <c r="Q79"/>
      <c r="R79"/>
      <c r="S79"/>
      <c r="T79"/>
      <c r="U79"/>
      <c r="V79"/>
      <c r="W79"/>
      <c r="X79"/>
      <c r="Y79"/>
      <c r="Z79"/>
    </row>
    <row r="80" spans="2:26" ht="17" customHeight="1">
      <c r="B80"/>
      <c r="C80"/>
      <c r="D80"/>
      <c r="E80"/>
      <c r="F80"/>
      <c r="G80"/>
      <c r="H80"/>
      <c r="I80"/>
      <c r="J80"/>
      <c r="K80"/>
      <c r="L80"/>
      <c r="M80"/>
      <c r="N80"/>
      <c r="O80"/>
      <c r="P80"/>
      <c r="Q80"/>
      <c r="R80"/>
      <c r="S80"/>
      <c r="T80"/>
      <c r="U80"/>
      <c r="V80"/>
      <c r="W80"/>
      <c r="X80"/>
      <c r="Y80"/>
      <c r="Z80"/>
    </row>
    <row r="81" spans="2:26" ht="17" customHeight="1">
      <c r="B81"/>
      <c r="C81"/>
      <c r="D81"/>
      <c r="E81"/>
      <c r="F81"/>
      <c r="G81"/>
      <c r="H81"/>
      <c r="I81"/>
      <c r="J81"/>
      <c r="K81"/>
      <c r="L81"/>
      <c r="M81"/>
      <c r="N81"/>
      <c r="O81"/>
      <c r="P81"/>
      <c r="Q81"/>
      <c r="R81"/>
      <c r="S81"/>
      <c r="T81"/>
      <c r="U81"/>
      <c r="V81"/>
      <c r="W81"/>
      <c r="X81"/>
      <c r="Y81"/>
      <c r="Z81"/>
    </row>
    <row r="82" spans="2:26" ht="17" customHeight="1">
      <c r="B82"/>
      <c r="C82"/>
      <c r="D82"/>
      <c r="E82"/>
      <c r="F82"/>
      <c r="G82"/>
      <c r="H82"/>
      <c r="I82"/>
      <c r="J82"/>
      <c r="K82"/>
      <c r="L82"/>
      <c r="M82"/>
      <c r="N82"/>
      <c r="O82"/>
      <c r="P82"/>
      <c r="Q82"/>
      <c r="R82"/>
      <c r="S82"/>
      <c r="T82"/>
      <c r="U82"/>
      <c r="V82"/>
      <c r="W82"/>
      <c r="X82"/>
      <c r="Y82"/>
      <c r="Z82"/>
    </row>
    <row r="83" spans="2:26" ht="17" customHeight="1">
      <c r="B83"/>
      <c r="C83"/>
      <c r="D83"/>
      <c r="E83"/>
      <c r="F83"/>
      <c r="G83"/>
      <c r="H83"/>
      <c r="I83"/>
      <c r="J83"/>
      <c r="K83"/>
      <c r="L83"/>
      <c r="M83"/>
      <c r="N83"/>
      <c r="O83"/>
      <c r="P83"/>
      <c r="Q83"/>
      <c r="R83"/>
      <c r="S83"/>
      <c r="T83"/>
      <c r="U83"/>
      <c r="V83"/>
      <c r="W83"/>
      <c r="X83"/>
      <c r="Y83"/>
      <c r="Z83"/>
    </row>
    <row r="84" spans="2:26" ht="17" customHeight="1">
      <c r="B84"/>
      <c r="C84"/>
      <c r="D84"/>
      <c r="E84"/>
      <c r="F84"/>
      <c r="G84"/>
      <c r="H84"/>
      <c r="I84"/>
      <c r="J84"/>
      <c r="K84"/>
      <c r="L84"/>
      <c r="M84"/>
      <c r="N84"/>
      <c r="O84"/>
      <c r="P84"/>
      <c r="Q84"/>
      <c r="R84"/>
      <c r="S84"/>
      <c r="T84"/>
      <c r="U84"/>
      <c r="V84"/>
      <c r="W84"/>
      <c r="X84"/>
      <c r="Y84"/>
      <c r="Z84"/>
    </row>
    <row r="85" spans="2:26" ht="17" customHeight="1">
      <c r="B85"/>
      <c r="C85"/>
      <c r="D85"/>
      <c r="E85"/>
      <c r="F85"/>
      <c r="G85"/>
      <c r="H85"/>
      <c r="I85"/>
      <c r="J85"/>
      <c r="K85"/>
      <c r="L85"/>
      <c r="M85"/>
      <c r="N85"/>
      <c r="O85"/>
      <c r="P85"/>
      <c r="Q85"/>
      <c r="R85"/>
      <c r="S85"/>
      <c r="T85"/>
      <c r="U85"/>
      <c r="V85"/>
      <c r="W85"/>
      <c r="X85"/>
      <c r="Y85"/>
      <c r="Z85"/>
    </row>
    <row r="86" spans="2:26" ht="17" customHeight="1">
      <c r="B86"/>
      <c r="C86"/>
      <c r="D86"/>
      <c r="E86"/>
      <c r="F86"/>
      <c r="G86"/>
      <c r="H86"/>
      <c r="I86"/>
      <c r="J86"/>
      <c r="K86"/>
      <c r="L86"/>
      <c r="M86"/>
      <c r="N86"/>
      <c r="O86"/>
      <c r="P86"/>
      <c r="Q86"/>
      <c r="R86"/>
      <c r="S86"/>
      <c r="T86"/>
      <c r="U86"/>
      <c r="V86"/>
      <c r="W86"/>
      <c r="X86"/>
      <c r="Y86"/>
      <c r="Z86"/>
    </row>
    <row r="87" spans="2:26" ht="17" customHeight="1">
      <c r="B87"/>
      <c r="C87"/>
      <c r="D87"/>
      <c r="E87"/>
      <c r="F87"/>
      <c r="G87"/>
      <c r="H87"/>
      <c r="I87"/>
      <c r="J87"/>
      <c r="K87"/>
      <c r="L87"/>
      <c r="M87"/>
      <c r="N87"/>
      <c r="O87"/>
      <c r="P87"/>
      <c r="Q87"/>
      <c r="R87"/>
      <c r="S87"/>
      <c r="T87"/>
      <c r="U87"/>
      <c r="V87"/>
      <c r="W87"/>
      <c r="X87"/>
      <c r="Y87"/>
      <c r="Z87"/>
    </row>
    <row r="88" spans="2:26" ht="17" customHeight="1">
      <c r="B88"/>
      <c r="C88"/>
      <c r="D88"/>
      <c r="E88"/>
      <c r="F88"/>
      <c r="G88"/>
      <c r="H88"/>
      <c r="I88"/>
      <c r="J88"/>
      <c r="K88"/>
      <c r="L88"/>
      <c r="M88"/>
      <c r="N88"/>
      <c r="O88"/>
      <c r="P88"/>
      <c r="Q88"/>
      <c r="R88"/>
      <c r="S88"/>
      <c r="T88"/>
      <c r="U88"/>
      <c r="V88"/>
      <c r="W88"/>
      <c r="X88"/>
      <c r="Y88"/>
      <c r="Z88"/>
    </row>
    <row r="89" spans="2:26" ht="17" customHeight="1">
      <c r="B89"/>
      <c r="C89"/>
      <c r="D89"/>
      <c r="E89"/>
      <c r="F89"/>
      <c r="G89"/>
      <c r="H89"/>
      <c r="I89"/>
      <c r="J89"/>
      <c r="K89"/>
      <c r="L89"/>
      <c r="M89"/>
      <c r="N89"/>
      <c r="O89"/>
      <c r="P89"/>
      <c r="Q89"/>
      <c r="R89"/>
      <c r="S89"/>
      <c r="T89"/>
      <c r="U89"/>
      <c r="V89"/>
      <c r="W89"/>
      <c r="X89"/>
      <c r="Y89"/>
      <c r="Z89"/>
    </row>
    <row r="90" spans="2:26" ht="17" customHeight="1">
      <c r="B90"/>
      <c r="C90"/>
      <c r="D90"/>
      <c r="E90"/>
      <c r="F90"/>
      <c r="G90"/>
      <c r="H90"/>
      <c r="I90"/>
      <c r="J90"/>
      <c r="K90"/>
      <c r="L90"/>
      <c r="M90"/>
      <c r="N90"/>
      <c r="O90"/>
      <c r="P90"/>
      <c r="Q90"/>
      <c r="R90"/>
      <c r="S90"/>
      <c r="T90"/>
      <c r="U90"/>
      <c r="V90"/>
      <c r="W90"/>
      <c r="X90"/>
      <c r="Y90"/>
      <c r="Z90"/>
    </row>
    <row r="91" spans="2:26" ht="17" customHeight="1">
      <c r="B91"/>
      <c r="C91"/>
      <c r="D91"/>
      <c r="E91"/>
      <c r="F91"/>
      <c r="G91"/>
      <c r="H91"/>
      <c r="I91"/>
      <c r="J91"/>
      <c r="K91"/>
      <c r="L91"/>
      <c r="M91"/>
      <c r="N91"/>
      <c r="O91"/>
      <c r="P91"/>
      <c r="Q91"/>
      <c r="R91"/>
      <c r="S91"/>
      <c r="T91"/>
      <c r="U91"/>
      <c r="V91"/>
      <c r="W91"/>
      <c r="X91"/>
      <c r="Y91"/>
      <c r="Z91"/>
    </row>
    <row r="92" spans="2:26" ht="17" customHeight="1">
      <c r="B92"/>
      <c r="C92"/>
      <c r="D92"/>
      <c r="E92"/>
      <c r="F92"/>
      <c r="G92"/>
      <c r="H92"/>
      <c r="I92"/>
      <c r="J92"/>
      <c r="K92"/>
      <c r="L92"/>
      <c r="M92"/>
      <c r="N92"/>
      <c r="O92"/>
      <c r="P92"/>
      <c r="Q92"/>
      <c r="R92"/>
      <c r="S92"/>
      <c r="T92"/>
      <c r="U92"/>
      <c r="V92"/>
      <c r="W92"/>
      <c r="X92"/>
      <c r="Y92"/>
      <c r="Z92"/>
    </row>
    <row r="93" spans="2:26" ht="17" customHeight="1">
      <c r="B93"/>
      <c r="C93"/>
      <c r="D93"/>
      <c r="E93"/>
      <c r="F93"/>
      <c r="G93"/>
      <c r="H93"/>
      <c r="I93"/>
      <c r="J93"/>
      <c r="K93"/>
      <c r="L93"/>
      <c r="M93"/>
      <c r="N93"/>
      <c r="O93"/>
      <c r="P93"/>
      <c r="Q93"/>
      <c r="R93"/>
      <c r="S93"/>
      <c r="T93"/>
      <c r="U93"/>
      <c r="V93"/>
      <c r="W93"/>
      <c r="X93"/>
      <c r="Y93"/>
      <c r="Z93"/>
    </row>
    <row r="94" spans="2:26" ht="17" customHeight="1">
      <c r="B94"/>
      <c r="C94"/>
      <c r="D94"/>
      <c r="E94"/>
      <c r="F94"/>
      <c r="G94"/>
      <c r="H94"/>
      <c r="I94"/>
      <c r="J94"/>
      <c r="K94"/>
      <c r="L94"/>
      <c r="M94"/>
      <c r="N94"/>
      <c r="O94"/>
      <c r="P94"/>
      <c r="Q94"/>
      <c r="R94"/>
      <c r="S94"/>
      <c r="T94"/>
      <c r="U94"/>
      <c r="V94"/>
      <c r="W94"/>
      <c r="X94"/>
      <c r="Y94"/>
      <c r="Z94"/>
    </row>
    <row r="95" spans="2:26" ht="17" customHeight="1">
      <c r="B95"/>
      <c r="C95"/>
      <c r="D95"/>
      <c r="E95"/>
      <c r="F95"/>
      <c r="G95"/>
      <c r="H95"/>
      <c r="I95"/>
      <c r="J95"/>
      <c r="K95"/>
      <c r="L95"/>
      <c r="M95"/>
      <c r="N95"/>
      <c r="O95"/>
      <c r="P95"/>
      <c r="Q95"/>
      <c r="R95"/>
      <c r="S95"/>
      <c r="T95"/>
      <c r="U95"/>
      <c r="V95"/>
      <c r="W95"/>
      <c r="X95"/>
      <c r="Y95"/>
      <c r="Z95"/>
    </row>
    <row r="96" spans="2:26" ht="17" customHeight="1">
      <c r="B96"/>
      <c r="C96"/>
      <c r="D96"/>
      <c r="E96"/>
      <c r="F96"/>
      <c r="G96"/>
      <c r="H96"/>
      <c r="I96"/>
      <c r="J96"/>
      <c r="K96"/>
      <c r="L96"/>
      <c r="M96"/>
      <c r="N96"/>
      <c r="O96"/>
      <c r="P96"/>
      <c r="Q96"/>
      <c r="R96"/>
      <c r="S96"/>
      <c r="T96"/>
      <c r="U96"/>
      <c r="V96"/>
      <c r="W96"/>
      <c r="X96"/>
      <c r="Y96"/>
      <c r="Z96"/>
    </row>
    <row r="97" spans="2:26" ht="17" customHeight="1">
      <c r="B97"/>
      <c r="C97"/>
      <c r="D97"/>
      <c r="E97"/>
      <c r="F97"/>
      <c r="G97"/>
      <c r="H97"/>
      <c r="I97"/>
      <c r="J97"/>
      <c r="K97"/>
      <c r="L97"/>
      <c r="M97"/>
      <c r="N97"/>
      <c r="O97"/>
      <c r="P97"/>
      <c r="Q97"/>
      <c r="R97"/>
      <c r="S97"/>
      <c r="T97"/>
      <c r="U97"/>
      <c r="V97"/>
      <c r="W97"/>
      <c r="X97"/>
      <c r="Y97"/>
      <c r="Z97"/>
    </row>
    <row r="98" spans="2:26" ht="17" customHeight="1">
      <c r="B98"/>
      <c r="C98"/>
      <c r="D98"/>
      <c r="E98"/>
      <c r="F98"/>
      <c r="G98"/>
      <c r="H98"/>
      <c r="I98"/>
      <c r="J98"/>
      <c r="K98"/>
      <c r="L98"/>
      <c r="M98"/>
      <c r="N98"/>
      <c r="O98"/>
      <c r="P98"/>
      <c r="Q98"/>
      <c r="R98"/>
      <c r="S98"/>
      <c r="T98"/>
      <c r="U98"/>
      <c r="V98"/>
      <c r="W98"/>
      <c r="X98"/>
      <c r="Y98"/>
      <c r="Z98"/>
    </row>
    <row r="99" spans="2:26" ht="17" customHeight="1">
      <c r="B99"/>
      <c r="C99"/>
      <c r="D99"/>
      <c r="E99"/>
      <c r="F99"/>
      <c r="G99"/>
      <c r="H99"/>
      <c r="I99"/>
      <c r="J99"/>
      <c r="K99"/>
      <c r="L99"/>
      <c r="M99"/>
      <c r="N99"/>
      <c r="O99"/>
      <c r="P99"/>
      <c r="Q99"/>
      <c r="R99"/>
      <c r="S99"/>
      <c r="T99"/>
      <c r="U99"/>
      <c r="V99"/>
      <c r="W99"/>
      <c r="X99"/>
      <c r="Y99"/>
      <c r="Z99"/>
    </row>
    <row r="100" spans="2:26" ht="17" customHeight="1">
      <c r="B100"/>
      <c r="C100"/>
      <c r="D100"/>
      <c r="E100"/>
      <c r="F100"/>
      <c r="G100"/>
      <c r="H100"/>
      <c r="I100"/>
      <c r="J100"/>
      <c r="K100"/>
      <c r="L100"/>
      <c r="M100"/>
      <c r="N100"/>
      <c r="O100"/>
      <c r="P100"/>
      <c r="Q100"/>
      <c r="R100"/>
      <c r="S100"/>
      <c r="T100"/>
      <c r="U100"/>
      <c r="V100"/>
      <c r="W100"/>
      <c r="X100"/>
      <c r="Y100"/>
      <c r="Z100"/>
    </row>
    <row r="101" spans="2:26" ht="17" customHeight="1">
      <c r="B101"/>
      <c r="C101"/>
      <c r="D101"/>
      <c r="E101"/>
      <c r="F101"/>
      <c r="G101"/>
      <c r="H101"/>
      <c r="I101"/>
      <c r="J101"/>
      <c r="K101"/>
      <c r="L101"/>
      <c r="M101"/>
      <c r="N101"/>
      <c r="O101"/>
      <c r="P101"/>
      <c r="Q101"/>
      <c r="R101"/>
      <c r="S101"/>
      <c r="T101"/>
      <c r="U101"/>
      <c r="V101"/>
      <c r="W101"/>
      <c r="X101"/>
      <c r="Y101"/>
      <c r="Z101"/>
    </row>
    <row r="102" spans="2:26" ht="17" customHeight="1">
      <c r="B102"/>
      <c r="C102"/>
      <c r="D102"/>
      <c r="E102"/>
      <c r="F102"/>
      <c r="G102"/>
      <c r="H102"/>
      <c r="I102"/>
      <c r="J102"/>
      <c r="K102"/>
      <c r="L102"/>
      <c r="M102"/>
      <c r="N102"/>
      <c r="O102"/>
      <c r="P102"/>
      <c r="Q102"/>
      <c r="R102"/>
      <c r="S102"/>
      <c r="T102"/>
      <c r="U102"/>
      <c r="V102"/>
      <c r="W102"/>
      <c r="X102"/>
      <c r="Y102"/>
      <c r="Z102"/>
    </row>
    <row r="103" spans="2:26" ht="17" customHeight="1">
      <c r="B103"/>
      <c r="C103"/>
      <c r="D103"/>
      <c r="E103"/>
      <c r="F103"/>
      <c r="G103"/>
      <c r="H103"/>
      <c r="I103"/>
      <c r="J103"/>
      <c r="K103"/>
      <c r="L103"/>
      <c r="M103"/>
      <c r="N103"/>
      <c r="O103"/>
      <c r="P103"/>
      <c r="Q103"/>
      <c r="R103"/>
      <c r="S103"/>
      <c r="T103"/>
      <c r="U103"/>
      <c r="V103"/>
      <c r="W103"/>
      <c r="X103"/>
      <c r="Y103"/>
      <c r="Z103"/>
    </row>
    <row r="104" spans="2:26" ht="17" customHeight="1">
      <c r="B104"/>
      <c r="C104"/>
      <c r="D104"/>
      <c r="E104"/>
      <c r="F104"/>
      <c r="G104"/>
      <c r="H104"/>
      <c r="I104"/>
      <c r="J104"/>
      <c r="K104"/>
      <c r="L104"/>
      <c r="M104"/>
      <c r="N104"/>
      <c r="O104"/>
      <c r="P104"/>
      <c r="Q104"/>
      <c r="R104"/>
      <c r="S104"/>
      <c r="T104"/>
      <c r="U104"/>
      <c r="V104"/>
      <c r="W104"/>
      <c r="X104"/>
      <c r="Y104"/>
      <c r="Z104"/>
    </row>
    <row r="105" spans="2:26" ht="17" customHeight="1">
      <c r="B105"/>
      <c r="C105"/>
      <c r="D105"/>
      <c r="E105"/>
      <c r="F105"/>
      <c r="G105"/>
      <c r="H105"/>
      <c r="I105"/>
      <c r="J105"/>
      <c r="K105"/>
      <c r="L105"/>
      <c r="M105"/>
      <c r="N105"/>
      <c r="O105"/>
      <c r="P105"/>
      <c r="Q105"/>
      <c r="R105"/>
      <c r="S105"/>
      <c r="T105"/>
      <c r="U105"/>
      <c r="V105"/>
      <c r="W105"/>
      <c r="X105"/>
      <c r="Y105"/>
      <c r="Z105"/>
    </row>
    <row r="106" spans="2:26" ht="17" customHeight="1">
      <c r="B106"/>
      <c r="C106"/>
      <c r="D106"/>
      <c r="E106"/>
      <c r="F106"/>
      <c r="G106"/>
      <c r="H106"/>
      <c r="I106"/>
      <c r="J106"/>
      <c r="K106"/>
      <c r="L106"/>
      <c r="M106"/>
      <c r="N106"/>
      <c r="O106"/>
      <c r="P106"/>
      <c r="Q106"/>
      <c r="R106"/>
      <c r="S106"/>
      <c r="T106"/>
      <c r="U106"/>
      <c r="V106"/>
      <c r="W106"/>
      <c r="X106"/>
      <c r="Y106"/>
      <c r="Z106"/>
    </row>
    <row r="107" spans="2:26" ht="17" customHeight="1">
      <c r="B107"/>
      <c r="C107"/>
      <c r="D107"/>
      <c r="E107"/>
      <c r="F107"/>
      <c r="G107"/>
      <c r="H107"/>
      <c r="I107"/>
      <c r="J107"/>
      <c r="K107"/>
      <c r="L107"/>
      <c r="M107"/>
      <c r="N107"/>
      <c r="O107"/>
      <c r="P107"/>
      <c r="Q107"/>
      <c r="R107"/>
      <c r="S107"/>
      <c r="T107"/>
      <c r="U107"/>
      <c r="V107"/>
      <c r="W107"/>
      <c r="X107"/>
      <c r="Y107"/>
      <c r="Z107"/>
    </row>
    <row r="108" spans="2:26" ht="17" customHeight="1">
      <c r="B108"/>
      <c r="C108"/>
      <c r="D108"/>
      <c r="E108"/>
      <c r="F108"/>
      <c r="G108"/>
      <c r="H108"/>
      <c r="I108"/>
      <c r="J108"/>
      <c r="K108"/>
      <c r="L108"/>
      <c r="M108"/>
      <c r="N108"/>
      <c r="O108"/>
      <c r="P108"/>
      <c r="Q108"/>
      <c r="R108"/>
      <c r="S108"/>
      <c r="T108"/>
      <c r="U108"/>
      <c r="V108"/>
      <c r="W108"/>
      <c r="X108"/>
      <c r="Y108"/>
      <c r="Z108"/>
    </row>
    <row r="109" spans="2:26" ht="17" customHeight="1">
      <c r="B109"/>
      <c r="C109"/>
      <c r="D109"/>
      <c r="E109"/>
      <c r="F109"/>
      <c r="G109"/>
      <c r="H109"/>
      <c r="I109"/>
      <c r="J109"/>
      <c r="K109"/>
      <c r="L109"/>
      <c r="M109"/>
      <c r="N109"/>
      <c r="O109"/>
      <c r="P109"/>
      <c r="Q109"/>
      <c r="R109"/>
      <c r="S109"/>
      <c r="T109"/>
      <c r="U109"/>
      <c r="V109"/>
      <c r="W109"/>
      <c r="X109"/>
      <c r="Y109"/>
      <c r="Z109"/>
    </row>
    <row r="110" spans="2:26" ht="17" customHeight="1">
      <c r="B110"/>
      <c r="C110"/>
      <c r="D110"/>
      <c r="E110"/>
      <c r="F110"/>
      <c r="G110"/>
      <c r="H110"/>
      <c r="I110"/>
      <c r="J110"/>
      <c r="K110"/>
      <c r="L110"/>
      <c r="M110"/>
      <c r="N110"/>
      <c r="O110"/>
      <c r="P110"/>
      <c r="Q110"/>
      <c r="R110"/>
      <c r="S110"/>
      <c r="T110"/>
      <c r="U110"/>
      <c r="V110"/>
      <c r="W110"/>
      <c r="X110"/>
      <c r="Y110"/>
      <c r="Z110"/>
    </row>
    <row r="111" spans="2:26" ht="17" customHeight="1">
      <c r="B111"/>
      <c r="C111"/>
      <c r="D111"/>
      <c r="E111"/>
      <c r="F111"/>
      <c r="G111"/>
      <c r="H111"/>
      <c r="I111"/>
      <c r="J111"/>
      <c r="K111"/>
      <c r="L111"/>
      <c r="M111"/>
      <c r="N111"/>
      <c r="O111"/>
      <c r="P111"/>
      <c r="Q111"/>
      <c r="R111"/>
      <c r="S111"/>
      <c r="T111"/>
      <c r="U111"/>
      <c r="V111"/>
      <c r="W111"/>
      <c r="X111"/>
      <c r="Y111"/>
      <c r="Z111"/>
    </row>
    <row r="112" spans="2:26" ht="17" customHeight="1">
      <c r="B112"/>
      <c r="C112"/>
      <c r="D112"/>
      <c r="E112"/>
      <c r="F112"/>
      <c r="G112"/>
      <c r="H112"/>
      <c r="I112"/>
      <c r="J112"/>
      <c r="K112"/>
      <c r="L112"/>
      <c r="M112"/>
      <c r="N112"/>
      <c r="O112"/>
      <c r="P112"/>
      <c r="Q112"/>
      <c r="R112"/>
      <c r="S112"/>
      <c r="T112"/>
      <c r="U112"/>
      <c r="V112"/>
      <c r="W112"/>
      <c r="X112"/>
      <c r="Y112"/>
      <c r="Z112"/>
    </row>
    <row r="113" spans="2:26" ht="17" customHeight="1">
      <c r="B113"/>
      <c r="C113"/>
      <c r="D113"/>
      <c r="E113"/>
      <c r="F113"/>
      <c r="G113"/>
      <c r="H113"/>
      <c r="I113"/>
      <c r="J113"/>
      <c r="K113"/>
      <c r="L113"/>
      <c r="M113"/>
      <c r="N113"/>
      <c r="O113"/>
      <c r="P113"/>
      <c r="Q113"/>
      <c r="R113"/>
      <c r="S113"/>
      <c r="T113"/>
      <c r="U113"/>
      <c r="V113"/>
      <c r="W113"/>
      <c r="X113"/>
      <c r="Y113"/>
      <c r="Z113"/>
    </row>
    <row r="114" spans="2:26" ht="17" customHeight="1">
      <c r="B114"/>
      <c r="C114"/>
      <c r="D114"/>
      <c r="E114"/>
      <c r="F114"/>
      <c r="G114"/>
      <c r="H114"/>
      <c r="I114"/>
      <c r="J114"/>
      <c r="K114"/>
      <c r="L114"/>
      <c r="M114"/>
      <c r="N114"/>
      <c r="O114"/>
      <c r="P114"/>
      <c r="Q114"/>
      <c r="R114"/>
      <c r="S114"/>
      <c r="T114"/>
      <c r="U114"/>
      <c r="V114"/>
      <c r="W114"/>
      <c r="X114"/>
      <c r="Y114"/>
      <c r="Z114"/>
    </row>
    <row r="115" spans="2:26" ht="17" customHeight="1">
      <c r="B115"/>
      <c r="C115"/>
      <c r="D115"/>
      <c r="E115"/>
      <c r="F115"/>
      <c r="G115"/>
      <c r="H115"/>
      <c r="I115"/>
      <c r="J115"/>
      <c r="K115"/>
      <c r="L115"/>
      <c r="M115"/>
      <c r="N115"/>
      <c r="O115"/>
      <c r="P115"/>
      <c r="Q115"/>
      <c r="R115"/>
      <c r="S115"/>
      <c r="T115"/>
      <c r="U115"/>
      <c r="V115"/>
      <c r="W115"/>
      <c r="X115"/>
      <c r="Y115"/>
      <c r="Z115"/>
    </row>
    <row r="116" spans="2:26" ht="17" customHeight="1">
      <c r="B116"/>
      <c r="C116"/>
      <c r="D116"/>
      <c r="E116"/>
      <c r="F116"/>
      <c r="G116"/>
      <c r="H116"/>
      <c r="I116"/>
      <c r="J116"/>
      <c r="K116"/>
      <c r="L116"/>
      <c r="M116"/>
      <c r="N116"/>
      <c r="O116"/>
      <c r="P116"/>
      <c r="Q116"/>
      <c r="R116"/>
      <c r="S116"/>
      <c r="T116"/>
      <c r="U116"/>
      <c r="V116"/>
      <c r="W116"/>
      <c r="X116"/>
      <c r="Y116"/>
      <c r="Z116"/>
    </row>
    <row r="117" spans="2:26" ht="17" customHeight="1">
      <c r="B117"/>
      <c r="C117"/>
      <c r="D117"/>
      <c r="E117"/>
      <c r="F117"/>
      <c r="G117"/>
      <c r="H117"/>
      <c r="I117"/>
      <c r="J117"/>
      <c r="K117"/>
      <c r="L117"/>
      <c r="M117"/>
      <c r="N117"/>
      <c r="O117"/>
      <c r="P117"/>
      <c r="Q117"/>
      <c r="R117"/>
      <c r="S117"/>
      <c r="T117"/>
      <c r="U117"/>
      <c r="V117"/>
      <c r="W117"/>
      <c r="X117"/>
      <c r="Y117"/>
      <c r="Z117"/>
    </row>
    <row r="118" spans="2:26" ht="17" customHeight="1">
      <c r="B118"/>
      <c r="C118"/>
      <c r="D118"/>
      <c r="E118"/>
      <c r="F118"/>
      <c r="G118"/>
      <c r="H118"/>
      <c r="I118"/>
      <c r="J118"/>
      <c r="K118"/>
      <c r="L118"/>
      <c r="M118"/>
      <c r="N118"/>
      <c r="O118"/>
      <c r="P118"/>
      <c r="Q118"/>
      <c r="R118"/>
      <c r="S118"/>
      <c r="T118"/>
      <c r="U118"/>
      <c r="V118"/>
      <c r="W118"/>
      <c r="X118"/>
      <c r="Y118"/>
      <c r="Z118"/>
    </row>
    <row r="119" spans="2:26" ht="17" customHeight="1">
      <c r="B119"/>
      <c r="C119"/>
      <c r="D119"/>
      <c r="E119"/>
      <c r="F119"/>
      <c r="G119"/>
      <c r="H119"/>
      <c r="I119"/>
      <c r="J119"/>
      <c r="K119"/>
      <c r="L119"/>
      <c r="M119"/>
      <c r="N119"/>
      <c r="O119"/>
      <c r="P119"/>
      <c r="Q119"/>
      <c r="R119"/>
      <c r="S119"/>
      <c r="T119"/>
      <c r="U119"/>
      <c r="V119"/>
      <c r="W119"/>
      <c r="X119"/>
      <c r="Y119"/>
      <c r="Z119"/>
    </row>
    <row r="120" spans="2:26" ht="17" customHeight="1">
      <c r="B120"/>
      <c r="C120"/>
      <c r="D120"/>
      <c r="E120"/>
      <c r="F120"/>
      <c r="G120"/>
      <c r="H120"/>
      <c r="I120"/>
      <c r="J120"/>
      <c r="K120"/>
      <c r="L120"/>
      <c r="M120"/>
      <c r="N120"/>
      <c r="O120"/>
      <c r="P120"/>
      <c r="Q120"/>
      <c r="R120"/>
      <c r="S120"/>
      <c r="T120"/>
      <c r="U120"/>
      <c r="V120"/>
      <c r="W120"/>
      <c r="X120"/>
      <c r="Y120"/>
      <c r="Z120"/>
    </row>
    <row r="121" spans="2:26" ht="17" customHeight="1">
      <c r="B121"/>
      <c r="C121"/>
      <c r="D121"/>
      <c r="E121"/>
      <c r="F121"/>
      <c r="G121"/>
      <c r="H121"/>
      <c r="I121"/>
      <c r="J121"/>
      <c r="K121"/>
      <c r="L121"/>
      <c r="M121"/>
      <c r="N121"/>
      <c r="O121"/>
      <c r="P121"/>
      <c r="Q121"/>
      <c r="R121"/>
      <c r="S121"/>
      <c r="T121"/>
      <c r="U121"/>
      <c r="V121"/>
      <c r="W121"/>
      <c r="X121"/>
      <c r="Y121"/>
      <c r="Z121"/>
    </row>
    <row r="122" spans="2:26" ht="17" customHeight="1">
      <c r="B122"/>
      <c r="C122"/>
      <c r="D122"/>
      <c r="E122"/>
      <c r="F122"/>
      <c r="G122"/>
      <c r="H122"/>
      <c r="I122"/>
      <c r="J122"/>
      <c r="K122"/>
      <c r="L122"/>
      <c r="M122"/>
      <c r="N122"/>
      <c r="O122"/>
      <c r="P122"/>
      <c r="Q122"/>
      <c r="R122"/>
      <c r="S122"/>
      <c r="T122"/>
      <c r="U122"/>
      <c r="V122"/>
      <c r="W122"/>
      <c r="X122"/>
      <c r="Y122"/>
      <c r="Z122"/>
    </row>
    <row r="123" spans="2:26" ht="17" customHeight="1">
      <c r="B123"/>
      <c r="C123"/>
      <c r="D123"/>
      <c r="E123"/>
      <c r="F123"/>
      <c r="G123"/>
      <c r="H123"/>
      <c r="I123"/>
      <c r="J123"/>
      <c r="K123"/>
      <c r="L123"/>
      <c r="M123"/>
      <c r="N123"/>
      <c r="O123"/>
      <c r="P123"/>
      <c r="Q123"/>
      <c r="R123"/>
      <c r="S123"/>
      <c r="T123"/>
      <c r="U123"/>
      <c r="V123"/>
      <c r="W123"/>
      <c r="X123"/>
      <c r="Y123"/>
      <c r="Z123"/>
    </row>
    <row r="124" spans="2:26" ht="17" customHeight="1">
      <c r="B124"/>
      <c r="C124"/>
      <c r="D124"/>
      <c r="E124"/>
      <c r="F124"/>
      <c r="G124"/>
      <c r="H124"/>
      <c r="I124"/>
      <c r="J124"/>
      <c r="K124"/>
      <c r="L124"/>
      <c r="M124"/>
      <c r="N124"/>
      <c r="O124"/>
      <c r="P124"/>
      <c r="Q124"/>
      <c r="R124"/>
      <c r="S124"/>
      <c r="T124"/>
      <c r="U124"/>
      <c r="V124"/>
      <c r="W124"/>
      <c r="X124"/>
      <c r="Y124"/>
      <c r="Z124"/>
    </row>
    <row r="125" spans="2:26" ht="17" customHeight="1">
      <c r="B125"/>
      <c r="C125"/>
      <c r="D125"/>
      <c r="E125"/>
      <c r="F125"/>
      <c r="G125"/>
      <c r="H125"/>
      <c r="I125"/>
      <c r="J125"/>
      <c r="K125"/>
      <c r="L125"/>
      <c r="M125"/>
      <c r="N125"/>
      <c r="O125"/>
      <c r="P125"/>
      <c r="Q125"/>
      <c r="R125"/>
      <c r="S125"/>
      <c r="T125"/>
      <c r="U125"/>
      <c r="V125"/>
      <c r="W125"/>
      <c r="X125"/>
      <c r="Y125"/>
      <c r="Z125"/>
    </row>
    <row r="126" spans="2:26" ht="17" customHeight="1">
      <c r="B126"/>
      <c r="C126"/>
      <c r="D126"/>
      <c r="E126"/>
      <c r="F126"/>
      <c r="G126"/>
      <c r="H126"/>
      <c r="I126"/>
      <c r="J126"/>
      <c r="K126"/>
      <c r="L126"/>
      <c r="M126"/>
      <c r="N126"/>
      <c r="O126"/>
      <c r="P126"/>
      <c r="Q126"/>
      <c r="R126"/>
      <c r="S126"/>
      <c r="T126"/>
      <c r="U126"/>
      <c r="V126"/>
      <c r="W126"/>
      <c r="X126"/>
      <c r="Y126"/>
      <c r="Z126"/>
    </row>
    <row r="127" spans="2:26" ht="17" customHeight="1">
      <c r="B127"/>
      <c r="C127"/>
      <c r="D127"/>
      <c r="E127"/>
      <c r="F127"/>
      <c r="G127"/>
      <c r="H127"/>
      <c r="I127"/>
      <c r="J127"/>
      <c r="K127"/>
      <c r="L127"/>
      <c r="M127"/>
      <c r="N127"/>
      <c r="O127"/>
      <c r="P127"/>
      <c r="Q127"/>
      <c r="R127"/>
      <c r="S127"/>
      <c r="T127"/>
      <c r="U127"/>
      <c r="V127"/>
      <c r="W127"/>
      <c r="X127"/>
      <c r="Y127"/>
      <c r="Z127"/>
    </row>
    <row r="128" spans="2:26" ht="17" customHeight="1">
      <c r="B128"/>
      <c r="C128"/>
      <c r="D128"/>
      <c r="E128"/>
      <c r="F128"/>
      <c r="G128"/>
      <c r="H128"/>
      <c r="I128"/>
      <c r="J128"/>
      <c r="K128"/>
      <c r="L128"/>
      <c r="M128"/>
      <c r="N128"/>
      <c r="O128"/>
      <c r="P128"/>
      <c r="Q128"/>
      <c r="R128"/>
      <c r="S128"/>
      <c r="T128"/>
      <c r="U128"/>
      <c r="V128"/>
      <c r="W128"/>
      <c r="X128"/>
      <c r="Y128"/>
      <c r="Z128"/>
    </row>
    <row r="129" spans="2:26" ht="17" customHeight="1">
      <c r="B129"/>
      <c r="C129"/>
      <c r="D129"/>
      <c r="E129"/>
      <c r="F129"/>
      <c r="G129"/>
      <c r="H129"/>
      <c r="I129"/>
      <c r="J129"/>
      <c r="K129"/>
      <c r="L129"/>
      <c r="M129"/>
      <c r="N129"/>
      <c r="O129"/>
      <c r="P129"/>
      <c r="Q129"/>
      <c r="R129"/>
      <c r="S129"/>
      <c r="T129"/>
      <c r="U129"/>
      <c r="V129"/>
      <c r="W129"/>
      <c r="X129"/>
      <c r="Y129"/>
      <c r="Z129"/>
    </row>
    <row r="130" spans="2:26" ht="17" customHeight="1">
      <c r="B130"/>
      <c r="C130"/>
      <c r="D130"/>
      <c r="E130"/>
      <c r="F130"/>
      <c r="G130"/>
      <c r="H130"/>
      <c r="I130"/>
      <c r="J130"/>
      <c r="K130"/>
      <c r="L130"/>
      <c r="M130"/>
      <c r="N130"/>
      <c r="O130"/>
      <c r="P130"/>
      <c r="Q130"/>
      <c r="R130"/>
      <c r="S130"/>
      <c r="T130"/>
      <c r="U130"/>
      <c r="V130"/>
      <c r="W130"/>
      <c r="X130"/>
      <c r="Y130"/>
      <c r="Z130"/>
    </row>
    <row r="131" spans="2:26" ht="17" customHeight="1">
      <c r="B131"/>
      <c r="C131"/>
      <c r="D131"/>
      <c r="E131"/>
      <c r="F131"/>
      <c r="G131"/>
      <c r="H131"/>
      <c r="I131"/>
      <c r="J131"/>
      <c r="K131"/>
      <c r="L131"/>
      <c r="M131"/>
      <c r="N131"/>
      <c r="O131"/>
      <c r="P131"/>
      <c r="Q131"/>
      <c r="R131"/>
      <c r="S131"/>
      <c r="T131"/>
      <c r="U131"/>
      <c r="V131"/>
      <c r="W131"/>
      <c r="X131"/>
      <c r="Y131"/>
      <c r="Z131"/>
    </row>
    <row r="132" spans="2:26" ht="17" customHeight="1">
      <c r="B132"/>
      <c r="C132"/>
      <c r="D132"/>
      <c r="E132"/>
      <c r="F132"/>
      <c r="G132"/>
      <c r="H132"/>
      <c r="I132"/>
      <c r="J132"/>
      <c r="K132"/>
      <c r="L132"/>
      <c r="M132"/>
      <c r="N132"/>
      <c r="O132"/>
      <c r="P132"/>
      <c r="Q132"/>
      <c r="R132"/>
      <c r="S132"/>
      <c r="T132"/>
      <c r="U132"/>
      <c r="V132"/>
      <c r="W132"/>
      <c r="X132"/>
      <c r="Y132"/>
      <c r="Z132"/>
    </row>
    <row r="133" spans="2:26" ht="17" customHeight="1">
      <c r="B133"/>
      <c r="C133"/>
      <c r="D133"/>
      <c r="E133"/>
      <c r="F133"/>
      <c r="G133"/>
      <c r="H133"/>
      <c r="I133"/>
      <c r="J133"/>
      <c r="K133"/>
      <c r="L133"/>
      <c r="M133"/>
      <c r="N133"/>
      <c r="O133"/>
      <c r="P133"/>
      <c r="Q133"/>
      <c r="R133"/>
      <c r="S133"/>
      <c r="T133"/>
      <c r="U133"/>
      <c r="V133"/>
      <c r="W133"/>
      <c r="X133"/>
      <c r="Y133"/>
      <c r="Z133"/>
    </row>
    <row r="134" spans="2:26" ht="17" customHeight="1">
      <c r="B134"/>
      <c r="C134"/>
      <c r="D134"/>
      <c r="E134"/>
      <c r="F134"/>
      <c r="G134"/>
      <c r="H134"/>
      <c r="I134"/>
      <c r="J134"/>
      <c r="K134"/>
      <c r="L134"/>
      <c r="M134"/>
      <c r="N134"/>
      <c r="O134"/>
      <c r="P134"/>
      <c r="Q134"/>
      <c r="R134"/>
      <c r="S134"/>
      <c r="T134"/>
      <c r="U134"/>
      <c r="V134"/>
      <c r="W134"/>
      <c r="X134"/>
      <c r="Y134"/>
      <c r="Z134"/>
    </row>
    <row r="135" spans="2:26" ht="17" customHeight="1">
      <c r="B135"/>
      <c r="C135"/>
      <c r="D135"/>
      <c r="E135"/>
      <c r="F135"/>
      <c r="G135"/>
      <c r="H135"/>
      <c r="I135"/>
      <c r="J135"/>
      <c r="K135"/>
      <c r="L135"/>
      <c r="M135"/>
      <c r="N135"/>
      <c r="O135"/>
      <c r="P135"/>
      <c r="Q135"/>
      <c r="R135"/>
      <c r="S135"/>
      <c r="T135"/>
      <c r="U135"/>
      <c r="V135"/>
      <c r="W135"/>
      <c r="X135"/>
      <c r="Y135"/>
      <c r="Z135"/>
    </row>
    <row r="136" spans="2:26" ht="17" customHeight="1">
      <c r="B136"/>
      <c r="C136"/>
      <c r="D136"/>
      <c r="E136"/>
      <c r="F136"/>
      <c r="G136"/>
      <c r="H136"/>
      <c r="I136"/>
      <c r="J136"/>
      <c r="K136"/>
      <c r="L136"/>
      <c r="M136"/>
      <c r="N136"/>
      <c r="O136"/>
      <c r="P136"/>
      <c r="Q136"/>
      <c r="R136"/>
      <c r="S136"/>
      <c r="T136"/>
      <c r="U136"/>
      <c r="V136"/>
      <c r="W136"/>
      <c r="X136"/>
      <c r="Y136"/>
      <c r="Z136"/>
    </row>
    <row r="137" spans="2:26" ht="17" customHeight="1">
      <c r="B137"/>
      <c r="C137"/>
      <c r="D137"/>
      <c r="E137"/>
      <c r="F137"/>
      <c r="G137"/>
      <c r="H137"/>
      <c r="I137"/>
      <c r="J137"/>
      <c r="K137"/>
      <c r="L137"/>
      <c r="M137"/>
      <c r="N137"/>
      <c r="O137"/>
      <c r="P137"/>
      <c r="Q137"/>
      <c r="R137"/>
      <c r="S137"/>
      <c r="T137"/>
      <c r="U137"/>
      <c r="V137"/>
      <c r="W137"/>
      <c r="X137"/>
      <c r="Y137"/>
      <c r="Z137"/>
    </row>
    <row r="138" spans="2:26" ht="17" customHeight="1">
      <c r="B138"/>
      <c r="C138"/>
      <c r="D138"/>
      <c r="E138"/>
      <c r="F138"/>
      <c r="G138"/>
      <c r="H138"/>
      <c r="I138"/>
      <c r="J138"/>
      <c r="K138"/>
      <c r="L138"/>
      <c r="M138"/>
      <c r="N138"/>
      <c r="O138"/>
      <c r="P138"/>
      <c r="Q138"/>
      <c r="R138"/>
      <c r="S138"/>
      <c r="T138"/>
      <c r="U138"/>
      <c r="V138"/>
      <c r="W138"/>
      <c r="X138"/>
      <c r="Y138"/>
      <c r="Z138"/>
    </row>
    <row r="139" spans="2:26" ht="17" customHeight="1">
      <c r="B139"/>
      <c r="C139"/>
      <c r="D139"/>
      <c r="E139"/>
      <c r="F139"/>
      <c r="G139"/>
      <c r="H139"/>
      <c r="I139"/>
      <c r="J139"/>
      <c r="K139"/>
      <c r="L139"/>
      <c r="M139"/>
      <c r="N139"/>
      <c r="O139"/>
      <c r="P139"/>
      <c r="Q139"/>
      <c r="R139"/>
      <c r="S139"/>
      <c r="T139"/>
      <c r="U139"/>
      <c r="V139"/>
      <c r="W139"/>
      <c r="X139"/>
      <c r="Y139"/>
      <c r="Z139"/>
    </row>
    <row r="140" spans="2:26" ht="17" customHeight="1">
      <c r="B140"/>
      <c r="C140"/>
      <c r="D140"/>
      <c r="E140"/>
      <c r="F140"/>
      <c r="G140"/>
      <c r="H140"/>
      <c r="I140"/>
      <c r="J140"/>
      <c r="K140"/>
      <c r="L140"/>
      <c r="M140"/>
      <c r="N140"/>
      <c r="O140"/>
      <c r="P140"/>
      <c r="Q140"/>
      <c r="R140"/>
      <c r="S140"/>
      <c r="T140"/>
      <c r="U140"/>
      <c r="V140"/>
      <c r="W140"/>
      <c r="X140"/>
      <c r="Y140"/>
      <c r="Z140"/>
    </row>
    <row r="141" spans="2:26" ht="17" customHeight="1">
      <c r="B141"/>
      <c r="C141"/>
      <c r="D141"/>
      <c r="E141"/>
      <c r="F141"/>
      <c r="G141"/>
      <c r="H141"/>
      <c r="I141"/>
      <c r="J141"/>
      <c r="K141"/>
      <c r="L141"/>
      <c r="M141"/>
      <c r="N141"/>
      <c r="O141"/>
      <c r="P141"/>
      <c r="Q141"/>
      <c r="R141"/>
      <c r="S141"/>
      <c r="T141"/>
      <c r="U141"/>
      <c r="V141"/>
      <c r="W141"/>
      <c r="X141"/>
      <c r="Y141"/>
      <c r="Z141"/>
    </row>
    <row r="142" spans="2:26" ht="17" customHeight="1">
      <c r="B142"/>
      <c r="C142"/>
      <c r="D142"/>
      <c r="E142"/>
      <c r="F142"/>
      <c r="G142"/>
      <c r="H142"/>
      <c r="I142"/>
      <c r="J142"/>
      <c r="K142"/>
      <c r="L142"/>
      <c r="M142"/>
      <c r="N142"/>
      <c r="O142"/>
      <c r="P142"/>
      <c r="Q142"/>
      <c r="R142"/>
      <c r="S142"/>
      <c r="T142"/>
      <c r="U142"/>
      <c r="V142"/>
      <c r="W142"/>
      <c r="X142"/>
      <c r="Y142"/>
      <c r="Z142"/>
    </row>
    <row r="143" spans="2:26" ht="17" customHeight="1">
      <c r="B143"/>
      <c r="C143"/>
      <c r="D143"/>
      <c r="E143"/>
      <c r="F143"/>
      <c r="G143"/>
      <c r="H143"/>
      <c r="I143"/>
      <c r="J143"/>
      <c r="K143"/>
      <c r="L143"/>
      <c r="M143"/>
      <c r="N143"/>
      <c r="O143"/>
      <c r="P143"/>
      <c r="Q143"/>
      <c r="R143"/>
      <c r="S143"/>
      <c r="T143"/>
      <c r="U143"/>
      <c r="V143"/>
      <c r="W143"/>
      <c r="X143"/>
      <c r="Y143"/>
      <c r="Z143"/>
    </row>
    <row r="144" spans="2:26" ht="17" customHeight="1">
      <c r="B144"/>
      <c r="C144"/>
      <c r="D144"/>
      <c r="E144"/>
      <c r="F144"/>
      <c r="G144"/>
      <c r="H144"/>
      <c r="I144"/>
      <c r="J144"/>
      <c r="K144"/>
      <c r="L144"/>
      <c r="M144"/>
      <c r="N144"/>
      <c r="O144"/>
      <c r="P144"/>
      <c r="Q144"/>
      <c r="R144"/>
      <c r="S144"/>
      <c r="T144"/>
      <c r="U144"/>
      <c r="V144"/>
      <c r="W144"/>
      <c r="X144"/>
      <c r="Y144"/>
      <c r="Z144"/>
    </row>
    <row r="145" spans="2:26" ht="17" customHeight="1">
      <c r="B145"/>
      <c r="C145"/>
      <c r="D145"/>
      <c r="E145"/>
      <c r="F145"/>
      <c r="G145"/>
      <c r="H145"/>
      <c r="I145"/>
      <c r="J145"/>
      <c r="K145"/>
      <c r="L145"/>
      <c r="M145"/>
      <c r="N145"/>
      <c r="O145"/>
      <c r="P145"/>
      <c r="Q145"/>
      <c r="R145"/>
      <c r="S145"/>
      <c r="T145"/>
      <c r="U145"/>
      <c r="V145"/>
      <c r="W145"/>
      <c r="X145"/>
      <c r="Y145"/>
      <c r="Z145"/>
    </row>
    <row r="146" spans="2:26" ht="17" customHeight="1">
      <c r="B146"/>
      <c r="C146"/>
      <c r="D146"/>
      <c r="E146"/>
      <c r="F146"/>
      <c r="G146"/>
      <c r="H146"/>
      <c r="I146"/>
      <c r="J146"/>
      <c r="K146"/>
      <c r="L146"/>
      <c r="M146"/>
      <c r="N146"/>
      <c r="O146"/>
      <c r="P146"/>
      <c r="Q146"/>
      <c r="R146"/>
      <c r="S146"/>
      <c r="T146"/>
      <c r="U146"/>
      <c r="V146"/>
      <c r="W146"/>
      <c r="X146"/>
      <c r="Y146"/>
      <c r="Z146"/>
    </row>
    <row r="147" spans="2:26" ht="17" customHeight="1">
      <c r="B147"/>
      <c r="C147"/>
      <c r="D147"/>
      <c r="E147"/>
      <c r="F147"/>
      <c r="G147"/>
      <c r="H147"/>
      <c r="I147"/>
      <c r="J147"/>
      <c r="K147"/>
      <c r="L147"/>
      <c r="M147"/>
      <c r="N147"/>
      <c r="O147"/>
      <c r="P147"/>
      <c r="Q147"/>
      <c r="R147"/>
      <c r="S147"/>
      <c r="T147"/>
      <c r="U147"/>
      <c r="V147"/>
      <c r="W147"/>
      <c r="X147"/>
      <c r="Y147"/>
      <c r="Z147"/>
    </row>
    <row r="148" spans="2:26" ht="17" customHeight="1">
      <c r="B148"/>
      <c r="C148"/>
      <c r="D148"/>
      <c r="E148"/>
      <c r="F148"/>
      <c r="G148"/>
      <c r="H148"/>
      <c r="I148"/>
      <c r="J148"/>
      <c r="K148"/>
      <c r="L148"/>
      <c r="M148"/>
      <c r="N148"/>
      <c r="O148"/>
      <c r="P148"/>
      <c r="Q148"/>
      <c r="R148"/>
      <c r="S148"/>
      <c r="T148"/>
      <c r="U148"/>
      <c r="V148"/>
      <c r="W148"/>
      <c r="X148"/>
      <c r="Y148"/>
      <c r="Z148"/>
    </row>
    <row r="149" spans="2:26" ht="17" customHeight="1">
      <c r="B149"/>
      <c r="C149"/>
      <c r="D149"/>
      <c r="E149"/>
      <c r="F149"/>
      <c r="G149"/>
      <c r="H149"/>
      <c r="I149"/>
      <c r="J149"/>
      <c r="K149"/>
      <c r="L149"/>
      <c r="M149"/>
      <c r="N149"/>
      <c r="O149"/>
      <c r="P149"/>
      <c r="Q149"/>
      <c r="R149"/>
      <c r="S149"/>
      <c r="T149"/>
      <c r="U149"/>
      <c r="V149"/>
      <c r="W149"/>
      <c r="X149"/>
      <c r="Y149"/>
      <c r="Z149"/>
    </row>
    <row r="150" spans="2:26" ht="17" customHeight="1">
      <c r="B150"/>
      <c r="C150"/>
      <c r="D150"/>
      <c r="E150"/>
      <c r="F150"/>
      <c r="G150"/>
      <c r="H150"/>
      <c r="I150"/>
      <c r="J150"/>
      <c r="K150"/>
      <c r="L150"/>
      <c r="M150"/>
      <c r="N150"/>
      <c r="O150"/>
      <c r="P150"/>
      <c r="Q150"/>
      <c r="R150"/>
      <c r="S150"/>
      <c r="T150"/>
      <c r="U150"/>
      <c r="V150"/>
      <c r="W150"/>
      <c r="X150"/>
      <c r="Y150"/>
      <c r="Z150"/>
    </row>
    <row r="151" spans="2:26" ht="17" customHeight="1">
      <c r="B151"/>
      <c r="C151"/>
      <c r="D151"/>
      <c r="E151"/>
      <c r="F151"/>
      <c r="G151"/>
      <c r="H151"/>
      <c r="I151"/>
      <c r="J151"/>
      <c r="K151"/>
      <c r="L151"/>
      <c r="M151"/>
      <c r="N151"/>
      <c r="O151"/>
      <c r="P151"/>
      <c r="Q151"/>
      <c r="R151"/>
      <c r="S151"/>
      <c r="T151"/>
      <c r="U151"/>
      <c r="V151"/>
      <c r="W151"/>
      <c r="X151"/>
      <c r="Y151"/>
      <c r="Z151"/>
    </row>
    <row r="152" spans="2:26" ht="17" customHeight="1">
      <c r="B152"/>
      <c r="C152"/>
      <c r="D152"/>
      <c r="E152"/>
      <c r="F152"/>
      <c r="G152"/>
      <c r="H152"/>
      <c r="I152"/>
      <c r="J152"/>
      <c r="K152"/>
      <c r="L152"/>
      <c r="M152"/>
      <c r="N152"/>
      <c r="O152"/>
      <c r="P152"/>
      <c r="Q152"/>
      <c r="R152"/>
      <c r="S152"/>
      <c r="T152"/>
      <c r="U152"/>
      <c r="V152"/>
      <c r="W152"/>
      <c r="X152"/>
      <c r="Y152"/>
      <c r="Z152"/>
    </row>
    <row r="153" spans="2:26" ht="17" customHeight="1">
      <c r="B153"/>
      <c r="C153"/>
      <c r="D153"/>
      <c r="E153"/>
      <c r="F153"/>
      <c r="G153"/>
      <c r="H153"/>
      <c r="I153"/>
      <c r="J153"/>
      <c r="K153"/>
      <c r="L153"/>
      <c r="M153"/>
      <c r="N153"/>
      <c r="O153"/>
      <c r="P153"/>
      <c r="Q153"/>
      <c r="R153"/>
      <c r="S153"/>
      <c r="T153"/>
      <c r="U153"/>
      <c r="V153"/>
      <c r="W153"/>
      <c r="X153"/>
      <c r="Y153"/>
      <c r="Z153"/>
    </row>
    <row r="154" spans="2:26" ht="17" customHeight="1">
      <c r="B154"/>
      <c r="C154"/>
      <c r="D154"/>
      <c r="E154"/>
      <c r="F154"/>
      <c r="G154"/>
      <c r="H154"/>
      <c r="I154"/>
      <c r="J154"/>
      <c r="K154"/>
      <c r="L154"/>
      <c r="M154"/>
      <c r="N154"/>
      <c r="O154"/>
      <c r="P154"/>
      <c r="Q154"/>
      <c r="R154"/>
      <c r="S154"/>
      <c r="T154"/>
      <c r="U154"/>
      <c r="V154"/>
      <c r="W154"/>
      <c r="X154"/>
      <c r="Y154"/>
      <c r="Z154"/>
    </row>
    <row r="155" spans="2:26" ht="17" customHeight="1">
      <c r="B155"/>
      <c r="C155"/>
      <c r="D155"/>
      <c r="E155"/>
      <c r="F155"/>
      <c r="G155"/>
      <c r="H155"/>
      <c r="I155"/>
      <c r="J155"/>
      <c r="K155"/>
      <c r="L155"/>
      <c r="M155"/>
      <c r="N155"/>
      <c r="O155"/>
      <c r="P155"/>
      <c r="Q155"/>
      <c r="R155"/>
      <c r="S155"/>
      <c r="T155"/>
      <c r="U155"/>
      <c r="V155"/>
      <c r="W155"/>
      <c r="X155"/>
      <c r="Y155"/>
      <c r="Z155"/>
    </row>
    <row r="156" spans="2:26" ht="17" customHeight="1">
      <c r="B156"/>
      <c r="C156"/>
      <c r="D156"/>
      <c r="E156"/>
      <c r="F156"/>
      <c r="G156"/>
      <c r="H156"/>
      <c r="I156"/>
      <c r="J156"/>
      <c r="K156"/>
      <c r="L156"/>
      <c r="M156"/>
      <c r="N156"/>
      <c r="O156"/>
      <c r="P156"/>
      <c r="Q156"/>
      <c r="R156"/>
      <c r="S156"/>
      <c r="T156"/>
      <c r="U156"/>
      <c r="V156"/>
      <c r="W156"/>
      <c r="X156"/>
      <c r="Y156"/>
      <c r="Z156"/>
    </row>
    <row r="157" spans="2:26" ht="17" customHeight="1">
      <c r="B157"/>
      <c r="C157"/>
      <c r="D157"/>
      <c r="E157"/>
      <c r="F157"/>
      <c r="G157"/>
      <c r="H157"/>
      <c r="I157"/>
      <c r="J157"/>
      <c r="K157"/>
      <c r="L157"/>
      <c r="M157"/>
      <c r="N157"/>
      <c r="O157"/>
      <c r="P157"/>
      <c r="Q157"/>
      <c r="R157"/>
      <c r="S157"/>
      <c r="T157"/>
      <c r="U157"/>
      <c r="V157"/>
      <c r="W157"/>
      <c r="X157"/>
      <c r="Y157"/>
      <c r="Z157"/>
    </row>
    <row r="158" spans="2:26" ht="17" customHeight="1">
      <c r="B158"/>
      <c r="C158"/>
      <c r="D158"/>
      <c r="E158"/>
      <c r="F158"/>
      <c r="G158"/>
      <c r="H158"/>
      <c r="I158"/>
      <c r="J158"/>
      <c r="K158"/>
      <c r="L158"/>
      <c r="M158"/>
      <c r="N158"/>
      <c r="O158"/>
      <c r="P158"/>
      <c r="Q158"/>
      <c r="R158"/>
      <c r="S158"/>
      <c r="T158"/>
      <c r="U158"/>
      <c r="V158"/>
      <c r="W158"/>
      <c r="X158"/>
      <c r="Y158"/>
      <c r="Z158"/>
    </row>
    <row r="159" spans="2:26" ht="17" customHeight="1">
      <c r="B159"/>
      <c r="C159"/>
      <c r="D159"/>
      <c r="E159"/>
      <c r="F159"/>
      <c r="G159"/>
      <c r="H159"/>
      <c r="I159"/>
      <c r="J159"/>
      <c r="K159"/>
      <c r="L159"/>
      <c r="M159"/>
      <c r="N159"/>
      <c r="O159"/>
      <c r="P159"/>
      <c r="Q159"/>
      <c r="R159"/>
      <c r="S159"/>
      <c r="T159"/>
      <c r="U159"/>
      <c r="V159"/>
      <c r="W159"/>
      <c r="X159"/>
      <c r="Y159"/>
      <c r="Z159"/>
    </row>
    <row r="160" spans="2:26" ht="17" customHeight="1">
      <c r="B160"/>
      <c r="C160"/>
      <c r="D160"/>
      <c r="E160"/>
      <c r="F160"/>
      <c r="G160"/>
      <c r="H160"/>
      <c r="I160"/>
      <c r="J160"/>
      <c r="K160"/>
      <c r="L160"/>
      <c r="M160"/>
      <c r="N160"/>
      <c r="O160"/>
      <c r="P160"/>
      <c r="Q160"/>
      <c r="R160"/>
      <c r="S160"/>
      <c r="T160"/>
      <c r="U160"/>
      <c r="V160"/>
      <c r="W160"/>
      <c r="X160"/>
      <c r="Y160"/>
      <c r="Z160"/>
    </row>
    <row r="161" spans="2:26" ht="17" customHeight="1">
      <c r="B161"/>
      <c r="C161"/>
      <c r="D161"/>
      <c r="E161"/>
      <c r="F161"/>
      <c r="G161"/>
      <c r="H161"/>
      <c r="I161"/>
      <c r="J161"/>
      <c r="K161"/>
      <c r="L161"/>
      <c r="M161"/>
      <c r="N161"/>
      <c r="O161"/>
      <c r="P161"/>
      <c r="Q161"/>
      <c r="R161"/>
      <c r="S161"/>
      <c r="T161"/>
      <c r="U161"/>
      <c r="V161"/>
      <c r="W161"/>
      <c r="X161"/>
      <c r="Y161"/>
      <c r="Z161"/>
    </row>
    <row r="162" spans="2:26" ht="17" customHeight="1">
      <c r="B162"/>
      <c r="C162"/>
      <c r="D162"/>
      <c r="E162"/>
      <c r="F162"/>
      <c r="G162"/>
      <c r="H162"/>
      <c r="I162"/>
      <c r="J162"/>
      <c r="K162"/>
      <c r="L162"/>
      <c r="M162"/>
      <c r="N162"/>
      <c r="O162"/>
      <c r="P162"/>
      <c r="Q162"/>
      <c r="R162"/>
      <c r="S162"/>
      <c r="T162"/>
      <c r="U162"/>
      <c r="V162"/>
      <c r="W162"/>
      <c r="X162"/>
      <c r="Y162"/>
      <c r="Z162"/>
    </row>
    <row r="163" spans="2:26" ht="17" customHeight="1">
      <c r="B163"/>
      <c r="C163"/>
      <c r="D163"/>
      <c r="E163"/>
      <c r="F163"/>
      <c r="G163"/>
      <c r="H163"/>
      <c r="I163"/>
      <c r="J163"/>
      <c r="K163"/>
      <c r="L163"/>
      <c r="M163"/>
      <c r="N163"/>
      <c r="O163"/>
      <c r="P163"/>
      <c r="Q163"/>
      <c r="R163"/>
      <c r="S163"/>
      <c r="T163"/>
      <c r="U163"/>
      <c r="V163"/>
      <c r="W163"/>
      <c r="X163"/>
      <c r="Y163"/>
      <c r="Z163"/>
    </row>
    <row r="164" spans="2:26" ht="17" customHeight="1">
      <c r="B164"/>
      <c r="C164"/>
      <c r="D164"/>
      <c r="E164"/>
      <c r="F164"/>
      <c r="G164"/>
      <c r="H164"/>
      <c r="I164"/>
      <c r="J164"/>
      <c r="K164"/>
      <c r="L164"/>
      <c r="M164"/>
      <c r="N164"/>
      <c r="O164"/>
      <c r="P164"/>
      <c r="Q164"/>
      <c r="R164"/>
      <c r="S164"/>
      <c r="T164"/>
      <c r="U164"/>
      <c r="V164"/>
      <c r="W164"/>
      <c r="X164"/>
      <c r="Y164"/>
      <c r="Z164"/>
    </row>
    <row r="165" spans="2:26" ht="17" customHeight="1">
      <c r="B165"/>
      <c r="C165"/>
      <c r="D165"/>
      <c r="E165"/>
      <c r="F165"/>
      <c r="G165"/>
      <c r="H165"/>
      <c r="I165"/>
      <c r="J165"/>
      <c r="K165"/>
      <c r="L165"/>
      <c r="M165"/>
      <c r="N165"/>
      <c r="O165"/>
      <c r="P165"/>
      <c r="Q165"/>
      <c r="R165"/>
      <c r="S165"/>
      <c r="T165"/>
      <c r="U165"/>
      <c r="V165"/>
      <c r="W165"/>
      <c r="X165"/>
      <c r="Y165"/>
      <c r="Z165"/>
    </row>
    <row r="166" spans="2:26" ht="17" customHeight="1">
      <c r="B166"/>
      <c r="C166"/>
      <c r="D166"/>
      <c r="E166"/>
      <c r="F166"/>
      <c r="G166"/>
      <c r="H166"/>
      <c r="I166"/>
      <c r="J166"/>
      <c r="K166"/>
      <c r="L166"/>
      <c r="M166"/>
      <c r="N166"/>
      <c r="O166"/>
      <c r="P166"/>
      <c r="Q166"/>
      <c r="R166"/>
      <c r="S166"/>
      <c r="T166"/>
      <c r="U166"/>
      <c r="V166"/>
      <c r="W166"/>
      <c r="X166"/>
      <c r="Y166"/>
      <c r="Z166"/>
    </row>
    <row r="167" spans="2:26" ht="17" customHeight="1">
      <c r="B167"/>
      <c r="C167"/>
      <c r="D167"/>
      <c r="E167"/>
      <c r="F167"/>
      <c r="G167"/>
      <c r="H167"/>
      <c r="I167"/>
      <c r="J167"/>
      <c r="K167"/>
      <c r="L167"/>
      <c r="M167"/>
      <c r="N167"/>
      <c r="O167"/>
      <c r="P167"/>
      <c r="Q167"/>
      <c r="R167"/>
      <c r="S167"/>
      <c r="T167"/>
      <c r="U167"/>
      <c r="V167"/>
      <c r="W167"/>
      <c r="X167"/>
      <c r="Y167"/>
      <c r="Z167"/>
    </row>
    <row r="168" spans="2:26" ht="17" customHeight="1">
      <c r="B168"/>
      <c r="C168"/>
      <c r="D168"/>
      <c r="E168"/>
      <c r="F168"/>
      <c r="G168"/>
      <c r="H168"/>
      <c r="I168"/>
      <c r="J168"/>
      <c r="K168"/>
      <c r="L168"/>
      <c r="M168"/>
      <c r="N168"/>
      <c r="O168"/>
      <c r="P168"/>
      <c r="Q168"/>
      <c r="R168"/>
      <c r="S168"/>
      <c r="T168"/>
      <c r="U168"/>
      <c r="V168"/>
      <c r="W168"/>
      <c r="X168"/>
      <c r="Y168"/>
      <c r="Z168"/>
    </row>
    <row r="169" spans="2:26" ht="17" customHeight="1">
      <c r="B169"/>
      <c r="C169"/>
      <c r="D169"/>
      <c r="E169"/>
      <c r="F169"/>
      <c r="G169"/>
      <c r="H169"/>
      <c r="I169"/>
      <c r="J169"/>
      <c r="K169"/>
      <c r="L169"/>
      <c r="M169"/>
      <c r="N169"/>
      <c r="O169"/>
      <c r="P169"/>
      <c r="Q169"/>
      <c r="R169"/>
      <c r="S169"/>
      <c r="T169"/>
      <c r="U169"/>
      <c r="V169"/>
      <c r="W169"/>
      <c r="X169"/>
      <c r="Y169"/>
      <c r="Z169"/>
    </row>
    <row r="170" spans="2:26" ht="17" customHeight="1">
      <c r="B170"/>
      <c r="C170"/>
      <c r="D170"/>
      <c r="E170"/>
      <c r="F170"/>
      <c r="G170"/>
      <c r="H170"/>
      <c r="I170"/>
      <c r="J170"/>
      <c r="K170"/>
      <c r="L170"/>
      <c r="M170"/>
      <c r="N170"/>
      <c r="O170"/>
      <c r="P170"/>
      <c r="Q170"/>
      <c r="R170"/>
      <c r="S170"/>
      <c r="T170"/>
      <c r="U170"/>
      <c r="V170"/>
      <c r="W170"/>
      <c r="X170"/>
      <c r="Y170"/>
      <c r="Z170"/>
    </row>
    <row r="171" spans="2:26" ht="17" customHeight="1">
      <c r="B171"/>
      <c r="C171"/>
      <c r="D171"/>
      <c r="E171"/>
      <c r="F171"/>
      <c r="G171"/>
      <c r="H171"/>
      <c r="I171"/>
      <c r="J171"/>
      <c r="K171"/>
      <c r="L171"/>
      <c r="M171"/>
      <c r="N171"/>
      <c r="O171"/>
      <c r="P171"/>
      <c r="Q171"/>
      <c r="R171"/>
      <c r="S171"/>
      <c r="T171"/>
      <c r="U171"/>
      <c r="V171"/>
      <c r="W171"/>
      <c r="X171"/>
      <c r="Y171"/>
      <c r="Z171"/>
    </row>
    <row r="172" spans="2:26" ht="17" customHeight="1">
      <c r="B172"/>
      <c r="C172"/>
      <c r="D172"/>
      <c r="E172"/>
      <c r="F172"/>
      <c r="G172"/>
      <c r="H172"/>
      <c r="I172"/>
      <c r="J172"/>
      <c r="K172"/>
      <c r="L172"/>
      <c r="M172"/>
      <c r="N172"/>
      <c r="O172"/>
      <c r="P172"/>
      <c r="Q172"/>
      <c r="R172"/>
      <c r="S172"/>
      <c r="T172"/>
      <c r="U172"/>
      <c r="V172"/>
      <c r="W172"/>
      <c r="X172"/>
      <c r="Y172"/>
      <c r="Z172"/>
    </row>
    <row r="173" spans="2:26" ht="17" customHeight="1">
      <c r="B173"/>
      <c r="C173"/>
      <c r="D173"/>
      <c r="E173"/>
      <c r="F173"/>
      <c r="G173"/>
      <c r="H173"/>
      <c r="I173"/>
      <c r="J173"/>
      <c r="K173"/>
      <c r="L173"/>
      <c r="M173"/>
      <c r="N173"/>
      <c r="O173"/>
      <c r="P173"/>
      <c r="Q173"/>
      <c r="R173"/>
      <c r="S173"/>
      <c r="T173"/>
      <c r="U173"/>
      <c r="V173"/>
      <c r="W173"/>
      <c r="X173"/>
      <c r="Y173"/>
      <c r="Z173"/>
    </row>
    <row r="174" spans="2:26" ht="17" customHeight="1">
      <c r="B174"/>
      <c r="C174"/>
      <c r="D174"/>
      <c r="E174"/>
      <c r="F174"/>
      <c r="G174"/>
      <c r="H174"/>
      <c r="I174"/>
      <c r="J174"/>
      <c r="K174"/>
      <c r="L174"/>
      <c r="M174"/>
      <c r="N174"/>
      <c r="O174"/>
      <c r="P174"/>
      <c r="Q174"/>
      <c r="R174"/>
      <c r="S174"/>
      <c r="T174"/>
      <c r="U174"/>
      <c r="V174"/>
      <c r="W174"/>
      <c r="X174"/>
      <c r="Y174"/>
      <c r="Z174"/>
    </row>
    <row r="175" spans="2:26" ht="17" customHeight="1">
      <c r="B175"/>
      <c r="C175"/>
      <c r="D175"/>
      <c r="E175"/>
      <c r="F175"/>
      <c r="G175"/>
      <c r="H175"/>
      <c r="I175"/>
      <c r="J175"/>
      <c r="K175"/>
      <c r="L175"/>
      <c r="M175"/>
      <c r="N175"/>
      <c r="O175"/>
      <c r="P175"/>
      <c r="Q175"/>
      <c r="R175"/>
      <c r="S175"/>
      <c r="T175"/>
      <c r="U175"/>
      <c r="V175"/>
      <c r="W175"/>
      <c r="X175"/>
      <c r="Y175"/>
      <c r="Z175"/>
    </row>
    <row r="176" spans="2:26" ht="17" customHeight="1">
      <c r="B176"/>
      <c r="C176"/>
      <c r="D176"/>
      <c r="E176"/>
      <c r="F176"/>
      <c r="G176"/>
      <c r="H176"/>
      <c r="I176"/>
      <c r="J176"/>
      <c r="K176"/>
      <c r="L176"/>
      <c r="M176"/>
      <c r="N176"/>
      <c r="O176"/>
      <c r="P176"/>
      <c r="Q176"/>
      <c r="R176"/>
      <c r="S176"/>
      <c r="T176"/>
      <c r="U176"/>
      <c r="V176"/>
      <c r="W176"/>
      <c r="X176"/>
      <c r="Y176"/>
      <c r="Z176"/>
    </row>
    <row r="177" spans="2:26" ht="17" customHeight="1">
      <c r="B177"/>
      <c r="C177"/>
      <c r="D177"/>
      <c r="E177"/>
      <c r="F177"/>
      <c r="G177"/>
      <c r="H177"/>
      <c r="I177"/>
      <c r="J177"/>
      <c r="K177"/>
      <c r="L177"/>
      <c r="M177"/>
      <c r="N177"/>
      <c r="O177"/>
      <c r="P177"/>
      <c r="Q177"/>
      <c r="R177"/>
      <c r="S177"/>
      <c r="T177"/>
      <c r="U177"/>
      <c r="V177"/>
      <c r="W177"/>
      <c r="X177"/>
      <c r="Y177"/>
      <c r="Z177"/>
    </row>
    <row r="178" spans="2:26" ht="17" customHeight="1">
      <c r="B178"/>
      <c r="C178"/>
      <c r="D178"/>
      <c r="E178"/>
      <c r="F178"/>
      <c r="G178"/>
      <c r="H178"/>
      <c r="I178"/>
      <c r="J178"/>
      <c r="K178"/>
      <c r="L178"/>
      <c r="M178"/>
      <c r="N178"/>
      <c r="O178"/>
      <c r="P178"/>
      <c r="Q178"/>
      <c r="R178"/>
      <c r="S178"/>
      <c r="T178"/>
      <c r="U178"/>
      <c r="V178"/>
      <c r="W178"/>
      <c r="X178"/>
      <c r="Y178"/>
      <c r="Z178"/>
    </row>
    <row r="179" spans="2:26" ht="17" customHeight="1">
      <c r="B179"/>
      <c r="C179"/>
      <c r="D179"/>
      <c r="E179"/>
      <c r="F179"/>
      <c r="G179"/>
      <c r="H179"/>
      <c r="I179"/>
      <c r="J179"/>
      <c r="K179"/>
      <c r="L179"/>
      <c r="M179"/>
      <c r="N179"/>
      <c r="O179"/>
      <c r="P179"/>
      <c r="Q179"/>
      <c r="R179"/>
      <c r="S179"/>
      <c r="T179"/>
      <c r="U179"/>
      <c r="V179"/>
      <c r="W179"/>
      <c r="X179"/>
      <c r="Y179"/>
      <c r="Z179"/>
    </row>
    <row r="180" spans="2:26" ht="17" customHeight="1">
      <c r="B180"/>
      <c r="C180"/>
      <c r="D180"/>
      <c r="E180"/>
      <c r="F180"/>
      <c r="G180"/>
      <c r="H180"/>
      <c r="I180"/>
      <c r="J180"/>
      <c r="K180"/>
      <c r="L180"/>
      <c r="M180"/>
      <c r="N180"/>
      <c r="O180"/>
      <c r="P180"/>
      <c r="Q180"/>
      <c r="R180"/>
      <c r="S180"/>
      <c r="T180"/>
      <c r="U180"/>
      <c r="V180"/>
      <c r="W180"/>
      <c r="X180"/>
      <c r="Y180"/>
      <c r="Z180"/>
    </row>
    <row r="181" spans="2:26" ht="17" customHeight="1">
      <c r="B181"/>
      <c r="C181"/>
      <c r="D181"/>
      <c r="E181"/>
      <c r="F181"/>
      <c r="G181"/>
      <c r="H181"/>
      <c r="I181"/>
      <c r="J181"/>
      <c r="K181"/>
      <c r="L181"/>
      <c r="M181"/>
      <c r="N181"/>
      <c r="O181"/>
      <c r="P181"/>
      <c r="Q181"/>
      <c r="R181"/>
      <c r="S181"/>
      <c r="T181"/>
      <c r="U181"/>
      <c r="V181"/>
      <c r="W181"/>
      <c r="X181"/>
      <c r="Y181"/>
      <c r="Z181"/>
    </row>
    <row r="182" spans="2:26" ht="17" customHeight="1">
      <c r="B182"/>
      <c r="C182"/>
      <c r="D182"/>
      <c r="E182"/>
      <c r="F182"/>
      <c r="G182"/>
      <c r="H182"/>
      <c r="I182"/>
      <c r="J182"/>
      <c r="K182"/>
      <c r="L182"/>
      <c r="M182"/>
      <c r="N182"/>
      <c r="O182"/>
      <c r="P182"/>
      <c r="Q182"/>
      <c r="R182"/>
      <c r="S182"/>
      <c r="T182"/>
      <c r="U182"/>
      <c r="V182"/>
      <c r="W182"/>
      <c r="X182"/>
      <c r="Y182"/>
      <c r="Z182"/>
    </row>
    <row r="183" spans="2:26" ht="17" customHeight="1">
      <c r="B183"/>
      <c r="C183"/>
      <c r="D183"/>
      <c r="E183"/>
      <c r="F183"/>
      <c r="G183"/>
      <c r="H183"/>
      <c r="I183"/>
      <c r="J183"/>
      <c r="K183"/>
      <c r="L183"/>
      <c r="M183"/>
      <c r="N183"/>
      <c r="O183"/>
      <c r="P183"/>
      <c r="Q183"/>
      <c r="R183"/>
      <c r="S183"/>
      <c r="T183"/>
      <c r="U183"/>
      <c r="V183"/>
      <c r="W183"/>
      <c r="X183"/>
      <c r="Y183"/>
      <c r="Z183"/>
    </row>
    <row r="184" spans="2:26" ht="17" customHeight="1">
      <c r="B184"/>
      <c r="C184"/>
      <c r="D184"/>
      <c r="E184"/>
      <c r="F184"/>
      <c r="G184"/>
      <c r="H184"/>
      <c r="I184"/>
      <c r="J184"/>
      <c r="K184"/>
      <c r="L184"/>
      <c r="M184"/>
      <c r="N184"/>
      <c r="O184"/>
      <c r="P184"/>
      <c r="Q184"/>
      <c r="R184"/>
      <c r="S184"/>
      <c r="T184"/>
      <c r="U184"/>
      <c r="V184"/>
      <c r="W184"/>
      <c r="X184"/>
      <c r="Y184"/>
      <c r="Z184"/>
    </row>
    <row r="185" spans="2:26" ht="17" customHeight="1">
      <c r="B185"/>
      <c r="C185"/>
      <c r="D185"/>
      <c r="E185"/>
      <c r="F185"/>
      <c r="G185"/>
      <c r="H185"/>
      <c r="I185"/>
      <c r="J185"/>
      <c r="K185"/>
      <c r="L185"/>
      <c r="M185"/>
      <c r="N185"/>
      <c r="O185"/>
      <c r="P185"/>
      <c r="Q185"/>
      <c r="R185"/>
      <c r="S185"/>
      <c r="T185"/>
      <c r="U185"/>
      <c r="V185"/>
      <c r="W185"/>
      <c r="X185"/>
      <c r="Y185"/>
      <c r="Z185"/>
    </row>
    <row r="186" spans="2:26" ht="17" customHeight="1">
      <c r="B186"/>
      <c r="C186"/>
      <c r="D186"/>
      <c r="E186"/>
      <c r="F186"/>
      <c r="G186"/>
      <c r="H186"/>
      <c r="I186"/>
      <c r="J186"/>
      <c r="K186"/>
      <c r="L186"/>
      <c r="M186"/>
      <c r="N186"/>
      <c r="O186"/>
      <c r="P186"/>
      <c r="Q186"/>
      <c r="R186"/>
      <c r="S186"/>
      <c r="T186"/>
      <c r="U186"/>
      <c r="V186"/>
      <c r="W186"/>
      <c r="X186"/>
      <c r="Y186"/>
      <c r="Z186"/>
    </row>
    <row r="187" spans="2:26" ht="17" customHeight="1">
      <c r="B187"/>
      <c r="C187"/>
      <c r="D187"/>
      <c r="E187"/>
      <c r="F187"/>
      <c r="G187"/>
      <c r="H187"/>
      <c r="I187"/>
      <c r="J187"/>
      <c r="K187"/>
      <c r="L187"/>
      <c r="M187"/>
      <c r="N187"/>
      <c r="O187"/>
      <c r="P187"/>
      <c r="Q187"/>
      <c r="R187"/>
      <c r="S187"/>
      <c r="T187"/>
      <c r="U187"/>
      <c r="V187"/>
      <c r="W187"/>
      <c r="X187"/>
      <c r="Y187"/>
      <c r="Z187"/>
    </row>
    <row r="188" spans="2:26" ht="17" customHeight="1">
      <c r="B188"/>
      <c r="C188"/>
      <c r="D188"/>
      <c r="E188"/>
      <c r="F188"/>
      <c r="G188"/>
      <c r="H188"/>
      <c r="I188"/>
      <c r="J188"/>
      <c r="K188"/>
      <c r="L188"/>
      <c r="M188"/>
      <c r="N188"/>
      <c r="O188"/>
      <c r="P188"/>
      <c r="Q188"/>
      <c r="R188"/>
      <c r="S188"/>
      <c r="T188"/>
      <c r="U188"/>
      <c r="V188"/>
      <c r="W188"/>
      <c r="X188"/>
      <c r="Y188"/>
      <c r="Z188"/>
    </row>
    <row r="189" spans="2:26" ht="17" customHeight="1">
      <c r="B189"/>
      <c r="C189"/>
      <c r="D189"/>
      <c r="E189"/>
      <c r="F189"/>
      <c r="G189"/>
      <c r="H189"/>
      <c r="I189"/>
      <c r="J189"/>
      <c r="K189"/>
      <c r="L189"/>
      <c r="M189"/>
      <c r="N189"/>
      <c r="O189"/>
      <c r="P189"/>
      <c r="Q189"/>
      <c r="R189"/>
      <c r="S189"/>
      <c r="T189"/>
      <c r="U189"/>
      <c r="V189"/>
      <c r="W189"/>
      <c r="X189"/>
      <c r="Y189"/>
      <c r="Z189"/>
    </row>
    <row r="190" spans="2:26" ht="17" customHeight="1">
      <c r="B190"/>
      <c r="C190"/>
      <c r="D190"/>
      <c r="E190"/>
      <c r="F190"/>
      <c r="G190"/>
      <c r="H190"/>
      <c r="I190"/>
      <c r="J190"/>
      <c r="K190"/>
      <c r="L190"/>
      <c r="M190"/>
      <c r="N190"/>
      <c r="O190"/>
      <c r="P190"/>
      <c r="Q190"/>
      <c r="R190"/>
      <c r="S190"/>
      <c r="T190"/>
      <c r="U190"/>
      <c r="V190"/>
      <c r="W190"/>
      <c r="X190"/>
      <c r="Y190"/>
      <c r="Z190"/>
    </row>
    <row r="191" spans="2:26" ht="17" customHeight="1">
      <c r="B191"/>
      <c r="C191"/>
      <c r="D191"/>
      <c r="E191"/>
      <c r="F191"/>
      <c r="G191"/>
      <c r="H191"/>
      <c r="I191"/>
      <c r="J191"/>
      <c r="K191"/>
      <c r="L191"/>
      <c r="M191"/>
      <c r="N191"/>
      <c r="O191"/>
      <c r="P191"/>
      <c r="Q191"/>
      <c r="R191"/>
      <c r="S191"/>
      <c r="T191"/>
      <c r="U191"/>
      <c r="V191"/>
      <c r="W191"/>
      <c r="X191"/>
      <c r="Y191"/>
      <c r="Z191"/>
    </row>
    <row r="192" spans="2:26" ht="17" customHeight="1">
      <c r="B192"/>
      <c r="C192"/>
      <c r="D192"/>
      <c r="E192"/>
      <c r="F192"/>
      <c r="G192"/>
      <c r="H192"/>
      <c r="I192"/>
      <c r="J192"/>
      <c r="K192"/>
      <c r="L192"/>
      <c r="M192"/>
      <c r="N192"/>
      <c r="O192"/>
      <c r="P192"/>
      <c r="Q192"/>
      <c r="R192"/>
      <c r="S192"/>
      <c r="T192"/>
      <c r="U192"/>
      <c r="V192"/>
      <c r="W192"/>
      <c r="X192"/>
      <c r="Y192"/>
      <c r="Z192"/>
    </row>
    <row r="193" spans="2:26" ht="17" customHeight="1">
      <c r="B193"/>
      <c r="C193"/>
      <c r="D193"/>
      <c r="E193"/>
      <c r="F193"/>
      <c r="G193"/>
      <c r="H193"/>
      <c r="I193"/>
      <c r="J193"/>
      <c r="K193"/>
      <c r="L193"/>
      <c r="M193"/>
      <c r="N193"/>
      <c r="O193"/>
      <c r="P193"/>
      <c r="Q193"/>
      <c r="R193"/>
      <c r="S193"/>
      <c r="T193"/>
      <c r="U193"/>
      <c r="V193"/>
      <c r="W193"/>
      <c r="X193"/>
      <c r="Y193"/>
      <c r="Z193"/>
    </row>
    <row r="194" spans="2:26" ht="17" customHeight="1">
      <c r="B194"/>
      <c r="C194"/>
      <c r="D194"/>
      <c r="E194"/>
      <c r="F194"/>
      <c r="G194"/>
      <c r="H194"/>
      <c r="I194"/>
      <c r="J194"/>
      <c r="K194"/>
      <c r="L194"/>
      <c r="M194"/>
      <c r="N194"/>
      <c r="O194"/>
      <c r="P194"/>
      <c r="Q194"/>
      <c r="R194"/>
      <c r="S194"/>
      <c r="T194"/>
      <c r="U194"/>
      <c r="V194"/>
      <c r="W194"/>
      <c r="X194"/>
      <c r="Y194"/>
      <c r="Z194"/>
    </row>
    <row r="195" spans="2:26" ht="17" customHeight="1">
      <c r="B195"/>
      <c r="C195"/>
      <c r="D195"/>
      <c r="E195"/>
      <c r="F195"/>
      <c r="G195"/>
      <c r="H195"/>
      <c r="I195"/>
      <c r="J195"/>
      <c r="K195"/>
      <c r="L195"/>
      <c r="M195"/>
      <c r="N195"/>
      <c r="O195"/>
      <c r="P195"/>
      <c r="Q195"/>
      <c r="R195"/>
      <c r="S195"/>
      <c r="T195"/>
      <c r="U195"/>
      <c r="V195"/>
      <c r="W195"/>
      <c r="X195"/>
      <c r="Y195"/>
      <c r="Z195"/>
    </row>
    <row r="196" spans="2:26" ht="17" customHeight="1">
      <c r="B196"/>
      <c r="C196"/>
      <c r="D196"/>
      <c r="E196"/>
      <c r="F196"/>
      <c r="G196"/>
      <c r="H196"/>
      <c r="I196"/>
      <c r="J196"/>
      <c r="K196"/>
      <c r="L196"/>
      <c r="M196"/>
      <c r="N196"/>
      <c r="O196"/>
      <c r="P196"/>
      <c r="Q196"/>
      <c r="R196"/>
      <c r="S196"/>
      <c r="T196"/>
      <c r="U196"/>
      <c r="V196"/>
      <c r="W196"/>
      <c r="X196"/>
      <c r="Y196"/>
      <c r="Z196"/>
    </row>
    <row r="197" spans="2:26" ht="17" customHeight="1">
      <c r="B197"/>
      <c r="C197"/>
      <c r="D197"/>
      <c r="E197"/>
      <c r="F197"/>
      <c r="G197"/>
      <c r="H197"/>
      <c r="I197"/>
      <c r="J197"/>
      <c r="K197"/>
      <c r="L197"/>
      <c r="M197"/>
      <c r="N197"/>
      <c r="O197"/>
      <c r="P197"/>
      <c r="Q197"/>
      <c r="R197"/>
      <c r="S197"/>
      <c r="T197"/>
      <c r="U197"/>
      <c r="V197"/>
      <c r="W197"/>
      <c r="X197"/>
      <c r="Y197"/>
      <c r="Z197"/>
    </row>
    <row r="198" spans="2:26" ht="17" customHeight="1">
      <c r="B198"/>
      <c r="C198"/>
      <c r="D198"/>
      <c r="E198"/>
      <c r="F198"/>
      <c r="G198"/>
      <c r="H198"/>
      <c r="I198"/>
      <c r="J198"/>
      <c r="K198"/>
      <c r="L198"/>
      <c r="M198"/>
      <c r="N198"/>
      <c r="O198"/>
      <c r="P198"/>
      <c r="Q198"/>
      <c r="R198"/>
      <c r="S198"/>
      <c r="T198"/>
      <c r="U198"/>
      <c r="V198"/>
      <c r="W198"/>
      <c r="X198"/>
      <c r="Y198"/>
      <c r="Z198"/>
    </row>
    <row r="199" spans="2:26" ht="17" customHeight="1">
      <c r="B199"/>
      <c r="C199"/>
      <c r="D199"/>
      <c r="E199"/>
      <c r="F199"/>
      <c r="G199"/>
      <c r="H199"/>
      <c r="I199"/>
      <c r="J199"/>
      <c r="K199"/>
      <c r="L199"/>
      <c r="M199"/>
      <c r="N199"/>
      <c r="O199"/>
      <c r="P199"/>
      <c r="Q199"/>
      <c r="R199"/>
      <c r="S199"/>
      <c r="T199"/>
      <c r="U199"/>
      <c r="V199"/>
      <c r="W199"/>
      <c r="X199"/>
      <c r="Y199"/>
      <c r="Z199"/>
    </row>
    <row r="200" spans="2:26" ht="17" customHeight="1">
      <c r="B200"/>
      <c r="C200"/>
      <c r="D200"/>
      <c r="E200"/>
      <c r="F200"/>
      <c r="G200"/>
      <c r="H200"/>
      <c r="I200"/>
      <c r="J200"/>
      <c r="K200"/>
      <c r="L200"/>
      <c r="M200"/>
      <c r="N200"/>
      <c r="O200"/>
      <c r="P200"/>
      <c r="Q200"/>
      <c r="R200"/>
      <c r="S200"/>
      <c r="T200"/>
      <c r="U200"/>
      <c r="V200"/>
      <c r="W200"/>
      <c r="X200"/>
      <c r="Y200"/>
      <c r="Z200"/>
    </row>
    <row r="201" spans="2:26" ht="17" customHeight="1">
      <c r="B201"/>
      <c r="C201"/>
      <c r="D201"/>
      <c r="E201"/>
      <c r="F201"/>
      <c r="G201"/>
      <c r="H201"/>
      <c r="I201"/>
      <c r="J201"/>
      <c r="K201"/>
      <c r="L201"/>
      <c r="M201"/>
      <c r="N201"/>
      <c r="O201"/>
      <c r="P201"/>
      <c r="Q201"/>
      <c r="R201"/>
      <c r="S201"/>
      <c r="T201"/>
      <c r="U201"/>
      <c r="V201"/>
      <c r="W201"/>
      <c r="X201"/>
      <c r="Y201"/>
      <c r="Z201"/>
    </row>
    <row r="202" spans="2:26" ht="17" customHeight="1">
      <c r="B202"/>
      <c r="C202"/>
      <c r="D202"/>
      <c r="E202"/>
      <c r="F202"/>
      <c r="G202"/>
      <c r="H202"/>
      <c r="I202"/>
      <c r="J202"/>
      <c r="K202"/>
      <c r="L202"/>
      <c r="M202"/>
      <c r="N202"/>
      <c r="O202"/>
      <c r="P202"/>
      <c r="Q202"/>
      <c r="R202"/>
      <c r="S202"/>
      <c r="T202"/>
      <c r="U202"/>
      <c r="V202"/>
      <c r="W202"/>
      <c r="X202"/>
      <c r="Y202"/>
      <c r="Z202"/>
    </row>
    <row r="203" spans="2:26" ht="17" customHeight="1">
      <c r="B203"/>
      <c r="C203"/>
      <c r="D203"/>
      <c r="E203"/>
      <c r="F203"/>
      <c r="G203"/>
      <c r="H203"/>
      <c r="I203"/>
      <c r="J203"/>
      <c r="K203"/>
      <c r="L203"/>
      <c r="M203"/>
      <c r="N203"/>
      <c r="O203"/>
      <c r="P203"/>
      <c r="Q203"/>
      <c r="R203"/>
      <c r="S203"/>
      <c r="T203"/>
      <c r="U203"/>
      <c r="V203"/>
      <c r="W203"/>
      <c r="X203"/>
      <c r="Y203"/>
      <c r="Z203"/>
    </row>
    <row r="204" spans="2:26" ht="17" customHeight="1">
      <c r="B204"/>
      <c r="C204"/>
      <c r="D204"/>
      <c r="E204"/>
      <c r="F204"/>
      <c r="G204"/>
      <c r="H204"/>
      <c r="I204"/>
      <c r="J204"/>
      <c r="K204"/>
      <c r="L204"/>
      <c r="M204"/>
      <c r="N204"/>
      <c r="O204"/>
      <c r="P204"/>
      <c r="Q204"/>
      <c r="R204"/>
      <c r="S204"/>
      <c r="T204"/>
      <c r="U204"/>
      <c r="V204"/>
      <c r="W204"/>
      <c r="X204"/>
      <c r="Y204"/>
      <c r="Z204"/>
    </row>
    <row r="205" spans="2:26" ht="17" customHeight="1">
      <c r="B205"/>
      <c r="C205"/>
      <c r="D205"/>
      <c r="E205"/>
      <c r="F205"/>
      <c r="G205"/>
      <c r="H205"/>
      <c r="I205"/>
      <c r="J205"/>
      <c r="K205"/>
      <c r="L205"/>
      <c r="M205"/>
      <c r="N205"/>
      <c r="O205"/>
      <c r="P205"/>
      <c r="Q205"/>
      <c r="R205"/>
      <c r="S205"/>
      <c r="T205"/>
      <c r="U205"/>
      <c r="V205"/>
      <c r="W205"/>
      <c r="X205"/>
      <c r="Y205"/>
      <c r="Z205"/>
    </row>
    <row r="206" spans="2:26" ht="17" customHeight="1">
      <c r="B206"/>
      <c r="C206"/>
      <c r="D206"/>
      <c r="E206"/>
      <c r="F206"/>
      <c r="G206"/>
      <c r="H206"/>
      <c r="I206"/>
      <c r="J206"/>
      <c r="K206"/>
      <c r="L206"/>
      <c r="M206"/>
      <c r="N206"/>
      <c r="O206"/>
      <c r="P206"/>
      <c r="Q206"/>
      <c r="R206"/>
      <c r="S206"/>
      <c r="T206"/>
      <c r="U206"/>
      <c r="V206"/>
      <c r="W206"/>
      <c r="X206"/>
      <c r="Y206"/>
      <c r="Z206"/>
    </row>
    <row r="207" spans="2:26" ht="17" customHeight="1">
      <c r="B207"/>
      <c r="C207"/>
      <c r="D207"/>
      <c r="E207"/>
      <c r="F207"/>
      <c r="G207"/>
      <c r="H207"/>
      <c r="I207"/>
      <c r="J207"/>
      <c r="K207"/>
      <c r="L207"/>
      <c r="M207"/>
      <c r="N207"/>
      <c r="O207"/>
      <c r="P207"/>
      <c r="Q207"/>
      <c r="R207"/>
      <c r="S207"/>
      <c r="T207"/>
      <c r="U207"/>
      <c r="V207"/>
      <c r="W207"/>
      <c r="X207"/>
      <c r="Y207"/>
      <c r="Z207"/>
    </row>
    <row r="208" spans="2:26" ht="17" customHeight="1">
      <c r="B208"/>
      <c r="C208"/>
      <c r="D208"/>
      <c r="E208"/>
      <c r="F208"/>
      <c r="G208"/>
      <c r="H208"/>
      <c r="I208"/>
      <c r="J208"/>
      <c r="K208"/>
      <c r="L208"/>
      <c r="M208"/>
      <c r="N208"/>
      <c r="O208"/>
      <c r="P208"/>
      <c r="Q208"/>
      <c r="R208"/>
      <c r="S208"/>
      <c r="T208"/>
      <c r="U208"/>
      <c r="V208"/>
      <c r="W208"/>
      <c r="X208"/>
      <c r="Y208"/>
      <c r="Z208"/>
    </row>
    <row r="209" spans="2:26" ht="17" customHeight="1">
      <c r="B209"/>
      <c r="C209"/>
      <c r="D209"/>
      <c r="E209"/>
      <c r="F209"/>
      <c r="G209"/>
      <c r="H209"/>
      <c r="I209"/>
      <c r="J209"/>
      <c r="K209"/>
      <c r="L209"/>
      <c r="M209"/>
      <c r="N209"/>
      <c r="O209"/>
      <c r="P209"/>
      <c r="Q209"/>
      <c r="R209"/>
      <c r="S209"/>
      <c r="T209"/>
      <c r="U209"/>
      <c r="V209"/>
      <c r="W209"/>
      <c r="X209"/>
      <c r="Y209"/>
      <c r="Z209"/>
    </row>
    <row r="210" spans="2:26" ht="17" customHeight="1">
      <c r="B210"/>
      <c r="C210"/>
      <c r="D210"/>
      <c r="E210"/>
      <c r="F210"/>
      <c r="G210"/>
      <c r="H210"/>
      <c r="I210"/>
      <c r="J210"/>
      <c r="K210"/>
      <c r="L210"/>
      <c r="M210"/>
      <c r="N210"/>
      <c r="O210"/>
      <c r="P210"/>
      <c r="Q210"/>
      <c r="R210"/>
      <c r="S210"/>
      <c r="T210"/>
      <c r="U210"/>
      <c r="V210"/>
      <c r="W210"/>
      <c r="X210"/>
      <c r="Y210"/>
      <c r="Z210"/>
    </row>
    <row r="211" spans="2:26" ht="17" customHeight="1">
      <c r="B211"/>
      <c r="C211"/>
      <c r="D211"/>
      <c r="E211"/>
      <c r="F211"/>
      <c r="G211"/>
      <c r="H211"/>
      <c r="I211"/>
      <c r="J211"/>
      <c r="K211"/>
      <c r="L211"/>
      <c r="M211"/>
      <c r="N211"/>
      <c r="O211"/>
      <c r="P211"/>
      <c r="Q211"/>
      <c r="R211"/>
      <c r="S211"/>
      <c r="T211"/>
      <c r="U211"/>
      <c r="V211"/>
      <c r="W211"/>
      <c r="X211"/>
      <c r="Y211"/>
      <c r="Z211"/>
    </row>
    <row r="212" spans="2:26" ht="17" customHeight="1">
      <c r="B212"/>
      <c r="C212"/>
      <c r="D212"/>
      <c r="E212"/>
      <c r="F212"/>
      <c r="G212"/>
      <c r="H212"/>
      <c r="I212"/>
      <c r="J212"/>
      <c r="K212"/>
      <c r="L212"/>
      <c r="M212"/>
      <c r="N212"/>
      <c r="O212"/>
      <c r="P212"/>
      <c r="Q212"/>
      <c r="R212"/>
      <c r="S212"/>
      <c r="T212"/>
      <c r="U212"/>
      <c r="V212"/>
      <c r="W212"/>
      <c r="X212"/>
      <c r="Y212"/>
      <c r="Z212"/>
    </row>
    <row r="213" spans="2:26" ht="17" customHeight="1">
      <c r="B213"/>
      <c r="C213"/>
      <c r="D213"/>
      <c r="E213"/>
      <c r="F213"/>
      <c r="G213"/>
      <c r="H213"/>
      <c r="I213"/>
      <c r="J213"/>
      <c r="K213"/>
      <c r="L213"/>
      <c r="M213"/>
      <c r="N213"/>
      <c r="O213"/>
      <c r="P213"/>
      <c r="Q213"/>
      <c r="R213"/>
      <c r="S213"/>
      <c r="T213"/>
      <c r="U213"/>
      <c r="V213"/>
      <c r="W213"/>
      <c r="X213"/>
      <c r="Y213"/>
      <c r="Z213"/>
    </row>
    <row r="214" spans="2:26" ht="17" customHeight="1">
      <c r="B214"/>
      <c r="C214"/>
      <c r="D214"/>
      <c r="E214"/>
      <c r="F214"/>
      <c r="G214"/>
      <c r="H214"/>
      <c r="I214"/>
      <c r="J214"/>
      <c r="K214"/>
      <c r="L214"/>
      <c r="M214"/>
      <c r="N214"/>
      <c r="O214"/>
      <c r="P214"/>
      <c r="Q214"/>
      <c r="R214"/>
      <c r="S214"/>
      <c r="T214"/>
      <c r="U214"/>
      <c r="V214"/>
      <c r="W214"/>
      <c r="X214"/>
      <c r="Y214"/>
      <c r="Z214"/>
    </row>
    <row r="215" spans="2:26" ht="17" customHeight="1">
      <c r="B215"/>
      <c r="C215"/>
      <c r="D215"/>
      <c r="E215"/>
      <c r="F215"/>
      <c r="G215"/>
      <c r="H215"/>
      <c r="I215"/>
      <c r="J215"/>
      <c r="K215"/>
      <c r="L215"/>
      <c r="M215"/>
      <c r="N215"/>
      <c r="O215"/>
      <c r="P215"/>
      <c r="Q215"/>
      <c r="R215"/>
      <c r="S215"/>
      <c r="T215"/>
      <c r="U215"/>
      <c r="V215"/>
      <c r="W215"/>
      <c r="X215"/>
      <c r="Y215"/>
      <c r="Z215"/>
    </row>
    <row r="216" spans="2:26" ht="17" customHeight="1">
      <c r="B216"/>
      <c r="C216"/>
      <c r="D216"/>
      <c r="E216"/>
      <c r="F216"/>
      <c r="G216"/>
      <c r="H216"/>
      <c r="I216"/>
      <c r="J216"/>
      <c r="K216"/>
      <c r="L216"/>
      <c r="M216"/>
      <c r="N216"/>
      <c r="O216"/>
      <c r="P216"/>
      <c r="Q216"/>
      <c r="R216"/>
      <c r="S216"/>
      <c r="T216"/>
      <c r="U216"/>
      <c r="V216"/>
      <c r="W216"/>
      <c r="X216"/>
      <c r="Y216"/>
      <c r="Z216"/>
    </row>
    <row r="217" spans="2:26" ht="17" customHeight="1">
      <c r="B217"/>
      <c r="C217"/>
      <c r="D217"/>
      <c r="E217"/>
      <c r="F217"/>
      <c r="G217"/>
      <c r="H217"/>
      <c r="I217"/>
      <c r="J217"/>
      <c r="K217"/>
      <c r="L217"/>
      <c r="M217"/>
      <c r="N217"/>
      <c r="O217"/>
      <c r="P217"/>
      <c r="Q217"/>
      <c r="R217"/>
      <c r="S217"/>
      <c r="T217"/>
      <c r="U217"/>
      <c r="V217"/>
      <c r="W217"/>
      <c r="X217"/>
      <c r="Y217"/>
      <c r="Z217"/>
    </row>
    <row r="218" spans="2:26" ht="17" customHeight="1">
      <c r="O218" s="1"/>
      <c r="P218" s="1"/>
      <c r="R218" s="1"/>
      <c r="S218" s="1"/>
      <c r="T218" s="1"/>
      <c r="X218" s="1"/>
    </row>
    <row r="219" spans="2:26" ht="17" customHeight="1">
      <c r="O219" s="1"/>
      <c r="P219" s="1"/>
      <c r="R219" s="1"/>
      <c r="S219" s="1"/>
      <c r="T219" s="1"/>
      <c r="X219" s="1"/>
    </row>
    <row r="220" spans="2:26" ht="17" customHeight="1">
      <c r="O220" s="1"/>
      <c r="P220" s="1"/>
      <c r="R220" s="1"/>
      <c r="S220" s="1"/>
      <c r="T220" s="1"/>
      <c r="X220" s="1"/>
    </row>
    <row r="221" spans="2:26" ht="17" customHeight="1">
      <c r="O221" s="1"/>
      <c r="P221" s="1"/>
      <c r="R221" s="1"/>
      <c r="S221" s="1"/>
      <c r="T221" s="1"/>
      <c r="X221" s="1"/>
    </row>
    <row r="222" spans="2:26" ht="17" customHeight="1">
      <c r="O222" s="1"/>
      <c r="P222" s="1"/>
      <c r="R222" s="1"/>
      <c r="S222" s="1"/>
      <c r="T222" s="1"/>
      <c r="X222" s="1"/>
    </row>
    <row r="223" spans="2:26" ht="17" customHeight="1">
      <c r="O223" s="1"/>
      <c r="P223" s="1"/>
      <c r="R223" s="1"/>
      <c r="S223" s="1"/>
      <c r="T223" s="1"/>
      <c r="X223" s="1"/>
    </row>
    <row r="224" spans="2:26" ht="17" customHeight="1">
      <c r="O224" s="1"/>
      <c r="P224" s="1"/>
      <c r="R224" s="1"/>
      <c r="S224" s="1"/>
      <c r="T224" s="1"/>
      <c r="X224" s="1"/>
    </row>
    <row r="225" s="1" customFormat="1" ht="17" customHeight="1"/>
    <row r="226" s="1" customFormat="1" ht="17" customHeight="1"/>
    <row r="227" s="1" customFormat="1" ht="17" customHeight="1"/>
    <row r="228" s="1" customFormat="1" ht="17" customHeight="1"/>
    <row r="229" s="1" customFormat="1" ht="17" customHeight="1"/>
    <row r="230" s="1" customFormat="1" ht="17" customHeight="1"/>
    <row r="231" s="1" customFormat="1" ht="17" customHeight="1"/>
    <row r="232" s="1" customFormat="1" ht="17" customHeight="1"/>
    <row r="233" s="1" customFormat="1" ht="17" customHeight="1"/>
    <row r="234" s="1" customFormat="1" ht="17" customHeight="1"/>
    <row r="235" s="1" customFormat="1" ht="17" customHeight="1"/>
    <row r="236" s="1" customFormat="1" ht="17" customHeight="1"/>
    <row r="237" s="1" customFormat="1" ht="17" customHeight="1"/>
    <row r="238" s="1" customFormat="1" ht="17" customHeight="1"/>
    <row r="239" s="1" customFormat="1" ht="17" customHeight="1"/>
    <row r="240" s="1" customFormat="1" ht="17" customHeight="1"/>
    <row r="241" s="1" customFormat="1" ht="17" customHeight="1"/>
    <row r="242" s="1" customFormat="1" ht="17" customHeight="1"/>
    <row r="243" s="1" customFormat="1" ht="17" customHeight="1"/>
    <row r="244" s="1" customFormat="1" ht="17" customHeight="1"/>
    <row r="245" s="1" customFormat="1" ht="17" customHeight="1"/>
    <row r="246" s="1" customFormat="1" ht="17" customHeight="1"/>
    <row r="247" s="1" customFormat="1" ht="17" customHeight="1"/>
    <row r="248" s="1" customFormat="1" ht="17" customHeight="1"/>
    <row r="249" s="1" customFormat="1" ht="17" customHeight="1"/>
    <row r="250" s="1" customFormat="1" ht="17" customHeight="1"/>
    <row r="251" s="1" customFormat="1" ht="17" customHeight="1"/>
    <row r="252" s="1" customFormat="1" ht="17" customHeight="1"/>
    <row r="253" s="1" customFormat="1" ht="17" customHeight="1"/>
    <row r="254" s="1" customFormat="1" ht="17" customHeight="1"/>
    <row r="255" s="1" customFormat="1" ht="17" customHeight="1"/>
    <row r="256" s="1" customFormat="1" ht="17" customHeight="1"/>
    <row r="257" s="1" customFormat="1" ht="17" customHeight="1"/>
    <row r="258" s="1" customFormat="1" ht="17" customHeight="1"/>
    <row r="259" s="1" customFormat="1" ht="17" customHeight="1"/>
    <row r="260" s="1" customFormat="1" ht="17" customHeight="1"/>
    <row r="261" s="1" customFormat="1" ht="17" customHeight="1"/>
    <row r="262" s="1" customFormat="1" ht="17" customHeight="1"/>
    <row r="263" s="1" customFormat="1" ht="17" customHeight="1"/>
    <row r="264" s="1" customFormat="1" ht="17" customHeight="1"/>
    <row r="265" s="1" customFormat="1" ht="17" customHeight="1"/>
    <row r="266" s="1" customFormat="1" ht="17" customHeight="1"/>
    <row r="267" s="1" customFormat="1" ht="17" customHeight="1"/>
    <row r="268" s="1" customFormat="1" ht="17" customHeight="1"/>
    <row r="269" s="1" customFormat="1" ht="17" customHeight="1"/>
    <row r="270" s="1" customFormat="1" ht="17" customHeight="1"/>
    <row r="271" s="1" customFormat="1" ht="17" customHeight="1"/>
    <row r="272" s="1" customFormat="1" ht="17" customHeight="1"/>
    <row r="273" s="1" customFormat="1" ht="17" customHeight="1"/>
    <row r="274" s="1" customFormat="1" ht="17" customHeight="1"/>
    <row r="275" s="1" customFormat="1" ht="17" customHeight="1"/>
    <row r="276" s="1" customFormat="1" ht="17" customHeight="1"/>
    <row r="277" s="1" customFormat="1" ht="17" customHeight="1"/>
    <row r="278" s="1" customFormat="1" ht="17" customHeight="1"/>
    <row r="279" s="1" customFormat="1" ht="17" customHeight="1"/>
    <row r="280" s="1" customFormat="1" ht="17" customHeight="1"/>
    <row r="281" s="1" customFormat="1" ht="17" customHeight="1"/>
    <row r="282" s="1" customFormat="1" ht="17" customHeight="1"/>
    <row r="283" s="1" customFormat="1" ht="17" customHeight="1"/>
    <row r="284" s="1" customFormat="1" ht="17" customHeight="1"/>
    <row r="285" s="1" customFormat="1" ht="17" customHeight="1"/>
    <row r="286" s="1" customFormat="1" ht="17" customHeight="1"/>
    <row r="287" s="1" customFormat="1" ht="17" customHeight="1"/>
    <row r="288" s="1" customFormat="1" ht="17" customHeight="1"/>
    <row r="289" s="1" customFormat="1" ht="17" customHeight="1"/>
    <row r="290" s="1" customFormat="1" ht="17" customHeight="1"/>
    <row r="291" s="1" customFormat="1" ht="17" customHeight="1"/>
    <row r="292" s="1" customFormat="1" ht="17" customHeight="1"/>
    <row r="293" s="1" customFormat="1" ht="17" customHeight="1"/>
    <row r="294" s="1" customFormat="1" ht="17" customHeight="1"/>
    <row r="295" s="1" customFormat="1" ht="17" customHeight="1"/>
    <row r="296" s="1" customFormat="1" ht="17" customHeight="1"/>
    <row r="297" s="1" customFormat="1" ht="17" customHeight="1"/>
    <row r="298" s="1" customFormat="1" ht="17" customHeight="1"/>
    <row r="299" s="1" customFormat="1" ht="17" customHeight="1"/>
    <row r="300" s="1" customFormat="1" ht="17" customHeight="1"/>
    <row r="301" s="1" customFormat="1" ht="17" customHeight="1"/>
    <row r="302" s="1" customFormat="1" ht="17" customHeight="1"/>
    <row r="303" s="1" customFormat="1" ht="17" customHeight="1"/>
    <row r="304" s="1" customFormat="1" ht="17" customHeight="1"/>
    <row r="305" s="1" customFormat="1" ht="17" customHeight="1"/>
    <row r="306" s="1" customFormat="1" ht="17" customHeight="1"/>
    <row r="307" s="1" customFormat="1" ht="17" customHeight="1"/>
    <row r="308" s="1" customFormat="1" ht="17" customHeight="1"/>
    <row r="309" s="1" customFormat="1" ht="17" customHeight="1"/>
    <row r="310" s="1" customFormat="1" ht="17" customHeight="1"/>
    <row r="311" s="1" customFormat="1" ht="17" customHeight="1"/>
    <row r="312" s="1" customFormat="1" ht="17" customHeight="1"/>
    <row r="313" s="1" customFormat="1" ht="17" customHeight="1"/>
    <row r="314" s="1" customFormat="1" ht="17" customHeight="1"/>
    <row r="315" s="1" customFormat="1" ht="17" customHeight="1"/>
    <row r="316" s="1" customFormat="1" ht="17" customHeight="1"/>
    <row r="317" s="1" customFormat="1" ht="17" customHeight="1"/>
    <row r="318" s="1" customFormat="1" ht="17" customHeight="1"/>
    <row r="319" s="1" customFormat="1" ht="17" customHeight="1"/>
    <row r="320" s="1" customFormat="1" ht="17" customHeight="1"/>
    <row r="321" s="1" customFormat="1" ht="17" customHeight="1"/>
    <row r="322" s="1" customFormat="1" ht="17" customHeight="1"/>
    <row r="323" s="1" customFormat="1" ht="17" customHeight="1"/>
    <row r="324" s="1" customFormat="1" ht="17" customHeight="1"/>
    <row r="325" s="1" customFormat="1" ht="17" customHeight="1"/>
    <row r="326" s="1" customFormat="1" ht="17" customHeight="1"/>
    <row r="327" s="1" customFormat="1" ht="17" customHeight="1"/>
    <row r="328" s="1" customFormat="1" ht="17" customHeight="1"/>
    <row r="329" s="1" customFormat="1" ht="17" customHeight="1"/>
    <row r="330" s="1" customFormat="1" ht="17" customHeight="1"/>
    <row r="331" s="1" customFormat="1" ht="17" customHeight="1"/>
    <row r="332" s="1" customFormat="1" ht="17" customHeight="1"/>
    <row r="333" s="1" customFormat="1" ht="17" customHeight="1"/>
    <row r="334" s="1" customFormat="1" ht="17" customHeight="1"/>
    <row r="335" s="1" customFormat="1" ht="17" customHeight="1"/>
    <row r="336" s="1" customFormat="1" ht="17" customHeight="1"/>
    <row r="337" s="1" customFormat="1" ht="17" customHeight="1"/>
    <row r="338" s="1" customFormat="1" ht="17" customHeight="1"/>
    <row r="339" s="1" customFormat="1" ht="17" customHeight="1"/>
    <row r="340" s="1" customFormat="1" ht="17" customHeight="1"/>
    <row r="341" s="1" customFormat="1" ht="17" customHeight="1"/>
    <row r="342" s="1" customFormat="1" ht="17" customHeight="1"/>
    <row r="343" s="1" customFormat="1" ht="17" customHeight="1"/>
    <row r="344" s="1" customFormat="1" ht="17" customHeight="1"/>
    <row r="345" s="1" customFormat="1" ht="17" customHeight="1"/>
    <row r="346" s="1" customFormat="1" ht="17" customHeight="1"/>
    <row r="347" s="1" customFormat="1" ht="17" customHeight="1"/>
    <row r="348" s="1" customFormat="1" ht="17" customHeight="1"/>
    <row r="349" s="1" customFormat="1" ht="17" customHeight="1"/>
    <row r="350" s="1" customFormat="1" ht="17" customHeight="1"/>
    <row r="351" s="1" customFormat="1" ht="17" customHeight="1"/>
    <row r="352" s="1" customFormat="1" ht="17" customHeight="1"/>
    <row r="353" s="1" customFormat="1" ht="17" customHeight="1"/>
    <row r="354" s="1" customFormat="1" ht="17" customHeight="1"/>
    <row r="355" s="1" customFormat="1" ht="17" customHeight="1"/>
    <row r="356" s="1" customFormat="1" ht="17" customHeight="1"/>
    <row r="357" s="1" customFormat="1" ht="17" customHeight="1"/>
    <row r="358" s="1" customFormat="1" ht="17" customHeight="1"/>
    <row r="359" s="1" customFormat="1" ht="17" customHeight="1"/>
    <row r="360" s="1" customFormat="1" ht="17" customHeight="1"/>
    <row r="361" s="1" customFormat="1" ht="17" customHeight="1"/>
    <row r="362" s="1" customFormat="1" ht="17" customHeight="1"/>
    <row r="363" s="1" customFormat="1" ht="17" customHeight="1"/>
    <row r="364" s="1" customFormat="1" ht="17" customHeight="1"/>
    <row r="365" s="1" customFormat="1" ht="17" customHeight="1"/>
    <row r="366" s="1" customFormat="1" ht="17" customHeight="1"/>
    <row r="367" s="1" customFormat="1" ht="17" customHeight="1"/>
    <row r="368" s="1" customFormat="1" ht="17" customHeight="1"/>
    <row r="369" s="1" customFormat="1" ht="17" customHeight="1"/>
    <row r="370" s="1" customFormat="1" ht="17" customHeight="1"/>
    <row r="371" s="1" customFormat="1" ht="17" customHeight="1"/>
    <row r="372" s="1" customFormat="1" ht="17" customHeight="1"/>
    <row r="373" s="1" customFormat="1" ht="17" customHeight="1"/>
    <row r="374" s="1" customFormat="1" ht="17" customHeight="1"/>
    <row r="375" s="1" customFormat="1" ht="17" customHeight="1"/>
    <row r="376" s="1" customFormat="1" ht="17" customHeight="1"/>
    <row r="377" s="1" customFormat="1" ht="17" customHeight="1"/>
    <row r="378" s="1" customFormat="1" ht="17" customHeight="1"/>
    <row r="379" s="1" customFormat="1" ht="17" customHeight="1"/>
    <row r="380" s="1" customFormat="1" ht="17" customHeight="1"/>
    <row r="381" s="1" customFormat="1" ht="17" customHeight="1"/>
    <row r="382" s="1" customFormat="1" ht="17" customHeight="1"/>
    <row r="383" s="1" customFormat="1" ht="17" customHeight="1"/>
    <row r="384" s="1" customFormat="1" ht="17" customHeight="1"/>
    <row r="385" s="1" customFormat="1" ht="17" customHeight="1"/>
    <row r="386" s="1" customFormat="1" ht="17" customHeight="1"/>
    <row r="387" s="1" customFormat="1" ht="17" customHeight="1"/>
    <row r="388" s="1" customFormat="1" ht="17" customHeight="1"/>
    <row r="389" s="1" customFormat="1" ht="17" customHeight="1"/>
    <row r="390" s="1" customFormat="1" ht="17" customHeight="1"/>
    <row r="391" s="1" customFormat="1" ht="17" customHeight="1"/>
    <row r="392" s="1" customFormat="1" ht="17" customHeight="1"/>
    <row r="393" s="1" customFormat="1" ht="17" customHeight="1"/>
    <row r="394" s="1" customFormat="1" ht="17" customHeight="1"/>
    <row r="395" s="1" customFormat="1" ht="17" customHeight="1"/>
    <row r="396" s="1" customFormat="1" ht="17" customHeight="1"/>
    <row r="397" s="1" customFormat="1" ht="17" customHeight="1"/>
    <row r="398" s="1" customFormat="1" ht="17" customHeight="1"/>
    <row r="399" s="1" customFormat="1" ht="17" customHeight="1"/>
    <row r="400" s="1" customFormat="1" ht="17" customHeight="1"/>
    <row r="401" s="1" customFormat="1" ht="17" customHeight="1"/>
    <row r="402" s="1" customFormat="1" ht="17" customHeight="1"/>
    <row r="403" s="1" customFormat="1" ht="17" customHeight="1"/>
    <row r="404" s="1" customFormat="1" ht="17" customHeight="1"/>
    <row r="405" s="1" customFormat="1" ht="17" customHeight="1"/>
    <row r="406" s="1" customFormat="1" ht="17" customHeight="1"/>
    <row r="407" s="1" customFormat="1" ht="17" customHeight="1"/>
    <row r="408" s="1" customFormat="1" ht="17" customHeight="1"/>
    <row r="409" s="1" customFormat="1" ht="17" customHeight="1"/>
    <row r="410" s="1" customFormat="1" ht="17" customHeight="1"/>
    <row r="411" s="1" customFormat="1" ht="17" customHeight="1"/>
    <row r="412" s="1" customFormat="1" ht="17" customHeight="1"/>
    <row r="413" s="1" customFormat="1" ht="17" customHeight="1"/>
    <row r="414" s="1" customFormat="1" ht="17" customHeight="1"/>
    <row r="415" s="1" customFormat="1" ht="17" customHeight="1"/>
    <row r="416" s="1" customFormat="1" ht="17" customHeight="1"/>
    <row r="417" s="1" customFormat="1" ht="17" customHeight="1"/>
    <row r="418" s="1" customFormat="1" ht="17" customHeight="1"/>
    <row r="419" s="1" customFormat="1" ht="17" customHeight="1"/>
    <row r="420" s="1" customFormat="1" ht="17" customHeight="1"/>
    <row r="421" s="1" customFormat="1" ht="17" customHeight="1"/>
    <row r="422" s="1" customFormat="1" ht="17" customHeight="1"/>
    <row r="423" s="1" customFormat="1" ht="17" customHeight="1"/>
    <row r="424" s="1" customFormat="1" ht="17" customHeight="1"/>
    <row r="425" s="1" customFormat="1" ht="17" customHeight="1"/>
    <row r="426" s="1" customFormat="1" ht="17" customHeight="1"/>
    <row r="427" s="1" customFormat="1" ht="17" customHeight="1"/>
    <row r="428" s="1" customFormat="1" ht="17" customHeight="1"/>
    <row r="429" s="1" customFormat="1" ht="17" customHeight="1"/>
    <row r="430" s="1" customFormat="1" ht="17" customHeight="1"/>
    <row r="431" s="1" customFormat="1" ht="17" customHeight="1"/>
    <row r="432" s="1" customFormat="1" ht="17" customHeight="1"/>
    <row r="433" s="1" customFormat="1" ht="17" customHeight="1"/>
    <row r="434" s="1" customFormat="1" ht="17" customHeight="1"/>
  </sheetData>
  <mergeCells count="2">
    <mergeCell ref="B2:N2"/>
    <mergeCell ref="B3:N3"/>
  </mergeCells>
  <printOptions horizontalCentered="1"/>
  <pageMargins left="0.7" right="0.7" top="0.75" bottom="0.75" header="0.3" footer="0.3"/>
  <pageSetup scale="42" fitToHeight="10" orientation="landscape" horizontalDpi="1200" verticalDpi="12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0A4AB-010F-E24E-9265-4185A0CA9B8C}">
  <sheetPr>
    <pageSetUpPr fitToPage="1"/>
  </sheetPr>
  <dimension ref="B2:Y864"/>
  <sheetViews>
    <sheetView view="pageBreakPreview" topLeftCell="D1" zoomScale="50" zoomScaleNormal="90" zoomScaleSheetLayoutView="50" workbookViewId="0">
      <pane ySplit="5" topLeftCell="A511" activePane="bottomLeft" state="frozen"/>
      <selection pane="bottomLeft" activeCell="G560" sqref="G560"/>
    </sheetView>
  </sheetViews>
  <sheetFormatPr baseColWidth="10" defaultColWidth="10.83203125" defaultRowHeight="24" customHeight="1"/>
  <cols>
    <col min="1" max="1" width="10.83203125" style="1"/>
    <col min="2" max="2" width="19.83203125" style="1" customWidth="1"/>
    <col min="3" max="3" width="17.83203125" style="1" customWidth="1"/>
    <col min="4" max="4" width="24.1640625" style="1" bestFit="1" customWidth="1"/>
    <col min="5" max="5" width="58.33203125" style="1" bestFit="1" customWidth="1"/>
    <col min="6" max="9" width="15.6640625" style="1" customWidth="1"/>
    <col min="10" max="10" width="17.1640625" style="1" bestFit="1" customWidth="1"/>
    <col min="11" max="11" width="21.6640625" style="1" customWidth="1"/>
    <col min="12" max="12" width="13.83203125" style="1" bestFit="1" customWidth="1"/>
    <col min="13" max="13" width="22.6640625" style="1" customWidth="1"/>
    <col min="14" max="14" width="19.5" style="130" bestFit="1" customWidth="1"/>
    <col min="15" max="15" width="16" style="1" customWidth="1"/>
    <col min="16" max="16" width="15.33203125" style="1" customWidth="1"/>
    <col min="17" max="17" width="15.6640625" style="1" customWidth="1"/>
    <col min="18" max="18" width="19.6640625" style="1" customWidth="1"/>
    <col min="19" max="20" width="14.5" style="1" customWidth="1"/>
    <col min="21" max="21" width="16.33203125" style="1" customWidth="1"/>
    <col min="22" max="22" width="20" style="1" bestFit="1" customWidth="1"/>
    <col min="23" max="23" width="22.83203125" style="1" customWidth="1"/>
    <col min="24" max="24" width="23.33203125" style="1" customWidth="1"/>
    <col min="25" max="25" width="21.83203125" style="1" customWidth="1"/>
    <col min="26" max="16384" width="10.83203125" style="1"/>
  </cols>
  <sheetData>
    <row r="2" spans="2:25" ht="24" customHeight="1">
      <c r="B2" s="125" t="s">
        <v>463</v>
      </c>
      <c r="C2" s="125"/>
      <c r="D2" s="125"/>
      <c r="E2" s="125"/>
      <c r="F2" s="125"/>
      <c r="G2" s="125"/>
      <c r="H2" s="125"/>
      <c r="I2" s="125"/>
      <c r="J2" s="125"/>
      <c r="K2" s="125"/>
      <c r="L2" s="125"/>
      <c r="M2" s="125"/>
      <c r="N2" s="125"/>
      <c r="O2" s="125"/>
      <c r="P2" s="125"/>
      <c r="Q2" s="125"/>
      <c r="R2" s="125"/>
      <c r="S2" s="125"/>
      <c r="T2" s="125"/>
      <c r="U2" s="125"/>
      <c r="V2" s="125"/>
      <c r="W2" s="125"/>
      <c r="X2" s="125"/>
      <c r="Y2" s="125"/>
    </row>
    <row r="3" spans="2:25" ht="24" customHeight="1">
      <c r="B3" s="53" t="s">
        <v>486</v>
      </c>
      <c r="C3" s="53"/>
      <c r="D3" s="53"/>
      <c r="E3" s="53"/>
      <c r="F3" s="53"/>
      <c r="G3" s="53"/>
      <c r="H3" s="53"/>
      <c r="I3" s="53"/>
      <c r="J3" s="53"/>
      <c r="K3" s="53"/>
      <c r="L3" s="53"/>
      <c r="M3" s="53"/>
      <c r="N3" s="53"/>
      <c r="O3" s="53"/>
      <c r="P3" s="53"/>
      <c r="Q3" s="53"/>
      <c r="R3" s="53"/>
      <c r="S3" s="53"/>
      <c r="T3" s="53"/>
      <c r="U3" s="53"/>
      <c r="V3" s="53"/>
      <c r="W3" s="53"/>
      <c r="X3" s="53"/>
      <c r="Y3" s="53"/>
    </row>
    <row r="4" spans="2:25" ht="14" customHeight="1">
      <c r="B4" s="540" t="s">
        <v>443</v>
      </c>
      <c r="C4" s="122" t="s">
        <v>676</v>
      </c>
      <c r="D4" s="24"/>
      <c r="E4" s="123"/>
      <c r="F4" s="123"/>
      <c r="G4" s="123"/>
      <c r="H4" s="123"/>
      <c r="I4" s="123"/>
      <c r="J4" s="123"/>
      <c r="K4" s="123"/>
      <c r="L4" s="123"/>
      <c r="M4" s="123"/>
      <c r="N4" s="123"/>
      <c r="O4" s="123"/>
      <c r="P4" s="123"/>
      <c r="Q4" s="123"/>
      <c r="R4" s="123"/>
      <c r="S4" s="123"/>
      <c r="T4" s="123"/>
      <c r="U4" s="123"/>
      <c r="V4" s="123"/>
      <c r="W4" s="123"/>
      <c r="X4" s="26"/>
      <c r="Y4" s="26"/>
    </row>
    <row r="5" spans="2:25" s="121" customFormat="1" ht="45">
      <c r="B5" s="127" t="s">
        <v>53</v>
      </c>
      <c r="C5" s="127" t="s">
        <v>315</v>
      </c>
      <c r="D5" s="127" t="s">
        <v>178</v>
      </c>
      <c r="E5" s="127" t="s">
        <v>226</v>
      </c>
      <c r="F5" s="127" t="s">
        <v>228</v>
      </c>
      <c r="G5" s="127" t="s">
        <v>286</v>
      </c>
      <c r="H5" s="127" t="s">
        <v>227</v>
      </c>
      <c r="I5" s="127" t="s">
        <v>280</v>
      </c>
      <c r="J5" s="127" t="s">
        <v>283</v>
      </c>
      <c r="K5" s="127" t="s">
        <v>318</v>
      </c>
      <c r="L5" s="127" t="s">
        <v>224</v>
      </c>
      <c r="M5" s="127" t="s">
        <v>628</v>
      </c>
      <c r="N5" s="127" t="s">
        <v>497</v>
      </c>
      <c r="O5" s="127" t="s">
        <v>316</v>
      </c>
      <c r="P5" s="127" t="s">
        <v>222</v>
      </c>
      <c r="Q5" s="127" t="s">
        <v>317</v>
      </c>
      <c r="R5" s="127" t="s">
        <v>494</v>
      </c>
      <c r="S5" s="127" t="s">
        <v>496</v>
      </c>
      <c r="T5" s="127" t="s">
        <v>495</v>
      </c>
      <c r="U5" s="127" t="s">
        <v>223</v>
      </c>
      <c r="V5" s="127" t="s">
        <v>500</v>
      </c>
      <c r="W5" s="127" t="s">
        <v>319</v>
      </c>
      <c r="X5"/>
      <c r="Y5"/>
    </row>
    <row r="6" spans="2:25" ht="16">
      <c r="B6" s="67" t="s">
        <v>774</v>
      </c>
      <c r="J6" s="691"/>
      <c r="K6" s="728"/>
      <c r="L6" s="341"/>
      <c r="M6" s="341"/>
      <c r="N6" s="692"/>
      <c r="O6" s="728"/>
      <c r="P6" s="341"/>
      <c r="Q6" s="360"/>
      <c r="R6" s="692"/>
      <c r="S6" s="341"/>
      <c r="T6" s="341"/>
      <c r="U6" s="341"/>
      <c r="V6" s="692"/>
      <c r="W6" s="692"/>
      <c r="X6"/>
      <c r="Y6"/>
    </row>
    <row r="7" spans="2:25" ht="16">
      <c r="B7" s="67"/>
      <c r="C7" s="4" t="s">
        <v>113</v>
      </c>
      <c r="D7" s="4"/>
      <c r="E7" s="4"/>
      <c r="F7" s="4"/>
      <c r="G7" s="4"/>
      <c r="H7" s="4"/>
      <c r="I7" s="4"/>
      <c r="J7" s="691"/>
      <c r="K7" s="728"/>
      <c r="L7" s="341"/>
      <c r="M7" s="341"/>
      <c r="N7" s="692"/>
      <c r="O7" s="728"/>
      <c r="P7" s="341"/>
      <c r="Q7" s="360"/>
      <c r="R7" s="692"/>
      <c r="S7" s="341"/>
      <c r="T7" s="341"/>
      <c r="U7" s="341"/>
      <c r="V7" s="692"/>
      <c r="W7" s="692"/>
      <c r="X7"/>
      <c r="Y7"/>
    </row>
    <row r="8" spans="2:25" ht="16">
      <c r="B8" s="67"/>
      <c r="D8" s="1" t="s">
        <v>957</v>
      </c>
      <c r="J8" s="691"/>
      <c r="K8" s="728"/>
      <c r="L8" s="341"/>
      <c r="M8" s="341"/>
      <c r="N8" s="692"/>
      <c r="O8" s="728"/>
      <c r="P8" s="341"/>
      <c r="Q8" s="360"/>
      <c r="R8" s="692"/>
      <c r="S8" s="341"/>
      <c r="T8" s="341"/>
      <c r="U8" s="341"/>
      <c r="V8" s="692"/>
      <c r="W8" s="692"/>
      <c r="X8"/>
      <c r="Y8"/>
    </row>
    <row r="9" spans="2:25" ht="16">
      <c r="B9" s="67"/>
      <c r="E9" s="1" t="s">
        <v>738</v>
      </c>
      <c r="J9" s="691"/>
      <c r="K9" s="728"/>
      <c r="L9" s="341"/>
      <c r="M9" s="341"/>
      <c r="N9" s="692"/>
      <c r="O9" s="728"/>
      <c r="P9" s="341"/>
      <c r="Q9" s="360"/>
      <c r="R9" s="692"/>
      <c r="S9" s="341"/>
      <c r="T9" s="341"/>
      <c r="U9" s="341"/>
      <c r="V9" s="692"/>
      <c r="W9" s="692"/>
      <c r="X9"/>
      <c r="Y9"/>
    </row>
    <row r="10" spans="2:25" ht="16">
      <c r="B10" s="67"/>
      <c r="F10" s="344">
        <v>44697</v>
      </c>
      <c r="G10" s="344"/>
      <c r="H10" s="344"/>
      <c r="I10" s="344"/>
      <c r="J10" s="691"/>
      <c r="K10" s="728"/>
      <c r="L10" s="341"/>
      <c r="M10" s="341"/>
      <c r="N10" s="692"/>
      <c r="O10" s="728"/>
      <c r="P10" s="341"/>
      <c r="Q10" s="360"/>
      <c r="R10" s="692"/>
      <c r="S10" s="341"/>
      <c r="T10" s="341"/>
      <c r="U10" s="341"/>
      <c r="V10" s="692"/>
      <c r="W10" s="692"/>
      <c r="X10"/>
      <c r="Y10"/>
    </row>
    <row r="11" spans="2:25" ht="16">
      <c r="B11" s="67"/>
      <c r="G11" s="3" t="s">
        <v>59</v>
      </c>
      <c r="H11" s="3"/>
      <c r="I11" s="3"/>
      <c r="J11" s="691"/>
      <c r="K11" s="728"/>
      <c r="L11" s="341"/>
      <c r="M11" s="341"/>
      <c r="N11" s="692"/>
      <c r="O11" s="728"/>
      <c r="P11" s="341"/>
      <c r="Q11" s="360"/>
      <c r="R11" s="692"/>
      <c r="S11" s="341"/>
      <c r="T11" s="341"/>
      <c r="U11" s="341"/>
      <c r="V11" s="692"/>
      <c r="W11" s="692"/>
      <c r="X11"/>
      <c r="Y11"/>
    </row>
    <row r="12" spans="2:25" ht="16">
      <c r="B12" s="67"/>
      <c r="H12" s="345">
        <v>44586</v>
      </c>
      <c r="I12" s="345"/>
      <c r="J12" s="691"/>
      <c r="K12" s="728"/>
      <c r="L12" s="341"/>
      <c r="M12" s="341"/>
      <c r="N12" s="692"/>
      <c r="O12" s="728"/>
      <c r="P12" s="341"/>
      <c r="Q12" s="360"/>
      <c r="R12" s="692"/>
      <c r="S12" s="341"/>
      <c r="T12" s="341"/>
      <c r="U12" s="341"/>
      <c r="V12" s="692"/>
      <c r="W12" s="692"/>
      <c r="X12"/>
      <c r="Y12"/>
    </row>
    <row r="13" spans="2:25" ht="16">
      <c r="B13" s="67"/>
      <c r="I13" s="3" t="s">
        <v>59</v>
      </c>
      <c r="J13" s="691">
        <v>1895</v>
      </c>
      <c r="K13" s="728">
        <v>9978.5</v>
      </c>
      <c r="L13" s="341">
        <v>1</v>
      </c>
      <c r="M13" s="341">
        <v>20.32</v>
      </c>
      <c r="N13" s="692">
        <v>202763.12</v>
      </c>
      <c r="O13" s="728">
        <v>10121.31</v>
      </c>
      <c r="P13" s="341">
        <v>1</v>
      </c>
      <c r="Q13" s="360">
        <v>20.459800000000001</v>
      </c>
      <c r="R13" s="692">
        <v>207079.97833800002</v>
      </c>
      <c r="S13" s="341">
        <v>118.002</v>
      </c>
      <c r="T13" s="341">
        <v>120.809</v>
      </c>
      <c r="U13" s="341">
        <v>1.0237000000000001</v>
      </c>
      <c r="V13" s="692">
        <v>211987.77382461063</v>
      </c>
      <c r="W13" s="692">
        <v>-9224.6538246106356</v>
      </c>
      <c r="X13"/>
      <c r="Y13"/>
    </row>
    <row r="14" spans="2:25" ht="16">
      <c r="J14" s="691"/>
      <c r="K14" s="728"/>
      <c r="L14" s="341"/>
      <c r="M14" s="341"/>
      <c r="N14" s="692"/>
      <c r="O14" s="728"/>
      <c r="P14" s="341"/>
      <c r="Q14" s="360"/>
      <c r="R14" s="692"/>
      <c r="S14" s="341"/>
      <c r="T14" s="341"/>
      <c r="U14" s="341"/>
      <c r="V14" s="692"/>
      <c r="W14" s="692"/>
      <c r="X14"/>
      <c r="Y14"/>
    </row>
    <row r="15" spans="2:25" ht="16">
      <c r="B15" s="67"/>
      <c r="E15" s="131" t="s">
        <v>858</v>
      </c>
      <c r="F15" s="131"/>
      <c r="G15" s="131"/>
      <c r="H15" s="131"/>
      <c r="I15" s="131"/>
      <c r="J15" s="729">
        <v>1895</v>
      </c>
      <c r="K15" s="730">
        <v>9978.5</v>
      </c>
      <c r="L15" s="366">
        <v>1</v>
      </c>
      <c r="M15" s="374">
        <v>20.32</v>
      </c>
      <c r="N15" s="704">
        <v>202763.12</v>
      </c>
      <c r="O15" s="730">
        <v>10121.31</v>
      </c>
      <c r="P15" s="366">
        <v>1</v>
      </c>
      <c r="Q15" s="374">
        <v>20.459800000000001</v>
      </c>
      <c r="R15" s="704">
        <v>207079.97833800002</v>
      </c>
      <c r="S15" s="366">
        <v>118.002</v>
      </c>
      <c r="T15" s="366">
        <v>120.809</v>
      </c>
      <c r="U15" s="366">
        <v>1.0237000000000001</v>
      </c>
      <c r="V15" s="704">
        <v>211987.77382461063</v>
      </c>
      <c r="W15" s="704">
        <v>-9224.6538246106356</v>
      </c>
      <c r="X15"/>
      <c r="Y15"/>
    </row>
    <row r="16" spans="2:25" ht="16">
      <c r="J16" s="691"/>
      <c r="K16" s="728"/>
      <c r="L16" s="341"/>
      <c r="M16" s="341"/>
      <c r="N16" s="692"/>
      <c r="O16" s="728"/>
      <c r="P16" s="341"/>
      <c r="Q16" s="360"/>
      <c r="R16" s="692"/>
      <c r="S16" s="341"/>
      <c r="T16" s="341"/>
      <c r="U16" s="341"/>
      <c r="V16" s="692"/>
      <c r="W16" s="692"/>
      <c r="X16"/>
      <c r="Y16"/>
    </row>
    <row r="17" spans="2:25" ht="16">
      <c r="B17" s="67"/>
      <c r="E17" s="1" t="s">
        <v>819</v>
      </c>
      <c r="J17" s="691"/>
      <c r="K17" s="728"/>
      <c r="L17" s="341"/>
      <c r="M17" s="341"/>
      <c r="N17" s="692"/>
      <c r="O17" s="728"/>
      <c r="P17" s="341"/>
      <c r="Q17" s="360"/>
      <c r="R17" s="692"/>
      <c r="S17" s="341"/>
      <c r="T17" s="341"/>
      <c r="U17" s="341"/>
      <c r="V17" s="692"/>
      <c r="W17" s="692"/>
      <c r="X17"/>
      <c r="Y17"/>
    </row>
    <row r="18" spans="2:25" ht="16">
      <c r="B18" s="67"/>
      <c r="F18" s="344">
        <v>44839</v>
      </c>
      <c r="G18" s="344"/>
      <c r="H18" s="344"/>
      <c r="I18" s="344"/>
      <c r="J18" s="691"/>
      <c r="K18" s="728"/>
      <c r="L18" s="341"/>
      <c r="M18" s="341"/>
      <c r="N18" s="692"/>
      <c r="O18" s="728"/>
      <c r="P18" s="341"/>
      <c r="Q18" s="360"/>
      <c r="R18" s="692"/>
      <c r="S18" s="341"/>
      <c r="T18" s="341"/>
      <c r="U18" s="341"/>
      <c r="V18" s="692"/>
      <c r="W18" s="692"/>
      <c r="X18"/>
      <c r="Y18"/>
    </row>
    <row r="19" spans="2:25" ht="16">
      <c r="B19" s="67"/>
      <c r="G19" s="3" t="s">
        <v>60</v>
      </c>
      <c r="H19" s="3"/>
      <c r="I19" s="3"/>
      <c r="J19" s="691"/>
      <c r="K19" s="728"/>
      <c r="L19" s="341"/>
      <c r="M19" s="341"/>
      <c r="N19" s="692"/>
      <c r="O19" s="728"/>
      <c r="P19" s="341"/>
      <c r="Q19" s="360"/>
      <c r="R19" s="692"/>
      <c r="S19" s="341"/>
      <c r="T19" s="341"/>
      <c r="U19" s="341"/>
      <c r="V19" s="692"/>
      <c r="W19" s="692"/>
      <c r="X19"/>
      <c r="Y19"/>
    </row>
    <row r="20" spans="2:25" ht="16">
      <c r="B20" s="67"/>
      <c r="H20" s="345">
        <v>43048</v>
      </c>
      <c r="I20" s="345"/>
      <c r="J20" s="691"/>
      <c r="K20" s="728"/>
      <c r="L20" s="341"/>
      <c r="M20" s="341"/>
      <c r="N20" s="692"/>
      <c r="O20" s="728"/>
      <c r="P20" s="341"/>
      <c r="Q20" s="360"/>
      <c r="R20" s="692"/>
      <c r="S20" s="341"/>
      <c r="T20" s="341"/>
      <c r="U20" s="341"/>
      <c r="V20" s="692"/>
      <c r="W20" s="692"/>
      <c r="X20"/>
      <c r="Y20"/>
    </row>
    <row r="21" spans="2:25" ht="16">
      <c r="B21" s="67"/>
      <c r="I21" s="3" t="s">
        <v>60</v>
      </c>
      <c r="J21" s="691">
        <v>89712</v>
      </c>
      <c r="K21" s="728">
        <v>9986463.5299999993</v>
      </c>
      <c r="L21" s="341">
        <v>4.9998000079996795E-2</v>
      </c>
      <c r="M21" s="341">
        <v>20.000800000000002</v>
      </c>
      <c r="N21" s="692">
        <v>9986463.5299999993</v>
      </c>
      <c r="O21" s="728">
        <v>8886666.1799999997</v>
      </c>
      <c r="P21" s="341">
        <v>5.2260529190118581E-2</v>
      </c>
      <c r="Q21" s="360">
        <v>19.134899999999998</v>
      </c>
      <c r="R21" s="692">
        <v>8886666.1799999997</v>
      </c>
      <c r="S21" s="341">
        <v>97.695173988822006</v>
      </c>
      <c r="T21" s="341">
        <v>124.571</v>
      </c>
      <c r="U21" s="341">
        <v>1.2749999999999999</v>
      </c>
      <c r="V21" s="692">
        <v>11330499.379499998</v>
      </c>
      <c r="W21" s="692">
        <v>-1344035.8494999986</v>
      </c>
      <c r="X21"/>
      <c r="Y21"/>
    </row>
    <row r="22" spans="2:25" ht="16">
      <c r="J22" s="691"/>
      <c r="K22" s="728"/>
      <c r="L22" s="341"/>
      <c r="M22" s="341"/>
      <c r="N22" s="692"/>
      <c r="O22" s="728"/>
      <c r="P22" s="341"/>
      <c r="Q22" s="360"/>
      <c r="R22" s="692"/>
      <c r="S22" s="341"/>
      <c r="T22" s="341"/>
      <c r="U22" s="341"/>
      <c r="V22" s="692"/>
      <c r="W22" s="692"/>
      <c r="X22"/>
      <c r="Y22"/>
    </row>
    <row r="23" spans="2:25" ht="16">
      <c r="B23" s="67"/>
      <c r="E23" s="131" t="s">
        <v>859</v>
      </c>
      <c r="F23" s="131"/>
      <c r="G23" s="131"/>
      <c r="H23" s="131"/>
      <c r="I23" s="131"/>
      <c r="J23" s="729">
        <v>89712</v>
      </c>
      <c r="K23" s="730">
        <v>9986463.5299999993</v>
      </c>
      <c r="L23" s="366">
        <v>4.9998000079996795E-2</v>
      </c>
      <c r="M23" s="374">
        <v>20.000800000000002</v>
      </c>
      <c r="N23" s="704">
        <v>9986463.5299999993</v>
      </c>
      <c r="O23" s="730">
        <v>8886666.1799999997</v>
      </c>
      <c r="P23" s="366">
        <v>5.2260529190118581E-2</v>
      </c>
      <c r="Q23" s="374">
        <v>19.134899999999998</v>
      </c>
      <c r="R23" s="704">
        <v>8886666.1799999997</v>
      </c>
      <c r="S23" s="366">
        <v>97.695173988822006</v>
      </c>
      <c r="T23" s="366">
        <v>124.571</v>
      </c>
      <c r="U23" s="366">
        <v>1.2749999999999999</v>
      </c>
      <c r="V23" s="704">
        <v>11330499.379499998</v>
      </c>
      <c r="W23" s="704">
        <v>-1344035.8494999986</v>
      </c>
      <c r="X23"/>
      <c r="Y23"/>
    </row>
    <row r="24" spans="2:25" ht="16">
      <c r="J24" s="691"/>
      <c r="K24" s="728"/>
      <c r="L24" s="341"/>
      <c r="M24" s="341"/>
      <c r="N24" s="692"/>
      <c r="O24" s="728"/>
      <c r="P24" s="341"/>
      <c r="Q24" s="360"/>
      <c r="R24" s="692"/>
      <c r="S24" s="341"/>
      <c r="T24" s="341"/>
      <c r="U24" s="341"/>
      <c r="V24" s="692"/>
      <c r="W24" s="692"/>
      <c r="X24"/>
      <c r="Y24"/>
    </row>
    <row r="25" spans="2:25" ht="16">
      <c r="B25" s="67"/>
      <c r="E25" s="1" t="s">
        <v>735</v>
      </c>
      <c r="J25" s="691"/>
      <c r="K25" s="728"/>
      <c r="L25" s="341"/>
      <c r="M25" s="341"/>
      <c r="N25" s="692"/>
      <c r="O25" s="728"/>
      <c r="P25" s="341"/>
      <c r="Q25" s="360"/>
      <c r="R25" s="692"/>
      <c r="S25" s="341"/>
      <c r="T25" s="341"/>
      <c r="U25" s="341"/>
      <c r="V25" s="692"/>
      <c r="W25" s="692"/>
      <c r="X25"/>
      <c r="Y25"/>
    </row>
    <row r="26" spans="2:25" ht="16">
      <c r="B26" s="67"/>
      <c r="F26" s="344">
        <v>44585</v>
      </c>
      <c r="G26" s="344"/>
      <c r="H26" s="344"/>
      <c r="I26" s="344"/>
      <c r="J26" s="691"/>
      <c r="K26" s="728"/>
      <c r="L26" s="341"/>
      <c r="M26" s="341"/>
      <c r="N26" s="692"/>
      <c r="O26" s="728"/>
      <c r="P26" s="341"/>
      <c r="Q26" s="360"/>
      <c r="R26" s="692"/>
      <c r="S26" s="341"/>
      <c r="T26" s="341"/>
      <c r="U26" s="341"/>
      <c r="V26" s="692"/>
      <c r="W26" s="692"/>
      <c r="X26"/>
      <c r="Y26"/>
    </row>
    <row r="27" spans="2:25" ht="16">
      <c r="B27" s="67"/>
      <c r="G27" s="3" t="s">
        <v>60</v>
      </c>
      <c r="H27" s="3"/>
      <c r="I27" s="3"/>
      <c r="J27" s="691"/>
      <c r="K27" s="728"/>
      <c r="L27" s="341"/>
      <c r="M27" s="341"/>
      <c r="N27" s="692"/>
      <c r="O27" s="728"/>
      <c r="P27" s="341"/>
      <c r="Q27" s="360"/>
      <c r="R27" s="692"/>
      <c r="S27" s="341"/>
      <c r="T27" s="341"/>
      <c r="U27" s="341"/>
      <c r="V27" s="692"/>
      <c r="W27" s="692"/>
      <c r="X27"/>
      <c r="Y27"/>
    </row>
    <row r="28" spans="2:25" ht="16">
      <c r="B28" s="67"/>
      <c r="H28" s="345">
        <v>43048</v>
      </c>
      <c r="I28" s="345"/>
      <c r="J28" s="691"/>
      <c r="K28" s="728"/>
      <c r="L28" s="341"/>
      <c r="M28" s="341"/>
      <c r="N28" s="692"/>
      <c r="O28" s="728"/>
      <c r="P28" s="341"/>
      <c r="Q28" s="360"/>
      <c r="R28" s="692"/>
      <c r="S28" s="341"/>
      <c r="T28" s="341"/>
      <c r="U28" s="341"/>
      <c r="V28" s="692"/>
      <c r="W28" s="692"/>
      <c r="X28"/>
      <c r="Y28"/>
    </row>
    <row r="29" spans="2:25" ht="16">
      <c r="B29" s="67"/>
      <c r="I29" s="3" t="s">
        <v>60</v>
      </c>
      <c r="J29" s="691">
        <v>55000</v>
      </c>
      <c r="K29" s="728">
        <v>6280513.7999999998</v>
      </c>
      <c r="L29" s="341">
        <v>4.8898081728253801E-2</v>
      </c>
      <c r="M29" s="341">
        <v>20.450700000000001</v>
      </c>
      <c r="N29" s="692">
        <v>6280513.8000000007</v>
      </c>
      <c r="O29" s="728">
        <v>5364958.5</v>
      </c>
      <c r="P29" s="341">
        <v>5.2260529190118581E-2</v>
      </c>
      <c r="Q29" s="360">
        <v>19.134899999999998</v>
      </c>
      <c r="R29" s="692">
        <v>5364958.5</v>
      </c>
      <c r="S29" s="341">
        <v>97.695173988822006</v>
      </c>
      <c r="T29" s="341">
        <v>117.30800000000001</v>
      </c>
      <c r="U29" s="341">
        <v>1.2007000000000001</v>
      </c>
      <c r="V29" s="692">
        <v>6441705.6709500002</v>
      </c>
      <c r="W29" s="692">
        <v>-161191.87094999943</v>
      </c>
      <c r="X29"/>
      <c r="Y29"/>
    </row>
    <row r="30" spans="2:25" ht="16">
      <c r="J30" s="691"/>
      <c r="K30" s="728"/>
      <c r="L30" s="341"/>
      <c r="M30" s="341"/>
      <c r="N30" s="692"/>
      <c r="O30" s="728"/>
      <c r="P30" s="341"/>
      <c r="Q30" s="360"/>
      <c r="R30" s="692"/>
      <c r="S30" s="341"/>
      <c r="T30" s="341"/>
      <c r="U30" s="341"/>
      <c r="V30" s="692"/>
      <c r="W30" s="692"/>
      <c r="X30"/>
      <c r="Y30"/>
    </row>
    <row r="31" spans="2:25" ht="16">
      <c r="B31" s="67"/>
      <c r="H31" s="345">
        <v>43140</v>
      </c>
      <c r="I31" s="345"/>
      <c r="J31" s="691"/>
      <c r="K31" s="728"/>
      <c r="L31" s="341"/>
      <c r="M31" s="341"/>
      <c r="N31" s="692"/>
      <c r="O31" s="728"/>
      <c r="P31" s="341"/>
      <c r="Q31" s="360"/>
      <c r="R31" s="692"/>
      <c r="S31" s="341"/>
      <c r="T31" s="341"/>
      <c r="U31" s="341"/>
      <c r="V31" s="692"/>
      <c r="W31" s="692"/>
      <c r="X31"/>
      <c r="Y31"/>
    </row>
    <row r="32" spans="2:25" ht="16">
      <c r="B32" s="67"/>
      <c r="I32" s="3" t="s">
        <v>60</v>
      </c>
      <c r="J32" s="691">
        <v>121178</v>
      </c>
      <c r="K32" s="728">
        <v>13837456.390000001</v>
      </c>
      <c r="L32" s="341">
        <v>4.8898081728253801E-2</v>
      </c>
      <c r="M32" s="341">
        <v>20.450700000000001</v>
      </c>
      <c r="N32" s="692">
        <v>13837456.390000001</v>
      </c>
      <c r="O32" s="728">
        <v>11511740.35</v>
      </c>
      <c r="P32" s="341">
        <v>5.3621603071445423E-2</v>
      </c>
      <c r="Q32" s="360">
        <v>18.6492</v>
      </c>
      <c r="R32" s="692">
        <v>11511740.35</v>
      </c>
      <c r="S32" s="341">
        <v>99.171374481640001</v>
      </c>
      <c r="T32" s="341">
        <v>117.30800000000001</v>
      </c>
      <c r="U32" s="341">
        <v>1.1828000000000001</v>
      </c>
      <c r="V32" s="692">
        <v>13616086.48598</v>
      </c>
      <c r="W32" s="692">
        <v>221369.90402000025</v>
      </c>
      <c r="X32"/>
      <c r="Y32"/>
    </row>
    <row r="33" spans="2:25" ht="16">
      <c r="J33" s="691"/>
      <c r="K33" s="728"/>
      <c r="L33" s="341"/>
      <c r="M33" s="341"/>
      <c r="N33" s="692"/>
      <c r="O33" s="728"/>
      <c r="P33" s="341"/>
      <c r="Q33" s="360"/>
      <c r="R33" s="692"/>
      <c r="S33" s="341"/>
      <c r="T33" s="341"/>
      <c r="U33" s="341"/>
      <c r="V33" s="692"/>
      <c r="W33" s="692"/>
      <c r="X33"/>
      <c r="Y33"/>
    </row>
    <row r="34" spans="2:25" ht="16">
      <c r="B34" s="67"/>
      <c r="H34" s="345">
        <v>43056</v>
      </c>
      <c r="I34" s="345"/>
      <c r="J34" s="691"/>
      <c r="K34" s="728"/>
      <c r="L34" s="341"/>
      <c r="M34" s="341"/>
      <c r="N34" s="692"/>
      <c r="O34" s="728"/>
      <c r="P34" s="341"/>
      <c r="Q34" s="360"/>
      <c r="R34" s="692"/>
      <c r="S34" s="341"/>
      <c r="T34" s="341"/>
      <c r="U34" s="341"/>
      <c r="V34" s="692"/>
      <c r="W34" s="692"/>
      <c r="X34"/>
      <c r="Y34"/>
    </row>
    <row r="35" spans="2:25" ht="16">
      <c r="B35" s="67"/>
      <c r="I35" s="3" t="s">
        <v>60</v>
      </c>
      <c r="J35" s="691">
        <v>40000</v>
      </c>
      <c r="K35" s="728">
        <v>4567646.4000000004</v>
      </c>
      <c r="L35" s="341">
        <v>4.8898081728253801E-2</v>
      </c>
      <c r="M35" s="341">
        <v>20.450700000000001</v>
      </c>
      <c r="N35" s="692">
        <v>4567646.4000000004</v>
      </c>
      <c r="O35" s="728">
        <v>3852489.6</v>
      </c>
      <c r="P35" s="341">
        <v>5.2010735015707237E-2</v>
      </c>
      <c r="Q35" s="360">
        <v>19.226800000000001</v>
      </c>
      <c r="R35" s="692">
        <v>3852489.6</v>
      </c>
      <c r="S35" s="341">
        <v>97.695173988822006</v>
      </c>
      <c r="T35" s="341">
        <v>117.30800000000001</v>
      </c>
      <c r="U35" s="341">
        <v>1.2007000000000001</v>
      </c>
      <c r="V35" s="692">
        <v>4625684.2627200009</v>
      </c>
      <c r="W35" s="692">
        <v>-58037.862720000558</v>
      </c>
      <c r="X35"/>
      <c r="Y35"/>
    </row>
    <row r="36" spans="2:25" ht="16">
      <c r="J36" s="691"/>
      <c r="K36" s="728"/>
      <c r="L36" s="341"/>
      <c r="M36" s="341"/>
      <c r="N36" s="692"/>
      <c r="O36" s="728"/>
      <c r="P36" s="341"/>
      <c r="Q36" s="360"/>
      <c r="R36" s="692"/>
      <c r="S36" s="341"/>
      <c r="T36" s="341"/>
      <c r="U36" s="341"/>
      <c r="V36" s="692"/>
      <c r="W36" s="692"/>
      <c r="X36"/>
      <c r="Y36"/>
    </row>
    <row r="37" spans="2:25" ht="16">
      <c r="B37" s="67"/>
      <c r="F37" s="344">
        <v>44663</v>
      </c>
      <c r="G37" s="344"/>
      <c r="H37" s="344"/>
      <c r="I37" s="344"/>
      <c r="J37" s="691"/>
      <c r="K37" s="728"/>
      <c r="L37" s="341"/>
      <c r="M37" s="341"/>
      <c r="N37" s="692"/>
      <c r="O37" s="728"/>
      <c r="P37" s="341"/>
      <c r="Q37" s="360"/>
      <c r="R37" s="692"/>
      <c r="S37" s="341"/>
      <c r="T37" s="341"/>
      <c r="U37" s="341"/>
      <c r="V37" s="692"/>
      <c r="W37" s="692"/>
      <c r="X37"/>
      <c r="Y37"/>
    </row>
    <row r="38" spans="2:25" ht="16">
      <c r="B38" s="67"/>
      <c r="G38" s="3" t="s">
        <v>60</v>
      </c>
      <c r="H38" s="3"/>
      <c r="I38" s="3"/>
      <c r="J38" s="691"/>
      <c r="K38" s="728"/>
      <c r="L38" s="341"/>
      <c r="M38" s="341"/>
      <c r="N38" s="692"/>
      <c r="O38" s="728"/>
      <c r="P38" s="341"/>
      <c r="Q38" s="360"/>
      <c r="R38" s="692"/>
      <c r="S38" s="341"/>
      <c r="T38" s="341"/>
      <c r="U38" s="341"/>
      <c r="V38" s="692"/>
      <c r="W38" s="692"/>
      <c r="X38"/>
      <c r="Y38"/>
    </row>
    <row r="39" spans="2:25" ht="16">
      <c r="B39" s="67"/>
      <c r="H39" s="345">
        <v>43049</v>
      </c>
      <c r="I39" s="345"/>
      <c r="J39" s="691"/>
      <c r="K39" s="728"/>
      <c r="L39" s="341"/>
      <c r="M39" s="341"/>
      <c r="N39" s="692"/>
      <c r="O39" s="728"/>
      <c r="P39" s="341"/>
      <c r="Q39" s="360"/>
      <c r="R39" s="692"/>
      <c r="S39" s="341"/>
      <c r="T39" s="341"/>
      <c r="U39" s="341"/>
      <c r="V39" s="692"/>
      <c r="W39" s="692"/>
      <c r="X39"/>
      <c r="Y39"/>
    </row>
    <row r="40" spans="2:25" ht="16">
      <c r="B40" s="67"/>
      <c r="I40" s="3" t="s">
        <v>60</v>
      </c>
      <c r="J40" s="691">
        <v>5000</v>
      </c>
      <c r="K40" s="728">
        <v>535277.30000000005</v>
      </c>
      <c r="L40" s="341">
        <v>4.9701789264413515E-2</v>
      </c>
      <c r="M40" s="341">
        <v>20.12</v>
      </c>
      <c r="N40" s="692">
        <v>535277.30000000005</v>
      </c>
      <c r="O40" s="728">
        <v>487723.5</v>
      </c>
      <c r="P40" s="341">
        <v>5.2433435753311171E-2</v>
      </c>
      <c r="Q40" s="360">
        <v>19.0718</v>
      </c>
      <c r="R40" s="692">
        <v>487723.5</v>
      </c>
      <c r="S40" s="341">
        <v>97.695173988822006</v>
      </c>
      <c r="T40" s="341">
        <v>120.15900000000001</v>
      </c>
      <c r="U40" s="341">
        <v>1.2299</v>
      </c>
      <c r="V40" s="692">
        <v>599851.13265000004</v>
      </c>
      <c r="W40" s="692">
        <v>-64573.832649999997</v>
      </c>
      <c r="X40"/>
      <c r="Y40"/>
    </row>
    <row r="41" spans="2:25" ht="16">
      <c r="J41" s="691"/>
      <c r="K41" s="728"/>
      <c r="L41" s="341"/>
      <c r="M41" s="341"/>
      <c r="N41" s="692"/>
      <c r="O41" s="728"/>
      <c r="P41" s="341"/>
      <c r="Q41" s="360"/>
      <c r="R41" s="692"/>
      <c r="S41" s="341"/>
      <c r="T41" s="341"/>
      <c r="U41" s="341"/>
      <c r="V41" s="692"/>
      <c r="W41" s="692"/>
      <c r="X41"/>
      <c r="Y41"/>
    </row>
    <row r="42" spans="2:25" ht="16">
      <c r="B42" s="67"/>
      <c r="H42" s="345">
        <v>43140</v>
      </c>
      <c r="I42" s="345"/>
      <c r="J42" s="691"/>
      <c r="K42" s="728"/>
      <c r="L42" s="341"/>
      <c r="M42" s="341"/>
      <c r="N42" s="692"/>
      <c r="O42" s="728"/>
      <c r="P42" s="341"/>
      <c r="Q42" s="360"/>
      <c r="R42" s="692"/>
      <c r="S42" s="341"/>
      <c r="T42" s="341"/>
      <c r="U42" s="341"/>
      <c r="V42" s="692"/>
      <c r="W42" s="692"/>
      <c r="X42"/>
      <c r="Y42"/>
    </row>
    <row r="43" spans="2:25" ht="16">
      <c r="B43" s="67"/>
      <c r="I43" s="3" t="s">
        <v>60</v>
      </c>
      <c r="J43" s="691">
        <v>17811</v>
      </c>
      <c r="K43" s="728">
        <v>1906764.8</v>
      </c>
      <c r="L43" s="341">
        <v>4.9701789264413515E-2</v>
      </c>
      <c r="M43" s="341">
        <v>20.12</v>
      </c>
      <c r="N43" s="692">
        <v>1906764.7999999998</v>
      </c>
      <c r="O43" s="728">
        <v>1692020.06</v>
      </c>
      <c r="P43" s="341">
        <v>5.3621603071445423E-2</v>
      </c>
      <c r="Q43" s="360">
        <v>18.6492</v>
      </c>
      <c r="R43" s="692">
        <v>1692020.06</v>
      </c>
      <c r="S43" s="341">
        <v>99.171374481640001</v>
      </c>
      <c r="T43" s="341">
        <v>120.15900000000001</v>
      </c>
      <c r="U43" s="341">
        <v>1.2116</v>
      </c>
      <c r="V43" s="692">
        <v>2050051.5046960001</v>
      </c>
      <c r="W43" s="692">
        <v>-143286.70469600055</v>
      </c>
      <c r="X43"/>
      <c r="Y43"/>
    </row>
    <row r="44" spans="2:25" ht="16">
      <c r="J44" s="691"/>
      <c r="K44" s="728"/>
      <c r="L44" s="341"/>
      <c r="M44" s="341"/>
      <c r="N44" s="692"/>
      <c r="O44" s="728"/>
      <c r="P44" s="341"/>
      <c r="Q44" s="360"/>
      <c r="R44" s="692"/>
      <c r="S44" s="341"/>
      <c r="T44" s="341"/>
      <c r="U44" s="341"/>
      <c r="V44" s="692"/>
      <c r="W44" s="692"/>
      <c r="X44"/>
      <c r="Y44"/>
    </row>
    <row r="45" spans="2:25" ht="16">
      <c r="B45" s="67"/>
      <c r="H45" s="345">
        <v>43053</v>
      </c>
      <c r="I45" s="345"/>
      <c r="J45" s="691"/>
      <c r="K45" s="728"/>
      <c r="L45" s="341"/>
      <c r="M45" s="341"/>
      <c r="N45" s="692"/>
      <c r="O45" s="728"/>
      <c r="P45" s="341"/>
      <c r="Q45" s="360"/>
      <c r="R45" s="692"/>
      <c r="S45" s="341"/>
      <c r="T45" s="341"/>
      <c r="U45" s="341"/>
      <c r="V45" s="692"/>
      <c r="W45" s="692"/>
      <c r="X45"/>
      <c r="Y45"/>
    </row>
    <row r="46" spans="2:25" ht="16">
      <c r="B46" s="67"/>
      <c r="I46" s="3" t="s">
        <v>60</v>
      </c>
      <c r="J46" s="691">
        <v>18623</v>
      </c>
      <c r="K46" s="728">
        <v>1993693.83</v>
      </c>
      <c r="L46" s="341">
        <v>4.9701789264413515E-2</v>
      </c>
      <c r="M46" s="341">
        <v>20.12</v>
      </c>
      <c r="N46" s="692">
        <v>1993693.83</v>
      </c>
      <c r="O46" s="728">
        <v>1811350.07</v>
      </c>
      <c r="P46" s="341">
        <v>5.2486274839129564E-2</v>
      </c>
      <c r="Q46" s="360">
        <v>19.052600000000002</v>
      </c>
      <c r="R46" s="692">
        <v>1811350.07</v>
      </c>
      <c r="S46" s="341">
        <v>97.695173988822006</v>
      </c>
      <c r="T46" s="341">
        <v>120.15900000000001</v>
      </c>
      <c r="U46" s="341">
        <v>1.2299</v>
      </c>
      <c r="V46" s="692">
        <v>2227779.4510929999</v>
      </c>
      <c r="W46" s="692">
        <v>-234085.62109299982</v>
      </c>
      <c r="X46"/>
      <c r="Y46"/>
    </row>
    <row r="47" spans="2:25" ht="16">
      <c r="J47" s="691"/>
      <c r="K47" s="728"/>
      <c r="L47" s="341"/>
      <c r="M47" s="341"/>
      <c r="N47" s="692"/>
      <c r="O47" s="728"/>
      <c r="P47" s="341"/>
      <c r="Q47" s="360"/>
      <c r="R47" s="692"/>
      <c r="S47" s="341"/>
      <c r="T47" s="341"/>
      <c r="U47" s="341"/>
      <c r="V47" s="692"/>
      <c r="W47" s="692"/>
      <c r="X47"/>
      <c r="Y47"/>
    </row>
    <row r="48" spans="2:25" ht="16">
      <c r="B48" s="67"/>
      <c r="H48" s="345">
        <v>43137</v>
      </c>
      <c r="I48" s="345"/>
      <c r="J48" s="691"/>
      <c r="K48" s="728"/>
      <c r="L48" s="341"/>
      <c r="M48" s="341"/>
      <c r="N48" s="692"/>
      <c r="O48" s="728"/>
      <c r="P48" s="341"/>
      <c r="Q48" s="360"/>
      <c r="R48" s="692"/>
      <c r="S48" s="341"/>
      <c r="T48" s="341"/>
      <c r="U48" s="341"/>
      <c r="V48" s="692"/>
      <c r="W48" s="692"/>
      <c r="X48"/>
      <c r="Y48"/>
    </row>
    <row r="49" spans="2:25" ht="16">
      <c r="B49" s="67"/>
      <c r="I49" s="3" t="s">
        <v>60</v>
      </c>
      <c r="J49" s="691">
        <v>167349</v>
      </c>
      <c r="K49" s="728">
        <v>17915624.18</v>
      </c>
      <c r="L49" s="341">
        <v>4.9701789264413515E-2</v>
      </c>
      <c r="M49" s="341">
        <v>20.12</v>
      </c>
      <c r="N49" s="692">
        <v>17915624.18</v>
      </c>
      <c r="O49" s="728">
        <v>15842626.5</v>
      </c>
      <c r="P49" s="341">
        <v>5.4346644638160038E-2</v>
      </c>
      <c r="Q49" s="360">
        <v>18.400400000000001</v>
      </c>
      <c r="R49" s="692">
        <v>15842626.5</v>
      </c>
      <c r="S49" s="341">
        <v>99.171374481640001</v>
      </c>
      <c r="T49" s="341">
        <v>120.15900000000001</v>
      </c>
      <c r="U49" s="341">
        <v>1.2116</v>
      </c>
      <c r="V49" s="692">
        <v>19194926.2674</v>
      </c>
      <c r="W49" s="692">
        <v>-1279302.0874000005</v>
      </c>
      <c r="X49"/>
      <c r="Y49"/>
    </row>
    <row r="50" spans="2:25" ht="16">
      <c r="J50" s="691"/>
      <c r="K50" s="728"/>
      <c r="L50" s="341"/>
      <c r="M50" s="341"/>
      <c r="N50" s="692"/>
      <c r="O50" s="728"/>
      <c r="P50" s="341"/>
      <c r="Q50" s="360"/>
      <c r="R50" s="692"/>
      <c r="S50" s="341"/>
      <c r="T50" s="341"/>
      <c r="U50" s="341"/>
      <c r="V50" s="692"/>
      <c r="W50" s="692"/>
      <c r="X50"/>
      <c r="Y50"/>
    </row>
    <row r="51" spans="2:25" ht="16">
      <c r="B51" s="67"/>
      <c r="E51" s="131" t="s">
        <v>860</v>
      </c>
      <c r="F51" s="131"/>
      <c r="G51" s="131"/>
      <c r="H51" s="131"/>
      <c r="I51" s="131"/>
      <c r="J51" s="729">
        <v>424961</v>
      </c>
      <c r="K51" s="730">
        <v>47036976.700000003</v>
      </c>
      <c r="L51" s="366">
        <v>4.9357343177487918E-2</v>
      </c>
      <c r="M51" s="374">
        <v>20.261728571428574</v>
      </c>
      <c r="N51" s="704">
        <v>47036976.700000003</v>
      </c>
      <c r="O51" s="730">
        <v>40562908.579999998</v>
      </c>
      <c r="P51" s="366">
        <v>5.2968689368473917E-2</v>
      </c>
      <c r="Q51" s="374">
        <v>18.883557142857143</v>
      </c>
      <c r="R51" s="704">
        <v>40562908.579999998</v>
      </c>
      <c r="S51" s="366">
        <v>98.327831342886867</v>
      </c>
      <c r="T51" s="366">
        <v>118.93714285714286</v>
      </c>
      <c r="U51" s="366">
        <v>1.2096</v>
      </c>
      <c r="V51" s="704">
        <v>48756084.775489002</v>
      </c>
      <c r="W51" s="704">
        <v>-1719108.0754890007</v>
      </c>
      <c r="X51"/>
      <c r="Y51"/>
    </row>
    <row r="52" spans="2:25" ht="16">
      <c r="J52" s="691"/>
      <c r="K52" s="728"/>
      <c r="L52" s="341"/>
      <c r="M52" s="341"/>
      <c r="N52" s="692"/>
      <c r="O52" s="728"/>
      <c r="P52" s="341"/>
      <c r="Q52" s="360"/>
      <c r="R52" s="692"/>
      <c r="S52" s="341"/>
      <c r="T52" s="341"/>
      <c r="U52" s="341"/>
      <c r="V52" s="692"/>
      <c r="W52" s="692"/>
      <c r="X52"/>
      <c r="Y52"/>
    </row>
    <row r="53" spans="2:25" ht="16">
      <c r="B53" s="67"/>
      <c r="E53" s="1" t="s">
        <v>734</v>
      </c>
      <c r="J53" s="691"/>
      <c r="K53" s="728"/>
      <c r="L53" s="341"/>
      <c r="M53" s="341"/>
      <c r="N53" s="692"/>
      <c r="O53" s="728"/>
      <c r="P53" s="341"/>
      <c r="Q53" s="360"/>
      <c r="R53" s="692"/>
      <c r="S53" s="341"/>
      <c r="T53" s="341"/>
      <c r="U53" s="341"/>
      <c r="V53" s="692"/>
      <c r="W53" s="692"/>
      <c r="X53"/>
      <c r="Y53"/>
    </row>
    <row r="54" spans="2:25" ht="16">
      <c r="B54" s="67"/>
      <c r="F54" s="344">
        <v>44585</v>
      </c>
      <c r="G54" s="344"/>
      <c r="H54" s="344"/>
      <c r="I54" s="344"/>
      <c r="J54" s="691"/>
      <c r="K54" s="728"/>
      <c r="L54" s="341"/>
      <c r="M54" s="341"/>
      <c r="N54" s="692"/>
      <c r="O54" s="728"/>
      <c r="P54" s="341"/>
      <c r="Q54" s="360"/>
      <c r="R54" s="692"/>
      <c r="S54" s="341"/>
      <c r="T54" s="341"/>
      <c r="U54" s="341"/>
      <c r="V54" s="692"/>
      <c r="W54" s="692"/>
      <c r="X54"/>
      <c r="Y54"/>
    </row>
    <row r="55" spans="2:25" ht="16">
      <c r="B55" s="67"/>
      <c r="G55" s="3" t="s">
        <v>60</v>
      </c>
      <c r="H55" s="3"/>
      <c r="I55" s="3"/>
      <c r="J55" s="691"/>
      <c r="K55" s="728"/>
      <c r="L55" s="341"/>
      <c r="M55" s="341"/>
      <c r="N55" s="692"/>
      <c r="O55" s="728"/>
      <c r="P55" s="341"/>
      <c r="Q55" s="360"/>
      <c r="R55" s="692"/>
      <c r="S55" s="341"/>
      <c r="T55" s="341"/>
      <c r="U55" s="341"/>
      <c r="V55" s="692"/>
      <c r="W55" s="692"/>
      <c r="X55"/>
      <c r="Y55"/>
    </row>
    <row r="56" spans="2:25" ht="16">
      <c r="B56" s="67"/>
      <c r="H56" s="345">
        <v>43049</v>
      </c>
      <c r="I56" s="345"/>
      <c r="J56" s="691"/>
      <c r="K56" s="728"/>
      <c r="L56" s="341"/>
      <c r="M56" s="341"/>
      <c r="N56" s="692"/>
      <c r="O56" s="728"/>
      <c r="P56" s="341"/>
      <c r="Q56" s="360"/>
      <c r="R56" s="692"/>
      <c r="S56" s="341"/>
      <c r="T56" s="341"/>
      <c r="U56" s="341"/>
      <c r="V56" s="692"/>
      <c r="W56" s="692"/>
      <c r="X56"/>
      <c r="Y56"/>
    </row>
    <row r="57" spans="2:25" ht="16">
      <c r="B57" s="67"/>
      <c r="I57" s="3" t="s">
        <v>60</v>
      </c>
      <c r="J57" s="691">
        <v>14500</v>
      </c>
      <c r="K57" s="728">
        <v>1594270.07</v>
      </c>
      <c r="L57" s="341">
        <v>4.8898081728253801E-2</v>
      </c>
      <c r="M57" s="341">
        <v>20.450700000000001</v>
      </c>
      <c r="N57" s="692">
        <v>1594270.07</v>
      </c>
      <c r="O57" s="728">
        <v>1396527.48</v>
      </c>
      <c r="P57" s="341">
        <v>5.2433435753311171E-2</v>
      </c>
      <c r="Q57" s="360">
        <v>19.0718</v>
      </c>
      <c r="R57" s="692">
        <v>1396527.48</v>
      </c>
      <c r="S57" s="341">
        <v>97.695173988822006</v>
      </c>
      <c r="T57" s="341">
        <v>117.30800000000001</v>
      </c>
      <c r="U57" s="341">
        <v>1.2007000000000001</v>
      </c>
      <c r="V57" s="692">
        <v>1676810.5452360001</v>
      </c>
      <c r="W57" s="692">
        <v>-82540.475236000028</v>
      </c>
      <c r="X57"/>
      <c r="Y57"/>
    </row>
    <row r="58" spans="2:25" ht="16">
      <c r="J58" s="691"/>
      <c r="K58" s="728"/>
      <c r="L58" s="341"/>
      <c r="M58" s="341"/>
      <c r="N58" s="692"/>
      <c r="O58" s="728"/>
      <c r="P58" s="341"/>
      <c r="Q58" s="360"/>
      <c r="R58" s="692"/>
      <c r="S58" s="341"/>
      <c r="T58" s="341"/>
      <c r="U58" s="341"/>
      <c r="V58" s="692"/>
      <c r="W58" s="692"/>
      <c r="X58"/>
      <c r="Y58"/>
    </row>
    <row r="59" spans="2:25" ht="16">
      <c r="B59" s="67"/>
      <c r="H59" s="345">
        <v>43133</v>
      </c>
      <c r="I59" s="345"/>
      <c r="J59" s="691"/>
      <c r="K59" s="728"/>
      <c r="L59" s="341"/>
      <c r="M59" s="341"/>
      <c r="N59" s="692"/>
      <c r="O59" s="728"/>
      <c r="P59" s="341"/>
      <c r="Q59" s="360"/>
      <c r="R59" s="692"/>
      <c r="S59" s="341"/>
      <c r="T59" s="341"/>
      <c r="U59" s="341"/>
      <c r="V59" s="692"/>
      <c r="W59" s="692"/>
      <c r="X59"/>
      <c r="Y59"/>
    </row>
    <row r="60" spans="2:25" ht="16">
      <c r="B60" s="67"/>
      <c r="I60" s="3" t="s">
        <v>60</v>
      </c>
      <c r="J60" s="691">
        <v>112753</v>
      </c>
      <c r="K60" s="728">
        <v>12397154.02</v>
      </c>
      <c r="L60" s="341">
        <v>4.8898081728253801E-2</v>
      </c>
      <c r="M60" s="341">
        <v>20.450700000000001</v>
      </c>
      <c r="N60" s="692">
        <v>12397154.02</v>
      </c>
      <c r="O60" s="728">
        <v>10563658.24</v>
      </c>
      <c r="P60" s="341">
        <v>5.3743503753983742E-2</v>
      </c>
      <c r="Q60" s="360">
        <v>18.6069</v>
      </c>
      <c r="R60" s="692">
        <v>10563658.24</v>
      </c>
      <c r="S60" s="341">
        <v>99.171374481640001</v>
      </c>
      <c r="T60" s="341">
        <v>117.30800000000001</v>
      </c>
      <c r="U60" s="341">
        <v>1.1828000000000001</v>
      </c>
      <c r="V60" s="692">
        <v>12494694.966272</v>
      </c>
      <c r="W60" s="692">
        <v>-97540.94627200067</v>
      </c>
      <c r="X60"/>
      <c r="Y60"/>
    </row>
    <row r="61" spans="2:25" ht="16">
      <c r="J61" s="691"/>
      <c r="K61" s="728"/>
      <c r="L61" s="341"/>
      <c r="M61" s="341"/>
      <c r="N61" s="692"/>
      <c r="O61" s="728"/>
      <c r="P61" s="341"/>
      <c r="Q61" s="360"/>
      <c r="R61" s="692"/>
      <c r="S61" s="341"/>
      <c r="T61" s="341"/>
      <c r="U61" s="341"/>
      <c r="V61" s="692"/>
      <c r="W61" s="692"/>
      <c r="X61"/>
      <c r="Y61"/>
    </row>
    <row r="62" spans="2:25" ht="16">
      <c r="B62" s="67"/>
      <c r="H62" s="345">
        <v>43048</v>
      </c>
      <c r="I62" s="345"/>
      <c r="J62" s="691"/>
      <c r="K62" s="728"/>
      <c r="L62" s="341"/>
      <c r="M62" s="341"/>
      <c r="N62" s="692"/>
      <c r="O62" s="728"/>
      <c r="P62" s="341"/>
      <c r="Q62" s="360"/>
      <c r="R62" s="692"/>
      <c r="S62" s="341"/>
      <c r="T62" s="341"/>
      <c r="U62" s="341"/>
      <c r="V62" s="692"/>
      <c r="W62" s="692"/>
      <c r="X62"/>
      <c r="Y62"/>
    </row>
    <row r="63" spans="2:25" ht="16">
      <c r="B63" s="67"/>
      <c r="I63" s="3" t="s">
        <v>60</v>
      </c>
      <c r="J63" s="691">
        <v>15000</v>
      </c>
      <c r="K63" s="728">
        <v>1649244.9</v>
      </c>
      <c r="L63" s="341">
        <v>4.8898081728253801E-2</v>
      </c>
      <c r="M63" s="341">
        <v>20.450700000000001</v>
      </c>
      <c r="N63" s="692">
        <v>1649244.9</v>
      </c>
      <c r="O63" s="728">
        <v>1444683.6</v>
      </c>
      <c r="P63" s="341">
        <v>5.2260529190118581E-2</v>
      </c>
      <c r="Q63" s="360">
        <v>19.134899999999998</v>
      </c>
      <c r="R63" s="692">
        <v>1444683.6</v>
      </c>
      <c r="S63" s="341">
        <v>97.695173988822006</v>
      </c>
      <c r="T63" s="341">
        <v>117.30800000000001</v>
      </c>
      <c r="U63" s="341">
        <v>1.2007000000000001</v>
      </c>
      <c r="V63" s="692">
        <v>1734631.5985200002</v>
      </c>
      <c r="W63" s="692">
        <v>-85386.698520000326</v>
      </c>
      <c r="X63"/>
      <c r="Y63"/>
    </row>
    <row r="64" spans="2:25" ht="16">
      <c r="J64" s="691"/>
      <c r="K64" s="728"/>
      <c r="L64" s="341"/>
      <c r="M64" s="341"/>
      <c r="N64" s="692"/>
      <c r="O64" s="728"/>
      <c r="P64" s="341"/>
      <c r="Q64" s="360"/>
      <c r="R64" s="692"/>
      <c r="S64" s="341"/>
      <c r="T64" s="341"/>
      <c r="U64" s="341"/>
      <c r="V64" s="692"/>
      <c r="W64" s="692"/>
      <c r="X64"/>
      <c r="Y64"/>
    </row>
    <row r="65" spans="2:25" ht="16">
      <c r="B65" s="67"/>
      <c r="H65" s="345">
        <v>43140</v>
      </c>
      <c r="I65" s="345"/>
      <c r="J65" s="691"/>
      <c r="K65" s="728"/>
      <c r="L65" s="341"/>
      <c r="M65" s="341"/>
      <c r="N65" s="692"/>
      <c r="O65" s="728"/>
      <c r="P65" s="341"/>
      <c r="Q65" s="360"/>
      <c r="R65" s="692"/>
      <c r="S65" s="341"/>
      <c r="T65" s="341"/>
      <c r="U65" s="341"/>
      <c r="V65" s="692"/>
      <c r="W65" s="692"/>
      <c r="X65"/>
      <c r="Y65"/>
    </row>
    <row r="66" spans="2:25" ht="16">
      <c r="B66" s="67"/>
      <c r="I66" s="3" t="s">
        <v>60</v>
      </c>
      <c r="J66" s="691">
        <v>27707</v>
      </c>
      <c r="K66" s="728">
        <v>3046375.23</v>
      </c>
      <c r="L66" s="341">
        <v>4.8898081728253801E-2</v>
      </c>
      <c r="M66" s="341">
        <v>20.450700000000001</v>
      </c>
      <c r="N66" s="692">
        <v>3046375.2300000004</v>
      </c>
      <c r="O66" s="728">
        <v>2607990.9900000002</v>
      </c>
      <c r="P66" s="341">
        <v>5.3621603071445423E-2</v>
      </c>
      <c r="Q66" s="360">
        <v>18.6492</v>
      </c>
      <c r="R66" s="692">
        <v>2607990.9900000002</v>
      </c>
      <c r="S66" s="341">
        <v>99.171374481640001</v>
      </c>
      <c r="T66" s="341">
        <v>117.30800000000001</v>
      </c>
      <c r="U66" s="341">
        <v>1.1828000000000001</v>
      </c>
      <c r="V66" s="692">
        <v>3084731.7429720005</v>
      </c>
      <c r="W66" s="692">
        <v>-38356.512972000055</v>
      </c>
      <c r="X66"/>
      <c r="Y66"/>
    </row>
    <row r="67" spans="2:25" ht="16">
      <c r="J67" s="691"/>
      <c r="K67" s="728"/>
      <c r="L67" s="341"/>
      <c r="M67" s="341"/>
      <c r="N67" s="692"/>
      <c r="O67" s="728"/>
      <c r="P67" s="341"/>
      <c r="Q67" s="360"/>
      <c r="R67" s="692"/>
      <c r="S67" s="341"/>
      <c r="T67" s="341"/>
      <c r="U67" s="341"/>
      <c r="V67" s="692"/>
      <c r="W67" s="692"/>
      <c r="X67"/>
      <c r="Y67"/>
    </row>
    <row r="68" spans="2:25" ht="16">
      <c r="B68" s="67"/>
      <c r="E68" s="131" t="s">
        <v>861</v>
      </c>
      <c r="F68" s="131"/>
      <c r="G68" s="131"/>
      <c r="H68" s="131"/>
      <c r="I68" s="131"/>
      <c r="J68" s="729">
        <v>169960</v>
      </c>
      <c r="K68" s="730">
        <v>18687044.219999999</v>
      </c>
      <c r="L68" s="366">
        <v>4.8898081728253801E-2</v>
      </c>
      <c r="M68" s="374">
        <v>20.450700000000001</v>
      </c>
      <c r="N68" s="704">
        <v>18687044.219999999</v>
      </c>
      <c r="O68" s="730">
        <v>16012860.310000001</v>
      </c>
      <c r="P68" s="366">
        <v>5.3014767942214727E-2</v>
      </c>
      <c r="Q68" s="374">
        <v>18.865699999999997</v>
      </c>
      <c r="R68" s="704">
        <v>16012860.310000001</v>
      </c>
      <c r="S68" s="366">
        <v>98.433274235231011</v>
      </c>
      <c r="T68" s="366">
        <v>117.30800000000001</v>
      </c>
      <c r="U68" s="366">
        <v>1.1917500000000001</v>
      </c>
      <c r="V68" s="704">
        <v>18990868.853</v>
      </c>
      <c r="W68" s="704">
        <v>-303824.63300000108</v>
      </c>
      <c r="X68"/>
      <c r="Y68"/>
    </row>
    <row r="69" spans="2:25" ht="16">
      <c r="J69" s="691"/>
      <c r="K69" s="728"/>
      <c r="L69" s="341"/>
      <c r="M69" s="341"/>
      <c r="N69" s="692"/>
      <c r="O69" s="728"/>
      <c r="P69" s="341"/>
      <c r="Q69" s="360"/>
      <c r="R69" s="692"/>
      <c r="S69" s="341"/>
      <c r="T69" s="341"/>
      <c r="U69" s="341"/>
      <c r="V69" s="692"/>
      <c r="W69" s="692"/>
      <c r="X69"/>
      <c r="Y69"/>
    </row>
    <row r="70" spans="2:25" ht="16">
      <c r="B70" s="67"/>
      <c r="D70" s="361" t="s">
        <v>958</v>
      </c>
      <c r="E70" s="361"/>
      <c r="F70" s="361"/>
      <c r="G70" s="361"/>
      <c r="H70" s="361"/>
      <c r="I70" s="361"/>
      <c r="J70" s="731">
        <v>686528</v>
      </c>
      <c r="K70" s="732">
        <v>75720462.950000003</v>
      </c>
      <c r="L70" s="367">
        <v>0.12239167147964831</v>
      </c>
      <c r="M70" s="367">
        <v>20.304284615384617</v>
      </c>
      <c r="N70" s="733">
        <v>75913247.570000008</v>
      </c>
      <c r="O70" s="732">
        <v>65472556.380000003</v>
      </c>
      <c r="P70" s="367">
        <v>0.12577695588756113</v>
      </c>
      <c r="Q70" s="373">
        <v>19.018646153846156</v>
      </c>
      <c r="R70" s="733">
        <v>65669515.048337996</v>
      </c>
      <c r="S70" s="367">
        <v>99.825006948458011</v>
      </c>
      <c r="T70" s="367">
        <v>119.01323076923077</v>
      </c>
      <c r="U70" s="367">
        <v>1.1948384615384617</v>
      </c>
      <c r="V70" s="733">
        <v>79289440.781813607</v>
      </c>
      <c r="W70" s="733">
        <v>-3376193.211813611</v>
      </c>
      <c r="X70"/>
      <c r="Y70"/>
    </row>
    <row r="71" spans="2:25" ht="16">
      <c r="J71" s="691"/>
      <c r="K71" s="728"/>
      <c r="L71" s="341"/>
      <c r="M71" s="341"/>
      <c r="N71" s="692"/>
      <c r="O71" s="728"/>
      <c r="P71" s="341"/>
      <c r="Q71" s="360"/>
      <c r="R71" s="692"/>
      <c r="S71" s="341"/>
      <c r="T71" s="341"/>
      <c r="U71" s="341"/>
      <c r="V71" s="692"/>
      <c r="W71" s="692"/>
      <c r="X71"/>
      <c r="Y71"/>
    </row>
    <row r="72" spans="2:25" ht="16">
      <c r="B72" s="67"/>
      <c r="D72" s="1" t="s">
        <v>953</v>
      </c>
      <c r="J72" s="691"/>
      <c r="K72" s="728"/>
      <c r="L72" s="341"/>
      <c r="M72" s="341"/>
      <c r="N72" s="692"/>
      <c r="O72" s="728"/>
      <c r="P72" s="341"/>
      <c r="Q72" s="360"/>
      <c r="R72" s="692"/>
      <c r="S72" s="341"/>
      <c r="T72" s="341"/>
      <c r="U72" s="341"/>
      <c r="V72" s="692"/>
      <c r="W72" s="692"/>
      <c r="X72"/>
      <c r="Y72"/>
    </row>
    <row r="73" spans="2:25" ht="16">
      <c r="B73" s="67"/>
      <c r="E73" s="1" t="s">
        <v>702</v>
      </c>
      <c r="J73" s="691"/>
      <c r="K73" s="728"/>
      <c r="L73" s="341"/>
      <c r="M73" s="341"/>
      <c r="N73" s="692"/>
      <c r="O73" s="728"/>
      <c r="P73" s="341"/>
      <c r="Q73" s="360"/>
      <c r="R73" s="692"/>
      <c r="S73" s="341"/>
      <c r="T73" s="341"/>
      <c r="U73" s="341"/>
      <c r="V73" s="692"/>
      <c r="W73" s="692"/>
      <c r="X73"/>
      <c r="Y73"/>
    </row>
    <row r="74" spans="2:25" ht="16">
      <c r="B74" s="67"/>
      <c r="F74" s="344">
        <v>44671</v>
      </c>
      <c r="G74" s="344"/>
      <c r="H74" s="344"/>
      <c r="I74" s="344"/>
      <c r="J74" s="691"/>
      <c r="K74" s="728"/>
      <c r="L74" s="341"/>
      <c r="M74" s="341"/>
      <c r="N74" s="692"/>
      <c r="O74" s="728"/>
      <c r="P74" s="341"/>
      <c r="Q74" s="360"/>
      <c r="R74" s="692"/>
      <c r="S74" s="341"/>
      <c r="T74" s="341"/>
      <c r="U74" s="341"/>
      <c r="V74" s="692"/>
      <c r="W74" s="692"/>
      <c r="X74"/>
      <c r="Y74"/>
    </row>
    <row r="75" spans="2:25" ht="16">
      <c r="B75" s="67"/>
      <c r="G75" s="3" t="s">
        <v>59</v>
      </c>
      <c r="H75" s="3"/>
      <c r="I75" s="3"/>
      <c r="J75" s="691"/>
      <c r="K75" s="728"/>
      <c r="L75" s="341"/>
      <c r="M75" s="341"/>
      <c r="N75" s="692"/>
      <c r="O75" s="728"/>
      <c r="P75" s="341"/>
      <c r="Q75" s="360"/>
      <c r="R75" s="692"/>
      <c r="S75" s="341"/>
      <c r="T75" s="341"/>
      <c r="U75" s="341"/>
      <c r="V75" s="692"/>
      <c r="W75" s="692"/>
      <c r="X75"/>
      <c r="Y75"/>
    </row>
    <row r="76" spans="2:25" ht="16">
      <c r="B76" s="67"/>
      <c r="H76" s="345">
        <v>44218</v>
      </c>
      <c r="I76" s="345"/>
      <c r="J76" s="691"/>
      <c r="K76" s="728"/>
      <c r="L76" s="341"/>
      <c r="M76" s="341"/>
      <c r="N76" s="692"/>
      <c r="O76" s="728"/>
      <c r="P76" s="341"/>
      <c r="Q76" s="360"/>
      <c r="R76" s="692"/>
      <c r="S76" s="341"/>
      <c r="T76" s="341"/>
      <c r="U76" s="341"/>
      <c r="V76" s="692"/>
      <c r="W76" s="692"/>
      <c r="X76"/>
      <c r="Y76"/>
    </row>
    <row r="77" spans="2:25" ht="16">
      <c r="B77" s="67"/>
      <c r="I77" s="3" t="s">
        <v>59</v>
      </c>
      <c r="J77" s="691">
        <v>708</v>
      </c>
      <c r="K77" s="728">
        <v>31558.037698723405</v>
      </c>
      <c r="L77" s="341">
        <v>1</v>
      </c>
      <c r="M77" s="341">
        <v>19.9377</v>
      </c>
      <c r="N77" s="692">
        <v>629194.68822583766</v>
      </c>
      <c r="O77" s="728">
        <v>36601.971153740749</v>
      </c>
      <c r="P77" s="341">
        <v>1</v>
      </c>
      <c r="Q77" s="360">
        <v>19.5793</v>
      </c>
      <c r="R77" s="692">
        <v>716640.9738104362</v>
      </c>
      <c r="S77" s="341">
        <v>110.21</v>
      </c>
      <c r="T77" s="341">
        <v>120.15900000000001</v>
      </c>
      <c r="U77" s="341">
        <v>1.0902000000000001</v>
      </c>
      <c r="V77" s="692">
        <v>781281.98964813759</v>
      </c>
      <c r="W77" s="692">
        <v>-152087.30142229993</v>
      </c>
      <c r="X77"/>
      <c r="Y77"/>
    </row>
    <row r="78" spans="2:25" ht="16">
      <c r="J78" s="691"/>
      <c r="K78" s="728"/>
      <c r="L78" s="341"/>
      <c r="M78" s="341"/>
      <c r="N78" s="692"/>
      <c r="O78" s="728"/>
      <c r="P78" s="341"/>
      <c r="Q78" s="360"/>
      <c r="R78" s="692"/>
      <c r="S78" s="341"/>
      <c r="T78" s="341"/>
      <c r="U78" s="341"/>
      <c r="V78" s="692"/>
      <c r="W78" s="692"/>
      <c r="X78"/>
      <c r="Y78"/>
    </row>
    <row r="79" spans="2:25" ht="16">
      <c r="B79" s="67"/>
      <c r="H79" s="345">
        <v>44293</v>
      </c>
      <c r="I79" s="345"/>
      <c r="J79" s="691"/>
      <c r="K79" s="728"/>
      <c r="L79" s="341"/>
      <c r="M79" s="341"/>
      <c r="N79" s="692"/>
      <c r="O79" s="728"/>
      <c r="P79" s="341"/>
      <c r="Q79" s="360"/>
      <c r="R79" s="692"/>
      <c r="S79" s="341"/>
      <c r="T79" s="341"/>
      <c r="U79" s="341"/>
      <c r="V79" s="692"/>
      <c r="W79" s="692"/>
      <c r="X79"/>
      <c r="Y79"/>
    </row>
    <row r="80" spans="2:25" ht="16">
      <c r="B80" s="67"/>
      <c r="I80" s="3" t="s">
        <v>59</v>
      </c>
      <c r="J80" s="691">
        <v>5167</v>
      </c>
      <c r="K80" s="728">
        <v>230311.27230127659</v>
      </c>
      <c r="L80" s="341">
        <v>1</v>
      </c>
      <c r="M80" s="341">
        <v>19.9377</v>
      </c>
      <c r="N80" s="692">
        <v>4591877.0537611619</v>
      </c>
      <c r="O80" s="728">
        <v>269715.84808701754</v>
      </c>
      <c r="P80" s="341">
        <v>1</v>
      </c>
      <c r="Q80" s="360">
        <v>20.2483</v>
      </c>
      <c r="R80" s="692">
        <v>5461287.4068203578</v>
      </c>
      <c r="S80" s="341">
        <v>112.19</v>
      </c>
      <c r="T80" s="341">
        <v>120.15900000000001</v>
      </c>
      <c r="U80" s="341">
        <v>1.071</v>
      </c>
      <c r="V80" s="692">
        <v>5849038.8127046032</v>
      </c>
      <c r="W80" s="692">
        <v>-1257161.7589434413</v>
      </c>
      <c r="X80"/>
      <c r="Y80"/>
    </row>
    <row r="81" spans="2:25" ht="16">
      <c r="J81" s="691"/>
      <c r="K81" s="728"/>
      <c r="L81" s="341"/>
      <c r="M81" s="341"/>
      <c r="N81" s="692"/>
      <c r="O81" s="728"/>
      <c r="P81" s="341"/>
      <c r="Q81" s="360"/>
      <c r="R81" s="692"/>
      <c r="S81" s="341"/>
      <c r="T81" s="341"/>
      <c r="U81" s="341"/>
      <c r="V81" s="692"/>
      <c r="W81" s="692"/>
      <c r="X81"/>
      <c r="Y81"/>
    </row>
    <row r="82" spans="2:25" ht="16">
      <c r="B82" s="67"/>
      <c r="F82" s="344">
        <v>44769</v>
      </c>
      <c r="G82" s="344"/>
      <c r="H82" s="344"/>
      <c r="I82" s="344"/>
      <c r="J82" s="691"/>
      <c r="K82" s="728"/>
      <c r="L82" s="341"/>
      <c r="M82" s="341"/>
      <c r="N82" s="692"/>
      <c r="O82" s="728"/>
      <c r="P82" s="341"/>
      <c r="Q82" s="360"/>
      <c r="R82" s="692"/>
      <c r="S82" s="341"/>
      <c r="T82" s="341"/>
      <c r="U82" s="341"/>
      <c r="V82" s="692"/>
      <c r="W82" s="692"/>
      <c r="X82"/>
      <c r="Y82"/>
    </row>
    <row r="83" spans="2:25" ht="16">
      <c r="B83" s="67"/>
      <c r="G83" s="3" t="s">
        <v>59</v>
      </c>
      <c r="H83" s="3"/>
      <c r="I83" s="3"/>
      <c r="J83" s="691"/>
      <c r="K83" s="728"/>
      <c r="L83" s="341"/>
      <c r="M83" s="341"/>
      <c r="N83" s="692"/>
      <c r="O83" s="728"/>
      <c r="P83" s="341"/>
      <c r="Q83" s="360"/>
      <c r="R83" s="692"/>
      <c r="S83" s="341"/>
      <c r="T83" s="341"/>
      <c r="U83" s="341"/>
      <c r="V83" s="692"/>
      <c r="W83" s="692"/>
      <c r="X83"/>
      <c r="Y83"/>
    </row>
    <row r="84" spans="2:25" ht="16">
      <c r="B84" s="67"/>
      <c r="H84" s="345">
        <v>44293</v>
      </c>
      <c r="I84" s="345"/>
      <c r="J84" s="691"/>
      <c r="K84" s="728"/>
      <c r="L84" s="341"/>
      <c r="M84" s="341"/>
      <c r="N84" s="692"/>
      <c r="O84" s="728"/>
      <c r="P84" s="341"/>
      <c r="Q84" s="360"/>
      <c r="R84" s="692"/>
      <c r="S84" s="341"/>
      <c r="T84" s="341"/>
      <c r="U84" s="341"/>
      <c r="V84" s="692"/>
      <c r="W84" s="692"/>
      <c r="X84"/>
      <c r="Y84"/>
    </row>
    <row r="85" spans="2:25" ht="16">
      <c r="B85" s="67"/>
      <c r="I85" s="3" t="s">
        <v>59</v>
      </c>
      <c r="J85" s="691">
        <v>1958</v>
      </c>
      <c r="K85" s="728">
        <v>83068.736285097184</v>
      </c>
      <c r="L85" s="341">
        <v>1</v>
      </c>
      <c r="M85" s="341">
        <v>20.465199999999999</v>
      </c>
      <c r="N85" s="692">
        <v>1700018.3018217708</v>
      </c>
      <c r="O85" s="728">
        <v>102207.01191298246</v>
      </c>
      <c r="P85" s="341">
        <v>1</v>
      </c>
      <c r="Q85" s="360">
        <v>20.2483</v>
      </c>
      <c r="R85" s="692">
        <v>2069518.2393176428</v>
      </c>
      <c r="S85" s="341">
        <v>112.19</v>
      </c>
      <c r="T85" s="341">
        <v>122.044</v>
      </c>
      <c r="U85" s="341">
        <v>1.0878000000000001</v>
      </c>
      <c r="V85" s="692">
        <v>2251221.9407297322</v>
      </c>
      <c r="W85" s="692">
        <v>-551203.63890796131</v>
      </c>
      <c r="X85"/>
      <c r="Y85"/>
    </row>
    <row r="86" spans="2:25" ht="16">
      <c r="J86" s="691"/>
      <c r="K86" s="728"/>
      <c r="L86" s="341"/>
      <c r="M86" s="341"/>
      <c r="N86" s="692"/>
      <c r="O86" s="728"/>
      <c r="P86" s="341"/>
      <c r="Q86" s="360"/>
      <c r="R86" s="692"/>
      <c r="S86" s="341"/>
      <c r="T86" s="341"/>
      <c r="U86" s="341"/>
      <c r="V86" s="692"/>
      <c r="W86" s="692"/>
      <c r="X86"/>
      <c r="Y86"/>
    </row>
    <row r="87" spans="2:25" ht="16">
      <c r="B87" s="67"/>
      <c r="H87" s="345">
        <v>44302</v>
      </c>
      <c r="I87" s="345"/>
      <c r="J87" s="691"/>
      <c r="K87" s="728"/>
      <c r="L87" s="341"/>
      <c r="M87" s="341"/>
      <c r="N87" s="692"/>
      <c r="O87" s="728"/>
      <c r="P87" s="341"/>
      <c r="Q87" s="360"/>
      <c r="R87" s="692"/>
      <c r="S87" s="341"/>
      <c r="T87" s="341"/>
      <c r="U87" s="341"/>
      <c r="V87" s="692"/>
      <c r="W87" s="692"/>
      <c r="X87"/>
      <c r="Y87"/>
    </row>
    <row r="88" spans="2:25" ht="16">
      <c r="B88" s="67"/>
      <c r="I88" s="3" t="s">
        <v>59</v>
      </c>
      <c r="J88" s="691">
        <v>3135</v>
      </c>
      <c r="K88" s="728">
        <v>133003.31371490279</v>
      </c>
      <c r="L88" s="341">
        <v>1</v>
      </c>
      <c r="M88" s="341">
        <v>20.465199999999999</v>
      </c>
      <c r="N88" s="692">
        <v>2721939.4158382285</v>
      </c>
      <c r="O88" s="728">
        <v>165809.52037198743</v>
      </c>
      <c r="P88" s="341">
        <v>1</v>
      </c>
      <c r="Q88" s="360">
        <v>20.058299999999999</v>
      </c>
      <c r="R88" s="692">
        <v>3325857.102477435</v>
      </c>
      <c r="S88" s="341">
        <v>112.19</v>
      </c>
      <c r="T88" s="341">
        <v>122.044</v>
      </c>
      <c r="U88" s="341">
        <v>1.0878000000000001</v>
      </c>
      <c r="V88" s="692">
        <v>3617867.3560749544</v>
      </c>
      <c r="W88" s="692">
        <v>-895927.94023672584</v>
      </c>
      <c r="X88"/>
      <c r="Y88"/>
    </row>
    <row r="89" spans="2:25" ht="16">
      <c r="J89" s="691"/>
      <c r="K89" s="728"/>
      <c r="L89" s="341"/>
      <c r="M89" s="341"/>
      <c r="N89" s="692"/>
      <c r="O89" s="728"/>
      <c r="P89" s="341"/>
      <c r="Q89" s="360"/>
      <c r="R89" s="692"/>
      <c r="S89" s="341"/>
      <c r="T89" s="341"/>
      <c r="U89" s="341"/>
      <c r="V89" s="692"/>
      <c r="W89" s="692"/>
      <c r="X89"/>
      <c r="Y89"/>
    </row>
    <row r="90" spans="2:25" ht="16">
      <c r="B90" s="67"/>
      <c r="E90" s="131" t="s">
        <v>862</v>
      </c>
      <c r="F90" s="131"/>
      <c r="G90" s="131"/>
      <c r="H90" s="131"/>
      <c r="I90" s="131"/>
      <c r="J90" s="729">
        <v>10968</v>
      </c>
      <c r="K90" s="730">
        <v>477941.36</v>
      </c>
      <c r="L90" s="366">
        <v>1</v>
      </c>
      <c r="M90" s="374">
        <v>20.201449999999998</v>
      </c>
      <c r="N90" s="704">
        <v>9643029.4596469998</v>
      </c>
      <c r="O90" s="730">
        <v>574334.35152572813</v>
      </c>
      <c r="P90" s="366">
        <v>1</v>
      </c>
      <c r="Q90" s="374">
        <v>20.033550000000002</v>
      </c>
      <c r="R90" s="704">
        <v>11573303.722425871</v>
      </c>
      <c r="S90" s="366">
        <v>111.69499999999999</v>
      </c>
      <c r="T90" s="366">
        <v>121.1015</v>
      </c>
      <c r="U90" s="366">
        <v>1.0842000000000001</v>
      </c>
      <c r="V90" s="704">
        <v>12499410.099157427</v>
      </c>
      <c r="W90" s="704">
        <v>-2856380.6395104285</v>
      </c>
      <c r="X90"/>
      <c r="Y90"/>
    </row>
    <row r="91" spans="2:25" ht="16">
      <c r="J91" s="691"/>
      <c r="K91" s="728"/>
      <c r="L91" s="341"/>
      <c r="M91" s="341"/>
      <c r="N91" s="692"/>
      <c r="O91" s="728"/>
      <c r="P91" s="341"/>
      <c r="Q91" s="360"/>
      <c r="R91" s="692"/>
      <c r="S91" s="341"/>
      <c r="T91" s="341"/>
      <c r="U91" s="341"/>
      <c r="V91" s="692"/>
      <c r="W91" s="692"/>
      <c r="X91"/>
      <c r="Y91"/>
    </row>
    <row r="92" spans="2:25" ht="16">
      <c r="B92" s="67"/>
      <c r="E92" s="1" t="s">
        <v>703</v>
      </c>
      <c r="J92" s="691"/>
      <c r="K92" s="728"/>
      <c r="L92" s="341"/>
      <c r="M92" s="341"/>
      <c r="N92" s="692"/>
      <c r="O92" s="728"/>
      <c r="P92" s="341"/>
      <c r="Q92" s="360"/>
      <c r="R92" s="692"/>
      <c r="S92" s="341"/>
      <c r="T92" s="341"/>
      <c r="U92" s="341"/>
      <c r="V92" s="692"/>
      <c r="W92" s="692"/>
      <c r="X92"/>
      <c r="Y92"/>
    </row>
    <row r="93" spans="2:25" ht="16">
      <c r="B93" s="67"/>
      <c r="F93" s="344">
        <v>44671</v>
      </c>
      <c r="G93" s="344"/>
      <c r="H93" s="344"/>
      <c r="I93" s="344"/>
      <c r="J93" s="691"/>
      <c r="K93" s="728"/>
      <c r="L93" s="341"/>
      <c r="M93" s="341"/>
      <c r="N93" s="692"/>
      <c r="O93" s="728"/>
      <c r="P93" s="341"/>
      <c r="Q93" s="360"/>
      <c r="R93" s="692"/>
      <c r="S93" s="341"/>
      <c r="T93" s="341"/>
      <c r="U93" s="341"/>
      <c r="V93" s="692"/>
      <c r="W93" s="692"/>
      <c r="X93"/>
      <c r="Y93"/>
    </row>
    <row r="94" spans="2:25" ht="16">
      <c r="B94" s="67"/>
      <c r="G94" s="3" t="s">
        <v>59</v>
      </c>
      <c r="H94" s="3"/>
      <c r="I94" s="3"/>
      <c r="J94" s="691"/>
      <c r="K94" s="728"/>
      <c r="L94" s="341"/>
      <c r="M94" s="341"/>
      <c r="N94" s="692"/>
      <c r="O94" s="728"/>
      <c r="P94" s="341"/>
      <c r="Q94" s="360"/>
      <c r="R94" s="692"/>
      <c r="S94" s="341"/>
      <c r="T94" s="341"/>
      <c r="U94" s="341"/>
      <c r="V94" s="692"/>
      <c r="W94" s="692"/>
      <c r="X94"/>
      <c r="Y94"/>
    </row>
    <row r="95" spans="2:25" ht="16">
      <c r="B95" s="67"/>
      <c r="H95" s="345">
        <v>44231</v>
      </c>
      <c r="I95" s="345"/>
      <c r="J95" s="691"/>
      <c r="K95" s="728"/>
      <c r="L95" s="341"/>
      <c r="M95" s="341"/>
      <c r="N95" s="692"/>
      <c r="O95" s="728"/>
      <c r="P95" s="341"/>
      <c r="Q95" s="360"/>
      <c r="R95" s="692"/>
      <c r="S95" s="341"/>
      <c r="T95" s="341"/>
      <c r="U95" s="341"/>
      <c r="V95" s="692"/>
      <c r="W95" s="692"/>
      <c r="X95"/>
      <c r="Y95"/>
    </row>
    <row r="96" spans="2:25" ht="16">
      <c r="B96" s="67"/>
      <c r="I96" s="3" t="s">
        <v>59</v>
      </c>
      <c r="J96" s="691">
        <v>2360</v>
      </c>
      <c r="K96" s="728">
        <v>166211.5</v>
      </c>
      <c r="L96" s="341">
        <v>1</v>
      </c>
      <c r="M96" s="341">
        <v>19.9377</v>
      </c>
      <c r="N96" s="692">
        <v>3313875.02355</v>
      </c>
      <c r="O96" s="728">
        <v>154701.06862625026</v>
      </c>
      <c r="P96" s="341">
        <v>1</v>
      </c>
      <c r="Q96" s="360">
        <v>20.1722</v>
      </c>
      <c r="R96" s="692">
        <v>3120660.8965424453</v>
      </c>
      <c r="S96" s="341">
        <v>110.907</v>
      </c>
      <c r="T96" s="341">
        <v>120.15900000000001</v>
      </c>
      <c r="U96" s="341">
        <v>1.0833999999999999</v>
      </c>
      <c r="V96" s="692">
        <v>3380924.0153140849</v>
      </c>
      <c r="W96" s="692">
        <v>-67048.991764084902</v>
      </c>
      <c r="X96"/>
      <c r="Y96"/>
    </row>
    <row r="97" spans="2:25" ht="16">
      <c r="J97" s="691"/>
      <c r="K97" s="728"/>
      <c r="L97" s="341"/>
      <c r="M97" s="341"/>
      <c r="N97" s="692"/>
      <c r="O97" s="728"/>
      <c r="P97" s="341"/>
      <c r="Q97" s="360"/>
      <c r="R97" s="692"/>
      <c r="S97" s="341"/>
      <c r="T97" s="341"/>
      <c r="U97" s="341"/>
      <c r="V97" s="692"/>
      <c r="W97" s="692"/>
      <c r="X97"/>
      <c r="Y97"/>
    </row>
    <row r="98" spans="2:25" ht="16">
      <c r="B98" s="67"/>
      <c r="F98" s="344">
        <v>44862</v>
      </c>
      <c r="G98" s="344"/>
      <c r="H98" s="344"/>
      <c r="I98" s="344"/>
      <c r="J98" s="691"/>
      <c r="K98" s="728"/>
      <c r="L98" s="341"/>
      <c r="M98" s="341"/>
      <c r="N98" s="692"/>
      <c r="O98" s="728"/>
      <c r="P98" s="341"/>
      <c r="Q98" s="360"/>
      <c r="R98" s="692"/>
      <c r="S98" s="341"/>
      <c r="T98" s="341"/>
      <c r="U98" s="341"/>
      <c r="V98" s="692"/>
      <c r="W98" s="692"/>
      <c r="X98"/>
      <c r="Y98"/>
    </row>
    <row r="99" spans="2:25" ht="16">
      <c r="B99" s="67"/>
      <c r="G99" s="3" t="s">
        <v>59</v>
      </c>
      <c r="H99" s="3"/>
      <c r="I99" s="3"/>
      <c r="J99" s="691"/>
      <c r="K99" s="728"/>
      <c r="L99" s="341"/>
      <c r="M99" s="341"/>
      <c r="N99" s="692"/>
      <c r="O99" s="728"/>
      <c r="P99" s="341"/>
      <c r="Q99" s="360"/>
      <c r="R99" s="692"/>
      <c r="S99" s="341"/>
      <c r="T99" s="341"/>
      <c r="U99" s="341"/>
      <c r="V99" s="692"/>
      <c r="W99" s="692"/>
      <c r="X99"/>
      <c r="Y99"/>
    </row>
    <row r="100" spans="2:25" ht="16">
      <c r="B100" s="67"/>
      <c r="H100" s="345">
        <v>44231</v>
      </c>
      <c r="I100" s="345"/>
      <c r="J100" s="691"/>
      <c r="K100" s="728"/>
      <c r="L100" s="341"/>
      <c r="M100" s="341"/>
      <c r="N100" s="692"/>
      <c r="O100" s="728"/>
      <c r="P100" s="341"/>
      <c r="Q100" s="360"/>
      <c r="R100" s="692"/>
      <c r="S100" s="341"/>
      <c r="T100" s="341"/>
      <c r="U100" s="341"/>
      <c r="V100" s="692"/>
      <c r="W100" s="692"/>
      <c r="X100"/>
      <c r="Y100"/>
    </row>
    <row r="101" spans="2:25" ht="16">
      <c r="B101" s="67"/>
      <c r="I101" s="3" t="s">
        <v>59</v>
      </c>
      <c r="J101" s="691">
        <v>200</v>
      </c>
      <c r="K101" s="728">
        <v>11903.14</v>
      </c>
      <c r="L101" s="341">
        <v>1</v>
      </c>
      <c r="M101" s="341">
        <v>19.8553</v>
      </c>
      <c r="N101" s="692">
        <v>236340.41564199998</v>
      </c>
      <c r="O101" s="728">
        <v>13110.260053072056</v>
      </c>
      <c r="P101" s="341">
        <v>1</v>
      </c>
      <c r="Q101" s="360">
        <v>20.1722</v>
      </c>
      <c r="R101" s="692">
        <v>264462.78784258012</v>
      </c>
      <c r="S101" s="341">
        <v>110.907</v>
      </c>
      <c r="T101" s="341">
        <v>124.571</v>
      </c>
      <c r="U101" s="341">
        <v>1.1232</v>
      </c>
      <c r="V101" s="692">
        <v>297044.60330478597</v>
      </c>
      <c r="W101" s="692">
        <v>-60704.187662785989</v>
      </c>
      <c r="X101"/>
      <c r="Y101"/>
    </row>
    <row r="102" spans="2:25" ht="16">
      <c r="J102" s="691"/>
      <c r="K102" s="728"/>
      <c r="L102" s="341"/>
      <c r="M102" s="341"/>
      <c r="N102" s="692"/>
      <c r="O102" s="728"/>
      <c r="P102" s="341"/>
      <c r="Q102" s="360"/>
      <c r="R102" s="692"/>
      <c r="S102" s="341"/>
      <c r="T102" s="341"/>
      <c r="U102" s="341"/>
      <c r="V102" s="692"/>
      <c r="W102" s="692"/>
      <c r="X102"/>
      <c r="Y102"/>
    </row>
    <row r="103" spans="2:25" ht="16">
      <c r="B103" s="67"/>
      <c r="E103" s="131" t="s">
        <v>863</v>
      </c>
      <c r="F103" s="131"/>
      <c r="G103" s="131"/>
      <c r="H103" s="131"/>
      <c r="I103" s="131"/>
      <c r="J103" s="729">
        <v>2560</v>
      </c>
      <c r="K103" s="730">
        <v>178114.64</v>
      </c>
      <c r="L103" s="366">
        <v>1</v>
      </c>
      <c r="M103" s="374">
        <v>19.8965</v>
      </c>
      <c r="N103" s="704">
        <v>3550215.4391919998</v>
      </c>
      <c r="O103" s="730">
        <v>167811.32867932232</v>
      </c>
      <c r="P103" s="366">
        <v>1</v>
      </c>
      <c r="Q103" s="374">
        <v>20.1722</v>
      </c>
      <c r="R103" s="704">
        <v>3385123.6843850254</v>
      </c>
      <c r="S103" s="366">
        <v>110.907</v>
      </c>
      <c r="T103" s="366">
        <v>122.36500000000001</v>
      </c>
      <c r="U103" s="366">
        <v>1.1032999999999999</v>
      </c>
      <c r="V103" s="704">
        <v>3677968.6186188711</v>
      </c>
      <c r="W103" s="704">
        <v>-127753.17942687089</v>
      </c>
      <c r="X103"/>
      <c r="Y103"/>
    </row>
    <row r="104" spans="2:25" ht="16">
      <c r="J104" s="691"/>
      <c r="K104" s="728"/>
      <c r="L104" s="341"/>
      <c r="M104" s="341"/>
      <c r="N104" s="692"/>
      <c r="O104" s="728"/>
      <c r="P104" s="341"/>
      <c r="Q104" s="360"/>
      <c r="R104" s="692"/>
      <c r="S104" s="341"/>
      <c r="T104" s="341"/>
      <c r="U104" s="341"/>
      <c r="V104" s="692"/>
      <c r="W104" s="692"/>
      <c r="X104"/>
      <c r="Y104"/>
    </row>
    <row r="105" spans="2:25" ht="16">
      <c r="B105" s="67"/>
      <c r="E105" s="1" t="s">
        <v>704</v>
      </c>
      <c r="J105" s="691"/>
      <c r="K105" s="728"/>
      <c r="L105" s="341"/>
      <c r="M105" s="341"/>
      <c r="N105" s="692"/>
      <c r="O105" s="728"/>
      <c r="P105" s="341"/>
      <c r="Q105" s="360"/>
      <c r="R105" s="692"/>
      <c r="S105" s="341"/>
      <c r="T105" s="341"/>
      <c r="U105" s="341"/>
      <c r="V105" s="692"/>
      <c r="W105" s="692"/>
      <c r="X105"/>
      <c r="Y105"/>
    </row>
    <row r="106" spans="2:25" ht="16">
      <c r="B106" s="67"/>
      <c r="F106" s="344">
        <v>44671</v>
      </c>
      <c r="G106" s="344"/>
      <c r="H106" s="344"/>
      <c r="I106" s="344"/>
      <c r="J106" s="691"/>
      <c r="K106" s="728"/>
      <c r="L106" s="341"/>
      <c r="M106" s="341"/>
      <c r="N106" s="692"/>
      <c r="O106" s="728"/>
      <c r="P106" s="341"/>
      <c r="Q106" s="360"/>
      <c r="R106" s="692"/>
      <c r="S106" s="341"/>
      <c r="T106" s="341"/>
      <c r="U106" s="341"/>
      <c r="V106" s="692"/>
      <c r="W106" s="692"/>
      <c r="X106"/>
      <c r="Y106"/>
    </row>
    <row r="107" spans="2:25" ht="16">
      <c r="B107" s="67"/>
      <c r="G107" s="3" t="s">
        <v>59</v>
      </c>
      <c r="H107" s="3"/>
      <c r="I107" s="3"/>
      <c r="J107" s="691"/>
      <c r="K107" s="728"/>
      <c r="L107" s="341"/>
      <c r="M107" s="341"/>
      <c r="N107" s="692"/>
      <c r="O107" s="728"/>
      <c r="P107" s="341"/>
      <c r="Q107" s="360"/>
      <c r="R107" s="692"/>
      <c r="S107" s="341"/>
      <c r="T107" s="341"/>
      <c r="U107" s="341"/>
      <c r="V107" s="692"/>
      <c r="W107" s="692"/>
      <c r="X107"/>
      <c r="Y107"/>
    </row>
    <row r="108" spans="2:25" ht="16">
      <c r="B108" s="67"/>
      <c r="H108" s="345">
        <v>44370</v>
      </c>
      <c r="I108" s="345"/>
      <c r="J108" s="691"/>
      <c r="K108" s="728"/>
      <c r="L108" s="341"/>
      <c r="M108" s="341"/>
      <c r="N108" s="692"/>
      <c r="O108" s="728"/>
      <c r="P108" s="341"/>
      <c r="Q108" s="360"/>
      <c r="R108" s="692"/>
      <c r="S108" s="341"/>
      <c r="T108" s="341"/>
      <c r="U108" s="341"/>
      <c r="V108" s="692"/>
      <c r="W108" s="692"/>
      <c r="X108"/>
      <c r="Y108"/>
    </row>
    <row r="109" spans="2:25" ht="16">
      <c r="B109" s="67"/>
      <c r="I109" s="3" t="s">
        <v>59</v>
      </c>
      <c r="J109" s="691">
        <v>53</v>
      </c>
      <c r="K109" s="728">
        <v>10213.587510548523</v>
      </c>
      <c r="L109" s="341">
        <v>1</v>
      </c>
      <c r="M109" s="341">
        <v>19.9377</v>
      </c>
      <c r="N109" s="692">
        <v>203635.44370906329</v>
      </c>
      <c r="O109" s="728">
        <v>9445.7395254074781</v>
      </c>
      <c r="P109" s="341">
        <v>1</v>
      </c>
      <c r="Q109" s="360">
        <v>20.6</v>
      </c>
      <c r="R109" s="692">
        <v>194582.23422339407</v>
      </c>
      <c r="S109" s="341">
        <v>113.018</v>
      </c>
      <c r="T109" s="341">
        <v>120.15900000000001</v>
      </c>
      <c r="U109" s="341">
        <v>1.0630999999999999</v>
      </c>
      <c r="V109" s="692">
        <v>206860.37320289022</v>
      </c>
      <c r="W109" s="692">
        <v>-3224.9294938269304</v>
      </c>
      <c r="X109"/>
      <c r="Y109"/>
    </row>
    <row r="110" spans="2:25" ht="16">
      <c r="J110" s="691"/>
      <c r="K110" s="728"/>
      <c r="L110" s="341"/>
      <c r="M110" s="341"/>
      <c r="N110" s="692"/>
      <c r="O110" s="728"/>
      <c r="P110" s="341"/>
      <c r="Q110" s="360"/>
      <c r="R110" s="692"/>
      <c r="S110" s="341"/>
      <c r="T110" s="341"/>
      <c r="U110" s="341"/>
      <c r="V110" s="692"/>
      <c r="W110" s="692"/>
      <c r="X110"/>
      <c r="Y110"/>
    </row>
    <row r="111" spans="2:25" ht="16">
      <c r="B111" s="67"/>
      <c r="H111" s="345">
        <v>44302</v>
      </c>
      <c r="I111" s="345"/>
      <c r="J111" s="691"/>
      <c r="K111" s="728"/>
      <c r="L111" s="341"/>
      <c r="M111" s="341"/>
      <c r="N111" s="692"/>
      <c r="O111" s="728"/>
      <c r="P111" s="341"/>
      <c r="Q111" s="360"/>
      <c r="R111" s="692"/>
      <c r="S111" s="341"/>
      <c r="T111" s="341"/>
      <c r="U111" s="341"/>
      <c r="V111" s="692"/>
      <c r="W111" s="692"/>
      <c r="X111"/>
      <c r="Y111"/>
    </row>
    <row r="112" spans="2:25" ht="16">
      <c r="B112" s="67"/>
      <c r="I112" s="3" t="s">
        <v>59</v>
      </c>
      <c r="J112" s="691">
        <v>184</v>
      </c>
      <c r="K112" s="728">
        <v>35458.492489451477</v>
      </c>
      <c r="L112" s="341">
        <v>1</v>
      </c>
      <c r="M112" s="341">
        <v>19.9377</v>
      </c>
      <c r="N112" s="692">
        <v>706960.78570693673</v>
      </c>
      <c r="O112" s="728">
        <v>30685.421792452828</v>
      </c>
      <c r="P112" s="341">
        <v>1</v>
      </c>
      <c r="Q112" s="360">
        <v>20.058299999999999</v>
      </c>
      <c r="R112" s="692">
        <v>615497.39593955653</v>
      </c>
      <c r="S112" s="341">
        <v>112.19</v>
      </c>
      <c r="T112" s="341">
        <v>120.15900000000001</v>
      </c>
      <c r="U112" s="341">
        <v>1.071</v>
      </c>
      <c r="V112" s="692">
        <v>659197.71105126501</v>
      </c>
      <c r="W112" s="692">
        <v>47763.07465567172</v>
      </c>
      <c r="X112"/>
      <c r="Y112"/>
    </row>
    <row r="113" spans="2:25" ht="16">
      <c r="J113" s="691"/>
      <c r="K113" s="728"/>
      <c r="L113" s="341"/>
      <c r="M113" s="341"/>
      <c r="N113" s="692"/>
      <c r="O113" s="728"/>
      <c r="P113" s="341"/>
      <c r="Q113" s="360"/>
      <c r="R113" s="692"/>
      <c r="S113" s="341"/>
      <c r="T113" s="341"/>
      <c r="U113" s="341"/>
      <c r="V113" s="692"/>
      <c r="W113" s="692"/>
      <c r="X113"/>
      <c r="Y113"/>
    </row>
    <row r="114" spans="2:25" ht="16">
      <c r="B114" s="67"/>
      <c r="F114" s="344">
        <v>44862</v>
      </c>
      <c r="G114" s="344"/>
      <c r="H114" s="344"/>
      <c r="I114" s="344"/>
      <c r="J114" s="691"/>
      <c r="K114" s="728"/>
      <c r="L114" s="341"/>
      <c r="M114" s="341"/>
      <c r="N114" s="692"/>
      <c r="O114" s="728"/>
      <c r="P114" s="341"/>
      <c r="Q114" s="360"/>
      <c r="R114" s="692"/>
      <c r="S114" s="341"/>
      <c r="T114" s="341"/>
      <c r="U114" s="341"/>
      <c r="V114" s="692"/>
      <c r="W114" s="692"/>
      <c r="X114"/>
      <c r="Y114"/>
    </row>
    <row r="115" spans="2:25" ht="16">
      <c r="B115" s="67"/>
      <c r="G115" s="3" t="s">
        <v>59</v>
      </c>
      <c r="H115" s="3"/>
      <c r="I115" s="3"/>
      <c r="J115" s="691"/>
      <c r="K115" s="728"/>
      <c r="L115" s="341"/>
      <c r="M115" s="341"/>
      <c r="N115" s="692"/>
      <c r="O115" s="728"/>
      <c r="P115" s="341"/>
      <c r="Q115" s="360"/>
      <c r="R115" s="692"/>
      <c r="S115" s="341"/>
      <c r="T115" s="341"/>
      <c r="U115" s="341"/>
      <c r="V115" s="692"/>
      <c r="W115" s="692"/>
      <c r="X115"/>
      <c r="Y115"/>
    </row>
    <row r="116" spans="2:25" ht="16">
      <c r="B116" s="67"/>
      <c r="H116" s="345">
        <v>44370</v>
      </c>
      <c r="I116" s="345"/>
      <c r="J116" s="691"/>
      <c r="K116" s="728"/>
      <c r="L116" s="341"/>
      <c r="M116" s="341"/>
      <c r="N116" s="692"/>
      <c r="O116" s="728"/>
      <c r="P116" s="341"/>
      <c r="Q116" s="360"/>
      <c r="R116" s="692"/>
      <c r="S116" s="341"/>
      <c r="T116" s="341"/>
      <c r="U116" s="341"/>
      <c r="V116" s="692"/>
      <c r="W116" s="692"/>
      <c r="X116"/>
      <c r="Y116"/>
    </row>
    <row r="117" spans="2:25" ht="16">
      <c r="B117" s="67"/>
      <c r="I117" s="3" t="s">
        <v>59</v>
      </c>
      <c r="J117" s="691">
        <v>1432</v>
      </c>
      <c r="K117" s="728">
        <v>225921.06</v>
      </c>
      <c r="L117" s="341">
        <v>1</v>
      </c>
      <c r="M117" s="341">
        <v>19.8553</v>
      </c>
      <c r="N117" s="692">
        <v>4485730.4226179998</v>
      </c>
      <c r="O117" s="728">
        <v>255213.1886864813</v>
      </c>
      <c r="P117" s="341">
        <v>1</v>
      </c>
      <c r="Q117" s="360">
        <v>20.6</v>
      </c>
      <c r="R117" s="692">
        <v>5257391.6869415147</v>
      </c>
      <c r="S117" s="341">
        <v>113.018</v>
      </c>
      <c r="T117" s="341">
        <v>124.571</v>
      </c>
      <c r="U117" s="341">
        <v>1.1022000000000001</v>
      </c>
      <c r="V117" s="692">
        <v>5794697.1173469378</v>
      </c>
      <c r="W117" s="692">
        <v>-1308966.6947289379</v>
      </c>
      <c r="X117"/>
      <c r="Y117"/>
    </row>
    <row r="118" spans="2:25" ht="16">
      <c r="J118" s="691"/>
      <c r="K118" s="728"/>
      <c r="L118" s="341"/>
      <c r="M118" s="341"/>
      <c r="N118" s="692"/>
      <c r="O118" s="728"/>
      <c r="P118" s="341"/>
      <c r="Q118" s="360"/>
      <c r="R118" s="692"/>
      <c r="S118" s="341"/>
      <c r="T118" s="341"/>
      <c r="U118" s="341"/>
      <c r="V118" s="692"/>
      <c r="W118" s="692"/>
      <c r="X118"/>
      <c r="Y118"/>
    </row>
    <row r="119" spans="2:25" ht="16">
      <c r="B119" s="67"/>
      <c r="F119" s="344">
        <v>44897</v>
      </c>
      <c r="G119" s="344"/>
      <c r="H119" s="344"/>
      <c r="I119" s="344"/>
      <c r="J119" s="691"/>
      <c r="K119" s="728"/>
      <c r="L119" s="341"/>
      <c r="M119" s="341"/>
      <c r="N119" s="692"/>
      <c r="O119" s="728"/>
      <c r="P119" s="341"/>
      <c r="Q119" s="360"/>
      <c r="R119" s="692"/>
      <c r="S119" s="341"/>
      <c r="T119" s="341"/>
      <c r="U119" s="341"/>
      <c r="V119" s="692"/>
      <c r="W119" s="692"/>
      <c r="X119"/>
      <c r="Y119"/>
    </row>
    <row r="120" spans="2:25" ht="16">
      <c r="B120" s="67"/>
      <c r="G120" s="3" t="s">
        <v>59</v>
      </c>
      <c r="H120" s="3"/>
      <c r="I120" s="3"/>
      <c r="J120" s="691"/>
      <c r="K120" s="728"/>
      <c r="L120" s="341"/>
      <c r="M120" s="341"/>
      <c r="N120" s="692"/>
      <c r="O120" s="728"/>
      <c r="P120" s="341"/>
      <c r="Q120" s="360"/>
      <c r="R120" s="692"/>
      <c r="S120" s="341"/>
      <c r="T120" s="341"/>
      <c r="U120" s="341"/>
      <c r="V120" s="692"/>
      <c r="W120" s="692"/>
      <c r="X120"/>
      <c r="Y120"/>
    </row>
    <row r="121" spans="2:25" ht="16">
      <c r="B121" s="67"/>
      <c r="H121" s="345">
        <v>44370</v>
      </c>
      <c r="I121" s="345"/>
      <c r="J121" s="691"/>
      <c r="K121" s="728"/>
      <c r="L121" s="341"/>
      <c r="M121" s="341"/>
      <c r="N121" s="692"/>
      <c r="O121" s="728"/>
      <c r="P121" s="341"/>
      <c r="Q121" s="360"/>
      <c r="R121" s="692"/>
      <c r="S121" s="341"/>
      <c r="T121" s="341"/>
      <c r="U121" s="341"/>
      <c r="V121" s="692"/>
      <c r="W121" s="692"/>
      <c r="X121"/>
      <c r="Y121"/>
    </row>
    <row r="122" spans="2:25" ht="16">
      <c r="B122" s="67"/>
      <c r="I122" s="3" t="s">
        <v>59</v>
      </c>
      <c r="J122" s="691">
        <v>601</v>
      </c>
      <c r="K122" s="728">
        <v>100864.80759675967</v>
      </c>
      <c r="L122" s="341">
        <v>1</v>
      </c>
      <c r="M122" s="341">
        <v>19.3965</v>
      </c>
      <c r="N122" s="692">
        <v>1956424.2405505488</v>
      </c>
      <c r="O122" s="728">
        <v>107111.12178811121</v>
      </c>
      <c r="P122" s="341">
        <v>1</v>
      </c>
      <c r="Q122" s="360">
        <v>20.6</v>
      </c>
      <c r="R122" s="692">
        <v>2206489.1088350909</v>
      </c>
      <c r="S122" s="341">
        <v>113.018</v>
      </c>
      <c r="T122" s="341">
        <v>125.997</v>
      </c>
      <c r="U122" s="341">
        <v>1.1148</v>
      </c>
      <c r="V122" s="692">
        <v>2459794.0585293593</v>
      </c>
      <c r="W122" s="692">
        <v>-503369.81797881052</v>
      </c>
      <c r="X122"/>
      <c r="Y122"/>
    </row>
    <row r="123" spans="2:25" ht="16">
      <c r="J123" s="691"/>
      <c r="K123" s="728"/>
      <c r="L123" s="341"/>
      <c r="M123" s="341"/>
      <c r="N123" s="692"/>
      <c r="O123" s="728"/>
      <c r="P123" s="341"/>
      <c r="Q123" s="360"/>
      <c r="R123" s="692"/>
      <c r="S123" s="341"/>
      <c r="T123" s="341"/>
      <c r="U123" s="341"/>
      <c r="V123" s="692"/>
      <c r="W123" s="692"/>
      <c r="X123"/>
      <c r="Y123"/>
    </row>
    <row r="124" spans="2:25" ht="16">
      <c r="B124" s="67"/>
      <c r="H124" s="345">
        <v>44491</v>
      </c>
      <c r="I124" s="345"/>
      <c r="J124" s="691"/>
      <c r="K124" s="728"/>
      <c r="L124" s="341"/>
      <c r="M124" s="341"/>
      <c r="N124" s="692"/>
      <c r="O124" s="728"/>
      <c r="P124" s="341"/>
      <c r="Q124" s="360"/>
      <c r="R124" s="692"/>
      <c r="S124" s="341"/>
      <c r="T124" s="341"/>
      <c r="U124" s="341"/>
      <c r="V124" s="692"/>
      <c r="W124" s="692"/>
      <c r="X124"/>
      <c r="Y124"/>
    </row>
    <row r="125" spans="2:25" ht="16">
      <c r="B125" s="67"/>
      <c r="I125" s="3" t="s">
        <v>59</v>
      </c>
      <c r="J125" s="691">
        <v>1006</v>
      </c>
      <c r="K125" s="728">
        <v>168835.26862286229</v>
      </c>
      <c r="L125" s="341">
        <v>1</v>
      </c>
      <c r="M125" s="341">
        <v>19.3965</v>
      </c>
      <c r="N125" s="692">
        <v>3274813.2878433485</v>
      </c>
      <c r="O125" s="728">
        <v>188524.2</v>
      </c>
      <c r="P125" s="341">
        <v>1</v>
      </c>
      <c r="Q125" s="360">
        <v>20.184999999999999</v>
      </c>
      <c r="R125" s="692">
        <v>3805360.977</v>
      </c>
      <c r="S125" s="341">
        <v>115.56100000000001</v>
      </c>
      <c r="T125" s="341">
        <v>125.997</v>
      </c>
      <c r="U125" s="341">
        <v>1.0903</v>
      </c>
      <c r="V125" s="692">
        <v>4148985.0732231</v>
      </c>
      <c r="W125" s="692">
        <v>-874171.78537975112</v>
      </c>
      <c r="X125"/>
      <c r="Y125"/>
    </row>
    <row r="126" spans="2:25" ht="16">
      <c r="J126" s="691"/>
      <c r="K126" s="728"/>
      <c r="L126" s="341"/>
      <c r="M126" s="341"/>
      <c r="N126" s="692"/>
      <c r="O126" s="728"/>
      <c r="P126" s="341"/>
      <c r="Q126" s="360"/>
      <c r="R126" s="692"/>
      <c r="S126" s="341"/>
      <c r="T126" s="341"/>
      <c r="U126" s="341"/>
      <c r="V126" s="692"/>
      <c r="W126" s="692"/>
      <c r="X126"/>
      <c r="Y126"/>
    </row>
    <row r="127" spans="2:25" ht="16">
      <c r="B127" s="67"/>
      <c r="H127" s="345">
        <v>44603</v>
      </c>
      <c r="I127" s="345"/>
      <c r="J127" s="691"/>
      <c r="K127" s="728"/>
      <c r="L127" s="341"/>
      <c r="M127" s="341"/>
      <c r="N127" s="692"/>
      <c r="O127" s="728"/>
      <c r="P127" s="341"/>
      <c r="Q127" s="360"/>
      <c r="R127" s="692"/>
      <c r="S127" s="341"/>
      <c r="T127" s="341"/>
      <c r="U127" s="341"/>
      <c r="V127" s="692"/>
      <c r="W127" s="692"/>
      <c r="X127"/>
      <c r="Y127"/>
    </row>
    <row r="128" spans="2:25" ht="16">
      <c r="B128" s="67"/>
      <c r="I128" s="3" t="s">
        <v>59</v>
      </c>
      <c r="J128" s="691">
        <v>615</v>
      </c>
      <c r="K128" s="728">
        <v>103214.40378037804</v>
      </c>
      <c r="L128" s="341">
        <v>1</v>
      </c>
      <c r="M128" s="341">
        <v>19.3965</v>
      </c>
      <c r="N128" s="692">
        <v>2001998.1829261025</v>
      </c>
      <c r="O128" s="728">
        <v>114498.17631375579</v>
      </c>
      <c r="P128" s="341">
        <v>1</v>
      </c>
      <c r="Q128" s="360">
        <v>20.500800000000002</v>
      </c>
      <c r="R128" s="692">
        <v>2347304.2129730447</v>
      </c>
      <c r="S128" s="341">
        <v>118.98099999999999</v>
      </c>
      <c r="T128" s="341">
        <v>125.997</v>
      </c>
      <c r="U128" s="341">
        <v>1.0589</v>
      </c>
      <c r="V128" s="692">
        <v>2485560.431117157</v>
      </c>
      <c r="W128" s="692">
        <v>-483562.24819105444</v>
      </c>
      <c r="X128"/>
      <c r="Y128"/>
    </row>
    <row r="129" spans="2:25" ht="16">
      <c r="J129" s="691"/>
      <c r="K129" s="728"/>
      <c r="L129" s="341"/>
      <c r="M129" s="341"/>
      <c r="N129" s="692"/>
      <c r="O129" s="728"/>
      <c r="P129" s="341"/>
      <c r="Q129" s="360"/>
      <c r="R129" s="692"/>
      <c r="S129" s="341"/>
      <c r="T129" s="341"/>
      <c r="U129" s="341"/>
      <c r="V129" s="692"/>
      <c r="W129" s="692"/>
      <c r="X129"/>
      <c r="Y129"/>
    </row>
    <row r="130" spans="2:25" ht="16">
      <c r="B130" s="67"/>
      <c r="E130" s="131" t="s">
        <v>864</v>
      </c>
      <c r="F130" s="131"/>
      <c r="G130" s="131"/>
      <c r="H130" s="131"/>
      <c r="I130" s="131"/>
      <c r="J130" s="729">
        <v>3891</v>
      </c>
      <c r="K130" s="730">
        <v>644507.62</v>
      </c>
      <c r="L130" s="366">
        <v>1</v>
      </c>
      <c r="M130" s="374">
        <v>19.653366666666667</v>
      </c>
      <c r="N130" s="704">
        <v>12629562.363354001</v>
      </c>
      <c r="O130" s="730">
        <v>705477.84810620872</v>
      </c>
      <c r="P130" s="366">
        <v>1</v>
      </c>
      <c r="Q130" s="374">
        <v>20.424016666666667</v>
      </c>
      <c r="R130" s="704">
        <v>14426625.615912601</v>
      </c>
      <c r="S130" s="366">
        <v>114.29766666666667</v>
      </c>
      <c r="T130" s="366">
        <v>123.81333333333333</v>
      </c>
      <c r="U130" s="366">
        <v>1.0833833333333331</v>
      </c>
      <c r="V130" s="704">
        <v>15755094.764470709</v>
      </c>
      <c r="W130" s="704">
        <v>-3125532.4011167092</v>
      </c>
      <c r="X130"/>
      <c r="Y130"/>
    </row>
    <row r="131" spans="2:25" ht="16">
      <c r="J131" s="691"/>
      <c r="K131" s="728"/>
      <c r="L131" s="341"/>
      <c r="M131" s="341"/>
      <c r="N131" s="692"/>
      <c r="O131" s="728"/>
      <c r="P131" s="341"/>
      <c r="Q131" s="360"/>
      <c r="R131" s="692"/>
      <c r="S131" s="341"/>
      <c r="T131" s="341"/>
      <c r="U131" s="341"/>
      <c r="V131" s="692"/>
      <c r="W131" s="692"/>
      <c r="X131"/>
      <c r="Y131"/>
    </row>
    <row r="132" spans="2:25" ht="16">
      <c r="B132" s="67"/>
      <c r="E132" s="1" t="s">
        <v>708</v>
      </c>
      <c r="J132" s="691"/>
      <c r="K132" s="728"/>
      <c r="L132" s="341"/>
      <c r="M132" s="341"/>
      <c r="N132" s="692"/>
      <c r="O132" s="728"/>
      <c r="P132" s="341"/>
      <c r="Q132" s="360"/>
      <c r="R132" s="692"/>
      <c r="S132" s="341"/>
      <c r="T132" s="341"/>
      <c r="U132" s="341"/>
      <c r="V132" s="692"/>
      <c r="W132" s="692"/>
      <c r="X132"/>
      <c r="Y132"/>
    </row>
    <row r="133" spans="2:25" ht="16">
      <c r="B133" s="67"/>
      <c r="F133" s="344">
        <v>44671</v>
      </c>
      <c r="G133" s="344"/>
      <c r="H133" s="344"/>
      <c r="I133" s="344"/>
      <c r="J133" s="691"/>
      <c r="K133" s="728"/>
      <c r="L133" s="341"/>
      <c r="M133" s="341"/>
      <c r="N133" s="692"/>
      <c r="O133" s="728"/>
      <c r="P133" s="341"/>
      <c r="Q133" s="360"/>
      <c r="R133" s="692"/>
      <c r="S133" s="341"/>
      <c r="T133" s="341"/>
      <c r="U133" s="341"/>
      <c r="V133" s="692"/>
      <c r="W133" s="692"/>
      <c r="X133"/>
      <c r="Y133"/>
    </row>
    <row r="134" spans="2:25" ht="16">
      <c r="B134" s="67"/>
      <c r="G134" s="3" t="s">
        <v>59</v>
      </c>
      <c r="H134" s="3"/>
      <c r="I134" s="3"/>
      <c r="J134" s="691"/>
      <c r="K134" s="728"/>
      <c r="L134" s="341"/>
      <c r="M134" s="341"/>
      <c r="N134" s="692"/>
      <c r="O134" s="728"/>
      <c r="P134" s="341"/>
      <c r="Q134" s="360"/>
      <c r="R134" s="692"/>
      <c r="S134" s="341"/>
      <c r="T134" s="341"/>
      <c r="U134" s="341"/>
      <c r="V134" s="692"/>
      <c r="W134" s="692"/>
      <c r="X134"/>
      <c r="Y134"/>
    </row>
    <row r="135" spans="2:25" ht="16">
      <c r="B135" s="67"/>
      <c r="H135" s="345">
        <v>43957</v>
      </c>
      <c r="I135" s="345"/>
      <c r="J135" s="691"/>
      <c r="K135" s="728"/>
      <c r="L135" s="341"/>
      <c r="M135" s="341"/>
      <c r="N135" s="692"/>
      <c r="O135" s="728"/>
      <c r="P135" s="341"/>
      <c r="Q135" s="360"/>
      <c r="R135" s="692"/>
      <c r="S135" s="341"/>
      <c r="T135" s="341"/>
      <c r="U135" s="341"/>
      <c r="V135" s="692"/>
      <c r="W135" s="692"/>
      <c r="X135"/>
      <c r="Y135"/>
    </row>
    <row r="136" spans="2:25" ht="16">
      <c r="B136" s="67"/>
      <c r="I136" s="3" t="s">
        <v>59</v>
      </c>
      <c r="J136" s="691">
        <v>18</v>
      </c>
      <c r="K136" s="728">
        <v>4394.58</v>
      </c>
      <c r="L136" s="341">
        <v>1</v>
      </c>
      <c r="M136" s="341">
        <v>19.9377</v>
      </c>
      <c r="N136" s="692">
        <v>87617.817666000003</v>
      </c>
      <c r="O136" s="728">
        <v>4135.2213127413124</v>
      </c>
      <c r="P136" s="341">
        <v>1</v>
      </c>
      <c r="Q136" s="360">
        <v>24.3812</v>
      </c>
      <c r="R136" s="692">
        <v>100821.65787020848</v>
      </c>
      <c r="S136" s="341">
        <v>106.16200000000001</v>
      </c>
      <c r="T136" s="341">
        <v>120.15900000000001</v>
      </c>
      <c r="U136" s="341">
        <v>1.1317999999999999</v>
      </c>
      <c r="V136" s="692">
        <v>114109.95237750195</v>
      </c>
      <c r="W136" s="692">
        <v>-26492.134711501945</v>
      </c>
      <c r="X136"/>
      <c r="Y136"/>
    </row>
    <row r="137" spans="2:25" ht="16">
      <c r="J137" s="691"/>
      <c r="K137" s="728"/>
      <c r="L137" s="341"/>
      <c r="M137" s="341"/>
      <c r="N137" s="692"/>
      <c r="O137" s="728"/>
      <c r="P137" s="341"/>
      <c r="Q137" s="360"/>
      <c r="R137" s="692"/>
      <c r="S137" s="341"/>
      <c r="T137" s="341"/>
      <c r="U137" s="341"/>
      <c r="V137" s="692"/>
      <c r="W137" s="692"/>
      <c r="X137"/>
      <c r="Y137"/>
    </row>
    <row r="138" spans="2:25" ht="16">
      <c r="B138" s="67"/>
      <c r="F138" s="344">
        <v>44769</v>
      </c>
      <c r="G138" s="344"/>
      <c r="H138" s="344"/>
      <c r="I138" s="344"/>
      <c r="J138" s="691"/>
      <c r="K138" s="728"/>
      <c r="L138" s="341"/>
      <c r="M138" s="341"/>
      <c r="N138" s="692"/>
      <c r="O138" s="728"/>
      <c r="P138" s="341"/>
      <c r="Q138" s="360"/>
      <c r="R138" s="692"/>
      <c r="S138" s="341"/>
      <c r="T138" s="341"/>
      <c r="U138" s="341"/>
      <c r="V138" s="692"/>
      <c r="W138" s="692"/>
      <c r="X138"/>
      <c r="Y138"/>
    </row>
    <row r="139" spans="2:25" ht="16">
      <c r="B139" s="67"/>
      <c r="G139" s="3" t="s">
        <v>59</v>
      </c>
      <c r="H139" s="3"/>
      <c r="I139" s="3"/>
      <c r="J139" s="691"/>
      <c r="K139" s="728"/>
      <c r="L139" s="341"/>
      <c r="M139" s="341"/>
      <c r="N139" s="692"/>
      <c r="O139" s="728"/>
      <c r="P139" s="341"/>
      <c r="Q139" s="360"/>
      <c r="R139" s="692"/>
      <c r="S139" s="341"/>
      <c r="T139" s="341"/>
      <c r="U139" s="341"/>
      <c r="V139" s="692"/>
      <c r="W139" s="692"/>
      <c r="X139"/>
      <c r="Y139"/>
    </row>
    <row r="140" spans="2:25" ht="16">
      <c r="B140" s="67"/>
      <c r="H140" s="345">
        <v>44218</v>
      </c>
      <c r="I140" s="345"/>
      <c r="J140" s="691"/>
      <c r="K140" s="728"/>
      <c r="L140" s="341"/>
      <c r="M140" s="341"/>
      <c r="N140" s="692"/>
      <c r="O140" s="728"/>
      <c r="P140" s="341"/>
      <c r="Q140" s="360"/>
      <c r="R140" s="692"/>
      <c r="S140" s="341"/>
      <c r="T140" s="341"/>
      <c r="U140" s="341"/>
      <c r="V140" s="692"/>
      <c r="W140" s="692"/>
      <c r="X140"/>
      <c r="Y140"/>
    </row>
    <row r="141" spans="2:25" ht="16">
      <c r="B141" s="67"/>
      <c r="I141" s="3" t="s">
        <v>59</v>
      </c>
      <c r="J141" s="691">
        <v>15</v>
      </c>
      <c r="K141" s="728">
        <v>3593.2951672862455</v>
      </c>
      <c r="L141" s="341">
        <v>1</v>
      </c>
      <c r="M141" s="341">
        <v>20.465199999999999</v>
      </c>
      <c r="N141" s="692">
        <v>73537.504257546476</v>
      </c>
      <c r="O141" s="728">
        <v>3672.9839869281045</v>
      </c>
      <c r="P141" s="341">
        <v>1</v>
      </c>
      <c r="Q141" s="360">
        <v>19.5793</v>
      </c>
      <c r="R141" s="692">
        <v>71914.45537526143</v>
      </c>
      <c r="S141" s="341">
        <v>110.21</v>
      </c>
      <c r="T141" s="341">
        <v>122.044</v>
      </c>
      <c r="U141" s="341">
        <v>1.1073</v>
      </c>
      <c r="V141" s="692">
        <v>79630.876437026978</v>
      </c>
      <c r="W141" s="692">
        <v>-6093.3721794805024</v>
      </c>
      <c r="X141"/>
      <c r="Y141"/>
    </row>
    <row r="142" spans="2:25" ht="16">
      <c r="J142" s="691"/>
      <c r="K142" s="728"/>
      <c r="L142" s="341"/>
      <c r="M142" s="341"/>
      <c r="N142" s="692"/>
      <c r="O142" s="728"/>
      <c r="P142" s="341"/>
      <c r="Q142" s="360"/>
      <c r="R142" s="692"/>
      <c r="S142" s="341"/>
      <c r="T142" s="341"/>
      <c r="U142" s="341"/>
      <c r="V142" s="692"/>
      <c r="W142" s="692"/>
      <c r="X142"/>
      <c r="Y142"/>
    </row>
    <row r="143" spans="2:25" ht="16">
      <c r="B143" s="67"/>
      <c r="H143" s="345">
        <v>44118</v>
      </c>
      <c r="I143" s="345"/>
      <c r="J143" s="691"/>
      <c r="K143" s="728"/>
      <c r="L143" s="341"/>
      <c r="M143" s="341"/>
      <c r="N143" s="692"/>
      <c r="O143" s="728"/>
      <c r="P143" s="341"/>
      <c r="Q143" s="360"/>
      <c r="R143" s="692"/>
      <c r="S143" s="341"/>
      <c r="T143" s="341"/>
      <c r="U143" s="341"/>
      <c r="V143" s="692"/>
      <c r="W143" s="692"/>
      <c r="X143"/>
      <c r="Y143"/>
    </row>
    <row r="144" spans="2:25" ht="16">
      <c r="B144" s="67"/>
      <c r="I144" s="3" t="s">
        <v>59</v>
      </c>
      <c r="J144" s="691">
        <v>11</v>
      </c>
      <c r="K144" s="728">
        <v>2635.0831226765799</v>
      </c>
      <c r="L144" s="341">
        <v>1</v>
      </c>
      <c r="M144" s="341">
        <v>20.465199999999999</v>
      </c>
      <c r="N144" s="692">
        <v>53927.503122200746</v>
      </c>
      <c r="O144" s="728">
        <v>2654.98</v>
      </c>
      <c r="P144" s="341">
        <v>1</v>
      </c>
      <c r="Q144" s="360">
        <v>21.218299999999999</v>
      </c>
      <c r="R144" s="692">
        <v>56334.162133999998</v>
      </c>
      <c r="S144" s="341">
        <v>108.774</v>
      </c>
      <c r="T144" s="341">
        <v>122.044</v>
      </c>
      <c r="U144" s="341">
        <v>1.1218999999999999</v>
      </c>
      <c r="V144" s="692">
        <v>63201.296498134594</v>
      </c>
      <c r="W144" s="692">
        <v>-9273.7933759338412</v>
      </c>
      <c r="X144"/>
      <c r="Y144"/>
    </row>
    <row r="145" spans="2:25" ht="16">
      <c r="J145" s="691"/>
      <c r="K145" s="728"/>
      <c r="L145" s="341"/>
      <c r="M145" s="341"/>
      <c r="N145" s="692"/>
      <c r="O145" s="728"/>
      <c r="P145" s="341"/>
      <c r="Q145" s="360"/>
      <c r="R145" s="692"/>
      <c r="S145" s="341"/>
      <c r="T145" s="341"/>
      <c r="U145" s="341"/>
      <c r="V145" s="692"/>
      <c r="W145" s="692"/>
      <c r="X145"/>
      <c r="Y145"/>
    </row>
    <row r="146" spans="2:25" ht="16">
      <c r="B146" s="67"/>
      <c r="H146" s="345">
        <v>44158</v>
      </c>
      <c r="I146" s="345"/>
      <c r="J146" s="691"/>
      <c r="K146" s="728"/>
      <c r="L146" s="341"/>
      <c r="M146" s="341"/>
      <c r="N146" s="692"/>
      <c r="O146" s="728"/>
      <c r="P146" s="341"/>
      <c r="Q146" s="360"/>
      <c r="R146" s="692"/>
      <c r="S146" s="341"/>
      <c r="T146" s="341"/>
      <c r="U146" s="341"/>
      <c r="V146" s="692"/>
      <c r="W146" s="692"/>
      <c r="X146"/>
      <c r="Y146"/>
    </row>
    <row r="147" spans="2:25" ht="16">
      <c r="B147" s="67"/>
      <c r="I147" s="3" t="s">
        <v>59</v>
      </c>
      <c r="J147" s="691">
        <v>9</v>
      </c>
      <c r="K147" s="728">
        <v>2155.9771003717474</v>
      </c>
      <c r="L147" s="341">
        <v>1</v>
      </c>
      <c r="M147" s="341">
        <v>20.465199999999999</v>
      </c>
      <c r="N147" s="692">
        <v>44122.502554527884</v>
      </c>
      <c r="O147" s="728">
        <v>2162.4899999999998</v>
      </c>
      <c r="P147" s="341">
        <v>1</v>
      </c>
      <c r="Q147" s="360">
        <v>20.1858</v>
      </c>
      <c r="R147" s="692">
        <v>43651.590641999996</v>
      </c>
      <c r="S147" s="341">
        <v>108.85599999999999</v>
      </c>
      <c r="T147" s="341">
        <v>122.044</v>
      </c>
      <c r="U147" s="341">
        <v>1.1211</v>
      </c>
      <c r="V147" s="692">
        <v>48937.798268746192</v>
      </c>
      <c r="W147" s="692">
        <v>-4815.2957142183077</v>
      </c>
      <c r="X147"/>
      <c r="Y147"/>
    </row>
    <row r="148" spans="2:25" ht="16">
      <c r="J148" s="691"/>
      <c r="K148" s="728"/>
      <c r="L148" s="341"/>
      <c r="M148" s="341"/>
      <c r="N148" s="692"/>
      <c r="O148" s="728"/>
      <c r="P148" s="341"/>
      <c r="Q148" s="360"/>
      <c r="R148" s="692"/>
      <c r="S148" s="341"/>
      <c r="T148" s="341"/>
      <c r="U148" s="341"/>
      <c r="V148" s="692"/>
      <c r="W148" s="692"/>
      <c r="X148"/>
      <c r="Y148"/>
    </row>
    <row r="149" spans="2:25" ht="16">
      <c r="B149" s="67"/>
      <c r="H149" s="345">
        <v>43957</v>
      </c>
      <c r="I149" s="345"/>
      <c r="J149" s="691"/>
      <c r="K149" s="728"/>
      <c r="L149" s="341"/>
      <c r="M149" s="341"/>
      <c r="N149" s="692"/>
      <c r="O149" s="728"/>
      <c r="P149" s="341"/>
      <c r="Q149" s="360"/>
      <c r="R149" s="692"/>
      <c r="S149" s="341"/>
      <c r="T149" s="341"/>
      <c r="U149" s="341"/>
      <c r="V149" s="692"/>
      <c r="W149" s="692"/>
      <c r="X149"/>
      <c r="Y149"/>
    </row>
    <row r="150" spans="2:25" ht="16">
      <c r="B150" s="67"/>
      <c r="I150" s="3" t="s">
        <v>59</v>
      </c>
      <c r="J150" s="691">
        <v>222</v>
      </c>
      <c r="K150" s="728">
        <v>53180.768475836434</v>
      </c>
      <c r="L150" s="341">
        <v>1</v>
      </c>
      <c r="M150" s="341">
        <v>20.465199999999999</v>
      </c>
      <c r="N150" s="692">
        <v>1088355.0630116877</v>
      </c>
      <c r="O150" s="728">
        <v>51001.062857142853</v>
      </c>
      <c r="P150" s="341">
        <v>1</v>
      </c>
      <c r="Q150" s="360">
        <v>24.3812</v>
      </c>
      <c r="R150" s="692">
        <v>1243467.1137325712</v>
      </c>
      <c r="S150" s="341">
        <v>106.16200000000001</v>
      </c>
      <c r="T150" s="341">
        <v>122.044</v>
      </c>
      <c r="U150" s="341">
        <v>1.1496</v>
      </c>
      <c r="V150" s="692">
        <v>1429489.7939469637</v>
      </c>
      <c r="W150" s="692">
        <v>-341134.73093527602</v>
      </c>
      <c r="X150"/>
      <c r="Y150"/>
    </row>
    <row r="151" spans="2:25" ht="16">
      <c r="J151" s="691"/>
      <c r="K151" s="728"/>
      <c r="L151" s="341"/>
      <c r="M151" s="341"/>
      <c r="N151" s="692"/>
      <c r="O151" s="728"/>
      <c r="P151" s="341"/>
      <c r="Q151" s="360"/>
      <c r="R151" s="692"/>
      <c r="S151" s="341"/>
      <c r="T151" s="341"/>
      <c r="U151" s="341"/>
      <c r="V151" s="692"/>
      <c r="W151" s="692"/>
      <c r="X151"/>
      <c r="Y151"/>
    </row>
    <row r="152" spans="2:25" ht="16">
      <c r="B152" s="67"/>
      <c r="H152" s="345">
        <v>43985</v>
      </c>
      <c r="I152" s="345"/>
      <c r="J152" s="691"/>
      <c r="K152" s="728"/>
      <c r="L152" s="341"/>
      <c r="M152" s="341"/>
      <c r="N152" s="692"/>
      <c r="O152" s="728"/>
      <c r="P152" s="341"/>
      <c r="Q152" s="360"/>
      <c r="R152" s="692"/>
      <c r="S152" s="341"/>
      <c r="T152" s="341"/>
      <c r="U152" s="341"/>
      <c r="V152" s="692"/>
      <c r="W152" s="692"/>
      <c r="X152"/>
      <c r="Y152"/>
    </row>
    <row r="153" spans="2:25" ht="16">
      <c r="B153" s="67"/>
      <c r="I153" s="3" t="s">
        <v>59</v>
      </c>
      <c r="J153" s="691">
        <v>12</v>
      </c>
      <c r="K153" s="728">
        <v>2874.6361338289962</v>
      </c>
      <c r="L153" s="341">
        <v>1</v>
      </c>
      <c r="M153" s="341">
        <v>20.465199999999999</v>
      </c>
      <c r="N153" s="692">
        <v>58830.003406037169</v>
      </c>
      <c r="O153" s="728">
        <v>2766.38</v>
      </c>
      <c r="P153" s="341">
        <v>1</v>
      </c>
      <c r="Q153" s="360">
        <v>22.0168</v>
      </c>
      <c r="R153" s="692">
        <v>60906.835184000003</v>
      </c>
      <c r="S153" s="341">
        <v>106.74299999999999</v>
      </c>
      <c r="T153" s="341">
        <v>122.044</v>
      </c>
      <c r="U153" s="341">
        <v>1.1433</v>
      </c>
      <c r="V153" s="692">
        <v>69634.784665867206</v>
      </c>
      <c r="W153" s="692">
        <v>-10804.781259830037</v>
      </c>
      <c r="X153"/>
      <c r="Y153"/>
    </row>
    <row r="154" spans="2:25" ht="16">
      <c r="J154" s="691"/>
      <c r="K154" s="728"/>
      <c r="L154" s="341"/>
      <c r="M154" s="341"/>
      <c r="N154" s="692"/>
      <c r="O154" s="728"/>
      <c r="P154" s="341"/>
      <c r="Q154" s="360"/>
      <c r="R154" s="692"/>
      <c r="S154" s="341"/>
      <c r="T154" s="341"/>
      <c r="U154" s="341"/>
      <c r="V154" s="692"/>
      <c r="W154" s="692"/>
      <c r="X154"/>
      <c r="Y154"/>
    </row>
    <row r="155" spans="2:25" ht="16">
      <c r="B155" s="67"/>
      <c r="F155" s="344">
        <v>44897</v>
      </c>
      <c r="G155" s="344"/>
      <c r="H155" s="344"/>
      <c r="I155" s="344"/>
      <c r="J155" s="691"/>
      <c r="K155" s="728"/>
      <c r="L155" s="341"/>
      <c r="M155" s="341"/>
      <c r="N155" s="692"/>
      <c r="O155" s="728"/>
      <c r="P155" s="341"/>
      <c r="Q155" s="360"/>
      <c r="R155" s="692"/>
      <c r="S155" s="341"/>
      <c r="T155" s="341"/>
      <c r="U155" s="341"/>
      <c r="V155" s="692"/>
      <c r="W155" s="692"/>
      <c r="X155"/>
      <c r="Y155"/>
    </row>
    <row r="156" spans="2:25" ht="16">
      <c r="B156" s="67"/>
      <c r="G156" s="3" t="s">
        <v>59</v>
      </c>
      <c r="H156" s="3"/>
      <c r="I156" s="3"/>
      <c r="J156" s="691"/>
      <c r="K156" s="728"/>
      <c r="L156" s="341"/>
      <c r="M156" s="341"/>
      <c r="N156" s="692"/>
      <c r="O156" s="728"/>
      <c r="P156" s="341"/>
      <c r="Q156" s="360"/>
      <c r="R156" s="692"/>
      <c r="S156" s="341"/>
      <c r="T156" s="341"/>
      <c r="U156" s="341"/>
      <c r="V156" s="692"/>
      <c r="W156" s="692"/>
      <c r="X156"/>
      <c r="Y156"/>
    </row>
    <row r="157" spans="2:25" ht="16">
      <c r="B157" s="67"/>
      <c r="H157" s="345">
        <v>44218</v>
      </c>
      <c r="I157" s="345"/>
      <c r="J157" s="691"/>
      <c r="K157" s="728"/>
      <c r="L157" s="341"/>
      <c r="M157" s="341"/>
      <c r="N157" s="692"/>
      <c r="O157" s="728"/>
      <c r="P157" s="341"/>
      <c r="Q157" s="360"/>
      <c r="R157" s="692"/>
      <c r="S157" s="341"/>
      <c r="T157" s="341"/>
      <c r="U157" s="341"/>
      <c r="V157" s="692"/>
      <c r="W157" s="692"/>
      <c r="X157"/>
      <c r="Y157"/>
    </row>
    <row r="158" spans="2:25" ht="16">
      <c r="B158" s="67"/>
      <c r="I158" s="3" t="s">
        <v>59</v>
      </c>
      <c r="J158" s="691">
        <v>652</v>
      </c>
      <c r="K158" s="728">
        <v>149798.29999999999</v>
      </c>
      <c r="L158" s="341">
        <v>1</v>
      </c>
      <c r="M158" s="341">
        <v>19.3965</v>
      </c>
      <c r="N158" s="692">
        <v>2905562.7259499999</v>
      </c>
      <c r="O158" s="728">
        <v>159652.37063180827</v>
      </c>
      <c r="P158" s="341">
        <v>1</v>
      </c>
      <c r="Q158" s="360">
        <v>19.5793</v>
      </c>
      <c r="R158" s="692">
        <v>3125881.6603113636</v>
      </c>
      <c r="S158" s="341">
        <v>110.21</v>
      </c>
      <c r="T158" s="341">
        <v>125.997</v>
      </c>
      <c r="U158" s="341">
        <v>1.1432</v>
      </c>
      <c r="V158" s="692">
        <v>3573507.914067951</v>
      </c>
      <c r="W158" s="692">
        <v>-667945.18811795115</v>
      </c>
      <c r="X158"/>
      <c r="Y158"/>
    </row>
    <row r="159" spans="2:25" ht="16">
      <c r="J159" s="691"/>
      <c r="K159" s="728"/>
      <c r="L159" s="341"/>
      <c r="M159" s="341"/>
      <c r="N159" s="692"/>
      <c r="O159" s="728"/>
      <c r="P159" s="341"/>
      <c r="Q159" s="360"/>
      <c r="R159" s="692"/>
      <c r="S159" s="341"/>
      <c r="T159" s="341"/>
      <c r="U159" s="341"/>
      <c r="V159" s="692"/>
      <c r="W159" s="692"/>
      <c r="X159"/>
      <c r="Y159"/>
    </row>
    <row r="160" spans="2:25" ht="16">
      <c r="B160" s="67"/>
      <c r="E160" s="131" t="s">
        <v>865</v>
      </c>
      <c r="F160" s="131"/>
      <c r="G160" s="131"/>
      <c r="H160" s="131"/>
      <c r="I160" s="131"/>
      <c r="J160" s="729">
        <v>939</v>
      </c>
      <c r="K160" s="730">
        <v>218632.64</v>
      </c>
      <c r="L160" s="366">
        <v>1</v>
      </c>
      <c r="M160" s="374">
        <v>20.237171428571425</v>
      </c>
      <c r="N160" s="704">
        <v>4311953.1199679999</v>
      </c>
      <c r="O160" s="730">
        <v>226045.48878862054</v>
      </c>
      <c r="P160" s="366">
        <v>1</v>
      </c>
      <c r="Q160" s="374">
        <v>21.620271428571424</v>
      </c>
      <c r="R160" s="704">
        <v>4702977.475249405</v>
      </c>
      <c r="S160" s="366">
        <v>108.15957142857143</v>
      </c>
      <c r="T160" s="366">
        <v>122.33942857142857</v>
      </c>
      <c r="U160" s="366">
        <v>1.1311714285714287</v>
      </c>
      <c r="V160" s="704">
        <v>5378512.4162621917</v>
      </c>
      <c r="W160" s="704">
        <v>-1066559.2962941919</v>
      </c>
      <c r="X160"/>
      <c r="Y160"/>
    </row>
    <row r="161" spans="2:25" ht="16">
      <c r="J161" s="691"/>
      <c r="K161" s="728"/>
      <c r="L161" s="341"/>
      <c r="M161" s="341"/>
      <c r="N161" s="692"/>
      <c r="O161" s="728"/>
      <c r="P161" s="341"/>
      <c r="Q161" s="360"/>
      <c r="R161" s="692"/>
      <c r="S161" s="341"/>
      <c r="T161" s="341"/>
      <c r="U161" s="341"/>
      <c r="V161" s="692"/>
      <c r="W161" s="692"/>
      <c r="X161"/>
      <c r="Y161"/>
    </row>
    <row r="162" spans="2:25" ht="16">
      <c r="B162" s="67"/>
      <c r="E162" s="1" t="s">
        <v>709</v>
      </c>
      <c r="J162" s="691"/>
      <c r="K162" s="728"/>
      <c r="L162" s="341"/>
      <c r="M162" s="341"/>
      <c r="N162" s="692"/>
      <c r="O162" s="728"/>
      <c r="P162" s="341"/>
      <c r="Q162" s="360"/>
      <c r="R162" s="692"/>
      <c r="S162" s="341"/>
      <c r="T162" s="341"/>
      <c r="U162" s="341"/>
      <c r="V162" s="692"/>
      <c r="W162" s="692"/>
      <c r="X162"/>
      <c r="Y162"/>
    </row>
    <row r="163" spans="2:25" ht="16">
      <c r="B163" s="67"/>
      <c r="F163" s="344">
        <v>44603</v>
      </c>
      <c r="G163" s="344"/>
      <c r="H163" s="344"/>
      <c r="I163" s="344"/>
      <c r="J163" s="691"/>
      <c r="K163" s="728"/>
      <c r="L163" s="341"/>
      <c r="M163" s="341"/>
      <c r="N163" s="692"/>
      <c r="O163" s="728"/>
      <c r="P163" s="341"/>
      <c r="Q163" s="360"/>
      <c r="R163" s="692"/>
      <c r="S163" s="341"/>
      <c r="T163" s="341"/>
      <c r="U163" s="341"/>
      <c r="V163" s="692"/>
      <c r="W163" s="692"/>
      <c r="X163"/>
      <c r="Y163"/>
    </row>
    <row r="164" spans="2:25" ht="16">
      <c r="B164" s="67"/>
      <c r="G164" s="3" t="s">
        <v>59</v>
      </c>
      <c r="H164" s="3"/>
      <c r="I164" s="3"/>
      <c r="J164" s="691"/>
      <c r="K164" s="728"/>
      <c r="L164" s="341"/>
      <c r="M164" s="341"/>
      <c r="N164" s="692"/>
      <c r="O164" s="728"/>
      <c r="P164" s="341"/>
      <c r="Q164" s="360"/>
      <c r="R164" s="692"/>
      <c r="S164" s="341"/>
      <c r="T164" s="341"/>
      <c r="U164" s="341"/>
      <c r="V164" s="692"/>
      <c r="W164" s="692"/>
      <c r="X164"/>
      <c r="Y164"/>
    </row>
    <row r="165" spans="2:25" ht="16">
      <c r="B165" s="67"/>
      <c r="H165" s="345">
        <v>44218</v>
      </c>
      <c r="I165" s="345"/>
      <c r="J165" s="691"/>
      <c r="K165" s="728"/>
      <c r="L165" s="341"/>
      <c r="M165" s="341"/>
      <c r="N165" s="692"/>
      <c r="O165" s="728"/>
      <c r="P165" s="341"/>
      <c r="Q165" s="360"/>
      <c r="R165" s="692"/>
      <c r="S165" s="341"/>
      <c r="T165" s="341"/>
      <c r="U165" s="341"/>
      <c r="V165" s="692"/>
      <c r="W165" s="692"/>
      <c r="X165"/>
      <c r="Y165"/>
    </row>
    <row r="166" spans="2:25" ht="16">
      <c r="B166" s="67"/>
      <c r="I166" s="3" t="s">
        <v>59</v>
      </c>
      <c r="J166" s="691">
        <v>32767</v>
      </c>
      <c r="K166" s="728">
        <v>204856.0082021475</v>
      </c>
      <c r="L166" s="341">
        <v>1</v>
      </c>
      <c r="M166" s="341">
        <v>20.500800000000002</v>
      </c>
      <c r="N166" s="692">
        <v>4199712.0529505853</v>
      </c>
      <c r="O166" s="728">
        <v>222805.76837402699</v>
      </c>
      <c r="P166" s="341">
        <v>1</v>
      </c>
      <c r="Q166" s="360">
        <v>19.5793</v>
      </c>
      <c r="R166" s="692">
        <v>4362380.9807255864</v>
      </c>
      <c r="S166" s="341">
        <v>110.21</v>
      </c>
      <c r="T166" s="341">
        <v>118.002</v>
      </c>
      <c r="U166" s="341">
        <v>1.0707</v>
      </c>
      <c r="V166" s="692">
        <v>4670801.3160628853</v>
      </c>
      <c r="W166" s="692">
        <v>-471089.26311230008</v>
      </c>
      <c r="X166"/>
      <c r="Y166"/>
    </row>
    <row r="167" spans="2:25" ht="16">
      <c r="J167" s="691"/>
      <c r="K167" s="728"/>
      <c r="L167" s="341"/>
      <c r="M167" s="341"/>
      <c r="N167" s="692"/>
      <c r="O167" s="728"/>
      <c r="P167" s="341"/>
      <c r="Q167" s="360"/>
      <c r="R167" s="692"/>
      <c r="S167" s="341"/>
      <c r="T167" s="341"/>
      <c r="U167" s="341"/>
      <c r="V167" s="692"/>
      <c r="W167" s="692"/>
      <c r="X167"/>
      <c r="Y167"/>
    </row>
    <row r="168" spans="2:25" ht="16">
      <c r="B168" s="67"/>
      <c r="H168" s="345">
        <v>44293</v>
      </c>
      <c r="I168" s="345"/>
      <c r="J168" s="691"/>
      <c r="K168" s="728"/>
      <c r="L168" s="341"/>
      <c r="M168" s="341"/>
      <c r="N168" s="692"/>
      <c r="O168" s="728"/>
      <c r="P168" s="341"/>
      <c r="Q168" s="360"/>
      <c r="R168" s="692"/>
      <c r="S168" s="341"/>
      <c r="T168" s="341"/>
      <c r="U168" s="341"/>
      <c r="V168" s="692"/>
      <c r="W168" s="692"/>
      <c r="X168"/>
      <c r="Y168"/>
    </row>
    <row r="169" spans="2:25" ht="16">
      <c r="B169" s="67"/>
      <c r="I169" s="3" t="s">
        <v>59</v>
      </c>
      <c r="J169" s="691">
        <v>40491</v>
      </c>
      <c r="K169" s="728">
        <v>253145.68401480617</v>
      </c>
      <c r="L169" s="341">
        <v>1</v>
      </c>
      <c r="M169" s="341">
        <v>20.500800000000002</v>
      </c>
      <c r="N169" s="692">
        <v>5189689.0388507387</v>
      </c>
      <c r="O169" s="728">
        <v>250870.09</v>
      </c>
      <c r="P169" s="341">
        <v>1</v>
      </c>
      <c r="Q169" s="360">
        <v>20.2483</v>
      </c>
      <c r="R169" s="692">
        <v>5079692.843347</v>
      </c>
      <c r="S169" s="341">
        <v>112.19</v>
      </c>
      <c r="T169" s="341">
        <v>118.002</v>
      </c>
      <c r="U169" s="341">
        <v>1.0518000000000001</v>
      </c>
      <c r="V169" s="692">
        <v>5342820.9326323746</v>
      </c>
      <c r="W169" s="692">
        <v>-153131.89378163498</v>
      </c>
      <c r="X169"/>
      <c r="Y169"/>
    </row>
    <row r="170" spans="2:25" ht="16">
      <c r="J170" s="691"/>
      <c r="K170" s="728"/>
      <c r="L170" s="341"/>
      <c r="M170" s="341"/>
      <c r="N170" s="692"/>
      <c r="O170" s="728"/>
      <c r="P170" s="341"/>
      <c r="Q170" s="360"/>
      <c r="R170" s="692"/>
      <c r="S170" s="341"/>
      <c r="T170" s="341"/>
      <c r="U170" s="341"/>
      <c r="V170" s="692"/>
      <c r="W170" s="692"/>
      <c r="X170"/>
      <c r="Y170"/>
    </row>
    <row r="171" spans="2:25" ht="16">
      <c r="B171" s="67"/>
      <c r="H171" s="345">
        <v>44441</v>
      </c>
      <c r="I171" s="345"/>
      <c r="J171" s="691"/>
      <c r="K171" s="728"/>
      <c r="L171" s="341"/>
      <c r="M171" s="341"/>
      <c r="N171" s="692"/>
      <c r="O171" s="728"/>
      <c r="P171" s="341"/>
      <c r="Q171" s="360"/>
      <c r="R171" s="692"/>
      <c r="S171" s="341"/>
      <c r="T171" s="341"/>
      <c r="U171" s="341"/>
      <c r="V171" s="692"/>
      <c r="W171" s="692"/>
      <c r="X171"/>
      <c r="Y171"/>
    </row>
    <row r="172" spans="2:25" ht="16">
      <c r="B172" s="67"/>
      <c r="I172" s="3" t="s">
        <v>59</v>
      </c>
      <c r="J172" s="691">
        <v>5549</v>
      </c>
      <c r="K172" s="728">
        <v>34691.793252776159</v>
      </c>
      <c r="L172" s="341">
        <v>1</v>
      </c>
      <c r="M172" s="341">
        <v>20.500800000000002</v>
      </c>
      <c r="N172" s="692">
        <v>711209.51511651347</v>
      </c>
      <c r="O172" s="728">
        <v>37474.620000000003</v>
      </c>
      <c r="P172" s="341">
        <v>1</v>
      </c>
      <c r="Q172" s="360">
        <v>20.060500000000001</v>
      </c>
      <c r="R172" s="692">
        <v>751759.6145100001</v>
      </c>
      <c r="S172" s="341">
        <v>114.601</v>
      </c>
      <c r="T172" s="341">
        <v>118.002</v>
      </c>
      <c r="U172" s="341">
        <v>1.0296000000000001</v>
      </c>
      <c r="V172" s="692">
        <v>774011.69909949612</v>
      </c>
      <c r="W172" s="692">
        <v>-62802.183982982649</v>
      </c>
      <c r="X172"/>
      <c r="Y172"/>
    </row>
    <row r="173" spans="2:25" ht="16">
      <c r="J173" s="691"/>
      <c r="K173" s="728"/>
      <c r="L173" s="341"/>
      <c r="M173" s="341"/>
      <c r="N173" s="692"/>
      <c r="O173" s="728"/>
      <c r="P173" s="341"/>
      <c r="Q173" s="360"/>
      <c r="R173" s="692"/>
      <c r="S173" s="341"/>
      <c r="T173" s="341"/>
      <c r="U173" s="341"/>
      <c r="V173" s="692"/>
      <c r="W173" s="692"/>
      <c r="X173"/>
      <c r="Y173"/>
    </row>
    <row r="174" spans="2:25" ht="16">
      <c r="B174" s="67"/>
      <c r="H174" s="345">
        <v>44491</v>
      </c>
      <c r="I174" s="345"/>
      <c r="J174" s="691"/>
      <c r="K174" s="728"/>
      <c r="L174" s="341"/>
      <c r="M174" s="341"/>
      <c r="N174" s="692"/>
      <c r="O174" s="728"/>
      <c r="P174" s="341"/>
      <c r="Q174" s="360"/>
      <c r="R174" s="692"/>
      <c r="S174" s="341"/>
      <c r="T174" s="341"/>
      <c r="U174" s="341"/>
      <c r="V174" s="692"/>
      <c r="W174" s="692"/>
      <c r="X174"/>
      <c r="Y174"/>
    </row>
    <row r="175" spans="2:25" ht="16">
      <c r="B175" s="67"/>
      <c r="I175" s="3" t="s">
        <v>59</v>
      </c>
      <c r="J175" s="691">
        <v>19260</v>
      </c>
      <c r="K175" s="728">
        <v>120411.59453027011</v>
      </c>
      <c r="L175" s="341">
        <v>1</v>
      </c>
      <c r="M175" s="341">
        <v>20.500800000000002</v>
      </c>
      <c r="N175" s="692">
        <v>2468534.0171461618</v>
      </c>
      <c r="O175" s="728">
        <v>125476.97</v>
      </c>
      <c r="P175" s="341">
        <v>1</v>
      </c>
      <c r="Q175" s="360">
        <v>20.184999999999999</v>
      </c>
      <c r="R175" s="692">
        <v>2532752.6394499997</v>
      </c>
      <c r="S175" s="341">
        <v>115.56100000000001</v>
      </c>
      <c r="T175" s="341">
        <v>118.002</v>
      </c>
      <c r="U175" s="341">
        <v>1.0210999999999999</v>
      </c>
      <c r="V175" s="692">
        <v>2586193.7201423943</v>
      </c>
      <c r="W175" s="692">
        <v>-117659.70299623255</v>
      </c>
      <c r="X175"/>
      <c r="Y175"/>
    </row>
    <row r="176" spans="2:25" ht="16">
      <c r="J176" s="691"/>
      <c r="K176" s="728"/>
      <c r="L176" s="341"/>
      <c r="M176" s="341"/>
      <c r="N176" s="692"/>
      <c r="O176" s="728"/>
      <c r="P176" s="341"/>
      <c r="Q176" s="360"/>
      <c r="R176" s="692"/>
      <c r="S176" s="341"/>
      <c r="T176" s="341"/>
      <c r="U176" s="341"/>
      <c r="V176" s="692"/>
      <c r="W176" s="692"/>
      <c r="X176"/>
      <c r="Y176"/>
    </row>
    <row r="177" spans="2:25" ht="16">
      <c r="B177" s="67"/>
      <c r="E177" s="131" t="s">
        <v>866</v>
      </c>
      <c r="F177" s="131"/>
      <c r="G177" s="131"/>
      <c r="H177" s="131"/>
      <c r="I177" s="131"/>
      <c r="J177" s="729">
        <v>98067</v>
      </c>
      <c r="K177" s="730">
        <v>613105.07999999996</v>
      </c>
      <c r="L177" s="366">
        <v>1</v>
      </c>
      <c r="M177" s="374">
        <v>20.500800000000002</v>
      </c>
      <c r="N177" s="704">
        <v>12569144.624063998</v>
      </c>
      <c r="O177" s="730">
        <v>636627.44837402692</v>
      </c>
      <c r="P177" s="366">
        <v>1</v>
      </c>
      <c r="Q177" s="374">
        <v>20.018275000000003</v>
      </c>
      <c r="R177" s="704">
        <v>12726586.078032587</v>
      </c>
      <c r="S177" s="366">
        <v>113.1405</v>
      </c>
      <c r="T177" s="366">
        <v>118.002</v>
      </c>
      <c r="U177" s="366">
        <v>1.0432999999999999</v>
      </c>
      <c r="V177" s="704">
        <v>13373827.66793715</v>
      </c>
      <c r="W177" s="704">
        <v>-804683.04387315025</v>
      </c>
      <c r="X177"/>
      <c r="Y177"/>
    </row>
    <row r="178" spans="2:25" ht="16">
      <c r="J178" s="691"/>
      <c r="K178" s="728"/>
      <c r="L178" s="341"/>
      <c r="M178" s="341"/>
      <c r="N178" s="692"/>
      <c r="O178" s="728"/>
      <c r="P178" s="341"/>
      <c r="Q178" s="360"/>
      <c r="R178" s="692"/>
      <c r="S178" s="341"/>
      <c r="T178" s="341"/>
      <c r="U178" s="341"/>
      <c r="V178" s="692"/>
      <c r="W178" s="692"/>
      <c r="X178"/>
      <c r="Y178"/>
    </row>
    <row r="179" spans="2:25" ht="16">
      <c r="B179" s="67"/>
      <c r="E179" s="1" t="s">
        <v>710</v>
      </c>
      <c r="J179" s="691"/>
      <c r="K179" s="728"/>
      <c r="L179" s="341"/>
      <c r="M179" s="341"/>
      <c r="N179" s="692"/>
      <c r="O179" s="728"/>
      <c r="P179" s="341"/>
      <c r="Q179" s="360"/>
      <c r="R179" s="692"/>
      <c r="S179" s="341"/>
      <c r="T179" s="341"/>
      <c r="U179" s="341"/>
      <c r="V179" s="692"/>
      <c r="W179" s="692"/>
      <c r="X179"/>
      <c r="Y179"/>
    </row>
    <row r="180" spans="2:25" ht="16">
      <c r="B180" s="67"/>
      <c r="F180" s="344">
        <v>44603</v>
      </c>
      <c r="G180" s="344"/>
      <c r="H180" s="344"/>
      <c r="I180" s="344"/>
      <c r="J180" s="691"/>
      <c r="K180" s="728"/>
      <c r="L180" s="341"/>
      <c r="M180" s="341"/>
      <c r="N180" s="692"/>
      <c r="O180" s="728"/>
      <c r="P180" s="341"/>
      <c r="Q180" s="360"/>
      <c r="R180" s="692"/>
      <c r="S180" s="341"/>
      <c r="T180" s="341"/>
      <c r="U180" s="341"/>
      <c r="V180" s="692"/>
      <c r="W180" s="692"/>
      <c r="X180"/>
      <c r="Y180"/>
    </row>
    <row r="181" spans="2:25" ht="16">
      <c r="B181" s="67"/>
      <c r="G181" s="3" t="s">
        <v>59</v>
      </c>
      <c r="H181" s="3"/>
      <c r="I181" s="3"/>
      <c r="J181" s="691"/>
      <c r="K181" s="728"/>
      <c r="L181" s="341"/>
      <c r="M181" s="341"/>
      <c r="N181" s="692"/>
      <c r="O181" s="728"/>
      <c r="P181" s="341"/>
      <c r="Q181" s="360"/>
      <c r="R181" s="692"/>
      <c r="S181" s="341"/>
      <c r="T181" s="341"/>
      <c r="U181" s="341"/>
      <c r="V181" s="692"/>
      <c r="W181" s="692"/>
      <c r="X181"/>
      <c r="Y181"/>
    </row>
    <row r="182" spans="2:25" ht="16">
      <c r="B182" s="67"/>
      <c r="H182" s="345">
        <v>44218</v>
      </c>
      <c r="I182" s="345"/>
      <c r="J182" s="691"/>
      <c r="K182" s="728"/>
      <c r="L182" s="341"/>
      <c r="M182" s="341"/>
      <c r="N182" s="692"/>
      <c r="O182" s="728"/>
      <c r="P182" s="341"/>
      <c r="Q182" s="360"/>
      <c r="R182" s="692"/>
      <c r="S182" s="341"/>
      <c r="T182" s="341"/>
      <c r="U182" s="341"/>
      <c r="V182" s="692"/>
      <c r="W182" s="692"/>
      <c r="X182"/>
      <c r="Y182"/>
    </row>
    <row r="183" spans="2:25" ht="16">
      <c r="B183" s="67"/>
      <c r="I183" s="3" t="s">
        <v>59</v>
      </c>
      <c r="J183" s="691">
        <v>22442</v>
      </c>
      <c r="K183" s="728">
        <v>138305.55614343664</v>
      </c>
      <c r="L183" s="341">
        <v>1</v>
      </c>
      <c r="M183" s="341">
        <v>20.500800000000002</v>
      </c>
      <c r="N183" s="692">
        <v>2835374.5453853663</v>
      </c>
      <c r="O183" s="728">
        <v>117216.80901112485</v>
      </c>
      <c r="P183" s="341">
        <v>1</v>
      </c>
      <c r="Q183" s="360">
        <v>19.5793</v>
      </c>
      <c r="R183" s="692">
        <v>2295023.0686715166</v>
      </c>
      <c r="S183" s="341">
        <v>110.21</v>
      </c>
      <c r="T183" s="341">
        <v>118.002</v>
      </c>
      <c r="U183" s="341">
        <v>1.0707</v>
      </c>
      <c r="V183" s="692">
        <v>2457281.1996265929</v>
      </c>
      <c r="W183" s="692">
        <v>378093.34575877339</v>
      </c>
      <c r="X183"/>
      <c r="Y183"/>
    </row>
    <row r="184" spans="2:25" ht="16">
      <c r="J184" s="691"/>
      <c r="K184" s="728"/>
      <c r="L184" s="341"/>
      <c r="M184" s="341"/>
      <c r="N184" s="692"/>
      <c r="O184" s="728"/>
      <c r="P184" s="341"/>
      <c r="Q184" s="360"/>
      <c r="R184" s="692"/>
      <c r="S184" s="341"/>
      <c r="T184" s="341"/>
      <c r="U184" s="341"/>
      <c r="V184" s="692"/>
      <c r="W184" s="692"/>
      <c r="X184"/>
      <c r="Y184"/>
    </row>
    <row r="185" spans="2:25" ht="16">
      <c r="B185" s="67"/>
      <c r="H185" s="345">
        <v>44293</v>
      </c>
      <c r="I185" s="345"/>
      <c r="J185" s="691"/>
      <c r="K185" s="728"/>
      <c r="L185" s="341"/>
      <c r="M185" s="341"/>
      <c r="N185" s="692"/>
      <c r="O185" s="728"/>
      <c r="P185" s="341"/>
      <c r="Q185" s="360"/>
      <c r="R185" s="692"/>
      <c r="S185" s="341"/>
      <c r="T185" s="341"/>
      <c r="U185" s="341"/>
      <c r="V185" s="692"/>
      <c r="W185" s="692"/>
      <c r="X185"/>
      <c r="Y185"/>
    </row>
    <row r="186" spans="2:25" ht="16">
      <c r="B186" s="67"/>
      <c r="I186" s="3" t="s">
        <v>59</v>
      </c>
      <c r="J186" s="691">
        <v>3669</v>
      </c>
      <c r="K186" s="728">
        <v>22611.312961869218</v>
      </c>
      <c r="L186" s="341">
        <v>1</v>
      </c>
      <c r="M186" s="341">
        <v>20.500800000000002</v>
      </c>
      <c r="N186" s="692">
        <v>463550.00476868852</v>
      </c>
      <c r="O186" s="728">
        <v>19937.712434686113</v>
      </c>
      <c r="P186" s="341">
        <v>1</v>
      </c>
      <c r="Q186" s="360">
        <v>20.2483</v>
      </c>
      <c r="R186" s="692">
        <v>403704.7826912548</v>
      </c>
      <c r="S186" s="341">
        <v>112.19</v>
      </c>
      <c r="T186" s="341">
        <v>118.002</v>
      </c>
      <c r="U186" s="341">
        <v>1.0518000000000001</v>
      </c>
      <c r="V186" s="692">
        <v>424616.69043466181</v>
      </c>
      <c r="W186" s="692">
        <v>38933.314334026712</v>
      </c>
      <c r="X186"/>
      <c r="Y186"/>
    </row>
    <row r="187" spans="2:25" ht="16">
      <c r="J187" s="691"/>
      <c r="K187" s="728"/>
      <c r="L187" s="341"/>
      <c r="M187" s="341"/>
      <c r="N187" s="692"/>
      <c r="O187" s="728"/>
      <c r="P187" s="341"/>
      <c r="Q187" s="360"/>
      <c r="R187" s="692"/>
      <c r="S187" s="341"/>
      <c r="T187" s="341"/>
      <c r="U187" s="341"/>
      <c r="V187" s="692"/>
      <c r="W187" s="692"/>
      <c r="X187"/>
      <c r="Y187"/>
    </row>
    <row r="188" spans="2:25" ht="16">
      <c r="B188" s="67"/>
      <c r="H188" s="345">
        <v>44231</v>
      </c>
      <c r="I188" s="345"/>
      <c r="J188" s="691"/>
      <c r="K188" s="728"/>
      <c r="L188" s="341"/>
      <c r="M188" s="341"/>
      <c r="N188" s="692"/>
      <c r="O188" s="728"/>
      <c r="P188" s="341"/>
      <c r="Q188" s="360"/>
      <c r="R188" s="692"/>
      <c r="S188" s="341"/>
      <c r="T188" s="341"/>
      <c r="U188" s="341"/>
      <c r="V188" s="692"/>
      <c r="W188" s="692"/>
      <c r="X188"/>
      <c r="Y188"/>
    </row>
    <row r="189" spans="2:25" ht="16">
      <c r="B189" s="67"/>
      <c r="I189" s="3" t="s">
        <v>59</v>
      </c>
      <c r="J189" s="691">
        <v>4704</v>
      </c>
      <c r="K189" s="728">
        <v>28989.810894694143</v>
      </c>
      <c r="L189" s="341">
        <v>1</v>
      </c>
      <c r="M189" s="341">
        <v>20.500800000000002</v>
      </c>
      <c r="N189" s="692">
        <v>594314.31518994574</v>
      </c>
      <c r="O189" s="728">
        <v>23830.930000000004</v>
      </c>
      <c r="P189" s="341">
        <v>1</v>
      </c>
      <c r="Q189" s="360">
        <v>20.1722</v>
      </c>
      <c r="R189" s="692">
        <v>480722.28614600009</v>
      </c>
      <c r="S189" s="341">
        <v>110.907</v>
      </c>
      <c r="T189" s="341">
        <v>118.002</v>
      </c>
      <c r="U189" s="341">
        <v>1.0639000000000001</v>
      </c>
      <c r="V189" s="692">
        <v>511440.44023072952</v>
      </c>
      <c r="W189" s="692">
        <v>82873.87495921622</v>
      </c>
      <c r="X189"/>
      <c r="Y189"/>
    </row>
    <row r="190" spans="2:25" ht="16">
      <c r="J190" s="691"/>
      <c r="K190" s="728"/>
      <c r="L190" s="341"/>
      <c r="M190" s="341"/>
      <c r="N190" s="692"/>
      <c r="O190" s="728"/>
      <c r="P190" s="341"/>
      <c r="Q190" s="360"/>
      <c r="R190" s="692"/>
      <c r="S190" s="341"/>
      <c r="T190" s="341"/>
      <c r="U190" s="341"/>
      <c r="V190" s="692"/>
      <c r="W190" s="692"/>
      <c r="X190"/>
      <c r="Y190"/>
    </row>
    <row r="191" spans="2:25" ht="16">
      <c r="B191" s="67"/>
      <c r="F191" s="344">
        <v>44769</v>
      </c>
      <c r="G191" s="344"/>
      <c r="H191" s="344"/>
      <c r="I191" s="344"/>
      <c r="J191" s="691"/>
      <c r="K191" s="728"/>
      <c r="L191" s="341"/>
      <c r="M191" s="341"/>
      <c r="N191" s="692"/>
      <c r="O191" s="728"/>
      <c r="P191" s="341"/>
      <c r="Q191" s="360"/>
      <c r="R191" s="692"/>
      <c r="S191" s="341"/>
      <c r="T191" s="341"/>
      <c r="U191" s="341"/>
      <c r="V191" s="692"/>
      <c r="W191" s="692"/>
      <c r="X191"/>
      <c r="Y191"/>
    </row>
    <row r="192" spans="2:25" ht="16">
      <c r="B192" s="67"/>
      <c r="G192" s="3" t="s">
        <v>59</v>
      </c>
      <c r="H192" s="3"/>
      <c r="I192" s="3"/>
      <c r="J192" s="691"/>
      <c r="K192" s="728"/>
      <c r="L192" s="341"/>
      <c r="M192" s="341"/>
      <c r="N192" s="692"/>
      <c r="O192" s="728"/>
      <c r="P192" s="341"/>
      <c r="Q192" s="360"/>
      <c r="R192" s="692"/>
      <c r="S192" s="341"/>
      <c r="T192" s="341"/>
      <c r="U192" s="341"/>
      <c r="V192" s="692"/>
      <c r="W192" s="692"/>
      <c r="X192"/>
      <c r="Y192"/>
    </row>
    <row r="193" spans="2:25" ht="16">
      <c r="B193" s="67"/>
      <c r="H193" s="345">
        <v>44293</v>
      </c>
      <c r="I193" s="345"/>
      <c r="J193" s="691"/>
      <c r="K193" s="728"/>
      <c r="L193" s="341"/>
      <c r="M193" s="341"/>
      <c r="N193" s="692"/>
      <c r="O193" s="728"/>
      <c r="P193" s="341"/>
      <c r="Q193" s="360"/>
      <c r="R193" s="692"/>
      <c r="S193" s="341"/>
      <c r="T193" s="341"/>
      <c r="U193" s="341"/>
      <c r="V193" s="692"/>
      <c r="W193" s="692"/>
      <c r="X193"/>
      <c r="Y193"/>
    </row>
    <row r="194" spans="2:25" ht="16">
      <c r="B194" s="67"/>
      <c r="I194" s="3" t="s">
        <v>59</v>
      </c>
      <c r="J194" s="691">
        <v>15272</v>
      </c>
      <c r="K194" s="728">
        <v>92485.7</v>
      </c>
      <c r="L194" s="341">
        <v>1</v>
      </c>
      <c r="M194" s="341">
        <v>20.465199999999999</v>
      </c>
      <c r="N194" s="692">
        <v>1892738.3476399998</v>
      </c>
      <c r="O194" s="728">
        <v>82989.573263157887</v>
      </c>
      <c r="P194" s="341">
        <v>1</v>
      </c>
      <c r="Q194" s="360">
        <v>20.2483</v>
      </c>
      <c r="R194" s="692">
        <v>1680397.7763043998</v>
      </c>
      <c r="S194" s="341">
        <v>112.19</v>
      </c>
      <c r="T194" s="341">
        <v>122.044</v>
      </c>
      <c r="U194" s="341">
        <v>1.0878000000000001</v>
      </c>
      <c r="V194" s="692">
        <v>1827936.7010639263</v>
      </c>
      <c r="W194" s="692">
        <v>64801.646576073486</v>
      </c>
      <c r="X194"/>
      <c r="Y194"/>
    </row>
    <row r="195" spans="2:25" ht="16">
      <c r="J195" s="691"/>
      <c r="K195" s="728"/>
      <c r="L195" s="341"/>
      <c r="M195" s="341"/>
      <c r="N195" s="692"/>
      <c r="O195" s="728"/>
      <c r="P195" s="341"/>
      <c r="Q195" s="360"/>
      <c r="R195" s="692"/>
      <c r="S195" s="341"/>
      <c r="T195" s="341"/>
      <c r="U195" s="341"/>
      <c r="V195" s="692"/>
      <c r="W195" s="692"/>
      <c r="X195"/>
      <c r="Y195"/>
    </row>
    <row r="196" spans="2:25" ht="16">
      <c r="B196" s="67"/>
      <c r="E196" s="131" t="s">
        <v>867</v>
      </c>
      <c r="F196" s="131"/>
      <c r="G196" s="131"/>
      <c r="H196" s="131"/>
      <c r="I196" s="131"/>
      <c r="J196" s="729">
        <v>46087</v>
      </c>
      <c r="K196" s="730">
        <v>282392.38</v>
      </c>
      <c r="L196" s="366">
        <v>1</v>
      </c>
      <c r="M196" s="374">
        <v>20.491900000000001</v>
      </c>
      <c r="N196" s="704">
        <v>5785977.2129840013</v>
      </c>
      <c r="O196" s="730">
        <v>243975.02470896885</v>
      </c>
      <c r="P196" s="366">
        <v>1</v>
      </c>
      <c r="Q196" s="374">
        <v>20.062025000000002</v>
      </c>
      <c r="R196" s="704">
        <v>4859847.913813171</v>
      </c>
      <c r="S196" s="366">
        <v>111.37424999999999</v>
      </c>
      <c r="T196" s="366">
        <v>119.01249999999999</v>
      </c>
      <c r="U196" s="366">
        <v>1.0685500000000001</v>
      </c>
      <c r="V196" s="704">
        <v>5221275.03135591</v>
      </c>
      <c r="W196" s="704">
        <v>564702.18162808986</v>
      </c>
      <c r="X196"/>
      <c r="Y196"/>
    </row>
    <row r="197" spans="2:25" ht="16">
      <c r="J197" s="691"/>
      <c r="K197" s="728"/>
      <c r="L197" s="341"/>
      <c r="M197" s="341"/>
      <c r="N197" s="692"/>
      <c r="O197" s="728"/>
      <c r="P197" s="341"/>
      <c r="Q197" s="360"/>
      <c r="R197" s="692"/>
      <c r="S197" s="341"/>
      <c r="T197" s="341"/>
      <c r="U197" s="341"/>
      <c r="V197" s="692"/>
      <c r="W197" s="692"/>
      <c r="X197"/>
      <c r="Y197"/>
    </row>
    <row r="198" spans="2:25" ht="16">
      <c r="B198" s="67"/>
      <c r="E198" s="1" t="s">
        <v>731</v>
      </c>
      <c r="J198" s="691"/>
      <c r="K198" s="728"/>
      <c r="L198" s="341"/>
      <c r="M198" s="341"/>
      <c r="N198" s="692"/>
      <c r="O198" s="728"/>
      <c r="P198" s="341"/>
      <c r="Q198" s="360"/>
      <c r="R198" s="692"/>
      <c r="S198" s="341"/>
      <c r="T198" s="341"/>
      <c r="U198" s="341"/>
      <c r="V198" s="692"/>
      <c r="W198" s="692"/>
      <c r="X198"/>
      <c r="Y198"/>
    </row>
    <row r="199" spans="2:25" ht="16">
      <c r="B199" s="67"/>
      <c r="F199" s="344">
        <v>44769</v>
      </c>
      <c r="G199" s="344"/>
      <c r="H199" s="344"/>
      <c r="I199" s="344"/>
      <c r="J199" s="691"/>
      <c r="K199" s="728"/>
      <c r="L199" s="341"/>
      <c r="M199" s="341"/>
      <c r="N199" s="692"/>
      <c r="O199" s="728"/>
      <c r="P199" s="341"/>
      <c r="Q199" s="360"/>
      <c r="R199" s="692"/>
      <c r="S199" s="341"/>
      <c r="T199" s="341"/>
      <c r="U199" s="341"/>
      <c r="V199" s="692"/>
      <c r="W199" s="692"/>
      <c r="X199"/>
      <c r="Y199"/>
    </row>
    <row r="200" spans="2:25" ht="16">
      <c r="B200" s="67"/>
      <c r="G200" s="3" t="s">
        <v>59</v>
      </c>
      <c r="H200" s="3"/>
      <c r="I200" s="3"/>
      <c r="J200" s="691"/>
      <c r="K200" s="728"/>
      <c r="L200" s="341"/>
      <c r="M200" s="341"/>
      <c r="N200" s="692"/>
      <c r="O200" s="728"/>
      <c r="P200" s="341"/>
      <c r="Q200" s="360"/>
      <c r="R200" s="692"/>
      <c r="S200" s="341"/>
      <c r="T200" s="341"/>
      <c r="U200" s="341"/>
      <c r="V200" s="692"/>
      <c r="W200" s="692"/>
      <c r="X200"/>
      <c r="Y200"/>
    </row>
    <row r="201" spans="2:25" ht="16">
      <c r="B201" s="67"/>
      <c r="H201" s="345">
        <v>44603</v>
      </c>
      <c r="I201" s="345"/>
      <c r="J201" s="691"/>
      <c r="K201" s="728"/>
      <c r="L201" s="341"/>
      <c r="M201" s="341"/>
      <c r="N201" s="692"/>
      <c r="O201" s="728"/>
      <c r="P201" s="341"/>
      <c r="Q201" s="360"/>
      <c r="R201" s="692"/>
      <c r="S201" s="341"/>
      <c r="T201" s="341"/>
      <c r="U201" s="341"/>
      <c r="V201" s="692"/>
      <c r="W201" s="692"/>
      <c r="X201"/>
      <c r="Y201"/>
    </row>
    <row r="202" spans="2:25" ht="16">
      <c r="B202" s="67"/>
      <c r="I202" s="3" t="s">
        <v>59</v>
      </c>
      <c r="J202" s="691">
        <v>12373</v>
      </c>
      <c r="K202" s="728">
        <v>358928.35791038186</v>
      </c>
      <c r="L202" s="341">
        <v>1</v>
      </c>
      <c r="M202" s="341">
        <v>20.465199999999999</v>
      </c>
      <c r="N202" s="692">
        <v>7345540.6303075468</v>
      </c>
      <c r="O202" s="728">
        <v>444768.51999999996</v>
      </c>
      <c r="P202" s="341">
        <v>1</v>
      </c>
      <c r="Q202" s="360">
        <v>20.500800000000002</v>
      </c>
      <c r="R202" s="692">
        <v>9118110.4748160001</v>
      </c>
      <c r="S202" s="341">
        <v>118.98099999999999</v>
      </c>
      <c r="T202" s="341">
        <v>122.044</v>
      </c>
      <c r="U202" s="341">
        <v>1.0257000000000001</v>
      </c>
      <c r="V202" s="692">
        <v>9352445.9140187725</v>
      </c>
      <c r="W202" s="692">
        <v>-2006905.2837112257</v>
      </c>
      <c r="X202"/>
      <c r="Y202"/>
    </row>
    <row r="203" spans="2:25" ht="16">
      <c r="J203" s="691"/>
      <c r="K203" s="728"/>
      <c r="L203" s="341"/>
      <c r="M203" s="341"/>
      <c r="N203" s="692"/>
      <c r="O203" s="728"/>
      <c r="P203" s="341"/>
      <c r="Q203" s="360"/>
      <c r="R203" s="692"/>
      <c r="S203" s="341"/>
      <c r="T203" s="341"/>
      <c r="U203" s="341"/>
      <c r="V203" s="692"/>
      <c r="W203" s="692"/>
      <c r="X203"/>
      <c r="Y203"/>
    </row>
    <row r="204" spans="2:25" ht="16">
      <c r="B204" s="67"/>
      <c r="H204" s="345">
        <v>44671</v>
      </c>
      <c r="I204" s="345"/>
      <c r="J204" s="691"/>
      <c r="K204" s="728"/>
      <c r="L204" s="341"/>
      <c r="M204" s="341"/>
      <c r="N204" s="692"/>
      <c r="O204" s="728"/>
      <c r="P204" s="341"/>
      <c r="Q204" s="360"/>
      <c r="R204" s="692"/>
      <c r="S204" s="341"/>
      <c r="T204" s="341"/>
      <c r="U204" s="341"/>
      <c r="V204" s="692"/>
      <c r="W204" s="692"/>
      <c r="X204"/>
      <c r="Y204"/>
    </row>
    <row r="205" spans="2:25" ht="16">
      <c r="B205" s="67"/>
      <c r="I205" s="3" t="s">
        <v>59</v>
      </c>
      <c r="J205" s="691">
        <v>1218</v>
      </c>
      <c r="K205" s="728">
        <v>35332.96208961813</v>
      </c>
      <c r="L205" s="341">
        <v>1</v>
      </c>
      <c r="M205" s="341">
        <v>20.465199999999999</v>
      </c>
      <c r="N205" s="692">
        <v>723096.13575645292</v>
      </c>
      <c r="O205" s="728">
        <v>39086.22913417052</v>
      </c>
      <c r="P205" s="341">
        <v>1</v>
      </c>
      <c r="Q205" s="360">
        <v>19.9377</v>
      </c>
      <c r="R205" s="692">
        <v>779289.51060835156</v>
      </c>
      <c r="S205" s="341">
        <v>120.809</v>
      </c>
      <c r="T205" s="341">
        <v>122.044</v>
      </c>
      <c r="U205" s="341">
        <v>1.0102</v>
      </c>
      <c r="V205" s="692">
        <v>787238.26361655677</v>
      </c>
      <c r="W205" s="692">
        <v>-64142.12786010385</v>
      </c>
      <c r="X205"/>
      <c r="Y205"/>
    </row>
    <row r="206" spans="2:25" ht="16">
      <c r="J206" s="691"/>
      <c r="K206" s="728"/>
      <c r="L206" s="341"/>
      <c r="M206" s="341"/>
      <c r="N206" s="692"/>
      <c r="O206" s="728"/>
      <c r="P206" s="341"/>
      <c r="Q206" s="360"/>
      <c r="R206" s="692"/>
      <c r="S206" s="341"/>
      <c r="T206" s="341"/>
      <c r="U206" s="341"/>
      <c r="V206" s="692"/>
      <c r="W206" s="692"/>
      <c r="X206"/>
      <c r="Y206"/>
    </row>
    <row r="207" spans="2:25" ht="16">
      <c r="B207" s="67"/>
      <c r="F207" s="344">
        <v>44862</v>
      </c>
      <c r="G207" s="344"/>
      <c r="H207" s="344"/>
      <c r="I207" s="344"/>
      <c r="J207" s="691"/>
      <c r="K207" s="728"/>
      <c r="L207" s="341"/>
      <c r="M207" s="341"/>
      <c r="N207" s="692"/>
      <c r="O207" s="728"/>
      <c r="P207" s="341"/>
      <c r="Q207" s="360"/>
      <c r="R207" s="692"/>
      <c r="S207" s="341"/>
      <c r="T207" s="341"/>
      <c r="U207" s="341"/>
      <c r="V207" s="692"/>
      <c r="W207" s="692"/>
      <c r="X207"/>
      <c r="Y207"/>
    </row>
    <row r="208" spans="2:25" ht="16">
      <c r="B208" s="67"/>
      <c r="G208" s="3" t="s">
        <v>59</v>
      </c>
      <c r="H208" s="3"/>
      <c r="I208" s="3"/>
      <c r="J208" s="691"/>
      <c r="K208" s="728"/>
      <c r="L208" s="341"/>
      <c r="M208" s="341"/>
      <c r="N208" s="692"/>
      <c r="O208" s="728"/>
      <c r="P208" s="341"/>
      <c r="Q208" s="360"/>
      <c r="R208" s="692"/>
      <c r="S208" s="341"/>
      <c r="T208" s="341"/>
      <c r="U208" s="341"/>
      <c r="V208" s="692"/>
      <c r="W208" s="692"/>
      <c r="X208"/>
      <c r="Y208"/>
    </row>
    <row r="209" spans="2:25" ht="16">
      <c r="B209" s="67"/>
      <c r="H209" s="345">
        <v>44671</v>
      </c>
      <c r="I209" s="345"/>
      <c r="J209" s="691"/>
      <c r="K209" s="728"/>
      <c r="L209" s="341"/>
      <c r="M209" s="341"/>
      <c r="N209" s="692"/>
      <c r="O209" s="728"/>
      <c r="P209" s="341"/>
      <c r="Q209" s="360"/>
      <c r="R209" s="692"/>
      <c r="S209" s="341"/>
      <c r="T209" s="341"/>
      <c r="U209" s="341"/>
      <c r="V209" s="692"/>
      <c r="W209" s="692"/>
      <c r="X209"/>
      <c r="Y209"/>
    </row>
    <row r="210" spans="2:25" ht="16">
      <c r="B210" s="67"/>
      <c r="I210" s="3" t="s">
        <v>59</v>
      </c>
      <c r="J210" s="691">
        <v>1174</v>
      </c>
      <c r="K210" s="728">
        <v>29565.19</v>
      </c>
      <c r="L210" s="341">
        <v>1</v>
      </c>
      <c r="M210" s="341">
        <v>19.8553</v>
      </c>
      <c r="N210" s="692">
        <v>587025.717007</v>
      </c>
      <c r="O210" s="728">
        <v>37674.247129323638</v>
      </c>
      <c r="P210" s="341">
        <v>1</v>
      </c>
      <c r="Q210" s="360">
        <v>19.9377</v>
      </c>
      <c r="R210" s="692">
        <v>751137.83699031582</v>
      </c>
      <c r="S210" s="341">
        <v>120.809</v>
      </c>
      <c r="T210" s="341">
        <v>124.571</v>
      </c>
      <c r="U210" s="341">
        <v>1.0310999999999999</v>
      </c>
      <c r="V210" s="692">
        <v>774498.22372071457</v>
      </c>
      <c r="W210" s="692">
        <v>-187472.50671371457</v>
      </c>
      <c r="X210"/>
      <c r="Y210"/>
    </row>
    <row r="211" spans="2:25" ht="16">
      <c r="J211" s="691"/>
      <c r="K211" s="728"/>
      <c r="L211" s="341"/>
      <c r="M211" s="341"/>
      <c r="N211" s="692"/>
      <c r="O211" s="728"/>
      <c r="P211" s="341"/>
      <c r="Q211" s="360"/>
      <c r="R211" s="692"/>
      <c r="S211" s="341"/>
      <c r="T211" s="341"/>
      <c r="U211" s="341"/>
      <c r="V211" s="692"/>
      <c r="W211" s="692"/>
      <c r="X211"/>
      <c r="Y211"/>
    </row>
    <row r="212" spans="2:25" ht="16">
      <c r="B212" s="67"/>
      <c r="E212" s="131" t="s">
        <v>868</v>
      </c>
      <c r="F212" s="131"/>
      <c r="G212" s="131"/>
      <c r="H212" s="131"/>
      <c r="I212" s="131"/>
      <c r="J212" s="729">
        <v>14765</v>
      </c>
      <c r="K212" s="730">
        <v>423826.51</v>
      </c>
      <c r="L212" s="366">
        <v>1</v>
      </c>
      <c r="M212" s="374">
        <v>20.261900000000001</v>
      </c>
      <c r="N212" s="704">
        <v>8655662.4830709994</v>
      </c>
      <c r="O212" s="730">
        <v>521528.99626349413</v>
      </c>
      <c r="P212" s="366">
        <v>1</v>
      </c>
      <c r="Q212" s="374">
        <v>20.125400000000003</v>
      </c>
      <c r="R212" s="704">
        <v>10648537.822414666</v>
      </c>
      <c r="S212" s="366">
        <v>120.19966666666666</v>
      </c>
      <c r="T212" s="366">
        <v>122.88633333333333</v>
      </c>
      <c r="U212" s="366">
        <v>1.0223333333333333</v>
      </c>
      <c r="V212" s="704">
        <v>10914182.401356043</v>
      </c>
      <c r="W212" s="704">
        <v>-2258519.9182850439</v>
      </c>
      <c r="X212"/>
      <c r="Y212"/>
    </row>
    <row r="213" spans="2:25" ht="16">
      <c r="J213" s="691"/>
      <c r="K213" s="728"/>
      <c r="L213" s="341"/>
      <c r="M213" s="341"/>
      <c r="N213" s="692"/>
      <c r="O213" s="728"/>
      <c r="P213" s="341"/>
      <c r="Q213" s="360"/>
      <c r="R213" s="692"/>
      <c r="S213" s="341"/>
      <c r="T213" s="341"/>
      <c r="U213" s="341"/>
      <c r="V213" s="692"/>
      <c r="W213" s="692"/>
      <c r="X213"/>
      <c r="Y213"/>
    </row>
    <row r="214" spans="2:25" ht="16">
      <c r="B214" s="67"/>
      <c r="E214" s="1" t="s">
        <v>844</v>
      </c>
      <c r="J214" s="691"/>
      <c r="K214" s="728"/>
      <c r="L214" s="341"/>
      <c r="M214" s="341"/>
      <c r="N214" s="692"/>
      <c r="O214" s="728"/>
      <c r="P214" s="341"/>
      <c r="Q214" s="360"/>
      <c r="R214" s="692"/>
      <c r="S214" s="341"/>
      <c r="T214" s="341"/>
      <c r="U214" s="341"/>
      <c r="V214" s="692"/>
      <c r="W214" s="692"/>
      <c r="X214"/>
      <c r="Y214"/>
    </row>
    <row r="215" spans="2:25" ht="16">
      <c r="B215" s="67"/>
      <c r="F215" s="344">
        <v>44897</v>
      </c>
      <c r="G215" s="344"/>
      <c r="H215" s="344"/>
      <c r="I215" s="344"/>
      <c r="J215" s="691"/>
      <c r="K215" s="728"/>
      <c r="L215" s="341"/>
      <c r="M215" s="341"/>
      <c r="N215" s="692"/>
      <c r="O215" s="728"/>
      <c r="P215" s="341"/>
      <c r="Q215" s="360"/>
      <c r="R215" s="692"/>
      <c r="S215" s="341"/>
      <c r="T215" s="341"/>
      <c r="U215" s="341"/>
      <c r="V215" s="692"/>
      <c r="W215" s="692"/>
      <c r="X215"/>
      <c r="Y215"/>
    </row>
    <row r="216" spans="2:25" ht="16">
      <c r="B216" s="67"/>
      <c r="G216" s="3" t="s">
        <v>59</v>
      </c>
      <c r="H216" s="3"/>
      <c r="I216" s="3"/>
      <c r="J216" s="691"/>
      <c r="K216" s="728"/>
      <c r="L216" s="341"/>
      <c r="M216" s="341"/>
      <c r="N216" s="692"/>
      <c r="O216" s="728"/>
      <c r="P216" s="341"/>
      <c r="Q216" s="360"/>
      <c r="R216" s="692"/>
      <c r="S216" s="341"/>
      <c r="T216" s="341"/>
      <c r="U216" s="341"/>
      <c r="V216" s="692"/>
      <c r="W216" s="692"/>
      <c r="X216"/>
      <c r="Y216"/>
    </row>
    <row r="217" spans="2:25" ht="16">
      <c r="B217" s="67"/>
      <c r="H217" s="345">
        <v>44294</v>
      </c>
      <c r="I217" s="345"/>
      <c r="J217" s="691"/>
      <c r="K217" s="728"/>
      <c r="L217" s="341"/>
      <c r="M217" s="341"/>
      <c r="N217" s="692"/>
      <c r="O217" s="728"/>
      <c r="P217" s="341"/>
      <c r="Q217" s="360"/>
      <c r="R217" s="692"/>
      <c r="S217" s="341"/>
      <c r="T217" s="341"/>
      <c r="U217" s="341"/>
      <c r="V217" s="692"/>
      <c r="W217" s="692"/>
      <c r="X217"/>
      <c r="Y217"/>
    </row>
    <row r="218" spans="2:25" ht="16">
      <c r="B218" s="67"/>
      <c r="I218" s="3" t="s">
        <v>59</v>
      </c>
      <c r="J218" s="691">
        <v>5346</v>
      </c>
      <c r="K218" s="728">
        <v>35614.519999999997</v>
      </c>
      <c r="L218" s="341">
        <v>1</v>
      </c>
      <c r="M218" s="341">
        <v>19.3965</v>
      </c>
      <c r="N218" s="692">
        <v>690797.03717999987</v>
      </c>
      <c r="O218" s="728">
        <v>33830.022516655408</v>
      </c>
      <c r="P218" s="341">
        <v>1</v>
      </c>
      <c r="Q218" s="360">
        <v>20.161200000000001</v>
      </c>
      <c r="R218" s="692">
        <v>682053.84996279306</v>
      </c>
      <c r="S218" s="341">
        <v>112.19</v>
      </c>
      <c r="T218" s="341">
        <v>125.997</v>
      </c>
      <c r="U218" s="341">
        <v>1.123</v>
      </c>
      <c r="V218" s="692">
        <v>765946.47350821656</v>
      </c>
      <c r="W218" s="692">
        <v>-75149.436328216805</v>
      </c>
      <c r="X218"/>
      <c r="Y218"/>
    </row>
    <row r="219" spans="2:25" ht="16">
      <c r="J219" s="691"/>
      <c r="K219" s="728"/>
      <c r="L219" s="341"/>
      <c r="M219" s="341"/>
      <c r="N219" s="692"/>
      <c r="O219" s="728"/>
      <c r="P219" s="341"/>
      <c r="Q219" s="360"/>
      <c r="R219" s="692"/>
      <c r="S219" s="341"/>
      <c r="T219" s="341"/>
      <c r="U219" s="341"/>
      <c r="V219" s="692"/>
      <c r="W219" s="692"/>
      <c r="X219"/>
      <c r="Y219"/>
    </row>
    <row r="220" spans="2:25" ht="16">
      <c r="B220" s="67"/>
      <c r="E220" s="131" t="s">
        <v>869</v>
      </c>
      <c r="F220" s="131"/>
      <c r="G220" s="131"/>
      <c r="H220" s="131"/>
      <c r="I220" s="131"/>
      <c r="J220" s="729">
        <v>5346</v>
      </c>
      <c r="K220" s="730">
        <v>35614.519999999997</v>
      </c>
      <c r="L220" s="366">
        <v>1</v>
      </c>
      <c r="M220" s="374">
        <v>19.3965</v>
      </c>
      <c r="N220" s="704">
        <v>690797.03717999987</v>
      </c>
      <c r="O220" s="730">
        <v>33830.022516655408</v>
      </c>
      <c r="P220" s="366">
        <v>1</v>
      </c>
      <c r="Q220" s="374">
        <v>20.161200000000001</v>
      </c>
      <c r="R220" s="704">
        <v>682053.84996279306</v>
      </c>
      <c r="S220" s="366">
        <v>112.19</v>
      </c>
      <c r="T220" s="366">
        <v>125.997</v>
      </c>
      <c r="U220" s="366">
        <v>1.123</v>
      </c>
      <c r="V220" s="704">
        <v>765946.47350821656</v>
      </c>
      <c r="W220" s="704">
        <v>-75149.436328216805</v>
      </c>
      <c r="X220"/>
      <c r="Y220"/>
    </row>
    <row r="221" spans="2:25" ht="16">
      <c r="J221" s="691"/>
      <c r="K221" s="728"/>
      <c r="L221" s="341"/>
      <c r="M221" s="341"/>
      <c r="N221" s="692"/>
      <c r="O221" s="728"/>
      <c r="P221" s="341"/>
      <c r="Q221" s="360"/>
      <c r="R221" s="692"/>
      <c r="S221" s="341"/>
      <c r="T221" s="341"/>
      <c r="U221" s="341"/>
      <c r="V221" s="692"/>
      <c r="W221" s="692"/>
      <c r="X221"/>
      <c r="Y221"/>
    </row>
    <row r="222" spans="2:25" ht="16">
      <c r="B222" s="67"/>
      <c r="E222" s="1" t="s">
        <v>711</v>
      </c>
      <c r="J222" s="691"/>
      <c r="K222" s="728"/>
      <c r="L222" s="341"/>
      <c r="M222" s="341"/>
      <c r="N222" s="692"/>
      <c r="O222" s="728"/>
      <c r="P222" s="341"/>
      <c r="Q222" s="360"/>
      <c r="R222" s="692"/>
      <c r="S222" s="341"/>
      <c r="T222" s="341"/>
      <c r="U222" s="341"/>
      <c r="V222" s="692"/>
      <c r="W222" s="692"/>
      <c r="X222"/>
      <c r="Y222"/>
    </row>
    <row r="223" spans="2:25" ht="16">
      <c r="B223" s="67"/>
      <c r="F223" s="344">
        <v>44769</v>
      </c>
      <c r="G223" s="344"/>
      <c r="H223" s="344"/>
      <c r="I223" s="344"/>
      <c r="J223" s="691"/>
      <c r="K223" s="728"/>
      <c r="L223" s="341"/>
      <c r="M223" s="341"/>
      <c r="N223" s="692"/>
      <c r="O223" s="728"/>
      <c r="P223" s="341"/>
      <c r="Q223" s="360"/>
      <c r="R223" s="692"/>
      <c r="S223" s="341"/>
      <c r="T223" s="341"/>
      <c r="U223" s="341"/>
      <c r="V223" s="692"/>
      <c r="W223" s="692"/>
      <c r="X223"/>
      <c r="Y223"/>
    </row>
    <row r="224" spans="2:25" ht="16">
      <c r="B224" s="67"/>
      <c r="G224" s="3" t="s">
        <v>59</v>
      </c>
      <c r="H224" s="3"/>
      <c r="I224" s="3"/>
      <c r="J224" s="691"/>
      <c r="K224" s="728"/>
      <c r="L224" s="341"/>
      <c r="M224" s="341"/>
      <c r="N224" s="692"/>
      <c r="O224" s="728"/>
      <c r="P224" s="341"/>
      <c r="Q224" s="360"/>
      <c r="R224" s="692"/>
      <c r="S224" s="341"/>
      <c r="T224" s="341"/>
      <c r="U224" s="341"/>
      <c r="V224" s="692"/>
      <c r="W224" s="692"/>
      <c r="X224"/>
      <c r="Y224"/>
    </row>
    <row r="225" spans="2:25" ht="16">
      <c r="B225" s="67"/>
      <c r="H225" s="345">
        <v>44231</v>
      </c>
      <c r="I225" s="345"/>
      <c r="J225" s="691"/>
      <c r="K225" s="728"/>
      <c r="L225" s="341"/>
      <c r="M225" s="341"/>
      <c r="N225" s="692"/>
      <c r="O225" s="728"/>
      <c r="P225" s="341"/>
      <c r="Q225" s="360"/>
      <c r="R225" s="692"/>
      <c r="S225" s="341"/>
      <c r="T225" s="341"/>
      <c r="U225" s="341"/>
      <c r="V225" s="692"/>
      <c r="W225" s="692"/>
      <c r="X225"/>
      <c r="Y225"/>
    </row>
    <row r="226" spans="2:25" ht="16">
      <c r="B226" s="67"/>
      <c r="I226" s="3" t="s">
        <v>59</v>
      </c>
      <c r="J226" s="691">
        <v>22473</v>
      </c>
      <c r="K226" s="728">
        <v>136752.70145325226</v>
      </c>
      <c r="L226" s="341">
        <v>1</v>
      </c>
      <c r="M226" s="341">
        <v>20.465199999999999</v>
      </c>
      <c r="N226" s="692">
        <v>2798671.3857810982</v>
      </c>
      <c r="O226" s="728">
        <v>131938.98340886761</v>
      </c>
      <c r="P226" s="341">
        <v>1</v>
      </c>
      <c r="Q226" s="360">
        <v>20.1722</v>
      </c>
      <c r="R226" s="692">
        <v>2661499.5611203592</v>
      </c>
      <c r="S226" s="341">
        <v>110.907</v>
      </c>
      <c r="T226" s="341">
        <v>122.044</v>
      </c>
      <c r="U226" s="341">
        <v>1.1004</v>
      </c>
      <c r="V226" s="692">
        <v>2928714.1170568434</v>
      </c>
      <c r="W226" s="692">
        <v>-130042.7312757452</v>
      </c>
      <c r="X226"/>
      <c r="Y226"/>
    </row>
    <row r="227" spans="2:25" ht="16">
      <c r="J227" s="691"/>
      <c r="K227" s="728"/>
      <c r="L227" s="341"/>
      <c r="M227" s="341"/>
      <c r="N227" s="692"/>
      <c r="O227" s="728"/>
      <c r="P227" s="341"/>
      <c r="Q227" s="360"/>
      <c r="R227" s="692"/>
      <c r="S227" s="341"/>
      <c r="T227" s="341"/>
      <c r="U227" s="341"/>
      <c r="V227" s="692"/>
      <c r="W227" s="692"/>
      <c r="X227"/>
      <c r="Y227"/>
    </row>
    <row r="228" spans="2:25" ht="16">
      <c r="B228" s="67"/>
      <c r="H228" s="345">
        <v>44294</v>
      </c>
      <c r="I228" s="345"/>
      <c r="J228" s="691"/>
      <c r="K228" s="728"/>
      <c r="L228" s="341"/>
      <c r="M228" s="341"/>
      <c r="N228" s="692"/>
      <c r="O228" s="728"/>
      <c r="P228" s="341"/>
      <c r="Q228" s="360"/>
      <c r="R228" s="692"/>
      <c r="S228" s="341"/>
      <c r="T228" s="341"/>
      <c r="U228" s="341"/>
      <c r="V228" s="692"/>
      <c r="W228" s="692"/>
      <c r="X228"/>
      <c r="Y228"/>
    </row>
    <row r="229" spans="2:25" ht="16">
      <c r="B229" s="67"/>
      <c r="I229" s="3" t="s">
        <v>59</v>
      </c>
      <c r="J229" s="691">
        <v>26032</v>
      </c>
      <c r="K229" s="728">
        <v>158409.92854674777</v>
      </c>
      <c r="L229" s="341">
        <v>1</v>
      </c>
      <c r="M229" s="341">
        <v>20.465199999999999</v>
      </c>
      <c r="N229" s="692">
        <v>3241890.8696949026</v>
      </c>
      <c r="O229" s="728">
        <v>164733.09879415893</v>
      </c>
      <c r="P229" s="341">
        <v>1</v>
      </c>
      <c r="Q229" s="360">
        <v>20.161200000000001</v>
      </c>
      <c r="R229" s="692">
        <v>3321216.9514087969</v>
      </c>
      <c r="S229" s="341">
        <v>112.19</v>
      </c>
      <c r="T229" s="341">
        <v>122.044</v>
      </c>
      <c r="U229" s="341">
        <v>1.0878000000000001</v>
      </c>
      <c r="V229" s="692">
        <v>3612819.7997424896</v>
      </c>
      <c r="W229" s="692">
        <v>-370928.93004758703</v>
      </c>
      <c r="X229"/>
      <c r="Y229"/>
    </row>
    <row r="230" spans="2:25" ht="16">
      <c r="J230" s="691"/>
      <c r="K230" s="728"/>
      <c r="L230" s="341"/>
      <c r="M230" s="341"/>
      <c r="N230" s="692"/>
      <c r="O230" s="728"/>
      <c r="P230" s="341"/>
      <c r="Q230" s="360"/>
      <c r="R230" s="692"/>
      <c r="S230" s="341"/>
      <c r="T230" s="341"/>
      <c r="U230" s="341"/>
      <c r="V230" s="692"/>
      <c r="W230" s="692"/>
      <c r="X230"/>
      <c r="Y230"/>
    </row>
    <row r="231" spans="2:25" ht="16">
      <c r="B231" s="67"/>
      <c r="E231" s="131" t="s">
        <v>870</v>
      </c>
      <c r="F231" s="131"/>
      <c r="G231" s="131"/>
      <c r="H231" s="131"/>
      <c r="I231" s="131"/>
      <c r="J231" s="729">
        <v>48505</v>
      </c>
      <c r="K231" s="730">
        <v>295162.63</v>
      </c>
      <c r="L231" s="366">
        <v>1</v>
      </c>
      <c r="M231" s="374">
        <v>20.465199999999999</v>
      </c>
      <c r="N231" s="704">
        <v>6040562.2554760007</v>
      </c>
      <c r="O231" s="730">
        <v>296672.08220302651</v>
      </c>
      <c r="P231" s="366">
        <v>1</v>
      </c>
      <c r="Q231" s="374">
        <v>20.166699999999999</v>
      </c>
      <c r="R231" s="704">
        <v>5982716.5125291562</v>
      </c>
      <c r="S231" s="366">
        <v>111.54849999999999</v>
      </c>
      <c r="T231" s="366">
        <v>122.044</v>
      </c>
      <c r="U231" s="366">
        <v>1.0941000000000001</v>
      </c>
      <c r="V231" s="704">
        <v>6541533.9167993329</v>
      </c>
      <c r="W231" s="704">
        <v>-500971.66132333223</v>
      </c>
      <c r="X231"/>
      <c r="Y231"/>
    </row>
    <row r="232" spans="2:25" ht="16">
      <c r="J232" s="691"/>
      <c r="K232" s="728"/>
      <c r="L232" s="341"/>
      <c r="M232" s="341"/>
      <c r="N232" s="692"/>
      <c r="O232" s="728"/>
      <c r="P232" s="341"/>
      <c r="Q232" s="360"/>
      <c r="R232" s="692"/>
      <c r="S232" s="341"/>
      <c r="T232" s="341"/>
      <c r="U232" s="341"/>
      <c r="V232" s="692"/>
      <c r="W232" s="692"/>
      <c r="X232"/>
      <c r="Y232"/>
    </row>
    <row r="233" spans="2:25" ht="16">
      <c r="B233" s="67"/>
      <c r="E233" s="1" t="s">
        <v>712</v>
      </c>
      <c r="J233" s="691"/>
      <c r="K233" s="728"/>
      <c r="L233" s="341"/>
      <c r="M233" s="341"/>
      <c r="N233" s="692"/>
      <c r="O233" s="728"/>
      <c r="P233" s="341"/>
      <c r="Q233" s="360"/>
      <c r="R233" s="692"/>
      <c r="S233" s="341"/>
      <c r="T233" s="341"/>
      <c r="U233" s="341"/>
      <c r="V233" s="692"/>
      <c r="W233" s="692"/>
      <c r="X233"/>
      <c r="Y233"/>
    </row>
    <row r="234" spans="2:25" ht="16">
      <c r="B234" s="67"/>
      <c r="F234" s="344">
        <v>44603</v>
      </c>
      <c r="G234" s="344"/>
      <c r="H234" s="344"/>
      <c r="I234" s="344"/>
      <c r="J234" s="691"/>
      <c r="K234" s="728"/>
      <c r="L234" s="341"/>
      <c r="M234" s="341"/>
      <c r="N234" s="692"/>
      <c r="O234" s="728"/>
      <c r="P234" s="341"/>
      <c r="Q234" s="360"/>
      <c r="R234" s="692"/>
      <c r="S234" s="341"/>
      <c r="T234" s="341"/>
      <c r="U234" s="341"/>
      <c r="V234" s="692"/>
      <c r="W234" s="692"/>
      <c r="X234"/>
      <c r="Y234"/>
    </row>
    <row r="235" spans="2:25" ht="16">
      <c r="B235" s="67"/>
      <c r="G235" s="3" t="s">
        <v>59</v>
      </c>
      <c r="H235" s="3"/>
      <c r="I235" s="3"/>
      <c r="J235" s="691"/>
      <c r="K235" s="728"/>
      <c r="L235" s="341"/>
      <c r="M235" s="341"/>
      <c r="N235" s="692"/>
      <c r="O235" s="728"/>
      <c r="P235" s="341"/>
      <c r="Q235" s="360"/>
      <c r="R235" s="692"/>
      <c r="S235" s="341"/>
      <c r="T235" s="341"/>
      <c r="U235" s="341"/>
      <c r="V235" s="692"/>
      <c r="W235" s="692"/>
      <c r="X235"/>
      <c r="Y235"/>
    </row>
    <row r="236" spans="2:25" ht="16">
      <c r="B236" s="67"/>
      <c r="H236" s="345">
        <v>43957</v>
      </c>
      <c r="I236" s="345"/>
      <c r="J236" s="691"/>
      <c r="K236" s="728"/>
      <c r="L236" s="341"/>
      <c r="M236" s="341"/>
      <c r="N236" s="692"/>
      <c r="O236" s="728"/>
      <c r="P236" s="341"/>
      <c r="Q236" s="360"/>
      <c r="R236" s="692"/>
      <c r="S236" s="341"/>
      <c r="T236" s="341"/>
      <c r="U236" s="341"/>
      <c r="V236" s="692"/>
      <c r="W236" s="692"/>
      <c r="X236"/>
      <c r="Y236"/>
    </row>
    <row r="237" spans="2:25" ht="16">
      <c r="B237" s="67"/>
      <c r="I237" s="3" t="s">
        <v>59</v>
      </c>
      <c r="J237" s="691">
        <v>101</v>
      </c>
      <c r="K237" s="728">
        <v>46528.11</v>
      </c>
      <c r="L237" s="341">
        <v>1</v>
      </c>
      <c r="M237" s="341">
        <v>20.500800000000002</v>
      </c>
      <c r="N237" s="692">
        <v>953863.47748800006</v>
      </c>
      <c r="O237" s="728">
        <v>28893.897960474307</v>
      </c>
      <c r="P237" s="341">
        <v>1</v>
      </c>
      <c r="Q237" s="360">
        <v>24.3812</v>
      </c>
      <c r="R237" s="692">
        <v>704467.90495391621</v>
      </c>
      <c r="S237" s="341">
        <v>106.16200000000001</v>
      </c>
      <c r="T237" s="341">
        <v>118.002</v>
      </c>
      <c r="U237" s="341">
        <v>1.1114999999999999</v>
      </c>
      <c r="V237" s="692">
        <v>783016.0763562778</v>
      </c>
      <c r="W237" s="692">
        <v>170847.40113172226</v>
      </c>
      <c r="X237"/>
      <c r="Y237"/>
    </row>
    <row r="238" spans="2:25" ht="16">
      <c r="J238" s="691"/>
      <c r="K238" s="728"/>
      <c r="L238" s="341"/>
      <c r="M238" s="341"/>
      <c r="N238" s="692"/>
      <c r="O238" s="728"/>
      <c r="P238" s="341"/>
      <c r="Q238" s="360"/>
      <c r="R238" s="692"/>
      <c r="S238" s="341"/>
      <c r="T238" s="341"/>
      <c r="U238" s="341"/>
      <c r="V238" s="692"/>
      <c r="W238" s="692"/>
      <c r="X238"/>
      <c r="Y238"/>
    </row>
    <row r="239" spans="2:25" ht="16">
      <c r="B239" s="67"/>
      <c r="F239" s="344">
        <v>44671</v>
      </c>
      <c r="G239" s="344"/>
      <c r="H239" s="344"/>
      <c r="I239" s="344"/>
      <c r="J239" s="691"/>
      <c r="K239" s="728"/>
      <c r="L239" s="341"/>
      <c r="M239" s="341"/>
      <c r="N239" s="692"/>
      <c r="O239" s="728"/>
      <c r="P239" s="341"/>
      <c r="Q239" s="360"/>
      <c r="R239" s="692"/>
      <c r="S239" s="341"/>
      <c r="T239" s="341"/>
      <c r="U239" s="341"/>
      <c r="V239" s="692"/>
      <c r="W239" s="692"/>
      <c r="X239"/>
      <c r="Y239"/>
    </row>
    <row r="240" spans="2:25" ht="16">
      <c r="B240" s="67"/>
      <c r="G240" s="3" t="s">
        <v>59</v>
      </c>
      <c r="H240" s="3"/>
      <c r="I240" s="3"/>
      <c r="J240" s="691"/>
      <c r="K240" s="728"/>
      <c r="L240" s="341"/>
      <c r="M240" s="341"/>
      <c r="N240" s="692"/>
      <c r="O240" s="728"/>
      <c r="P240" s="341"/>
      <c r="Q240" s="360"/>
      <c r="R240" s="692"/>
      <c r="S240" s="341"/>
      <c r="T240" s="341"/>
      <c r="U240" s="341"/>
      <c r="V240" s="692"/>
      <c r="W240" s="692"/>
      <c r="X240"/>
      <c r="Y240"/>
    </row>
    <row r="241" spans="2:25" ht="16">
      <c r="B241" s="67"/>
      <c r="H241" s="345">
        <v>43957</v>
      </c>
      <c r="I241" s="345"/>
      <c r="J241" s="691"/>
      <c r="K241" s="728"/>
      <c r="L241" s="341"/>
      <c r="M241" s="341"/>
      <c r="N241" s="692"/>
      <c r="O241" s="728"/>
      <c r="P241" s="341"/>
      <c r="Q241" s="360"/>
      <c r="R241" s="692"/>
      <c r="S241" s="341"/>
      <c r="T241" s="341"/>
      <c r="U241" s="341"/>
      <c r="V241" s="692"/>
      <c r="W241" s="692"/>
      <c r="X241"/>
      <c r="Y241"/>
    </row>
    <row r="242" spans="2:25" ht="16">
      <c r="B242" s="67"/>
      <c r="I242" s="3" t="s">
        <v>59</v>
      </c>
      <c r="J242" s="691">
        <v>136</v>
      </c>
      <c r="K242" s="728">
        <v>62443.28</v>
      </c>
      <c r="L242" s="341">
        <v>1</v>
      </c>
      <c r="M242" s="341">
        <v>19.9377</v>
      </c>
      <c r="N242" s="692">
        <v>1244975.383656</v>
      </c>
      <c r="O242" s="728">
        <v>38906.634877470358</v>
      </c>
      <c r="P242" s="341">
        <v>1</v>
      </c>
      <c r="Q242" s="360">
        <v>24.3812</v>
      </c>
      <c r="R242" s="692">
        <v>948590.44627458032</v>
      </c>
      <c r="S242" s="341">
        <v>106.16200000000001</v>
      </c>
      <c r="T242" s="341">
        <v>120.15900000000001</v>
      </c>
      <c r="U242" s="341">
        <v>1.1317999999999999</v>
      </c>
      <c r="V242" s="692">
        <v>1073614.6670935699</v>
      </c>
      <c r="W242" s="692">
        <v>171360.71656243014</v>
      </c>
      <c r="X242"/>
      <c r="Y242"/>
    </row>
    <row r="243" spans="2:25" ht="16">
      <c r="J243" s="691"/>
      <c r="K243" s="728"/>
      <c r="L243" s="341"/>
      <c r="M243" s="341"/>
      <c r="N243" s="692"/>
      <c r="O243" s="728"/>
      <c r="P243" s="341"/>
      <c r="Q243" s="360"/>
      <c r="R243" s="692"/>
      <c r="S243" s="341"/>
      <c r="T243" s="341"/>
      <c r="U243" s="341"/>
      <c r="V243" s="692"/>
      <c r="W243" s="692"/>
      <c r="X243"/>
      <c r="Y243"/>
    </row>
    <row r="244" spans="2:25" ht="16">
      <c r="B244" s="67"/>
      <c r="F244" s="344">
        <v>44769</v>
      </c>
      <c r="G244" s="344"/>
      <c r="H244" s="344"/>
      <c r="I244" s="344"/>
      <c r="J244" s="691"/>
      <c r="K244" s="728"/>
      <c r="L244" s="341"/>
      <c r="M244" s="341"/>
      <c r="N244" s="692"/>
      <c r="O244" s="728"/>
      <c r="P244" s="341"/>
      <c r="Q244" s="360"/>
      <c r="R244" s="692"/>
      <c r="S244" s="341"/>
      <c r="T244" s="341"/>
      <c r="U244" s="341"/>
      <c r="V244" s="692"/>
      <c r="W244" s="692"/>
      <c r="X244"/>
      <c r="Y244"/>
    </row>
    <row r="245" spans="2:25" ht="16">
      <c r="B245" s="67"/>
      <c r="G245" s="3" t="s">
        <v>59</v>
      </c>
      <c r="H245" s="3"/>
      <c r="I245" s="3"/>
      <c r="J245" s="691"/>
      <c r="K245" s="728"/>
      <c r="L245" s="341"/>
      <c r="M245" s="341"/>
      <c r="N245" s="692"/>
      <c r="O245" s="728"/>
      <c r="P245" s="341"/>
      <c r="Q245" s="360"/>
      <c r="R245" s="692"/>
      <c r="S245" s="341"/>
      <c r="T245" s="341"/>
      <c r="U245" s="341"/>
      <c r="V245" s="692"/>
      <c r="W245" s="692"/>
      <c r="X245"/>
      <c r="Y245"/>
    </row>
    <row r="246" spans="2:25" ht="16">
      <c r="B246" s="67"/>
      <c r="H246" s="345">
        <v>43957</v>
      </c>
      <c r="I246" s="345"/>
      <c r="J246" s="691"/>
      <c r="K246" s="728"/>
      <c r="L246" s="341"/>
      <c r="M246" s="341"/>
      <c r="N246" s="692"/>
      <c r="O246" s="728"/>
      <c r="P246" s="341"/>
      <c r="Q246" s="360"/>
      <c r="R246" s="692"/>
      <c r="S246" s="341"/>
      <c r="T246" s="341"/>
      <c r="U246" s="341"/>
      <c r="V246" s="692"/>
      <c r="W246" s="692"/>
      <c r="X246"/>
      <c r="Y246"/>
    </row>
    <row r="247" spans="2:25" ht="16">
      <c r="B247" s="67"/>
      <c r="I247" s="3" t="s">
        <v>59</v>
      </c>
      <c r="J247" s="691">
        <v>246</v>
      </c>
      <c r="K247" s="728">
        <v>100064.26</v>
      </c>
      <c r="L247" s="341">
        <v>1</v>
      </c>
      <c r="M247" s="341">
        <v>20.465199999999999</v>
      </c>
      <c r="N247" s="692">
        <v>2047835.0937519998</v>
      </c>
      <c r="O247" s="728">
        <v>70375.236616600785</v>
      </c>
      <c r="P247" s="341">
        <v>1</v>
      </c>
      <c r="Q247" s="360">
        <v>24.3812</v>
      </c>
      <c r="R247" s="692">
        <v>1715832.7189966671</v>
      </c>
      <c r="S247" s="341">
        <v>106.16200000000001</v>
      </c>
      <c r="T247" s="341">
        <v>122.044</v>
      </c>
      <c r="U247" s="341">
        <v>1.1496</v>
      </c>
      <c r="V247" s="692">
        <v>1972521.2937585684</v>
      </c>
      <c r="W247" s="692">
        <v>75313.799993431428</v>
      </c>
      <c r="X247"/>
      <c r="Y247"/>
    </row>
    <row r="248" spans="2:25" ht="16">
      <c r="J248" s="691"/>
      <c r="K248" s="728"/>
      <c r="L248" s="341"/>
      <c r="M248" s="341"/>
      <c r="N248" s="692"/>
      <c r="O248" s="728"/>
      <c r="P248" s="341"/>
      <c r="Q248" s="360"/>
      <c r="R248" s="692"/>
      <c r="S248" s="341"/>
      <c r="T248" s="341"/>
      <c r="U248" s="341"/>
      <c r="V248" s="692"/>
      <c r="W248" s="692"/>
      <c r="X248"/>
      <c r="Y248"/>
    </row>
    <row r="249" spans="2:25" ht="16">
      <c r="B249" s="67"/>
      <c r="F249" s="344">
        <v>44897</v>
      </c>
      <c r="G249" s="344"/>
      <c r="H249" s="344"/>
      <c r="I249" s="344"/>
      <c r="J249" s="691"/>
      <c r="K249" s="728"/>
      <c r="L249" s="341"/>
      <c r="M249" s="341"/>
      <c r="N249" s="692"/>
      <c r="O249" s="728"/>
      <c r="P249" s="341"/>
      <c r="Q249" s="360"/>
      <c r="R249" s="692"/>
      <c r="S249" s="341"/>
      <c r="T249" s="341"/>
      <c r="U249" s="341"/>
      <c r="V249" s="692"/>
      <c r="W249" s="692"/>
      <c r="X249"/>
      <c r="Y249"/>
    </row>
    <row r="250" spans="2:25" ht="16">
      <c r="B250" s="67"/>
      <c r="G250" s="3" t="s">
        <v>59</v>
      </c>
      <c r="H250" s="3"/>
      <c r="I250" s="3"/>
      <c r="J250" s="691"/>
      <c r="K250" s="728"/>
      <c r="L250" s="341"/>
      <c r="M250" s="341"/>
      <c r="N250" s="692"/>
      <c r="O250" s="728"/>
      <c r="P250" s="341"/>
      <c r="Q250" s="360"/>
      <c r="R250" s="692"/>
      <c r="S250" s="341"/>
      <c r="T250" s="341"/>
      <c r="U250" s="341"/>
      <c r="V250" s="692"/>
      <c r="W250" s="692"/>
      <c r="X250"/>
      <c r="Y250"/>
    </row>
    <row r="251" spans="2:25" ht="16">
      <c r="B251" s="67"/>
      <c r="H251" s="345">
        <v>44158</v>
      </c>
      <c r="I251" s="345"/>
      <c r="J251" s="691"/>
      <c r="K251" s="728"/>
      <c r="L251" s="341"/>
      <c r="M251" s="341"/>
      <c r="N251" s="692"/>
      <c r="O251" s="728"/>
      <c r="P251" s="341"/>
      <c r="Q251" s="360"/>
      <c r="R251" s="692"/>
      <c r="S251" s="341"/>
      <c r="T251" s="341"/>
      <c r="U251" s="341"/>
      <c r="V251" s="692"/>
      <c r="W251" s="692"/>
      <c r="X251"/>
      <c r="Y251"/>
    </row>
    <row r="252" spans="2:25" ht="16">
      <c r="B252" s="67"/>
      <c r="I252" s="3" t="s">
        <v>59</v>
      </c>
      <c r="J252" s="691">
        <v>3</v>
      </c>
      <c r="K252" s="728">
        <v>1246.3476315789474</v>
      </c>
      <c r="L252" s="341">
        <v>1</v>
      </c>
      <c r="M252" s="341">
        <v>19.3965</v>
      </c>
      <c r="N252" s="692">
        <v>24174.781835921051</v>
      </c>
      <c r="O252" s="728">
        <v>1081.0066666666667</v>
      </c>
      <c r="P252" s="341">
        <v>1</v>
      </c>
      <c r="Q252" s="360">
        <v>20.1858</v>
      </c>
      <c r="R252" s="692">
        <v>21820.984371999999</v>
      </c>
      <c r="S252" s="341">
        <v>108.85599999999999</v>
      </c>
      <c r="T252" s="341">
        <v>125.997</v>
      </c>
      <c r="U252" s="341">
        <v>1.1574</v>
      </c>
      <c r="V252" s="692">
        <v>25255.607312152799</v>
      </c>
      <c r="W252" s="692">
        <v>-1080.8254762317447</v>
      </c>
      <c r="X252"/>
      <c r="Y252"/>
    </row>
    <row r="253" spans="2:25" ht="16">
      <c r="J253" s="691"/>
      <c r="K253" s="728"/>
      <c r="L253" s="341"/>
      <c r="M253" s="341"/>
      <c r="N253" s="692"/>
      <c r="O253" s="728"/>
      <c r="P253" s="341"/>
      <c r="Q253" s="360"/>
      <c r="R253" s="692"/>
      <c r="S253" s="341"/>
      <c r="T253" s="341"/>
      <c r="U253" s="341"/>
      <c r="V253" s="692"/>
      <c r="W253" s="692"/>
      <c r="X253"/>
      <c r="Y253"/>
    </row>
    <row r="254" spans="2:25" ht="16">
      <c r="B254" s="67"/>
      <c r="H254" s="345">
        <v>43957</v>
      </c>
      <c r="I254" s="345"/>
      <c r="J254" s="691"/>
      <c r="K254" s="728"/>
      <c r="L254" s="341"/>
      <c r="M254" s="341"/>
      <c r="N254" s="692"/>
      <c r="O254" s="728"/>
      <c r="P254" s="341"/>
      <c r="Q254" s="360"/>
      <c r="R254" s="692"/>
      <c r="S254" s="341"/>
      <c r="T254" s="341"/>
      <c r="U254" s="341"/>
      <c r="V254" s="692"/>
      <c r="W254" s="692"/>
      <c r="X254"/>
      <c r="Y254"/>
    </row>
    <row r="255" spans="2:25" ht="16">
      <c r="B255" s="67"/>
      <c r="I255" s="3" t="s">
        <v>59</v>
      </c>
      <c r="J255" s="691">
        <v>35</v>
      </c>
      <c r="K255" s="728">
        <v>14540.722368421051</v>
      </c>
      <c r="L255" s="341">
        <v>1</v>
      </c>
      <c r="M255" s="341">
        <v>19.3965</v>
      </c>
      <c r="N255" s="692">
        <v>282039.1214190789</v>
      </c>
      <c r="O255" s="728">
        <v>10012.736916996048</v>
      </c>
      <c r="P255" s="341">
        <v>1</v>
      </c>
      <c r="Q255" s="360">
        <v>24.3812</v>
      </c>
      <c r="R255" s="692">
        <v>244122.54132066402</v>
      </c>
      <c r="S255" s="341">
        <v>106.16200000000001</v>
      </c>
      <c r="T255" s="341">
        <v>125.997</v>
      </c>
      <c r="U255" s="341">
        <v>1.1868000000000001</v>
      </c>
      <c r="V255" s="692">
        <v>289724.63203936408</v>
      </c>
      <c r="W255" s="692">
        <v>-7685.5106202851748</v>
      </c>
      <c r="X255"/>
      <c r="Y255"/>
    </row>
    <row r="256" spans="2:25" ht="16">
      <c r="J256" s="691"/>
      <c r="K256" s="728"/>
      <c r="L256" s="341"/>
      <c r="M256" s="341"/>
      <c r="N256" s="692"/>
      <c r="O256" s="728"/>
      <c r="P256" s="341"/>
      <c r="Q256" s="360"/>
      <c r="R256" s="692"/>
      <c r="S256" s="341"/>
      <c r="T256" s="341"/>
      <c r="U256" s="341"/>
      <c r="V256" s="692"/>
      <c r="W256" s="692"/>
      <c r="X256"/>
      <c r="Y256"/>
    </row>
    <row r="257" spans="2:25" ht="16">
      <c r="B257" s="67"/>
      <c r="E257" s="131" t="s">
        <v>871</v>
      </c>
      <c r="F257" s="131"/>
      <c r="G257" s="131"/>
      <c r="H257" s="131"/>
      <c r="I257" s="131"/>
      <c r="J257" s="729">
        <v>521</v>
      </c>
      <c r="K257" s="730">
        <v>224822.72</v>
      </c>
      <c r="L257" s="366">
        <v>1</v>
      </c>
      <c r="M257" s="374">
        <v>19.939340000000001</v>
      </c>
      <c r="N257" s="704">
        <v>4552887.858151</v>
      </c>
      <c r="O257" s="730">
        <v>149269.51303820816</v>
      </c>
      <c r="P257" s="366">
        <v>1</v>
      </c>
      <c r="Q257" s="374">
        <v>23.542120000000001</v>
      </c>
      <c r="R257" s="704">
        <v>3634834.5959178274</v>
      </c>
      <c r="S257" s="366">
        <v>106.7008</v>
      </c>
      <c r="T257" s="366">
        <v>122.43979999999999</v>
      </c>
      <c r="U257" s="366">
        <v>1.1474199999999999</v>
      </c>
      <c r="V257" s="704">
        <v>4144132.2765599326</v>
      </c>
      <c r="W257" s="704">
        <v>408755.5815910669</v>
      </c>
      <c r="X257"/>
      <c r="Y257"/>
    </row>
    <row r="258" spans="2:25" ht="16">
      <c r="J258" s="691"/>
      <c r="K258" s="728"/>
      <c r="L258" s="341"/>
      <c r="M258" s="341"/>
      <c r="N258" s="692"/>
      <c r="O258" s="728"/>
      <c r="P258" s="341"/>
      <c r="Q258" s="360"/>
      <c r="R258" s="692"/>
      <c r="S258" s="341"/>
      <c r="T258" s="341"/>
      <c r="U258" s="341"/>
      <c r="V258" s="692"/>
      <c r="W258" s="692"/>
      <c r="X258"/>
      <c r="Y258"/>
    </row>
    <row r="259" spans="2:25" ht="16">
      <c r="B259" s="67"/>
      <c r="E259" s="1" t="s">
        <v>714</v>
      </c>
      <c r="J259" s="691"/>
      <c r="K259" s="728"/>
      <c r="L259" s="341"/>
      <c r="M259" s="341"/>
      <c r="N259" s="692"/>
      <c r="O259" s="728"/>
      <c r="P259" s="341"/>
      <c r="Q259" s="360"/>
      <c r="R259" s="692"/>
      <c r="S259" s="341"/>
      <c r="T259" s="341"/>
      <c r="U259" s="341"/>
      <c r="V259" s="692"/>
      <c r="W259" s="692"/>
      <c r="X259"/>
      <c r="Y259"/>
    </row>
    <row r="260" spans="2:25" ht="16">
      <c r="B260" s="67"/>
      <c r="F260" s="344">
        <v>44603</v>
      </c>
      <c r="G260" s="344"/>
      <c r="H260" s="344"/>
      <c r="I260" s="344"/>
      <c r="J260" s="691"/>
      <c r="K260" s="728"/>
      <c r="L260" s="341"/>
      <c r="M260" s="341"/>
      <c r="N260" s="692"/>
      <c r="O260" s="728"/>
      <c r="P260" s="341"/>
      <c r="Q260" s="360"/>
      <c r="R260" s="692"/>
      <c r="S260" s="341"/>
      <c r="T260" s="341"/>
      <c r="U260" s="341"/>
      <c r="V260" s="692"/>
      <c r="W260" s="692"/>
      <c r="X260"/>
      <c r="Y260"/>
    </row>
    <row r="261" spans="2:25" ht="16">
      <c r="B261" s="67"/>
      <c r="G261" s="3" t="s">
        <v>59</v>
      </c>
      <c r="H261" s="3"/>
      <c r="I261" s="3"/>
      <c r="J261" s="691"/>
      <c r="K261" s="728"/>
      <c r="L261" s="341"/>
      <c r="M261" s="341"/>
      <c r="N261" s="692"/>
      <c r="O261" s="728"/>
      <c r="P261" s="341"/>
      <c r="Q261" s="360"/>
      <c r="R261" s="692"/>
      <c r="S261" s="341"/>
      <c r="T261" s="341"/>
      <c r="U261" s="341"/>
      <c r="V261" s="692"/>
      <c r="W261" s="692"/>
      <c r="X261"/>
      <c r="Y261"/>
    </row>
    <row r="262" spans="2:25" ht="16">
      <c r="B262" s="67"/>
      <c r="H262" s="345">
        <v>44218</v>
      </c>
      <c r="I262" s="345"/>
      <c r="J262" s="691"/>
      <c r="K262" s="728"/>
      <c r="L262" s="341"/>
      <c r="M262" s="341"/>
      <c r="N262" s="692"/>
      <c r="O262" s="728"/>
      <c r="P262" s="341"/>
      <c r="Q262" s="360"/>
      <c r="R262" s="692"/>
      <c r="S262" s="341"/>
      <c r="T262" s="341"/>
      <c r="U262" s="341"/>
      <c r="V262" s="692"/>
      <c r="W262" s="692"/>
      <c r="X262"/>
      <c r="Y262"/>
    </row>
    <row r="263" spans="2:25" ht="16">
      <c r="B263" s="67"/>
      <c r="I263" s="3" t="s">
        <v>59</v>
      </c>
      <c r="J263" s="691">
        <v>27892</v>
      </c>
      <c r="K263" s="728">
        <v>173412.93480189878</v>
      </c>
      <c r="L263" s="341">
        <v>1</v>
      </c>
      <c r="M263" s="341">
        <v>20.500800000000002</v>
      </c>
      <c r="N263" s="692">
        <v>3555103.893786767</v>
      </c>
      <c r="O263" s="728">
        <v>147261.38788514325</v>
      </c>
      <c r="P263" s="341">
        <v>1</v>
      </c>
      <c r="Q263" s="360">
        <v>19.5793</v>
      </c>
      <c r="R263" s="692">
        <v>2883274.8918195851</v>
      </c>
      <c r="S263" s="341">
        <v>110.21</v>
      </c>
      <c r="T263" s="341">
        <v>118.002</v>
      </c>
      <c r="U263" s="341">
        <v>1.0707</v>
      </c>
      <c r="V263" s="692">
        <v>3087122.4266712298</v>
      </c>
      <c r="W263" s="692">
        <v>467981.46711553726</v>
      </c>
      <c r="X263"/>
      <c r="Y263"/>
    </row>
    <row r="264" spans="2:25" ht="16">
      <c r="J264" s="691"/>
      <c r="K264" s="728"/>
      <c r="L264" s="341"/>
      <c r="M264" s="341"/>
      <c r="N264" s="692"/>
      <c r="O264" s="728"/>
      <c r="P264" s="341"/>
      <c r="Q264" s="360"/>
      <c r="R264" s="692"/>
      <c r="S264" s="341"/>
      <c r="T264" s="341"/>
      <c r="U264" s="341"/>
      <c r="V264" s="692"/>
      <c r="W264" s="692"/>
      <c r="X264"/>
      <c r="Y264"/>
    </row>
    <row r="265" spans="2:25" ht="16">
      <c r="B265" s="67"/>
      <c r="H265" s="345">
        <v>44118</v>
      </c>
      <c r="I265" s="345"/>
      <c r="J265" s="691"/>
      <c r="K265" s="728"/>
      <c r="L265" s="341"/>
      <c r="M265" s="341"/>
      <c r="N265" s="692"/>
      <c r="O265" s="728"/>
      <c r="P265" s="341"/>
      <c r="Q265" s="360"/>
      <c r="R265" s="692"/>
      <c r="S265" s="341"/>
      <c r="T265" s="341"/>
      <c r="U265" s="341"/>
      <c r="V265" s="692"/>
      <c r="W265" s="692"/>
      <c r="X265"/>
      <c r="Y265"/>
    </row>
    <row r="266" spans="2:25" ht="16">
      <c r="B266" s="67"/>
      <c r="I266" s="3" t="s">
        <v>59</v>
      </c>
      <c r="J266" s="691">
        <v>38</v>
      </c>
      <c r="K266" s="728">
        <v>236.2574043622599</v>
      </c>
      <c r="L266" s="341">
        <v>1</v>
      </c>
      <c r="M266" s="341">
        <v>20.500800000000002</v>
      </c>
      <c r="N266" s="692">
        <v>4843.4657953498181</v>
      </c>
      <c r="O266" s="728">
        <v>182.66600000000003</v>
      </c>
      <c r="P266" s="341">
        <v>1</v>
      </c>
      <c r="Q266" s="360">
        <v>21.218299999999999</v>
      </c>
      <c r="R266" s="692">
        <v>3875.8619878000004</v>
      </c>
      <c r="S266" s="341">
        <v>108.774</v>
      </c>
      <c r="T266" s="341">
        <v>118.002</v>
      </c>
      <c r="U266" s="341">
        <v>1.0848</v>
      </c>
      <c r="V266" s="692">
        <v>4204.5350843654405</v>
      </c>
      <c r="W266" s="692">
        <v>638.93071098437758</v>
      </c>
      <c r="X266"/>
      <c r="Y266"/>
    </row>
    <row r="267" spans="2:25" ht="16">
      <c r="J267" s="691"/>
      <c r="K267" s="728"/>
      <c r="L267" s="341"/>
      <c r="M267" s="341"/>
      <c r="N267" s="692"/>
      <c r="O267" s="728"/>
      <c r="P267" s="341"/>
      <c r="Q267" s="360"/>
      <c r="R267" s="692"/>
      <c r="S267" s="341"/>
      <c r="T267" s="341"/>
      <c r="U267" s="341"/>
      <c r="V267" s="692"/>
      <c r="W267" s="692"/>
      <c r="X267"/>
      <c r="Y267"/>
    </row>
    <row r="268" spans="2:25" ht="16">
      <c r="B268" s="67"/>
      <c r="H268" s="345">
        <v>44158</v>
      </c>
      <c r="I268" s="345"/>
      <c r="J268" s="691"/>
      <c r="K268" s="728"/>
      <c r="L268" s="341"/>
      <c r="M268" s="341"/>
      <c r="N268" s="692"/>
      <c r="O268" s="728"/>
      <c r="P268" s="341"/>
      <c r="Q268" s="360"/>
      <c r="R268" s="692"/>
      <c r="S268" s="341"/>
      <c r="T268" s="341"/>
      <c r="U268" s="341"/>
      <c r="V268" s="692"/>
      <c r="W268" s="692"/>
      <c r="X268"/>
      <c r="Y268"/>
    </row>
    <row r="269" spans="2:25" ht="16">
      <c r="B269" s="67"/>
      <c r="I269" s="3" t="s">
        <v>59</v>
      </c>
      <c r="J269" s="691">
        <v>4301</v>
      </c>
      <c r="K269" s="728">
        <v>26740.607793738945</v>
      </c>
      <c r="L269" s="341">
        <v>1</v>
      </c>
      <c r="M269" s="341">
        <v>20.500800000000002</v>
      </c>
      <c r="N269" s="692">
        <v>548203.85225788341</v>
      </c>
      <c r="O269" s="728">
        <v>22290.79</v>
      </c>
      <c r="P269" s="341">
        <v>1</v>
      </c>
      <c r="Q269" s="360">
        <v>20.1858</v>
      </c>
      <c r="R269" s="692">
        <v>449957.42878200003</v>
      </c>
      <c r="S269" s="341">
        <v>108.85599999999999</v>
      </c>
      <c r="T269" s="341">
        <v>118.002</v>
      </c>
      <c r="U269" s="341">
        <v>1.0840000000000001</v>
      </c>
      <c r="V269" s="692">
        <v>487753.85279968806</v>
      </c>
      <c r="W269" s="692">
        <v>60449.999458195351</v>
      </c>
      <c r="X269"/>
      <c r="Y269"/>
    </row>
    <row r="270" spans="2:25" ht="16">
      <c r="J270" s="691"/>
      <c r="K270" s="728"/>
      <c r="L270" s="341"/>
      <c r="M270" s="341"/>
      <c r="N270" s="692"/>
      <c r="O270" s="728"/>
      <c r="P270" s="341"/>
      <c r="Q270" s="360"/>
      <c r="R270" s="692"/>
      <c r="S270" s="341"/>
      <c r="T270" s="341"/>
      <c r="U270" s="341"/>
      <c r="V270" s="692"/>
      <c r="W270" s="692"/>
      <c r="X270"/>
      <c r="Y270"/>
    </row>
    <row r="271" spans="2:25" ht="16">
      <c r="B271" s="67"/>
      <c r="F271" s="344">
        <v>44671</v>
      </c>
      <c r="G271" s="344"/>
      <c r="H271" s="344"/>
      <c r="I271" s="344"/>
      <c r="J271" s="691"/>
      <c r="K271" s="728"/>
      <c r="L271" s="341"/>
      <c r="M271" s="341"/>
      <c r="N271" s="692"/>
      <c r="O271" s="728"/>
      <c r="P271" s="341"/>
      <c r="Q271" s="360"/>
      <c r="R271" s="692"/>
      <c r="S271" s="341"/>
      <c r="T271" s="341"/>
      <c r="U271" s="341"/>
      <c r="V271" s="692"/>
      <c r="W271" s="692"/>
      <c r="X271"/>
      <c r="Y271"/>
    </row>
    <row r="272" spans="2:25" ht="16">
      <c r="B272" s="67"/>
      <c r="G272" s="3" t="s">
        <v>59</v>
      </c>
      <c r="H272" s="3"/>
      <c r="I272" s="3"/>
      <c r="J272" s="691"/>
      <c r="K272" s="728"/>
      <c r="L272" s="341"/>
      <c r="M272" s="341"/>
      <c r="N272" s="692"/>
      <c r="O272" s="728"/>
      <c r="P272" s="341"/>
      <c r="Q272" s="360"/>
      <c r="R272" s="692"/>
      <c r="S272" s="341"/>
      <c r="T272" s="341"/>
      <c r="U272" s="341"/>
      <c r="V272" s="692"/>
      <c r="W272" s="692"/>
      <c r="X272"/>
      <c r="Y272"/>
    </row>
    <row r="273" spans="2:25" ht="16">
      <c r="B273" s="67"/>
      <c r="H273" s="345">
        <v>44218</v>
      </c>
      <c r="I273" s="345"/>
      <c r="J273" s="691"/>
      <c r="K273" s="728"/>
      <c r="L273" s="341"/>
      <c r="M273" s="341"/>
      <c r="N273" s="692"/>
      <c r="O273" s="728"/>
      <c r="P273" s="341"/>
      <c r="Q273" s="360"/>
      <c r="R273" s="692"/>
      <c r="S273" s="341"/>
      <c r="T273" s="341"/>
      <c r="U273" s="341"/>
      <c r="V273" s="692"/>
      <c r="W273" s="692"/>
      <c r="X273"/>
      <c r="Y273"/>
    </row>
    <row r="274" spans="2:25" ht="16">
      <c r="B274" s="67"/>
      <c r="I274" s="3" t="s">
        <v>59</v>
      </c>
      <c r="J274" s="691">
        <v>526</v>
      </c>
      <c r="K274" s="728">
        <v>3362.9803926096997</v>
      </c>
      <c r="L274" s="341">
        <v>1</v>
      </c>
      <c r="M274" s="341">
        <v>19.9377</v>
      </c>
      <c r="N274" s="692">
        <v>67050.094173734411</v>
      </c>
      <c r="O274" s="728">
        <v>2777.1221148567811</v>
      </c>
      <c r="P274" s="341">
        <v>1</v>
      </c>
      <c r="Q274" s="360">
        <v>19.5793</v>
      </c>
      <c r="R274" s="692">
        <v>54374.107023415374</v>
      </c>
      <c r="S274" s="341">
        <v>110.21</v>
      </c>
      <c r="T274" s="341">
        <v>120.15900000000001</v>
      </c>
      <c r="U274" s="341">
        <v>1.0902000000000001</v>
      </c>
      <c r="V274" s="692">
        <v>59278.651476927444</v>
      </c>
      <c r="W274" s="692">
        <v>7771.4426968069674</v>
      </c>
      <c r="X274"/>
      <c r="Y274"/>
    </row>
    <row r="275" spans="2:25" ht="16">
      <c r="J275" s="691"/>
      <c r="K275" s="728"/>
      <c r="L275" s="341"/>
      <c r="M275" s="341"/>
      <c r="N275" s="692"/>
      <c r="O275" s="728"/>
      <c r="P275" s="341"/>
      <c r="Q275" s="360"/>
      <c r="R275" s="692"/>
      <c r="S275" s="341"/>
      <c r="T275" s="341"/>
      <c r="U275" s="341"/>
      <c r="V275" s="692"/>
      <c r="W275" s="692"/>
      <c r="X275"/>
      <c r="Y275"/>
    </row>
    <row r="276" spans="2:25" ht="16">
      <c r="B276" s="67"/>
      <c r="H276" s="345">
        <v>44293</v>
      </c>
      <c r="I276" s="345"/>
      <c r="J276" s="691"/>
      <c r="K276" s="728"/>
      <c r="L276" s="341"/>
      <c r="M276" s="341"/>
      <c r="N276" s="692"/>
      <c r="O276" s="728"/>
      <c r="P276" s="341"/>
      <c r="Q276" s="360"/>
      <c r="R276" s="692"/>
      <c r="S276" s="341"/>
      <c r="T276" s="341"/>
      <c r="U276" s="341"/>
      <c r="V276" s="692"/>
      <c r="W276" s="692"/>
      <c r="X276"/>
      <c r="Y276"/>
    </row>
    <row r="277" spans="2:25" ht="16">
      <c r="B277" s="67"/>
      <c r="I277" s="3" t="s">
        <v>59</v>
      </c>
      <c r="J277" s="691">
        <v>1206</v>
      </c>
      <c r="K277" s="728">
        <v>7710.5596073903007</v>
      </c>
      <c r="L277" s="341">
        <v>1</v>
      </c>
      <c r="M277" s="341">
        <v>19.9377</v>
      </c>
      <c r="N277" s="692">
        <v>153730.8242842656</v>
      </c>
      <c r="O277" s="728">
        <v>6952.3489196057772</v>
      </c>
      <c r="P277" s="341">
        <v>1</v>
      </c>
      <c r="Q277" s="360">
        <v>20.2483</v>
      </c>
      <c r="R277" s="692">
        <v>140773.24662885367</v>
      </c>
      <c r="S277" s="341">
        <v>112.19</v>
      </c>
      <c r="T277" s="341">
        <v>120.15900000000001</v>
      </c>
      <c r="U277" s="341">
        <v>1.071</v>
      </c>
      <c r="V277" s="692">
        <v>150768.14713950228</v>
      </c>
      <c r="W277" s="692">
        <v>2962.6771447633218</v>
      </c>
      <c r="X277"/>
      <c r="Y277"/>
    </row>
    <row r="278" spans="2:25" ht="16">
      <c r="J278" s="691"/>
      <c r="K278" s="728"/>
      <c r="L278" s="341"/>
      <c r="M278" s="341"/>
      <c r="N278" s="692"/>
      <c r="O278" s="728"/>
      <c r="P278" s="341"/>
      <c r="Q278" s="360"/>
      <c r="R278" s="692"/>
      <c r="S278" s="341"/>
      <c r="T278" s="341"/>
      <c r="U278" s="341"/>
      <c r="V278" s="692"/>
      <c r="W278" s="692"/>
      <c r="X278"/>
      <c r="Y278"/>
    </row>
    <row r="279" spans="2:25" ht="16">
      <c r="B279" s="67"/>
      <c r="F279" s="344">
        <v>44862</v>
      </c>
      <c r="G279" s="344"/>
      <c r="H279" s="344"/>
      <c r="I279" s="344"/>
      <c r="J279" s="691"/>
      <c r="K279" s="728"/>
      <c r="L279" s="341"/>
      <c r="M279" s="341"/>
      <c r="N279" s="692"/>
      <c r="O279" s="728"/>
      <c r="P279" s="341"/>
      <c r="Q279" s="360"/>
      <c r="R279" s="692"/>
      <c r="S279" s="341"/>
      <c r="T279" s="341"/>
      <c r="U279" s="341"/>
      <c r="V279" s="692"/>
      <c r="W279" s="692"/>
      <c r="X279"/>
      <c r="Y279"/>
    </row>
    <row r="280" spans="2:25" ht="16">
      <c r="B280" s="67"/>
      <c r="G280" s="3" t="s">
        <v>59</v>
      </c>
      <c r="H280" s="3"/>
      <c r="I280" s="3"/>
      <c r="J280" s="691"/>
      <c r="K280" s="728"/>
      <c r="L280" s="341"/>
      <c r="M280" s="341"/>
      <c r="N280" s="692"/>
      <c r="O280" s="728"/>
      <c r="P280" s="341"/>
      <c r="Q280" s="360"/>
      <c r="R280" s="692"/>
      <c r="S280" s="341"/>
      <c r="T280" s="341"/>
      <c r="U280" s="341"/>
      <c r="V280" s="692"/>
      <c r="W280" s="692"/>
      <c r="X280"/>
      <c r="Y280"/>
    </row>
    <row r="281" spans="2:25" ht="16">
      <c r="B281" s="67"/>
      <c r="H281" s="345">
        <v>44293</v>
      </c>
      <c r="I281" s="345"/>
      <c r="J281" s="691"/>
      <c r="K281" s="728"/>
      <c r="L281" s="341"/>
      <c r="M281" s="341"/>
      <c r="N281" s="692"/>
      <c r="O281" s="728"/>
      <c r="P281" s="341"/>
      <c r="Q281" s="360"/>
      <c r="R281" s="692"/>
      <c r="S281" s="341"/>
      <c r="T281" s="341"/>
      <c r="U281" s="341"/>
      <c r="V281" s="692"/>
      <c r="W281" s="692"/>
      <c r="X281"/>
      <c r="Y281"/>
    </row>
    <row r="282" spans="2:25" ht="16">
      <c r="B282" s="67"/>
      <c r="I282" s="3" t="s">
        <v>59</v>
      </c>
      <c r="J282" s="691">
        <v>192</v>
      </c>
      <c r="K282" s="728">
        <v>930.43</v>
      </c>
      <c r="L282" s="341">
        <v>1</v>
      </c>
      <c r="M282" s="341">
        <v>19.8553</v>
      </c>
      <c r="N282" s="692">
        <v>18473.966778999998</v>
      </c>
      <c r="O282" s="728">
        <v>1106.8416190417158</v>
      </c>
      <c r="P282" s="341">
        <v>1</v>
      </c>
      <c r="Q282" s="360">
        <v>20.2483</v>
      </c>
      <c r="R282" s="692">
        <v>22411.661154842375</v>
      </c>
      <c r="S282" s="341">
        <v>112.19</v>
      </c>
      <c r="T282" s="341">
        <v>124.571</v>
      </c>
      <c r="U282" s="341">
        <v>1.1103000000000001</v>
      </c>
      <c r="V282" s="692">
        <v>24883.66738022149</v>
      </c>
      <c r="W282" s="692">
        <v>-6409.7006012214952</v>
      </c>
      <c r="X282"/>
      <c r="Y282"/>
    </row>
    <row r="283" spans="2:25" ht="16">
      <c r="J283" s="691"/>
      <c r="K283" s="728"/>
      <c r="L283" s="341"/>
      <c r="M283" s="341"/>
      <c r="N283" s="692"/>
      <c r="O283" s="728"/>
      <c r="P283" s="341"/>
      <c r="Q283" s="360"/>
      <c r="R283" s="692"/>
      <c r="S283" s="341"/>
      <c r="T283" s="341"/>
      <c r="U283" s="341"/>
      <c r="V283" s="692"/>
      <c r="W283" s="692"/>
      <c r="X283"/>
      <c r="Y283"/>
    </row>
    <row r="284" spans="2:25" ht="16">
      <c r="B284" s="67"/>
      <c r="E284" s="131" t="s">
        <v>872</v>
      </c>
      <c r="F284" s="131"/>
      <c r="G284" s="131"/>
      <c r="H284" s="131"/>
      <c r="I284" s="131"/>
      <c r="J284" s="729">
        <v>34155</v>
      </c>
      <c r="K284" s="730">
        <v>212393.77</v>
      </c>
      <c r="L284" s="366">
        <v>1</v>
      </c>
      <c r="M284" s="374">
        <v>20.205516666666668</v>
      </c>
      <c r="N284" s="704">
        <v>4347406.097077</v>
      </c>
      <c r="O284" s="730">
        <v>180571.15653864754</v>
      </c>
      <c r="P284" s="366">
        <v>1</v>
      </c>
      <c r="Q284" s="374">
        <v>20.176550000000002</v>
      </c>
      <c r="R284" s="704">
        <v>3554667.1973964963</v>
      </c>
      <c r="S284" s="366">
        <v>110.40500000000002</v>
      </c>
      <c r="T284" s="366">
        <v>119.81583333333333</v>
      </c>
      <c r="U284" s="366">
        <v>1.0851666666666666</v>
      </c>
      <c r="V284" s="704">
        <v>3814011.2805519346</v>
      </c>
      <c r="W284" s="704">
        <v>533394.81652506581</v>
      </c>
      <c r="X284"/>
      <c r="Y284"/>
    </row>
    <row r="285" spans="2:25" ht="16">
      <c r="J285" s="691"/>
      <c r="K285" s="728"/>
      <c r="L285" s="341"/>
      <c r="M285" s="341"/>
      <c r="N285" s="692"/>
      <c r="O285" s="728"/>
      <c r="P285" s="341"/>
      <c r="Q285" s="360"/>
      <c r="R285" s="692"/>
      <c r="S285" s="341"/>
      <c r="T285" s="341"/>
      <c r="U285" s="341"/>
      <c r="V285" s="692"/>
      <c r="W285" s="692"/>
      <c r="X285"/>
      <c r="Y285"/>
    </row>
    <row r="286" spans="2:25" ht="16">
      <c r="B286" s="67"/>
      <c r="E286" s="1" t="s">
        <v>715</v>
      </c>
      <c r="J286" s="691"/>
      <c r="K286" s="728"/>
      <c r="L286" s="341"/>
      <c r="M286" s="341"/>
      <c r="N286" s="692"/>
      <c r="O286" s="728"/>
      <c r="P286" s="341"/>
      <c r="Q286" s="360"/>
      <c r="R286" s="692"/>
      <c r="S286" s="341"/>
      <c r="T286" s="341"/>
      <c r="U286" s="341"/>
      <c r="V286" s="692"/>
      <c r="W286" s="692"/>
      <c r="X286"/>
      <c r="Y286"/>
    </row>
    <row r="287" spans="2:25" ht="16">
      <c r="B287" s="67"/>
      <c r="F287" s="344">
        <v>44671</v>
      </c>
      <c r="G287" s="344"/>
      <c r="H287" s="344"/>
      <c r="I287" s="344"/>
      <c r="J287" s="691"/>
      <c r="K287" s="728"/>
      <c r="L287" s="341"/>
      <c r="M287" s="341"/>
      <c r="N287" s="692"/>
      <c r="O287" s="728"/>
      <c r="P287" s="341"/>
      <c r="Q287" s="360"/>
      <c r="R287" s="692"/>
      <c r="S287" s="341"/>
      <c r="T287" s="341"/>
      <c r="U287" s="341"/>
      <c r="V287" s="692"/>
      <c r="W287" s="692"/>
      <c r="X287"/>
      <c r="Y287"/>
    </row>
    <row r="288" spans="2:25" ht="16">
      <c r="B288" s="67"/>
      <c r="G288" s="3" t="s">
        <v>59</v>
      </c>
      <c r="H288" s="3"/>
      <c r="I288" s="3"/>
      <c r="J288" s="691"/>
      <c r="K288" s="728"/>
      <c r="L288" s="341"/>
      <c r="M288" s="341"/>
      <c r="N288" s="692"/>
      <c r="O288" s="728"/>
      <c r="P288" s="341"/>
      <c r="Q288" s="360"/>
      <c r="R288" s="692"/>
      <c r="S288" s="341"/>
      <c r="T288" s="341"/>
      <c r="U288" s="341"/>
      <c r="V288" s="692"/>
      <c r="W288" s="692"/>
      <c r="X288"/>
      <c r="Y288"/>
    </row>
    <row r="289" spans="2:25" ht="16">
      <c r="B289" s="67"/>
      <c r="H289" s="345">
        <v>44218</v>
      </c>
      <c r="I289" s="345"/>
      <c r="J289" s="691"/>
      <c r="K289" s="728"/>
      <c r="L289" s="341"/>
      <c r="M289" s="341"/>
      <c r="N289" s="692"/>
      <c r="O289" s="728"/>
      <c r="P289" s="341"/>
      <c r="Q289" s="360"/>
      <c r="R289" s="692"/>
      <c r="S289" s="341"/>
      <c r="T289" s="341"/>
      <c r="U289" s="341"/>
      <c r="V289" s="692"/>
      <c r="W289" s="692"/>
      <c r="X289"/>
      <c r="Y289"/>
    </row>
    <row r="290" spans="2:25" ht="16">
      <c r="B290" s="67"/>
      <c r="I290" s="3" t="s">
        <v>59</v>
      </c>
      <c r="J290" s="691">
        <v>978</v>
      </c>
      <c r="K290" s="728">
        <v>80837.08</v>
      </c>
      <c r="L290" s="341">
        <v>1</v>
      </c>
      <c r="M290" s="341">
        <v>19.9377</v>
      </c>
      <c r="N290" s="692">
        <v>1611705.449916</v>
      </c>
      <c r="O290" s="728">
        <v>66622.24040385618</v>
      </c>
      <c r="P290" s="341">
        <v>1</v>
      </c>
      <c r="Q290" s="360">
        <v>19.5793</v>
      </c>
      <c r="R290" s="692">
        <v>1304416.8315392213</v>
      </c>
      <c r="S290" s="341">
        <v>110.21</v>
      </c>
      <c r="T290" s="341">
        <v>120.15900000000001</v>
      </c>
      <c r="U290" s="341">
        <v>1.0902000000000001</v>
      </c>
      <c r="V290" s="692">
        <v>1422075.2297440593</v>
      </c>
      <c r="W290" s="692">
        <v>189630.22017194075</v>
      </c>
      <c r="X290"/>
      <c r="Y290"/>
    </row>
    <row r="291" spans="2:25" ht="16">
      <c r="J291" s="691"/>
      <c r="K291" s="728"/>
      <c r="L291" s="341"/>
      <c r="M291" s="341"/>
      <c r="N291" s="692"/>
      <c r="O291" s="728"/>
      <c r="P291" s="341"/>
      <c r="Q291" s="360"/>
      <c r="R291" s="692"/>
      <c r="S291" s="341"/>
      <c r="T291" s="341"/>
      <c r="U291" s="341"/>
      <c r="V291" s="692"/>
      <c r="W291" s="692"/>
      <c r="X291"/>
      <c r="Y291"/>
    </row>
    <row r="292" spans="2:25" ht="16">
      <c r="B292" s="67"/>
      <c r="F292" s="344">
        <v>44769</v>
      </c>
      <c r="G292" s="344"/>
      <c r="H292" s="344"/>
      <c r="I292" s="344"/>
      <c r="J292" s="691"/>
      <c r="K292" s="728"/>
      <c r="L292" s="341"/>
      <c r="M292" s="341"/>
      <c r="N292" s="692"/>
      <c r="O292" s="728"/>
      <c r="P292" s="341"/>
      <c r="Q292" s="360"/>
      <c r="R292" s="692"/>
      <c r="S292" s="341"/>
      <c r="T292" s="341"/>
      <c r="U292" s="341"/>
      <c r="V292" s="692"/>
      <c r="W292" s="692"/>
      <c r="X292"/>
      <c r="Y292"/>
    </row>
    <row r="293" spans="2:25" ht="16">
      <c r="B293" s="67"/>
      <c r="G293" s="3" t="s">
        <v>59</v>
      </c>
      <c r="H293" s="3"/>
      <c r="I293" s="3"/>
      <c r="J293" s="691"/>
      <c r="K293" s="728"/>
      <c r="L293" s="341"/>
      <c r="M293" s="341"/>
      <c r="N293" s="692"/>
      <c r="O293" s="728"/>
      <c r="P293" s="341"/>
      <c r="Q293" s="360"/>
      <c r="R293" s="692"/>
      <c r="S293" s="341"/>
      <c r="T293" s="341"/>
      <c r="U293" s="341"/>
      <c r="V293" s="692"/>
      <c r="W293" s="692"/>
      <c r="X293"/>
      <c r="Y293"/>
    </row>
    <row r="294" spans="2:25" ht="16">
      <c r="B294" s="67"/>
      <c r="H294" s="345">
        <v>44218</v>
      </c>
      <c r="I294" s="345"/>
      <c r="J294" s="691"/>
      <c r="K294" s="728"/>
      <c r="L294" s="341"/>
      <c r="M294" s="341"/>
      <c r="N294" s="692"/>
      <c r="O294" s="728"/>
      <c r="P294" s="341"/>
      <c r="Q294" s="360"/>
      <c r="R294" s="692"/>
      <c r="S294" s="341"/>
      <c r="T294" s="341"/>
      <c r="U294" s="341"/>
      <c r="V294" s="692"/>
      <c r="W294" s="692"/>
      <c r="X294"/>
      <c r="Y294"/>
    </row>
    <row r="295" spans="2:25" ht="16">
      <c r="B295" s="67"/>
      <c r="I295" s="3" t="s">
        <v>59</v>
      </c>
      <c r="J295" s="691">
        <v>56</v>
      </c>
      <c r="K295" s="728">
        <v>4214.7299999999996</v>
      </c>
      <c r="L295" s="341">
        <v>1</v>
      </c>
      <c r="M295" s="341">
        <v>20.465199999999999</v>
      </c>
      <c r="N295" s="692">
        <v>86255.29239599999</v>
      </c>
      <c r="O295" s="728">
        <v>3814.7704116727464</v>
      </c>
      <c r="P295" s="341">
        <v>1</v>
      </c>
      <c r="Q295" s="360">
        <v>19.5793</v>
      </c>
      <c r="R295" s="692">
        <v>74690.534321264204</v>
      </c>
      <c r="S295" s="341">
        <v>110.21</v>
      </c>
      <c r="T295" s="341">
        <v>122.044</v>
      </c>
      <c r="U295" s="341">
        <v>1.1073</v>
      </c>
      <c r="V295" s="692">
        <v>82704.828653935852</v>
      </c>
      <c r="W295" s="692">
        <v>3550.4637420641375</v>
      </c>
      <c r="X295"/>
      <c r="Y295"/>
    </row>
    <row r="296" spans="2:25" ht="16">
      <c r="J296" s="691"/>
      <c r="K296" s="728"/>
      <c r="L296" s="341"/>
      <c r="M296" s="341"/>
      <c r="N296" s="692"/>
      <c r="O296" s="728"/>
      <c r="P296" s="341"/>
      <c r="Q296" s="360"/>
      <c r="R296" s="692"/>
      <c r="S296" s="341"/>
      <c r="T296" s="341"/>
      <c r="U296" s="341"/>
      <c r="V296" s="692"/>
      <c r="W296" s="692"/>
      <c r="X296"/>
      <c r="Y296"/>
    </row>
    <row r="297" spans="2:25" ht="16">
      <c r="B297" s="67"/>
      <c r="F297" s="344">
        <v>44897</v>
      </c>
      <c r="G297" s="344"/>
      <c r="H297" s="344"/>
      <c r="I297" s="344"/>
      <c r="J297" s="691"/>
      <c r="K297" s="728"/>
      <c r="L297" s="341"/>
      <c r="M297" s="341"/>
      <c r="N297" s="692"/>
      <c r="O297" s="728"/>
      <c r="P297" s="341"/>
      <c r="Q297" s="360"/>
      <c r="R297" s="692"/>
      <c r="S297" s="341"/>
      <c r="T297" s="341"/>
      <c r="U297" s="341"/>
      <c r="V297" s="692"/>
      <c r="W297" s="692"/>
      <c r="X297"/>
      <c r="Y297"/>
    </row>
    <row r="298" spans="2:25" ht="16">
      <c r="B298" s="67"/>
      <c r="G298" s="3" t="s">
        <v>59</v>
      </c>
      <c r="H298" s="3"/>
      <c r="I298" s="3"/>
      <c r="J298" s="691"/>
      <c r="K298" s="728"/>
      <c r="L298" s="341"/>
      <c r="M298" s="341"/>
      <c r="N298" s="692"/>
      <c r="O298" s="728"/>
      <c r="P298" s="341"/>
      <c r="Q298" s="360"/>
      <c r="R298" s="692"/>
      <c r="S298" s="341"/>
      <c r="T298" s="341"/>
      <c r="U298" s="341"/>
      <c r="V298" s="692"/>
      <c r="W298" s="692"/>
      <c r="X298"/>
      <c r="Y298"/>
    </row>
    <row r="299" spans="2:25" ht="16">
      <c r="B299" s="67"/>
      <c r="H299" s="345">
        <v>44218</v>
      </c>
      <c r="I299" s="345"/>
      <c r="J299" s="691"/>
      <c r="K299" s="728"/>
      <c r="L299" s="341"/>
      <c r="M299" s="341"/>
      <c r="N299" s="692"/>
      <c r="O299" s="728"/>
      <c r="P299" s="341"/>
      <c r="Q299" s="360"/>
      <c r="R299" s="692"/>
      <c r="S299" s="341"/>
      <c r="T299" s="341"/>
      <c r="U299" s="341"/>
      <c r="V299" s="692"/>
      <c r="W299" s="692"/>
      <c r="X299"/>
      <c r="Y299"/>
    </row>
    <row r="300" spans="2:25" ht="16">
      <c r="B300" s="67"/>
      <c r="I300" s="3" t="s">
        <v>59</v>
      </c>
      <c r="J300" s="691">
        <v>549</v>
      </c>
      <c r="K300" s="728">
        <v>42282.223850425769</v>
      </c>
      <c r="L300" s="341">
        <v>1</v>
      </c>
      <c r="M300" s="341">
        <v>19.3965</v>
      </c>
      <c r="N300" s="692">
        <v>820127.15491478343</v>
      </c>
      <c r="O300" s="728">
        <v>37398.374214434603</v>
      </c>
      <c r="P300" s="341">
        <v>1</v>
      </c>
      <c r="Q300" s="360">
        <v>19.5793</v>
      </c>
      <c r="R300" s="692">
        <v>732233.98825667938</v>
      </c>
      <c r="S300" s="341">
        <v>110.21</v>
      </c>
      <c r="T300" s="341">
        <v>125.997</v>
      </c>
      <c r="U300" s="341">
        <v>1.1432</v>
      </c>
      <c r="V300" s="692">
        <v>837089.89537503582</v>
      </c>
      <c r="W300" s="692">
        <v>-16962.740460252389</v>
      </c>
      <c r="X300"/>
      <c r="Y300"/>
    </row>
    <row r="301" spans="2:25" ht="16">
      <c r="J301" s="691"/>
      <c r="K301" s="728"/>
      <c r="L301" s="341"/>
      <c r="M301" s="341"/>
      <c r="N301" s="692"/>
      <c r="O301" s="728"/>
      <c r="P301" s="341"/>
      <c r="Q301" s="360"/>
      <c r="R301" s="692"/>
      <c r="S301" s="341"/>
      <c r="T301" s="341"/>
      <c r="U301" s="341"/>
      <c r="V301" s="692"/>
      <c r="W301" s="692"/>
      <c r="X301"/>
      <c r="Y301"/>
    </row>
    <row r="302" spans="2:25" ht="16">
      <c r="B302" s="67"/>
      <c r="H302" s="345">
        <v>44293</v>
      </c>
      <c r="I302" s="345"/>
      <c r="J302" s="691"/>
      <c r="K302" s="728"/>
      <c r="L302" s="341"/>
      <c r="M302" s="341"/>
      <c r="N302" s="692"/>
      <c r="O302" s="728"/>
      <c r="P302" s="341"/>
      <c r="Q302" s="360"/>
      <c r="R302" s="692"/>
      <c r="S302" s="341"/>
      <c r="T302" s="341"/>
      <c r="U302" s="341"/>
      <c r="V302" s="692"/>
      <c r="W302" s="692"/>
      <c r="X302"/>
      <c r="Y302"/>
    </row>
    <row r="303" spans="2:25" ht="16">
      <c r="B303" s="67"/>
      <c r="I303" s="3" t="s">
        <v>59</v>
      </c>
      <c r="J303" s="691">
        <v>2152</v>
      </c>
      <c r="K303" s="728">
        <v>165740.15614957426</v>
      </c>
      <c r="L303" s="341">
        <v>1</v>
      </c>
      <c r="M303" s="341">
        <v>19.3965</v>
      </c>
      <c r="N303" s="692">
        <v>3214778.938755217</v>
      </c>
      <c r="O303" s="728">
        <v>154951.9643504532</v>
      </c>
      <c r="P303" s="341">
        <v>1</v>
      </c>
      <c r="Q303" s="360">
        <v>20.2483</v>
      </c>
      <c r="R303" s="692">
        <v>3137513.8597572814</v>
      </c>
      <c r="S303" s="341">
        <v>112.19</v>
      </c>
      <c r="T303" s="341">
        <v>125.997</v>
      </c>
      <c r="U303" s="341">
        <v>1.123</v>
      </c>
      <c r="V303" s="692">
        <v>3523428.0645074272</v>
      </c>
      <c r="W303" s="692">
        <v>-308649.12575221015</v>
      </c>
      <c r="X303"/>
      <c r="Y303"/>
    </row>
    <row r="304" spans="2:25" ht="16">
      <c r="J304" s="691"/>
      <c r="K304" s="728"/>
      <c r="L304" s="341"/>
      <c r="M304" s="341"/>
      <c r="N304" s="692"/>
      <c r="O304" s="728"/>
      <c r="P304" s="341"/>
      <c r="Q304" s="360"/>
      <c r="R304" s="692"/>
      <c r="S304" s="341"/>
      <c r="T304" s="341"/>
      <c r="U304" s="341"/>
      <c r="V304" s="692"/>
      <c r="W304" s="692"/>
      <c r="X304"/>
      <c r="Y304"/>
    </row>
    <row r="305" spans="2:25" ht="16">
      <c r="B305" s="67"/>
      <c r="E305" s="131" t="s">
        <v>873</v>
      </c>
      <c r="F305" s="131"/>
      <c r="G305" s="131"/>
      <c r="H305" s="131"/>
      <c r="I305" s="131"/>
      <c r="J305" s="729">
        <v>3735</v>
      </c>
      <c r="K305" s="730">
        <v>293074.19000000006</v>
      </c>
      <c r="L305" s="366">
        <v>1</v>
      </c>
      <c r="M305" s="374">
        <v>19.798975000000002</v>
      </c>
      <c r="N305" s="704">
        <v>5732866.8359820005</v>
      </c>
      <c r="O305" s="730">
        <v>262787.34938041674</v>
      </c>
      <c r="P305" s="366">
        <v>1</v>
      </c>
      <c r="Q305" s="374">
        <v>19.746549999999999</v>
      </c>
      <c r="R305" s="704">
        <v>5248855.2138744462</v>
      </c>
      <c r="S305" s="366">
        <v>110.705</v>
      </c>
      <c r="T305" s="366">
        <v>123.54925</v>
      </c>
      <c r="U305" s="366">
        <v>1.1159250000000001</v>
      </c>
      <c r="V305" s="704">
        <v>5865298.0182804577</v>
      </c>
      <c r="W305" s="704">
        <v>-132431.18229845766</v>
      </c>
      <c r="X305"/>
      <c r="Y305"/>
    </row>
    <row r="306" spans="2:25" ht="16">
      <c r="J306" s="691"/>
      <c r="K306" s="728"/>
      <c r="L306" s="341"/>
      <c r="M306" s="341"/>
      <c r="N306" s="692"/>
      <c r="O306" s="728"/>
      <c r="P306" s="341"/>
      <c r="Q306" s="360"/>
      <c r="R306" s="692"/>
      <c r="S306" s="341"/>
      <c r="T306" s="341"/>
      <c r="U306" s="341"/>
      <c r="V306" s="692"/>
      <c r="W306" s="692"/>
      <c r="X306"/>
      <c r="Y306"/>
    </row>
    <row r="307" spans="2:25" ht="16">
      <c r="B307" s="67"/>
      <c r="E307" s="1" t="s">
        <v>730</v>
      </c>
      <c r="J307" s="691"/>
      <c r="K307" s="728"/>
      <c r="L307" s="341"/>
      <c r="M307" s="341"/>
      <c r="N307" s="692"/>
      <c r="O307" s="728"/>
      <c r="P307" s="341"/>
      <c r="Q307" s="360"/>
      <c r="R307" s="692"/>
      <c r="S307" s="341"/>
      <c r="T307" s="341"/>
      <c r="U307" s="341"/>
      <c r="V307" s="692"/>
      <c r="W307" s="692"/>
      <c r="X307"/>
      <c r="Y307"/>
    </row>
    <row r="308" spans="2:25" ht="16">
      <c r="B308" s="67"/>
      <c r="F308" s="344">
        <v>44671</v>
      </c>
      <c r="G308" s="344"/>
      <c r="H308" s="344"/>
      <c r="I308" s="344"/>
      <c r="J308" s="691"/>
      <c r="K308" s="728"/>
      <c r="L308" s="341"/>
      <c r="M308" s="341"/>
      <c r="N308" s="692"/>
      <c r="O308" s="728"/>
      <c r="P308" s="341"/>
      <c r="Q308" s="360"/>
      <c r="R308" s="692"/>
      <c r="S308" s="341"/>
      <c r="T308" s="341"/>
      <c r="U308" s="341"/>
      <c r="V308" s="692"/>
      <c r="W308" s="692"/>
      <c r="X308"/>
      <c r="Y308"/>
    </row>
    <row r="309" spans="2:25" ht="16">
      <c r="B309" s="67"/>
      <c r="G309" s="3" t="s">
        <v>59</v>
      </c>
      <c r="H309" s="3"/>
      <c r="I309" s="3"/>
      <c r="J309" s="691"/>
      <c r="K309" s="728"/>
      <c r="L309" s="341"/>
      <c r="M309" s="341"/>
      <c r="N309" s="692"/>
      <c r="O309" s="728"/>
      <c r="P309" s="341"/>
      <c r="Q309" s="360"/>
      <c r="R309" s="692"/>
      <c r="S309" s="341"/>
      <c r="T309" s="341"/>
      <c r="U309" s="341"/>
      <c r="V309" s="692"/>
      <c r="W309" s="692"/>
      <c r="X309"/>
      <c r="Y309"/>
    </row>
    <row r="310" spans="2:25" ht="16">
      <c r="B310" s="67"/>
      <c r="H310" s="345">
        <v>44603</v>
      </c>
      <c r="I310" s="345"/>
      <c r="J310" s="691"/>
      <c r="K310" s="728"/>
      <c r="L310" s="341"/>
      <c r="M310" s="341"/>
      <c r="N310" s="692"/>
      <c r="O310" s="728"/>
      <c r="P310" s="341"/>
      <c r="Q310" s="360"/>
      <c r="R310" s="692"/>
      <c r="S310" s="341"/>
      <c r="T310" s="341"/>
      <c r="U310" s="341"/>
      <c r="V310" s="692"/>
      <c r="W310" s="692"/>
      <c r="X310"/>
      <c r="Y310"/>
    </row>
    <row r="311" spans="2:25" ht="16">
      <c r="B311" s="67"/>
      <c r="I311" s="3" t="s">
        <v>59</v>
      </c>
      <c r="J311" s="691">
        <v>2956</v>
      </c>
      <c r="K311" s="728">
        <v>15721.19</v>
      </c>
      <c r="L311" s="341">
        <v>1</v>
      </c>
      <c r="M311" s="341">
        <v>19.9377</v>
      </c>
      <c r="N311" s="692">
        <v>313444.369863</v>
      </c>
      <c r="O311" s="728">
        <v>15772.920454741869</v>
      </c>
      <c r="P311" s="341">
        <v>1</v>
      </c>
      <c r="Q311" s="360">
        <v>20.500800000000002</v>
      </c>
      <c r="R311" s="692">
        <v>323357.48765857215</v>
      </c>
      <c r="S311" s="341">
        <v>118.98099999999999</v>
      </c>
      <c r="T311" s="341">
        <v>120.15900000000001</v>
      </c>
      <c r="U311" s="341">
        <v>1.0099</v>
      </c>
      <c r="V311" s="692">
        <v>326558.72678639204</v>
      </c>
      <c r="W311" s="692">
        <v>-13114.356923392043</v>
      </c>
      <c r="X311"/>
      <c r="Y311"/>
    </row>
    <row r="312" spans="2:25" ht="16">
      <c r="J312" s="691"/>
      <c r="K312" s="728"/>
      <c r="L312" s="341"/>
      <c r="M312" s="341"/>
      <c r="N312" s="692"/>
      <c r="O312" s="728"/>
      <c r="P312" s="341"/>
      <c r="Q312" s="360"/>
      <c r="R312" s="692"/>
      <c r="S312" s="341"/>
      <c r="T312" s="341"/>
      <c r="U312" s="341"/>
      <c r="V312" s="692"/>
      <c r="W312" s="692"/>
      <c r="X312"/>
      <c r="Y312"/>
    </row>
    <row r="313" spans="2:25" ht="16">
      <c r="B313" s="67"/>
      <c r="F313" s="344">
        <v>44769</v>
      </c>
      <c r="G313" s="344"/>
      <c r="H313" s="344"/>
      <c r="I313" s="344"/>
      <c r="J313" s="691"/>
      <c r="K313" s="728"/>
      <c r="L313" s="341"/>
      <c r="M313" s="341"/>
      <c r="N313" s="692"/>
      <c r="O313" s="728"/>
      <c r="P313" s="341"/>
      <c r="Q313" s="360"/>
      <c r="R313" s="692"/>
      <c r="S313" s="341"/>
      <c r="T313" s="341"/>
      <c r="U313" s="341"/>
      <c r="V313" s="692"/>
      <c r="W313" s="692"/>
      <c r="X313"/>
      <c r="Y313"/>
    </row>
    <row r="314" spans="2:25" ht="16">
      <c r="B314" s="67"/>
      <c r="G314" s="3" t="s">
        <v>59</v>
      </c>
      <c r="H314" s="3"/>
      <c r="I314" s="3"/>
      <c r="J314" s="691"/>
      <c r="K314" s="728"/>
      <c r="L314" s="341"/>
      <c r="M314" s="341"/>
      <c r="N314" s="692"/>
      <c r="O314" s="728"/>
      <c r="P314" s="341"/>
      <c r="Q314" s="360"/>
      <c r="R314" s="692"/>
      <c r="S314" s="341"/>
      <c r="T314" s="341"/>
      <c r="U314" s="341"/>
      <c r="V314" s="692"/>
      <c r="W314" s="692"/>
      <c r="X314"/>
      <c r="Y314"/>
    </row>
    <row r="315" spans="2:25" ht="16">
      <c r="B315" s="67"/>
      <c r="H315" s="345">
        <v>44603</v>
      </c>
      <c r="I315" s="345"/>
      <c r="J315" s="691"/>
      <c r="K315" s="728"/>
      <c r="L315" s="341"/>
      <c r="M315" s="341"/>
      <c r="N315" s="692"/>
      <c r="O315" s="728"/>
      <c r="P315" s="341"/>
      <c r="Q315" s="360"/>
      <c r="R315" s="692"/>
      <c r="S315" s="341"/>
      <c r="T315" s="341"/>
      <c r="U315" s="341"/>
      <c r="V315" s="692"/>
      <c r="W315" s="692"/>
      <c r="X315"/>
      <c r="Y315"/>
    </row>
    <row r="316" spans="2:25" ht="16">
      <c r="B316" s="67"/>
      <c r="I316" s="3" t="s">
        <v>59</v>
      </c>
      <c r="J316" s="691">
        <v>16353</v>
      </c>
      <c r="K316" s="728">
        <v>86409.25</v>
      </c>
      <c r="L316" s="341">
        <v>1</v>
      </c>
      <c r="M316" s="341">
        <v>20.465199999999999</v>
      </c>
      <c r="N316" s="692">
        <v>1768382.5830999999</v>
      </c>
      <c r="O316" s="728">
        <v>87257.973002839572</v>
      </c>
      <c r="P316" s="341">
        <v>1</v>
      </c>
      <c r="Q316" s="360">
        <v>20.500800000000002</v>
      </c>
      <c r="R316" s="692">
        <v>1788858.2529366137</v>
      </c>
      <c r="S316" s="341">
        <v>118.98099999999999</v>
      </c>
      <c r="T316" s="341">
        <v>122.044</v>
      </c>
      <c r="U316" s="341">
        <v>1.0257000000000001</v>
      </c>
      <c r="V316" s="692">
        <v>1834831.9100370847</v>
      </c>
      <c r="W316" s="692">
        <v>-66449.326937084785</v>
      </c>
      <c r="X316"/>
      <c r="Y316"/>
    </row>
    <row r="317" spans="2:25" ht="16">
      <c r="J317" s="691"/>
      <c r="K317" s="728"/>
      <c r="L317" s="341"/>
      <c r="M317" s="341"/>
      <c r="N317" s="692"/>
      <c r="O317" s="728"/>
      <c r="P317" s="341"/>
      <c r="Q317" s="360"/>
      <c r="R317" s="692"/>
      <c r="S317" s="341"/>
      <c r="T317" s="341"/>
      <c r="U317" s="341"/>
      <c r="V317" s="692"/>
      <c r="W317" s="692"/>
      <c r="X317"/>
      <c r="Y317"/>
    </row>
    <row r="318" spans="2:25" ht="16">
      <c r="B318" s="67"/>
      <c r="F318" s="344">
        <v>44862</v>
      </c>
      <c r="G318" s="344"/>
      <c r="H318" s="344"/>
      <c r="I318" s="344"/>
      <c r="J318" s="691"/>
      <c r="K318" s="728"/>
      <c r="L318" s="341"/>
      <c r="M318" s="341"/>
      <c r="N318" s="692"/>
      <c r="O318" s="728"/>
      <c r="P318" s="341"/>
      <c r="Q318" s="360"/>
      <c r="R318" s="692"/>
      <c r="S318" s="341"/>
      <c r="T318" s="341"/>
      <c r="U318" s="341"/>
      <c r="V318" s="692"/>
      <c r="W318" s="692"/>
      <c r="X318"/>
      <c r="Y318"/>
    </row>
    <row r="319" spans="2:25" ht="16">
      <c r="B319" s="67"/>
      <c r="G319" s="3" t="s">
        <v>59</v>
      </c>
      <c r="H319" s="3"/>
      <c r="I319" s="3"/>
      <c r="J319" s="691"/>
      <c r="K319" s="728"/>
      <c r="L319" s="341"/>
      <c r="M319" s="341"/>
      <c r="N319" s="692"/>
      <c r="O319" s="728"/>
      <c r="P319" s="341"/>
      <c r="Q319" s="360"/>
      <c r="R319" s="692"/>
      <c r="S319" s="341"/>
      <c r="T319" s="341"/>
      <c r="U319" s="341"/>
      <c r="V319" s="692"/>
      <c r="W319" s="692"/>
      <c r="X319"/>
      <c r="Y319"/>
    </row>
    <row r="320" spans="2:25" ht="16">
      <c r="B320" s="67"/>
      <c r="H320" s="345">
        <v>44603</v>
      </c>
      <c r="I320" s="345"/>
      <c r="J320" s="691"/>
      <c r="K320" s="728"/>
      <c r="L320" s="341"/>
      <c r="M320" s="341"/>
      <c r="N320" s="692"/>
      <c r="O320" s="728"/>
      <c r="P320" s="341"/>
      <c r="Q320" s="360"/>
      <c r="R320" s="692"/>
      <c r="S320" s="341"/>
      <c r="T320" s="341"/>
      <c r="U320" s="341"/>
      <c r="V320" s="692"/>
      <c r="W320" s="692"/>
      <c r="X320"/>
      <c r="Y320"/>
    </row>
    <row r="321" spans="2:25" ht="16">
      <c r="B321" s="67"/>
      <c r="I321" s="3" t="s">
        <v>59</v>
      </c>
      <c r="J321" s="691">
        <v>10622</v>
      </c>
      <c r="K321" s="728">
        <v>56662</v>
      </c>
      <c r="L321" s="341">
        <v>1</v>
      </c>
      <c r="M321" s="341">
        <v>19.8553</v>
      </c>
      <c r="N321" s="692">
        <v>1125041.0086000001</v>
      </c>
      <c r="O321" s="728">
        <v>56677.929996707753</v>
      </c>
      <c r="P321" s="341">
        <v>1</v>
      </c>
      <c r="Q321" s="360">
        <v>20.500800000000002</v>
      </c>
      <c r="R321" s="692">
        <v>1161942.9072765063</v>
      </c>
      <c r="S321" s="341">
        <v>118.98099999999999</v>
      </c>
      <c r="T321" s="341">
        <v>124.571</v>
      </c>
      <c r="U321" s="341">
        <v>1.0468999999999999</v>
      </c>
      <c r="V321" s="692">
        <v>1216438.0296277744</v>
      </c>
      <c r="W321" s="692">
        <v>-91397.021027774317</v>
      </c>
      <c r="X321"/>
      <c r="Y321"/>
    </row>
    <row r="322" spans="2:25" ht="16">
      <c r="J322" s="691"/>
      <c r="K322" s="728"/>
      <c r="L322" s="341"/>
      <c r="M322" s="341"/>
      <c r="N322" s="692"/>
      <c r="O322" s="728"/>
      <c r="P322" s="341"/>
      <c r="Q322" s="360"/>
      <c r="R322" s="692"/>
      <c r="S322" s="341"/>
      <c r="T322" s="341"/>
      <c r="U322" s="341"/>
      <c r="V322" s="692"/>
      <c r="W322" s="692"/>
      <c r="X322"/>
      <c r="Y322"/>
    </row>
    <row r="323" spans="2:25" ht="16">
      <c r="B323" s="67"/>
      <c r="F323" s="344">
        <v>44897</v>
      </c>
      <c r="G323" s="344"/>
      <c r="H323" s="344"/>
      <c r="I323" s="344"/>
      <c r="J323" s="691"/>
      <c r="K323" s="728"/>
      <c r="L323" s="341"/>
      <c r="M323" s="341"/>
      <c r="N323" s="692"/>
      <c r="O323" s="728"/>
      <c r="P323" s="341"/>
      <c r="Q323" s="360"/>
      <c r="R323" s="692"/>
      <c r="S323" s="341"/>
      <c r="T323" s="341"/>
      <c r="U323" s="341"/>
      <c r="V323" s="692"/>
      <c r="W323" s="692"/>
      <c r="X323"/>
      <c r="Y323"/>
    </row>
    <row r="324" spans="2:25" ht="16">
      <c r="B324" s="67"/>
      <c r="G324" s="3" t="s">
        <v>59</v>
      </c>
      <c r="H324" s="3"/>
      <c r="I324" s="3"/>
      <c r="J324" s="691"/>
      <c r="K324" s="728"/>
      <c r="L324" s="341"/>
      <c r="M324" s="341"/>
      <c r="N324" s="692"/>
      <c r="O324" s="728"/>
      <c r="P324" s="341"/>
      <c r="Q324" s="360"/>
      <c r="R324" s="692"/>
      <c r="S324" s="341"/>
      <c r="T324" s="341"/>
      <c r="U324" s="341"/>
      <c r="V324" s="692"/>
      <c r="W324" s="692"/>
      <c r="X324"/>
      <c r="Y324"/>
    </row>
    <row r="325" spans="2:25" ht="16">
      <c r="B325" s="67"/>
      <c r="H325" s="345">
        <v>44603</v>
      </c>
      <c r="I325" s="345"/>
      <c r="J325" s="691"/>
      <c r="K325" s="728"/>
      <c r="L325" s="341"/>
      <c r="M325" s="341"/>
      <c r="N325" s="692"/>
      <c r="O325" s="728"/>
      <c r="P325" s="341"/>
      <c r="Q325" s="360"/>
      <c r="R325" s="692"/>
      <c r="S325" s="341"/>
      <c r="T325" s="341"/>
      <c r="U325" s="341"/>
      <c r="V325" s="692"/>
      <c r="W325" s="692"/>
      <c r="X325"/>
      <c r="Y325"/>
    </row>
    <row r="326" spans="2:25" ht="16">
      <c r="B326" s="67"/>
      <c r="I326" s="3" t="s">
        <v>59</v>
      </c>
      <c r="J326" s="691">
        <v>76351</v>
      </c>
      <c r="K326" s="728">
        <v>409981.96</v>
      </c>
      <c r="L326" s="341">
        <v>1</v>
      </c>
      <c r="M326" s="341">
        <v>19.3965</v>
      </c>
      <c r="N326" s="692">
        <v>7952215.0871400004</v>
      </c>
      <c r="O326" s="728">
        <v>407401.30231393653</v>
      </c>
      <c r="P326" s="341">
        <v>1</v>
      </c>
      <c r="Q326" s="360">
        <v>20.500800000000002</v>
      </c>
      <c r="R326" s="692">
        <v>8352052.6184775503</v>
      </c>
      <c r="S326" s="341">
        <v>118.98099999999999</v>
      </c>
      <c r="T326" s="341">
        <v>125.997</v>
      </c>
      <c r="U326" s="341">
        <v>1.0589</v>
      </c>
      <c r="V326" s="692">
        <v>8843988.5177058782</v>
      </c>
      <c r="W326" s="692">
        <v>-891773.43056587782</v>
      </c>
      <c r="X326"/>
      <c r="Y326"/>
    </row>
    <row r="327" spans="2:25" ht="16">
      <c r="J327" s="691"/>
      <c r="K327" s="728"/>
      <c r="L327" s="341"/>
      <c r="M327" s="341"/>
      <c r="N327" s="692"/>
      <c r="O327" s="728"/>
      <c r="P327" s="341"/>
      <c r="Q327" s="360"/>
      <c r="R327" s="692"/>
      <c r="S327" s="341"/>
      <c r="T327" s="341"/>
      <c r="U327" s="341"/>
      <c r="V327" s="692"/>
      <c r="W327" s="692"/>
      <c r="X327"/>
      <c r="Y327"/>
    </row>
    <row r="328" spans="2:25" ht="16">
      <c r="B328" s="67"/>
      <c r="E328" s="131" t="s">
        <v>874</v>
      </c>
      <c r="F328" s="131"/>
      <c r="G328" s="131"/>
      <c r="H328" s="131"/>
      <c r="I328" s="131"/>
      <c r="J328" s="729">
        <v>106282</v>
      </c>
      <c r="K328" s="730">
        <v>568774.40000000002</v>
      </c>
      <c r="L328" s="366">
        <v>1</v>
      </c>
      <c r="M328" s="374">
        <v>19.913675000000001</v>
      </c>
      <c r="N328" s="704">
        <v>11159083.048703</v>
      </c>
      <c r="O328" s="730">
        <v>567110.12576822564</v>
      </c>
      <c r="P328" s="366">
        <v>1</v>
      </c>
      <c r="Q328" s="374">
        <v>20.500800000000002</v>
      </c>
      <c r="R328" s="704">
        <v>11626211.266349243</v>
      </c>
      <c r="S328" s="366">
        <v>118.98099999999999</v>
      </c>
      <c r="T328" s="366">
        <v>123.19275</v>
      </c>
      <c r="U328" s="366">
        <v>1.03535</v>
      </c>
      <c r="V328" s="704">
        <v>12221817.184157129</v>
      </c>
      <c r="W328" s="704">
        <v>-1062734.135454129</v>
      </c>
      <c r="X328"/>
      <c r="Y328"/>
    </row>
    <row r="329" spans="2:25" ht="16">
      <c r="J329" s="691"/>
      <c r="K329" s="728"/>
      <c r="L329" s="341"/>
      <c r="M329" s="341"/>
      <c r="N329" s="692"/>
      <c r="O329" s="728"/>
      <c r="P329" s="341"/>
      <c r="Q329" s="360"/>
      <c r="R329" s="692"/>
      <c r="S329" s="341"/>
      <c r="T329" s="341"/>
      <c r="U329" s="341"/>
      <c r="V329" s="692"/>
      <c r="W329" s="692"/>
      <c r="X329"/>
      <c r="Y329"/>
    </row>
    <row r="330" spans="2:25" ht="16">
      <c r="B330" s="67"/>
      <c r="E330" s="1" t="s">
        <v>732</v>
      </c>
      <c r="J330" s="691"/>
      <c r="K330" s="728"/>
      <c r="L330" s="341"/>
      <c r="M330" s="341"/>
      <c r="N330" s="692"/>
      <c r="O330" s="728"/>
      <c r="P330" s="341"/>
      <c r="Q330" s="360"/>
      <c r="R330" s="692"/>
      <c r="S330" s="341"/>
      <c r="T330" s="341"/>
      <c r="U330" s="341"/>
      <c r="V330" s="692"/>
      <c r="W330" s="692"/>
      <c r="X330"/>
      <c r="Y330"/>
    </row>
    <row r="331" spans="2:25" ht="16">
      <c r="B331" s="67"/>
      <c r="F331" s="344">
        <v>44769</v>
      </c>
      <c r="G331" s="344"/>
      <c r="H331" s="344"/>
      <c r="I331" s="344"/>
      <c r="J331" s="691"/>
      <c r="K331" s="728"/>
      <c r="L331" s="341"/>
      <c r="M331" s="341"/>
      <c r="N331" s="692"/>
      <c r="O331" s="728"/>
      <c r="P331" s="341"/>
      <c r="Q331" s="360"/>
      <c r="R331" s="692"/>
      <c r="S331" s="341"/>
      <c r="T331" s="341"/>
      <c r="U331" s="341"/>
      <c r="V331" s="692"/>
      <c r="W331" s="692"/>
      <c r="X331"/>
      <c r="Y331"/>
    </row>
    <row r="332" spans="2:25" ht="16">
      <c r="B332" s="67"/>
      <c r="G332" s="3" t="s">
        <v>59</v>
      </c>
      <c r="H332" s="3"/>
      <c r="I332" s="3"/>
      <c r="J332" s="691"/>
      <c r="K332" s="728"/>
      <c r="L332" s="341"/>
      <c r="M332" s="341"/>
      <c r="N332" s="692"/>
      <c r="O332" s="728"/>
      <c r="P332" s="341"/>
      <c r="Q332" s="360"/>
      <c r="R332" s="692"/>
      <c r="S332" s="341"/>
      <c r="T332" s="341"/>
      <c r="U332" s="341"/>
      <c r="V332" s="692"/>
      <c r="W332" s="692"/>
      <c r="X332"/>
      <c r="Y332"/>
    </row>
    <row r="333" spans="2:25" ht="16">
      <c r="B333" s="67"/>
      <c r="H333" s="345">
        <v>44603</v>
      </c>
      <c r="I333" s="345"/>
      <c r="J333" s="691"/>
      <c r="K333" s="728"/>
      <c r="L333" s="341"/>
      <c r="M333" s="341"/>
      <c r="N333" s="692"/>
      <c r="O333" s="728"/>
      <c r="P333" s="341"/>
      <c r="Q333" s="360"/>
      <c r="R333" s="692"/>
      <c r="S333" s="341"/>
      <c r="T333" s="341"/>
      <c r="U333" s="341"/>
      <c r="V333" s="692"/>
      <c r="W333" s="692"/>
      <c r="X333"/>
      <c r="Y333"/>
    </row>
    <row r="334" spans="2:25" ht="16">
      <c r="B334" s="67"/>
      <c r="I334" s="3" t="s">
        <v>59</v>
      </c>
      <c r="J334" s="691">
        <v>10128</v>
      </c>
      <c r="K334" s="728">
        <v>77497.429999999993</v>
      </c>
      <c r="L334" s="341">
        <v>1</v>
      </c>
      <c r="M334" s="341">
        <v>20.465199999999999</v>
      </c>
      <c r="N334" s="692">
        <v>1586000.4044359999</v>
      </c>
      <c r="O334" s="728">
        <v>88866.109488753369</v>
      </c>
      <c r="P334" s="341">
        <v>1</v>
      </c>
      <c r="Q334" s="360">
        <v>20.500800000000002</v>
      </c>
      <c r="R334" s="692">
        <v>1821826.3374070353</v>
      </c>
      <c r="S334" s="341">
        <v>118.98099999999999</v>
      </c>
      <c r="T334" s="341">
        <v>122.044</v>
      </c>
      <c r="U334" s="341">
        <v>1.0257000000000001</v>
      </c>
      <c r="V334" s="692">
        <v>1868647.2742783963</v>
      </c>
      <c r="W334" s="692">
        <v>-282646.86984239635</v>
      </c>
      <c r="X334"/>
      <c r="Y334"/>
    </row>
    <row r="335" spans="2:25" ht="16">
      <c r="J335" s="691"/>
      <c r="K335" s="728"/>
      <c r="L335" s="341"/>
      <c r="M335" s="341"/>
      <c r="N335" s="692"/>
      <c r="O335" s="728"/>
      <c r="P335" s="341"/>
      <c r="Q335" s="360"/>
      <c r="R335" s="692"/>
      <c r="S335" s="341"/>
      <c r="T335" s="341"/>
      <c r="U335" s="341"/>
      <c r="V335" s="692"/>
      <c r="W335" s="692"/>
      <c r="X335"/>
      <c r="Y335"/>
    </row>
    <row r="336" spans="2:25" ht="16">
      <c r="B336" s="67"/>
      <c r="F336" s="344">
        <v>44862</v>
      </c>
      <c r="G336" s="344"/>
      <c r="H336" s="344"/>
      <c r="I336" s="344"/>
      <c r="J336" s="691"/>
      <c r="K336" s="728"/>
      <c r="L336" s="341"/>
      <c r="M336" s="341"/>
      <c r="N336" s="692"/>
      <c r="O336" s="728"/>
      <c r="P336" s="341"/>
      <c r="Q336" s="360"/>
      <c r="R336" s="692"/>
      <c r="S336" s="341"/>
      <c r="T336" s="341"/>
      <c r="U336" s="341"/>
      <c r="V336" s="692"/>
      <c r="W336" s="692"/>
      <c r="X336"/>
      <c r="Y336"/>
    </row>
    <row r="337" spans="2:25" ht="16">
      <c r="B337" s="67"/>
      <c r="G337" s="3" t="s">
        <v>59</v>
      </c>
      <c r="H337" s="3"/>
      <c r="I337" s="3"/>
      <c r="J337" s="691"/>
      <c r="K337" s="728"/>
      <c r="L337" s="341"/>
      <c r="M337" s="341"/>
      <c r="N337" s="692"/>
      <c r="O337" s="728"/>
      <c r="P337" s="341"/>
      <c r="Q337" s="360"/>
      <c r="R337" s="692"/>
      <c r="S337" s="341"/>
      <c r="T337" s="341"/>
      <c r="U337" s="341"/>
      <c r="V337" s="692"/>
      <c r="W337" s="692"/>
      <c r="X337"/>
      <c r="Y337"/>
    </row>
    <row r="338" spans="2:25" ht="16">
      <c r="B338" s="67"/>
      <c r="H338" s="345">
        <v>44603</v>
      </c>
      <c r="I338" s="345"/>
      <c r="J338" s="691"/>
      <c r="K338" s="728"/>
      <c r="L338" s="341"/>
      <c r="M338" s="341"/>
      <c r="N338" s="692"/>
      <c r="O338" s="728"/>
      <c r="P338" s="341"/>
      <c r="Q338" s="360"/>
      <c r="R338" s="692"/>
      <c r="S338" s="341"/>
      <c r="T338" s="341"/>
      <c r="U338" s="341"/>
      <c r="V338" s="692"/>
      <c r="W338" s="692"/>
      <c r="X338"/>
      <c r="Y338"/>
    </row>
    <row r="339" spans="2:25" ht="16">
      <c r="B339" s="67"/>
      <c r="I339" s="3" t="s">
        <v>59</v>
      </c>
      <c r="J339" s="691">
        <v>234</v>
      </c>
      <c r="K339" s="728">
        <v>1723.18</v>
      </c>
      <c r="L339" s="341">
        <v>1</v>
      </c>
      <c r="M339" s="341">
        <v>19.8553</v>
      </c>
      <c r="N339" s="692">
        <v>34214.255854000003</v>
      </c>
      <c r="O339" s="728">
        <v>2053.186178946316</v>
      </c>
      <c r="P339" s="341">
        <v>1</v>
      </c>
      <c r="Q339" s="360">
        <v>20.500800000000002</v>
      </c>
      <c r="R339" s="692">
        <v>42091.959217342635</v>
      </c>
      <c r="S339" s="341">
        <v>118.98099999999999</v>
      </c>
      <c r="T339" s="341">
        <v>124.571</v>
      </c>
      <c r="U339" s="341">
        <v>1.0468999999999999</v>
      </c>
      <c r="V339" s="692">
        <v>44066.072104636005</v>
      </c>
      <c r="W339" s="692">
        <v>-9851.8162506360022</v>
      </c>
      <c r="X339"/>
      <c r="Y339"/>
    </row>
    <row r="340" spans="2:25" ht="16">
      <c r="J340" s="691"/>
      <c r="K340" s="728"/>
      <c r="L340" s="341"/>
      <c r="M340" s="341"/>
      <c r="N340" s="692"/>
      <c r="O340" s="728"/>
      <c r="P340" s="341"/>
      <c r="Q340" s="360"/>
      <c r="R340" s="692"/>
      <c r="S340" s="341"/>
      <c r="T340" s="341"/>
      <c r="U340" s="341"/>
      <c r="V340" s="692"/>
      <c r="W340" s="692"/>
      <c r="X340"/>
      <c r="Y340"/>
    </row>
    <row r="341" spans="2:25" ht="16">
      <c r="B341" s="67"/>
      <c r="E341" s="131" t="s">
        <v>875</v>
      </c>
      <c r="F341" s="131"/>
      <c r="G341" s="131"/>
      <c r="H341" s="131"/>
      <c r="I341" s="131"/>
      <c r="J341" s="729">
        <v>10362</v>
      </c>
      <c r="K341" s="730">
        <v>79220.609999999986</v>
      </c>
      <c r="L341" s="366">
        <v>1</v>
      </c>
      <c r="M341" s="374">
        <v>20.160249999999998</v>
      </c>
      <c r="N341" s="704">
        <v>1620214.66029</v>
      </c>
      <c r="O341" s="730">
        <v>90919.295667699684</v>
      </c>
      <c r="P341" s="366">
        <v>1</v>
      </c>
      <c r="Q341" s="374">
        <v>20.500800000000002</v>
      </c>
      <c r="R341" s="704">
        <v>1863918.2966243778</v>
      </c>
      <c r="S341" s="366">
        <v>118.98099999999999</v>
      </c>
      <c r="T341" s="366">
        <v>123.3075</v>
      </c>
      <c r="U341" s="366">
        <v>1.0363</v>
      </c>
      <c r="V341" s="704">
        <v>1912713.3463830324</v>
      </c>
      <c r="W341" s="704">
        <v>-292498.68609303236</v>
      </c>
      <c r="X341"/>
      <c r="Y341"/>
    </row>
    <row r="342" spans="2:25" ht="16">
      <c r="J342" s="691"/>
      <c r="K342" s="728"/>
      <c r="L342" s="341"/>
      <c r="M342" s="341"/>
      <c r="N342" s="692"/>
      <c r="O342" s="728"/>
      <c r="P342" s="341"/>
      <c r="Q342" s="360"/>
      <c r="R342" s="692"/>
      <c r="S342" s="341"/>
      <c r="T342" s="341"/>
      <c r="U342" s="341"/>
      <c r="V342" s="692"/>
      <c r="W342" s="692"/>
      <c r="X342"/>
      <c r="Y342"/>
    </row>
    <row r="343" spans="2:25" ht="16">
      <c r="B343" s="67"/>
      <c r="E343" s="1" t="s">
        <v>729</v>
      </c>
      <c r="J343" s="691"/>
      <c r="K343" s="728"/>
      <c r="L343" s="341"/>
      <c r="M343" s="341"/>
      <c r="N343" s="692"/>
      <c r="O343" s="728"/>
      <c r="P343" s="341"/>
      <c r="Q343" s="360"/>
      <c r="R343" s="692"/>
      <c r="S343" s="341"/>
      <c r="T343" s="341"/>
      <c r="U343" s="341"/>
      <c r="V343" s="692"/>
      <c r="W343" s="692"/>
      <c r="X343"/>
      <c r="Y343"/>
    </row>
    <row r="344" spans="2:25" ht="16">
      <c r="B344" s="67"/>
      <c r="F344" s="344">
        <v>44671</v>
      </c>
      <c r="G344" s="344"/>
      <c r="H344" s="344"/>
      <c r="I344" s="344"/>
      <c r="J344" s="691"/>
      <c r="K344" s="728"/>
      <c r="L344" s="341"/>
      <c r="M344" s="341"/>
      <c r="N344" s="692"/>
      <c r="O344" s="728"/>
      <c r="P344" s="341"/>
      <c r="Q344" s="360"/>
      <c r="R344" s="692"/>
      <c r="S344" s="341"/>
      <c r="T344" s="341"/>
      <c r="U344" s="341"/>
      <c r="V344" s="692"/>
      <c r="W344" s="692"/>
      <c r="X344"/>
      <c r="Y344"/>
    </row>
    <row r="345" spans="2:25" ht="16">
      <c r="B345" s="67"/>
      <c r="G345" s="3" t="s">
        <v>59</v>
      </c>
      <c r="H345" s="3"/>
      <c r="I345" s="3"/>
      <c r="J345" s="691"/>
      <c r="K345" s="728"/>
      <c r="L345" s="341"/>
      <c r="M345" s="341"/>
      <c r="N345" s="692"/>
      <c r="O345" s="728"/>
      <c r="P345" s="341"/>
      <c r="Q345" s="360"/>
      <c r="R345" s="692"/>
      <c r="S345" s="341"/>
      <c r="T345" s="341"/>
      <c r="U345" s="341"/>
      <c r="V345" s="692"/>
      <c r="W345" s="692"/>
      <c r="X345"/>
      <c r="Y345"/>
    </row>
    <row r="346" spans="2:25" ht="16">
      <c r="B346" s="67"/>
      <c r="H346" s="345">
        <v>44603</v>
      </c>
      <c r="I346" s="345"/>
      <c r="J346" s="691"/>
      <c r="K346" s="728"/>
      <c r="L346" s="341"/>
      <c r="M346" s="341"/>
      <c r="N346" s="692"/>
      <c r="O346" s="728"/>
      <c r="P346" s="341"/>
      <c r="Q346" s="360"/>
      <c r="R346" s="692"/>
      <c r="S346" s="341"/>
      <c r="T346" s="341"/>
      <c r="U346" s="341"/>
      <c r="V346" s="692"/>
      <c r="W346" s="692"/>
      <c r="X346"/>
      <c r="Y346"/>
    </row>
    <row r="347" spans="2:25" ht="16">
      <c r="B347" s="67"/>
      <c r="I347" s="3" t="s">
        <v>59</v>
      </c>
      <c r="J347" s="691">
        <v>43074</v>
      </c>
      <c r="K347" s="728">
        <v>227086.12999999998</v>
      </c>
      <c r="L347" s="341">
        <v>1</v>
      </c>
      <c r="M347" s="341">
        <v>19.9377</v>
      </c>
      <c r="N347" s="692">
        <v>4527575.1341009997</v>
      </c>
      <c r="O347" s="728">
        <v>227917.46</v>
      </c>
      <c r="P347" s="341">
        <v>1</v>
      </c>
      <c r="Q347" s="360">
        <v>20.500800000000002</v>
      </c>
      <c r="R347" s="692">
        <v>4672490.2639680002</v>
      </c>
      <c r="S347" s="341">
        <v>118.98099999999999</v>
      </c>
      <c r="T347" s="341">
        <v>120.15900000000001</v>
      </c>
      <c r="U347" s="341">
        <v>1.0099</v>
      </c>
      <c r="V347" s="692">
        <v>4718747.9175812835</v>
      </c>
      <c r="W347" s="692">
        <v>-191172.7834802838</v>
      </c>
      <c r="X347"/>
      <c r="Y347"/>
    </row>
    <row r="348" spans="2:25" ht="16">
      <c r="J348" s="691"/>
      <c r="K348" s="728"/>
      <c r="L348" s="341"/>
      <c r="M348" s="341"/>
      <c r="N348" s="692"/>
      <c r="O348" s="728"/>
      <c r="P348" s="341"/>
      <c r="Q348" s="360"/>
      <c r="R348" s="692"/>
      <c r="S348" s="341"/>
      <c r="T348" s="341"/>
      <c r="U348" s="341"/>
      <c r="V348" s="692"/>
      <c r="W348" s="692"/>
      <c r="X348"/>
      <c r="Y348"/>
    </row>
    <row r="349" spans="2:25" ht="16">
      <c r="B349" s="67"/>
      <c r="F349" s="344">
        <v>44897</v>
      </c>
      <c r="G349" s="344"/>
      <c r="H349" s="344"/>
      <c r="I349" s="344"/>
      <c r="J349" s="691"/>
      <c r="K349" s="728"/>
      <c r="L349" s="341"/>
      <c r="M349" s="341"/>
      <c r="N349" s="692"/>
      <c r="O349" s="728"/>
      <c r="P349" s="341"/>
      <c r="Q349" s="360"/>
      <c r="R349" s="692"/>
      <c r="S349" s="341"/>
      <c r="T349" s="341"/>
      <c r="U349" s="341"/>
      <c r="V349" s="692"/>
      <c r="W349" s="692"/>
      <c r="X349"/>
      <c r="Y349"/>
    </row>
    <row r="350" spans="2:25" ht="16">
      <c r="B350" s="67"/>
      <c r="G350" s="3" t="s">
        <v>59</v>
      </c>
      <c r="H350" s="3"/>
      <c r="I350" s="3"/>
      <c r="J350" s="691"/>
      <c r="K350" s="728"/>
      <c r="L350" s="341"/>
      <c r="M350" s="341"/>
      <c r="N350" s="692"/>
      <c r="O350" s="728"/>
      <c r="P350" s="341"/>
      <c r="Q350" s="360"/>
      <c r="R350" s="692"/>
      <c r="S350" s="341"/>
      <c r="T350" s="341"/>
      <c r="U350" s="341"/>
      <c r="V350" s="692"/>
      <c r="W350" s="692"/>
      <c r="X350"/>
      <c r="Y350"/>
    </row>
    <row r="351" spans="2:25" ht="16">
      <c r="B351" s="67"/>
      <c r="H351" s="345">
        <v>44769</v>
      </c>
      <c r="I351" s="345"/>
      <c r="J351" s="691"/>
      <c r="K351" s="728"/>
      <c r="L351" s="341"/>
      <c r="M351" s="341"/>
      <c r="N351" s="692"/>
      <c r="O351" s="728"/>
      <c r="P351" s="341"/>
      <c r="Q351" s="360"/>
      <c r="R351" s="692"/>
      <c r="S351" s="341"/>
      <c r="T351" s="341"/>
      <c r="U351" s="341"/>
      <c r="V351" s="692"/>
      <c r="W351" s="692"/>
      <c r="X351"/>
      <c r="Y351"/>
    </row>
    <row r="352" spans="2:25" ht="16">
      <c r="B352" s="67"/>
      <c r="I352" s="3" t="s">
        <v>59</v>
      </c>
      <c r="J352" s="691">
        <v>42109</v>
      </c>
      <c r="K352" s="728">
        <v>224727.31</v>
      </c>
      <c r="L352" s="341">
        <v>1</v>
      </c>
      <c r="M352" s="341">
        <v>19.3965</v>
      </c>
      <c r="N352" s="692">
        <v>4358923.2684150003</v>
      </c>
      <c r="O352" s="728">
        <v>222647.12491616921</v>
      </c>
      <c r="P352" s="341">
        <v>1</v>
      </c>
      <c r="Q352" s="360">
        <v>20.465199999999999</v>
      </c>
      <c r="R352" s="692">
        <v>4556517.9408343863</v>
      </c>
      <c r="S352" s="341">
        <v>122.94799999999999</v>
      </c>
      <c r="T352" s="341">
        <v>125.997</v>
      </c>
      <c r="U352" s="341">
        <v>1.0246999999999999</v>
      </c>
      <c r="V352" s="692">
        <v>4669063.9339729957</v>
      </c>
      <c r="W352" s="692">
        <v>-310140.66555799544</v>
      </c>
      <c r="X352"/>
      <c r="Y352"/>
    </row>
    <row r="353" spans="2:25" ht="16">
      <c r="J353" s="691"/>
      <c r="K353" s="728"/>
      <c r="L353" s="341"/>
      <c r="M353" s="341"/>
      <c r="N353" s="692"/>
      <c r="O353" s="728"/>
      <c r="P353" s="341"/>
      <c r="Q353" s="360"/>
      <c r="R353" s="692"/>
      <c r="S353" s="341"/>
      <c r="T353" s="341"/>
      <c r="U353" s="341"/>
      <c r="V353" s="692"/>
      <c r="W353" s="692"/>
      <c r="X353"/>
      <c r="Y353"/>
    </row>
    <row r="354" spans="2:25" ht="16">
      <c r="B354" s="67"/>
      <c r="E354" s="131" t="s">
        <v>876</v>
      </c>
      <c r="F354" s="131"/>
      <c r="G354" s="131"/>
      <c r="H354" s="131"/>
      <c r="I354" s="131"/>
      <c r="J354" s="729">
        <v>85183</v>
      </c>
      <c r="K354" s="730">
        <v>451813.43999999994</v>
      </c>
      <c r="L354" s="366">
        <v>1</v>
      </c>
      <c r="M354" s="374">
        <v>19.667099999999998</v>
      </c>
      <c r="N354" s="704">
        <v>8886498.402516</v>
      </c>
      <c r="O354" s="730">
        <v>450564.58491616917</v>
      </c>
      <c r="P354" s="366">
        <v>1</v>
      </c>
      <c r="Q354" s="374">
        <v>20.483000000000001</v>
      </c>
      <c r="R354" s="704">
        <v>9229008.2048023865</v>
      </c>
      <c r="S354" s="366">
        <v>120.96449999999999</v>
      </c>
      <c r="T354" s="366">
        <v>123.078</v>
      </c>
      <c r="U354" s="366">
        <v>1.0173000000000001</v>
      </c>
      <c r="V354" s="704">
        <v>9387811.8515542783</v>
      </c>
      <c r="W354" s="704">
        <v>-501313.44903827924</v>
      </c>
      <c r="X354"/>
      <c r="Y354"/>
    </row>
    <row r="355" spans="2:25" ht="16">
      <c r="J355" s="691"/>
      <c r="K355" s="728"/>
      <c r="L355" s="341"/>
      <c r="M355" s="341"/>
      <c r="N355" s="692"/>
      <c r="O355" s="728"/>
      <c r="P355" s="341"/>
      <c r="Q355" s="360"/>
      <c r="R355" s="692"/>
      <c r="S355" s="341"/>
      <c r="T355" s="341"/>
      <c r="U355" s="341"/>
      <c r="V355" s="692"/>
      <c r="W355" s="692"/>
      <c r="X355"/>
      <c r="Y355"/>
    </row>
    <row r="356" spans="2:25" ht="16">
      <c r="B356" s="67"/>
      <c r="E356" s="1" t="s">
        <v>716</v>
      </c>
      <c r="J356" s="691"/>
      <c r="K356" s="728"/>
      <c r="L356" s="341"/>
      <c r="M356" s="341"/>
      <c r="N356" s="692"/>
      <c r="O356" s="728"/>
      <c r="P356" s="341"/>
      <c r="Q356" s="360"/>
      <c r="R356" s="692"/>
      <c r="S356" s="341"/>
      <c r="T356" s="341"/>
      <c r="U356" s="341"/>
      <c r="V356" s="692"/>
      <c r="W356" s="692"/>
      <c r="X356"/>
      <c r="Y356"/>
    </row>
    <row r="357" spans="2:25" ht="16">
      <c r="B357" s="67"/>
      <c r="F357" s="344">
        <v>44603</v>
      </c>
      <c r="G357" s="344"/>
      <c r="H357" s="344"/>
      <c r="I357" s="344"/>
      <c r="J357" s="691"/>
      <c r="K357" s="728"/>
      <c r="L357" s="341"/>
      <c r="M357" s="341"/>
      <c r="N357" s="692"/>
      <c r="O357" s="728"/>
      <c r="P357" s="341"/>
      <c r="Q357" s="360"/>
      <c r="R357" s="692"/>
      <c r="S357" s="341"/>
      <c r="T357" s="341"/>
      <c r="U357" s="341"/>
      <c r="V357" s="692"/>
      <c r="W357" s="692"/>
      <c r="X357"/>
      <c r="Y357"/>
    </row>
    <row r="358" spans="2:25" ht="16">
      <c r="B358" s="67"/>
      <c r="G358" s="3" t="s">
        <v>59</v>
      </c>
      <c r="H358" s="3"/>
      <c r="I358" s="3"/>
      <c r="J358" s="691"/>
      <c r="K358" s="728"/>
      <c r="L358" s="341"/>
      <c r="M358" s="341"/>
      <c r="N358" s="692"/>
      <c r="O358" s="728"/>
      <c r="P358" s="341"/>
      <c r="Q358" s="360"/>
      <c r="R358" s="692"/>
      <c r="S358" s="341"/>
      <c r="T358" s="341"/>
      <c r="U358" s="341"/>
      <c r="V358" s="692"/>
      <c r="W358" s="692"/>
      <c r="X358"/>
      <c r="Y358"/>
    </row>
    <row r="359" spans="2:25" ht="16">
      <c r="B359" s="67"/>
      <c r="H359" s="345">
        <v>44370</v>
      </c>
      <c r="I359" s="345"/>
      <c r="J359" s="691"/>
      <c r="K359" s="728"/>
      <c r="L359" s="341"/>
      <c r="M359" s="341"/>
      <c r="N359" s="692"/>
      <c r="O359" s="728"/>
      <c r="P359" s="341"/>
      <c r="Q359" s="360"/>
      <c r="R359" s="692"/>
      <c r="S359" s="341"/>
      <c r="T359" s="341"/>
      <c r="U359" s="341"/>
      <c r="V359" s="692"/>
      <c r="W359" s="692"/>
      <c r="X359"/>
      <c r="Y359"/>
    </row>
    <row r="360" spans="2:25" ht="16">
      <c r="B360" s="67"/>
      <c r="I360" s="3" t="s">
        <v>59</v>
      </c>
      <c r="J360" s="691">
        <v>41305</v>
      </c>
      <c r="K360" s="728">
        <v>234562.83438475154</v>
      </c>
      <c r="L360" s="341">
        <v>1</v>
      </c>
      <c r="M360" s="341">
        <v>20.500800000000002</v>
      </c>
      <c r="N360" s="692">
        <v>4808725.7551549142</v>
      </c>
      <c r="O360" s="728">
        <v>248466.09850739007</v>
      </c>
      <c r="P360" s="341">
        <v>1</v>
      </c>
      <c r="Q360" s="360">
        <v>20.6</v>
      </c>
      <c r="R360" s="692">
        <v>5118401.6292522354</v>
      </c>
      <c r="S360" s="341">
        <v>113.018</v>
      </c>
      <c r="T360" s="341">
        <v>118.002</v>
      </c>
      <c r="U360" s="341">
        <v>1.044</v>
      </c>
      <c r="V360" s="692">
        <v>5343611.3009393336</v>
      </c>
      <c r="W360" s="692">
        <v>-534885.5457844194</v>
      </c>
      <c r="X360"/>
      <c r="Y360"/>
    </row>
    <row r="361" spans="2:25" ht="16">
      <c r="J361" s="691"/>
      <c r="K361" s="728"/>
      <c r="L361" s="341"/>
      <c r="M361" s="341"/>
      <c r="N361" s="692"/>
      <c r="O361" s="728"/>
      <c r="P361" s="341"/>
      <c r="Q361" s="360"/>
      <c r="R361" s="692"/>
      <c r="S361" s="341"/>
      <c r="T361" s="341"/>
      <c r="U361" s="341"/>
      <c r="V361" s="692"/>
      <c r="W361" s="692"/>
      <c r="X361"/>
      <c r="Y361"/>
    </row>
    <row r="362" spans="2:25" ht="16">
      <c r="B362" s="67"/>
      <c r="H362" s="345">
        <v>44441</v>
      </c>
      <c r="I362" s="345"/>
      <c r="J362" s="691"/>
      <c r="K362" s="728"/>
      <c r="L362" s="341"/>
      <c r="M362" s="341"/>
      <c r="N362" s="692"/>
      <c r="O362" s="728"/>
      <c r="P362" s="341"/>
      <c r="Q362" s="360"/>
      <c r="R362" s="692"/>
      <c r="S362" s="341"/>
      <c r="T362" s="341"/>
      <c r="U362" s="341"/>
      <c r="V362" s="692"/>
      <c r="W362" s="692"/>
      <c r="X362"/>
      <c r="Y362"/>
    </row>
    <row r="363" spans="2:25" ht="16">
      <c r="B363" s="67"/>
      <c r="I363" s="3" t="s">
        <v>59</v>
      </c>
      <c r="J363" s="691">
        <v>1637</v>
      </c>
      <c r="K363" s="728">
        <v>9296.1956152484745</v>
      </c>
      <c r="L363" s="341">
        <v>1</v>
      </c>
      <c r="M363" s="341">
        <v>20.500800000000002</v>
      </c>
      <c r="N363" s="692">
        <v>190579.44706908593</v>
      </c>
      <c r="O363" s="728">
        <v>10019.91</v>
      </c>
      <c r="P363" s="341">
        <v>1</v>
      </c>
      <c r="Q363" s="360">
        <v>20.060500000000001</v>
      </c>
      <c r="R363" s="692">
        <v>201004.40455500002</v>
      </c>
      <c r="S363" s="341">
        <v>114.601</v>
      </c>
      <c r="T363" s="341">
        <v>118.002</v>
      </c>
      <c r="U363" s="341">
        <v>1.0296000000000001</v>
      </c>
      <c r="V363" s="692">
        <v>206954.13492982803</v>
      </c>
      <c r="W363" s="692">
        <v>-16374.687860742095</v>
      </c>
      <c r="X363"/>
      <c r="Y363"/>
    </row>
    <row r="364" spans="2:25" ht="16">
      <c r="J364" s="691"/>
      <c r="K364" s="728"/>
      <c r="L364" s="341"/>
      <c r="M364" s="341"/>
      <c r="N364" s="692"/>
      <c r="O364" s="728"/>
      <c r="P364" s="341"/>
      <c r="Q364" s="360"/>
      <c r="R364" s="692"/>
      <c r="S364" s="341"/>
      <c r="T364" s="341"/>
      <c r="U364" s="341"/>
      <c r="V364" s="692"/>
      <c r="W364" s="692"/>
      <c r="X364"/>
      <c r="Y364"/>
    </row>
    <row r="365" spans="2:25" ht="16">
      <c r="B365" s="67"/>
      <c r="E365" s="131" t="s">
        <v>877</v>
      </c>
      <c r="F365" s="131"/>
      <c r="G365" s="131"/>
      <c r="H365" s="131"/>
      <c r="I365" s="131"/>
      <c r="J365" s="729">
        <v>42942</v>
      </c>
      <c r="K365" s="730">
        <v>243859.03</v>
      </c>
      <c r="L365" s="366">
        <v>1</v>
      </c>
      <c r="M365" s="374">
        <v>20.500800000000002</v>
      </c>
      <c r="N365" s="704">
        <v>4999305.2022240004</v>
      </c>
      <c r="O365" s="730">
        <v>258486.00850739007</v>
      </c>
      <c r="P365" s="366">
        <v>1</v>
      </c>
      <c r="Q365" s="374">
        <v>20.330249999999999</v>
      </c>
      <c r="R365" s="704">
        <v>5319406.0338072358</v>
      </c>
      <c r="S365" s="366">
        <v>113.8095</v>
      </c>
      <c r="T365" s="366">
        <v>118.002</v>
      </c>
      <c r="U365" s="366">
        <v>1.0367999999999999</v>
      </c>
      <c r="V365" s="704">
        <v>5550565.435869162</v>
      </c>
      <c r="W365" s="704">
        <v>-551260.2336451615</v>
      </c>
      <c r="X365"/>
      <c r="Y365"/>
    </row>
    <row r="366" spans="2:25" ht="16">
      <c r="J366" s="691"/>
      <c r="K366" s="728"/>
      <c r="L366" s="341"/>
      <c r="M366" s="341"/>
      <c r="N366" s="692"/>
      <c r="O366" s="728"/>
      <c r="P366" s="341"/>
      <c r="Q366" s="360"/>
      <c r="R366" s="692"/>
      <c r="S366" s="341"/>
      <c r="T366" s="341"/>
      <c r="U366" s="341"/>
      <c r="V366" s="692"/>
      <c r="W366" s="692"/>
      <c r="X366"/>
      <c r="Y366"/>
    </row>
    <row r="367" spans="2:25" ht="16">
      <c r="B367" s="67"/>
      <c r="E367" s="1" t="s">
        <v>718</v>
      </c>
      <c r="J367" s="691"/>
      <c r="K367" s="728"/>
      <c r="L367" s="341"/>
      <c r="M367" s="341"/>
      <c r="N367" s="692"/>
      <c r="O367" s="728"/>
      <c r="P367" s="341"/>
      <c r="Q367" s="360"/>
      <c r="R367" s="692"/>
      <c r="S367" s="341"/>
      <c r="T367" s="341"/>
      <c r="U367" s="341"/>
      <c r="V367" s="692"/>
      <c r="W367" s="692"/>
      <c r="X367"/>
      <c r="Y367"/>
    </row>
    <row r="368" spans="2:25" ht="16">
      <c r="B368" s="67"/>
      <c r="F368" s="344">
        <v>44862</v>
      </c>
      <c r="G368" s="344"/>
      <c r="H368" s="344"/>
      <c r="I368" s="344"/>
      <c r="J368" s="691"/>
      <c r="K368" s="728"/>
      <c r="L368" s="341"/>
      <c r="M368" s="341"/>
      <c r="N368" s="692"/>
      <c r="O368" s="728"/>
      <c r="P368" s="341"/>
      <c r="Q368" s="360"/>
      <c r="R368" s="692"/>
      <c r="S368" s="341"/>
      <c r="T368" s="341"/>
      <c r="U368" s="341"/>
      <c r="V368" s="692"/>
      <c r="W368" s="692"/>
      <c r="X368"/>
      <c r="Y368"/>
    </row>
    <row r="369" spans="2:25" ht="16">
      <c r="B369" s="67"/>
      <c r="G369" s="3" t="s">
        <v>59</v>
      </c>
      <c r="H369" s="3"/>
      <c r="I369" s="3"/>
      <c r="J369" s="691"/>
      <c r="K369" s="728"/>
      <c r="L369" s="341"/>
      <c r="M369" s="341"/>
      <c r="N369" s="692"/>
      <c r="O369" s="728"/>
      <c r="P369" s="341"/>
      <c r="Q369" s="360"/>
      <c r="R369" s="692"/>
      <c r="S369" s="341"/>
      <c r="T369" s="341"/>
      <c r="U369" s="341"/>
      <c r="V369" s="692"/>
      <c r="W369" s="692"/>
      <c r="X369"/>
      <c r="Y369"/>
    </row>
    <row r="370" spans="2:25" ht="16">
      <c r="B370" s="67"/>
      <c r="H370" s="345">
        <v>44231</v>
      </c>
      <c r="I370" s="345"/>
      <c r="J370" s="691"/>
      <c r="K370" s="728"/>
      <c r="L370" s="341"/>
      <c r="M370" s="341"/>
      <c r="N370" s="692"/>
      <c r="O370" s="728"/>
      <c r="P370" s="341"/>
      <c r="Q370" s="360"/>
      <c r="R370" s="692"/>
      <c r="S370" s="341"/>
      <c r="T370" s="341"/>
      <c r="U370" s="341"/>
      <c r="V370" s="692"/>
      <c r="W370" s="692"/>
      <c r="X370"/>
      <c r="Y370"/>
    </row>
    <row r="371" spans="2:25" ht="16">
      <c r="B371" s="67"/>
      <c r="I371" s="3" t="s">
        <v>59</v>
      </c>
      <c r="J371" s="691">
        <v>55039</v>
      </c>
      <c r="K371" s="728">
        <v>377677.62</v>
      </c>
      <c r="L371" s="341">
        <v>1</v>
      </c>
      <c r="M371" s="341">
        <v>19.8553</v>
      </c>
      <c r="N371" s="692">
        <v>7498902.4483859995</v>
      </c>
      <c r="O371" s="728">
        <v>392796.83244607155</v>
      </c>
      <c r="P371" s="341">
        <v>1</v>
      </c>
      <c r="Q371" s="360">
        <v>20.1722</v>
      </c>
      <c r="R371" s="692">
        <v>7923576.2634686446</v>
      </c>
      <c r="S371" s="341">
        <v>110.907</v>
      </c>
      <c r="T371" s="341">
        <v>124.571</v>
      </c>
      <c r="U371" s="341">
        <v>1.1232</v>
      </c>
      <c r="V371" s="692">
        <v>8899760.8591279816</v>
      </c>
      <c r="W371" s="692">
        <v>-1400858.4107419821</v>
      </c>
      <c r="X371"/>
      <c r="Y371"/>
    </row>
    <row r="372" spans="2:25" ht="16">
      <c r="J372" s="691"/>
      <c r="K372" s="728"/>
      <c r="L372" s="341"/>
      <c r="M372" s="341"/>
      <c r="N372" s="692"/>
      <c r="O372" s="728"/>
      <c r="P372" s="341"/>
      <c r="Q372" s="360"/>
      <c r="R372" s="692"/>
      <c r="S372" s="341"/>
      <c r="T372" s="341"/>
      <c r="U372" s="341"/>
      <c r="V372" s="692"/>
      <c r="W372" s="692"/>
      <c r="X372"/>
      <c r="Y372"/>
    </row>
    <row r="373" spans="2:25" ht="16">
      <c r="B373" s="67"/>
      <c r="F373" s="344">
        <v>44897</v>
      </c>
      <c r="G373" s="344"/>
      <c r="H373" s="344"/>
      <c r="I373" s="344"/>
      <c r="J373" s="691"/>
      <c r="K373" s="728"/>
      <c r="L373" s="341"/>
      <c r="M373" s="341"/>
      <c r="N373" s="692"/>
      <c r="O373" s="728"/>
      <c r="P373" s="341"/>
      <c r="Q373" s="360"/>
      <c r="R373" s="692"/>
      <c r="S373" s="341"/>
      <c r="T373" s="341"/>
      <c r="U373" s="341"/>
      <c r="V373" s="692"/>
      <c r="W373" s="692"/>
      <c r="X373"/>
      <c r="Y373"/>
    </row>
    <row r="374" spans="2:25" ht="16">
      <c r="B374" s="67"/>
      <c r="G374" s="3" t="s">
        <v>59</v>
      </c>
      <c r="H374" s="3"/>
      <c r="I374" s="3"/>
      <c r="J374" s="691"/>
      <c r="K374" s="728"/>
      <c r="L374" s="341"/>
      <c r="M374" s="341"/>
      <c r="N374" s="692"/>
      <c r="O374" s="728"/>
      <c r="P374" s="341"/>
      <c r="Q374" s="360"/>
      <c r="R374" s="692"/>
      <c r="S374" s="341"/>
      <c r="T374" s="341"/>
      <c r="U374" s="341"/>
      <c r="V374" s="692"/>
      <c r="W374" s="692"/>
      <c r="X374"/>
      <c r="Y374"/>
    </row>
    <row r="375" spans="2:25" ht="16">
      <c r="B375" s="67"/>
      <c r="H375" s="345">
        <v>44231</v>
      </c>
      <c r="I375" s="345"/>
      <c r="J375" s="691"/>
      <c r="K375" s="728"/>
      <c r="L375" s="341"/>
      <c r="M375" s="341"/>
      <c r="N375" s="692"/>
      <c r="O375" s="728"/>
      <c r="P375" s="341"/>
      <c r="Q375" s="360"/>
      <c r="R375" s="692"/>
      <c r="S375" s="341"/>
      <c r="T375" s="341"/>
      <c r="U375" s="341"/>
      <c r="V375" s="692"/>
      <c r="W375" s="692"/>
      <c r="X375"/>
      <c r="Y375"/>
    </row>
    <row r="376" spans="2:25" ht="16">
      <c r="B376" s="67"/>
      <c r="I376" s="3" t="s">
        <v>59</v>
      </c>
      <c r="J376" s="691">
        <v>5734</v>
      </c>
      <c r="K376" s="728">
        <v>41476.32</v>
      </c>
      <c r="L376" s="341">
        <v>1</v>
      </c>
      <c r="M376" s="341">
        <v>19.3965</v>
      </c>
      <c r="N376" s="692">
        <v>804495.44088000001</v>
      </c>
      <c r="O376" s="728">
        <v>40921.837919398502</v>
      </c>
      <c r="P376" s="341">
        <v>1</v>
      </c>
      <c r="Q376" s="360">
        <v>20.1722</v>
      </c>
      <c r="R376" s="692">
        <v>825483.49887769052</v>
      </c>
      <c r="S376" s="341">
        <v>110.907</v>
      </c>
      <c r="T376" s="341">
        <v>125.997</v>
      </c>
      <c r="U376" s="341">
        <v>1.1359999999999999</v>
      </c>
      <c r="V376" s="692">
        <v>937749.25472505635</v>
      </c>
      <c r="W376" s="692">
        <v>-133253.81384505634</v>
      </c>
      <c r="X376"/>
      <c r="Y376"/>
    </row>
    <row r="377" spans="2:25" ht="16">
      <c r="J377" s="691"/>
      <c r="K377" s="728"/>
      <c r="L377" s="341"/>
      <c r="M377" s="341"/>
      <c r="N377" s="692"/>
      <c r="O377" s="728"/>
      <c r="P377" s="341"/>
      <c r="Q377" s="360"/>
      <c r="R377" s="692"/>
      <c r="S377" s="341"/>
      <c r="T377" s="341"/>
      <c r="U377" s="341"/>
      <c r="V377" s="692"/>
      <c r="W377" s="692"/>
      <c r="X377"/>
      <c r="Y377"/>
    </row>
    <row r="378" spans="2:25" ht="16">
      <c r="B378" s="67"/>
      <c r="E378" s="131" t="s">
        <v>878</v>
      </c>
      <c r="F378" s="131"/>
      <c r="G378" s="131"/>
      <c r="H378" s="131"/>
      <c r="I378" s="131"/>
      <c r="J378" s="729">
        <v>60773</v>
      </c>
      <c r="K378" s="730">
        <v>419153.94</v>
      </c>
      <c r="L378" s="366">
        <v>1</v>
      </c>
      <c r="M378" s="374">
        <v>19.625900000000001</v>
      </c>
      <c r="N378" s="704">
        <v>8303397.8892659992</v>
      </c>
      <c r="O378" s="730">
        <v>433718.67036547005</v>
      </c>
      <c r="P378" s="366">
        <v>1</v>
      </c>
      <c r="Q378" s="374">
        <v>20.1722</v>
      </c>
      <c r="R378" s="704">
        <v>8749059.7623463348</v>
      </c>
      <c r="S378" s="366">
        <v>110.907</v>
      </c>
      <c r="T378" s="366">
        <v>125.28399999999999</v>
      </c>
      <c r="U378" s="366">
        <v>1.1295999999999999</v>
      </c>
      <c r="V378" s="704">
        <v>9837510.1138530374</v>
      </c>
      <c r="W378" s="704">
        <v>-1534112.2245870384</v>
      </c>
      <c r="X378"/>
      <c r="Y378"/>
    </row>
    <row r="379" spans="2:25" ht="16">
      <c r="J379" s="691"/>
      <c r="K379" s="728"/>
      <c r="L379" s="341"/>
      <c r="M379" s="341"/>
      <c r="N379" s="692"/>
      <c r="O379" s="728"/>
      <c r="P379" s="341"/>
      <c r="Q379" s="360"/>
      <c r="R379" s="692"/>
      <c r="S379" s="341"/>
      <c r="T379" s="341"/>
      <c r="U379" s="341"/>
      <c r="V379" s="692"/>
      <c r="W379" s="692"/>
      <c r="X379"/>
      <c r="Y379"/>
    </row>
    <row r="380" spans="2:25" ht="16">
      <c r="B380" s="67"/>
      <c r="E380" s="1" t="s">
        <v>719</v>
      </c>
      <c r="J380" s="691"/>
      <c r="K380" s="728"/>
      <c r="L380" s="341"/>
      <c r="M380" s="341"/>
      <c r="N380" s="692"/>
      <c r="O380" s="728"/>
      <c r="P380" s="341"/>
      <c r="Q380" s="360"/>
      <c r="R380" s="692"/>
      <c r="S380" s="341"/>
      <c r="T380" s="341"/>
      <c r="U380" s="341"/>
      <c r="V380" s="692"/>
      <c r="W380" s="692"/>
      <c r="X380"/>
      <c r="Y380"/>
    </row>
    <row r="381" spans="2:25" ht="16">
      <c r="B381" s="67"/>
      <c r="F381" s="344">
        <v>44671</v>
      </c>
      <c r="G381" s="344"/>
      <c r="H381" s="344"/>
      <c r="I381" s="344"/>
      <c r="J381" s="691"/>
      <c r="K381" s="728"/>
      <c r="L381" s="341"/>
      <c r="M381" s="341"/>
      <c r="N381" s="692"/>
      <c r="O381" s="728"/>
      <c r="P381" s="341"/>
      <c r="Q381" s="360"/>
      <c r="R381" s="692"/>
      <c r="S381" s="341"/>
      <c r="T381" s="341"/>
      <c r="U381" s="341"/>
      <c r="V381" s="692"/>
      <c r="W381" s="692"/>
      <c r="X381"/>
      <c r="Y381"/>
    </row>
    <row r="382" spans="2:25" ht="16">
      <c r="B382" s="67"/>
      <c r="G382" s="3" t="s">
        <v>59</v>
      </c>
      <c r="H382" s="3"/>
      <c r="I382" s="3"/>
      <c r="J382" s="691"/>
      <c r="K382" s="728"/>
      <c r="L382" s="341"/>
      <c r="M382" s="341"/>
      <c r="N382" s="692"/>
      <c r="O382" s="728"/>
      <c r="P382" s="341"/>
      <c r="Q382" s="360"/>
      <c r="R382" s="692"/>
      <c r="S382" s="341"/>
      <c r="T382" s="341"/>
      <c r="U382" s="341"/>
      <c r="V382" s="692"/>
      <c r="W382" s="692"/>
      <c r="X382"/>
      <c r="Y382"/>
    </row>
    <row r="383" spans="2:25" ht="16">
      <c r="B383" s="67"/>
      <c r="H383" s="345">
        <v>44218</v>
      </c>
      <c r="I383" s="345"/>
      <c r="J383" s="691"/>
      <c r="K383" s="728"/>
      <c r="L383" s="341"/>
      <c r="M383" s="341"/>
      <c r="N383" s="692"/>
      <c r="O383" s="728"/>
      <c r="P383" s="341"/>
      <c r="Q383" s="360"/>
      <c r="R383" s="692"/>
      <c r="S383" s="341"/>
      <c r="T383" s="341"/>
      <c r="U383" s="341"/>
      <c r="V383" s="692"/>
      <c r="W383" s="692"/>
      <c r="X383"/>
      <c r="Y383"/>
    </row>
    <row r="384" spans="2:25" ht="16">
      <c r="B384" s="67"/>
      <c r="I384" s="3" t="s">
        <v>59</v>
      </c>
      <c r="J384" s="691">
        <v>184</v>
      </c>
      <c r="K384" s="728">
        <v>6990.417218934911</v>
      </c>
      <c r="L384" s="341">
        <v>1</v>
      </c>
      <c r="M384" s="341">
        <v>19.9377</v>
      </c>
      <c r="N384" s="692">
        <v>139372.84138595857</v>
      </c>
      <c r="O384" s="728">
        <v>6658.2607471264364</v>
      </c>
      <c r="P384" s="341">
        <v>1</v>
      </c>
      <c r="Q384" s="360">
        <v>19.5793</v>
      </c>
      <c r="R384" s="692">
        <v>130364.08464621264</v>
      </c>
      <c r="S384" s="341">
        <v>110.21</v>
      </c>
      <c r="T384" s="341">
        <v>120.15900000000001</v>
      </c>
      <c r="U384" s="341">
        <v>1.0902000000000001</v>
      </c>
      <c r="V384" s="692">
        <v>142122.92508130101</v>
      </c>
      <c r="W384" s="692">
        <v>-2750.0836953424441</v>
      </c>
      <c r="X384"/>
      <c r="Y384"/>
    </row>
    <row r="385" spans="2:25" ht="16">
      <c r="J385" s="691"/>
      <c r="K385" s="728"/>
      <c r="L385" s="341"/>
      <c r="M385" s="341"/>
      <c r="N385" s="692"/>
      <c r="O385" s="728"/>
      <c r="P385" s="341"/>
      <c r="Q385" s="360"/>
      <c r="R385" s="692"/>
      <c r="S385" s="341"/>
      <c r="T385" s="341"/>
      <c r="U385" s="341"/>
      <c r="V385" s="692"/>
      <c r="W385" s="692"/>
      <c r="X385"/>
      <c r="Y385"/>
    </row>
    <row r="386" spans="2:25" ht="16">
      <c r="B386" s="67"/>
      <c r="H386" s="345">
        <v>43957</v>
      </c>
      <c r="I386" s="345"/>
      <c r="J386" s="691"/>
      <c r="K386" s="728"/>
      <c r="L386" s="341"/>
      <c r="M386" s="341"/>
      <c r="N386" s="692"/>
      <c r="O386" s="728"/>
      <c r="P386" s="341"/>
      <c r="Q386" s="360"/>
      <c r="R386" s="692"/>
      <c r="S386" s="341"/>
      <c r="T386" s="341"/>
      <c r="U386" s="341"/>
      <c r="V386" s="692"/>
      <c r="W386" s="692"/>
      <c r="X386"/>
      <c r="Y386"/>
    </row>
    <row r="387" spans="2:25" ht="16">
      <c r="B387" s="67"/>
      <c r="I387" s="3" t="s">
        <v>59</v>
      </c>
      <c r="J387" s="691">
        <v>1115</v>
      </c>
      <c r="K387" s="728">
        <v>42360.408690828401</v>
      </c>
      <c r="L387" s="341">
        <v>1</v>
      </c>
      <c r="M387" s="341">
        <v>19.9377</v>
      </c>
      <c r="N387" s="692">
        <v>844569.12035512936</v>
      </c>
      <c r="O387" s="728">
        <v>36920.439059876888</v>
      </c>
      <c r="P387" s="341">
        <v>1</v>
      </c>
      <c r="Q387" s="360">
        <v>24.3812</v>
      </c>
      <c r="R387" s="692">
        <v>900164.60880667041</v>
      </c>
      <c r="S387" s="341">
        <v>106.16200000000001</v>
      </c>
      <c r="T387" s="341">
        <v>120.15900000000001</v>
      </c>
      <c r="U387" s="341">
        <v>1.1317999999999999</v>
      </c>
      <c r="V387" s="692">
        <v>1018806.3042473895</v>
      </c>
      <c r="W387" s="692">
        <v>-174237.18389226019</v>
      </c>
      <c r="X387"/>
      <c r="Y387"/>
    </row>
    <row r="388" spans="2:25" ht="16">
      <c r="J388" s="691"/>
      <c r="K388" s="728"/>
      <c r="L388" s="341"/>
      <c r="M388" s="341"/>
      <c r="N388" s="692"/>
      <c r="O388" s="728"/>
      <c r="P388" s="341"/>
      <c r="Q388" s="360"/>
      <c r="R388" s="692"/>
      <c r="S388" s="341"/>
      <c r="T388" s="341"/>
      <c r="U388" s="341"/>
      <c r="V388" s="692"/>
      <c r="W388" s="692"/>
      <c r="X388"/>
      <c r="Y388"/>
    </row>
    <row r="389" spans="2:25" ht="16">
      <c r="B389" s="67"/>
      <c r="H389" s="345">
        <v>43985</v>
      </c>
      <c r="I389" s="345"/>
      <c r="J389" s="691"/>
      <c r="K389" s="728"/>
      <c r="L389" s="341"/>
      <c r="M389" s="341"/>
      <c r="N389" s="692"/>
      <c r="O389" s="728"/>
      <c r="P389" s="341"/>
      <c r="Q389" s="360"/>
      <c r="R389" s="692"/>
      <c r="S389" s="341"/>
      <c r="T389" s="341"/>
      <c r="U389" s="341"/>
      <c r="V389" s="692"/>
      <c r="W389" s="692"/>
      <c r="X389"/>
      <c r="Y389"/>
    </row>
    <row r="390" spans="2:25" ht="16">
      <c r="B390" s="67"/>
      <c r="I390" s="3" t="s">
        <v>59</v>
      </c>
      <c r="J390" s="691">
        <v>53</v>
      </c>
      <c r="K390" s="728">
        <v>2013.5440902366863</v>
      </c>
      <c r="L390" s="341">
        <v>1</v>
      </c>
      <c r="M390" s="341">
        <v>19.9377</v>
      </c>
      <c r="N390" s="692">
        <v>40145.43800791198</v>
      </c>
      <c r="O390" s="728">
        <v>1770.86</v>
      </c>
      <c r="P390" s="341">
        <v>1</v>
      </c>
      <c r="Q390" s="360">
        <v>22.0168</v>
      </c>
      <c r="R390" s="692">
        <v>38988.670447999997</v>
      </c>
      <c r="S390" s="341">
        <v>106.74299999999999</v>
      </c>
      <c r="T390" s="341">
        <v>120.15900000000001</v>
      </c>
      <c r="U390" s="341">
        <v>1.1255999999999999</v>
      </c>
      <c r="V390" s="692">
        <v>43885.647456268794</v>
      </c>
      <c r="W390" s="692">
        <v>-3740.2094483568144</v>
      </c>
      <c r="X390"/>
      <c r="Y390"/>
    </row>
    <row r="391" spans="2:25" ht="16">
      <c r="J391" s="691"/>
      <c r="K391" s="728"/>
      <c r="L391" s="341"/>
      <c r="M391" s="341"/>
      <c r="N391" s="692"/>
      <c r="O391" s="728"/>
      <c r="P391" s="341"/>
      <c r="Q391" s="360"/>
      <c r="R391" s="692"/>
      <c r="S391" s="341"/>
      <c r="T391" s="341"/>
      <c r="U391" s="341"/>
      <c r="V391" s="692"/>
      <c r="W391" s="692"/>
      <c r="X391"/>
      <c r="Y391"/>
    </row>
    <row r="392" spans="2:25" ht="16">
      <c r="B392" s="67"/>
      <c r="F392" s="344">
        <v>44862</v>
      </c>
      <c r="G392" s="344"/>
      <c r="H392" s="344"/>
      <c r="I392" s="344"/>
      <c r="J392" s="691"/>
      <c r="K392" s="728"/>
      <c r="L392" s="341"/>
      <c r="M392" s="341"/>
      <c r="N392" s="692"/>
      <c r="O392" s="728"/>
      <c r="P392" s="341"/>
      <c r="Q392" s="360"/>
      <c r="R392" s="692"/>
      <c r="S392" s="341"/>
      <c r="T392" s="341"/>
      <c r="U392" s="341"/>
      <c r="V392" s="692"/>
      <c r="W392" s="692"/>
      <c r="X392"/>
      <c r="Y392"/>
    </row>
    <row r="393" spans="2:25" ht="16">
      <c r="B393" s="67"/>
      <c r="G393" s="3" t="s">
        <v>59</v>
      </c>
      <c r="H393" s="3"/>
      <c r="I393" s="3"/>
      <c r="J393" s="691"/>
      <c r="K393" s="728"/>
      <c r="L393" s="341"/>
      <c r="M393" s="341"/>
      <c r="N393" s="692"/>
      <c r="O393" s="728"/>
      <c r="P393" s="341"/>
      <c r="Q393" s="360"/>
      <c r="R393" s="692"/>
      <c r="S393" s="341"/>
      <c r="T393" s="341"/>
      <c r="U393" s="341"/>
      <c r="V393" s="692"/>
      <c r="W393" s="692"/>
      <c r="X393"/>
      <c r="Y393"/>
    </row>
    <row r="394" spans="2:25" ht="16">
      <c r="B394" s="67"/>
      <c r="H394" s="345">
        <v>44218</v>
      </c>
      <c r="I394" s="345"/>
      <c r="J394" s="691"/>
      <c r="K394" s="728"/>
      <c r="L394" s="341"/>
      <c r="M394" s="341"/>
      <c r="N394" s="692"/>
      <c r="O394" s="728"/>
      <c r="P394" s="341"/>
      <c r="Q394" s="360"/>
      <c r="R394" s="692"/>
      <c r="S394" s="341"/>
      <c r="T394" s="341"/>
      <c r="U394" s="341"/>
      <c r="V394" s="692"/>
      <c r="W394" s="692"/>
      <c r="X394"/>
      <c r="Y394"/>
    </row>
    <row r="395" spans="2:25" ht="16">
      <c r="B395" s="67"/>
      <c r="I395" s="3" t="s">
        <v>59</v>
      </c>
      <c r="J395" s="691">
        <v>3992</v>
      </c>
      <c r="K395" s="728">
        <v>127740.00800000002</v>
      </c>
      <c r="L395" s="341">
        <v>1</v>
      </c>
      <c r="M395" s="341">
        <v>19.8553</v>
      </c>
      <c r="N395" s="692">
        <v>2536316.1808424001</v>
      </c>
      <c r="O395" s="728">
        <v>144455.30925287356</v>
      </c>
      <c r="P395" s="341">
        <v>1</v>
      </c>
      <c r="Q395" s="360">
        <v>19.5793</v>
      </c>
      <c r="R395" s="692">
        <v>2828333.8364547873</v>
      </c>
      <c r="S395" s="341">
        <v>110.21</v>
      </c>
      <c r="T395" s="341">
        <v>124.571</v>
      </c>
      <c r="U395" s="341">
        <v>1.1303000000000001</v>
      </c>
      <c r="V395" s="692">
        <v>3196865.7353448463</v>
      </c>
      <c r="W395" s="692">
        <v>-660549.5545024462</v>
      </c>
      <c r="X395"/>
      <c r="Y395"/>
    </row>
    <row r="396" spans="2:25" ht="16">
      <c r="J396" s="691"/>
      <c r="K396" s="728"/>
      <c r="L396" s="341"/>
      <c r="M396" s="341"/>
      <c r="N396" s="692"/>
      <c r="O396" s="728"/>
      <c r="P396" s="341"/>
      <c r="Q396" s="360"/>
      <c r="R396" s="692"/>
      <c r="S396" s="341"/>
      <c r="T396" s="341"/>
      <c r="U396" s="341"/>
      <c r="V396" s="692"/>
      <c r="W396" s="692"/>
      <c r="X396"/>
      <c r="Y396"/>
    </row>
    <row r="397" spans="2:25" ht="16">
      <c r="B397" s="67"/>
      <c r="H397" s="345">
        <v>44293</v>
      </c>
      <c r="I397" s="345"/>
      <c r="J397" s="691"/>
      <c r="K397" s="728"/>
      <c r="L397" s="341"/>
      <c r="M397" s="341"/>
      <c r="N397" s="692"/>
      <c r="O397" s="728"/>
      <c r="P397" s="341"/>
      <c r="Q397" s="360"/>
      <c r="R397" s="692"/>
      <c r="S397" s="341"/>
      <c r="T397" s="341"/>
      <c r="U397" s="341"/>
      <c r="V397" s="692"/>
      <c r="W397" s="692"/>
      <c r="X397"/>
      <c r="Y397"/>
    </row>
    <row r="398" spans="2:25" ht="16">
      <c r="B398" s="67"/>
      <c r="I398" s="3" t="s">
        <v>59</v>
      </c>
      <c r="J398" s="691">
        <v>1516</v>
      </c>
      <c r="K398" s="728">
        <v>48510.484000000004</v>
      </c>
      <c r="L398" s="341">
        <v>1</v>
      </c>
      <c r="M398" s="341">
        <v>19.8553</v>
      </c>
      <c r="N398" s="692">
        <v>963190.21296520007</v>
      </c>
      <c r="O398" s="728">
        <v>51470.171577934576</v>
      </c>
      <c r="P398" s="341">
        <v>1</v>
      </c>
      <c r="Q398" s="360">
        <v>20.2483</v>
      </c>
      <c r="R398" s="692">
        <v>1042183.4751614927</v>
      </c>
      <c r="S398" s="341">
        <v>112.19</v>
      </c>
      <c r="T398" s="341">
        <v>124.571</v>
      </c>
      <c r="U398" s="341">
        <v>1.1103000000000001</v>
      </c>
      <c r="V398" s="692">
        <v>1157136.3124718054</v>
      </c>
      <c r="W398" s="692">
        <v>-193946.0995066053</v>
      </c>
      <c r="X398"/>
      <c r="Y398"/>
    </row>
    <row r="399" spans="2:25" ht="16">
      <c r="J399" s="691"/>
      <c r="K399" s="728"/>
      <c r="L399" s="341"/>
      <c r="M399" s="341"/>
      <c r="N399" s="692"/>
      <c r="O399" s="728"/>
      <c r="P399" s="341"/>
      <c r="Q399" s="360"/>
      <c r="R399" s="692"/>
      <c r="S399" s="341"/>
      <c r="T399" s="341"/>
      <c r="U399" s="341"/>
      <c r="V399" s="692"/>
      <c r="W399" s="692"/>
      <c r="X399"/>
      <c r="Y399"/>
    </row>
    <row r="400" spans="2:25" ht="16">
      <c r="B400" s="67"/>
      <c r="H400" s="345">
        <v>44231</v>
      </c>
      <c r="I400" s="345"/>
      <c r="J400" s="691"/>
      <c r="K400" s="728"/>
      <c r="L400" s="341"/>
      <c r="M400" s="341"/>
      <c r="N400" s="692"/>
      <c r="O400" s="728"/>
      <c r="P400" s="341"/>
      <c r="Q400" s="360"/>
      <c r="R400" s="692"/>
      <c r="S400" s="341"/>
      <c r="T400" s="341"/>
      <c r="U400" s="341"/>
      <c r="V400" s="692"/>
      <c r="W400" s="692"/>
      <c r="X400"/>
      <c r="Y400"/>
    </row>
    <row r="401" spans="2:25" ht="16">
      <c r="B401" s="67"/>
      <c r="I401" s="3" t="s">
        <v>59</v>
      </c>
      <c r="J401" s="691">
        <v>102</v>
      </c>
      <c r="K401" s="728">
        <v>3263.8980000000001</v>
      </c>
      <c r="L401" s="341">
        <v>1</v>
      </c>
      <c r="M401" s="341">
        <v>19.8553</v>
      </c>
      <c r="N401" s="692">
        <v>64805.673959400003</v>
      </c>
      <c r="O401" s="728">
        <v>3562.3200000000006</v>
      </c>
      <c r="P401" s="341">
        <v>1</v>
      </c>
      <c r="Q401" s="360">
        <v>20.1722</v>
      </c>
      <c r="R401" s="692">
        <v>71859.831504000016</v>
      </c>
      <c r="S401" s="341">
        <v>110.907</v>
      </c>
      <c r="T401" s="341">
        <v>124.571</v>
      </c>
      <c r="U401" s="341">
        <v>1.1232</v>
      </c>
      <c r="V401" s="692">
        <v>80712.962745292811</v>
      </c>
      <c r="W401" s="692">
        <v>-15907.288785892808</v>
      </c>
      <c r="X401"/>
      <c r="Y401"/>
    </row>
    <row r="402" spans="2:25" ht="16">
      <c r="J402" s="691"/>
      <c r="K402" s="728"/>
      <c r="L402" s="341"/>
      <c r="M402" s="341"/>
      <c r="N402" s="692"/>
      <c r="O402" s="728"/>
      <c r="P402" s="341"/>
      <c r="Q402" s="360"/>
      <c r="R402" s="692"/>
      <c r="S402" s="341"/>
      <c r="T402" s="341"/>
      <c r="U402" s="341"/>
      <c r="V402" s="692"/>
      <c r="W402" s="692"/>
      <c r="X402"/>
      <c r="Y402"/>
    </row>
    <row r="403" spans="2:25" ht="16">
      <c r="B403" s="67"/>
      <c r="F403" s="344">
        <v>44897</v>
      </c>
      <c r="G403" s="344"/>
      <c r="H403" s="344"/>
      <c r="I403" s="344"/>
      <c r="J403" s="691"/>
      <c r="K403" s="728"/>
      <c r="L403" s="341"/>
      <c r="M403" s="341"/>
      <c r="N403" s="692"/>
      <c r="O403" s="728"/>
      <c r="P403" s="341"/>
      <c r="Q403" s="360"/>
      <c r="R403" s="692"/>
      <c r="S403" s="341"/>
      <c r="T403" s="341"/>
      <c r="U403" s="341"/>
      <c r="V403" s="692"/>
      <c r="W403" s="692"/>
      <c r="X403"/>
      <c r="Y403"/>
    </row>
    <row r="404" spans="2:25" ht="16">
      <c r="B404" s="67"/>
      <c r="G404" s="3" t="s">
        <v>59</v>
      </c>
      <c r="H404" s="3"/>
      <c r="I404" s="3"/>
      <c r="J404" s="691"/>
      <c r="K404" s="728"/>
      <c r="L404" s="341"/>
      <c r="M404" s="341"/>
      <c r="N404" s="692"/>
      <c r="O404" s="728"/>
      <c r="P404" s="341"/>
      <c r="Q404" s="360"/>
      <c r="R404" s="692"/>
      <c r="S404" s="341"/>
      <c r="T404" s="341"/>
      <c r="U404" s="341"/>
      <c r="V404" s="692"/>
      <c r="W404" s="692"/>
      <c r="X404"/>
      <c r="Y404"/>
    </row>
    <row r="405" spans="2:25" ht="16">
      <c r="B405" s="67"/>
      <c r="H405" s="345">
        <v>44293</v>
      </c>
      <c r="I405" s="345"/>
      <c r="J405" s="691"/>
      <c r="K405" s="728"/>
      <c r="L405" s="341"/>
      <c r="M405" s="341"/>
      <c r="N405" s="692"/>
      <c r="O405" s="728"/>
      <c r="P405" s="341"/>
      <c r="Q405" s="360"/>
      <c r="R405" s="692"/>
      <c r="S405" s="341"/>
      <c r="T405" s="341"/>
      <c r="U405" s="341"/>
      <c r="V405" s="692"/>
      <c r="W405" s="692"/>
      <c r="X405"/>
      <c r="Y405"/>
    </row>
    <row r="406" spans="2:25" ht="16">
      <c r="B406" s="67"/>
      <c r="I406" s="3" t="s">
        <v>59</v>
      </c>
      <c r="J406" s="691">
        <v>4720</v>
      </c>
      <c r="K406" s="728">
        <v>163804.29685352623</v>
      </c>
      <c r="L406" s="341">
        <v>1</v>
      </c>
      <c r="M406" s="341">
        <v>19.3965</v>
      </c>
      <c r="N406" s="692">
        <v>3177230.0439194217</v>
      </c>
      <c r="O406" s="728">
        <v>160250.13842206541</v>
      </c>
      <c r="P406" s="341">
        <v>1</v>
      </c>
      <c r="Q406" s="360">
        <v>20.2483</v>
      </c>
      <c r="R406" s="692">
        <v>3244792.8778115073</v>
      </c>
      <c r="S406" s="341">
        <v>112.19</v>
      </c>
      <c r="T406" s="341">
        <v>125.997</v>
      </c>
      <c r="U406" s="341">
        <v>1.123</v>
      </c>
      <c r="V406" s="692">
        <v>3643902.4017823227</v>
      </c>
      <c r="W406" s="692">
        <v>-466672.35786290094</v>
      </c>
      <c r="X406"/>
      <c r="Y406"/>
    </row>
    <row r="407" spans="2:25" ht="16">
      <c r="J407" s="691"/>
      <c r="K407" s="728"/>
      <c r="L407" s="341"/>
      <c r="M407" s="341"/>
      <c r="N407" s="692"/>
      <c r="O407" s="728"/>
      <c r="P407" s="341"/>
      <c r="Q407" s="360"/>
      <c r="R407" s="692"/>
      <c r="S407" s="341"/>
      <c r="T407" s="341"/>
      <c r="U407" s="341"/>
      <c r="V407" s="692"/>
      <c r="W407" s="692"/>
      <c r="X407"/>
      <c r="Y407"/>
    </row>
    <row r="408" spans="2:25" ht="16">
      <c r="B408" s="67"/>
      <c r="H408" s="345">
        <v>44370</v>
      </c>
      <c r="I408" s="345"/>
      <c r="J408" s="691"/>
      <c r="K408" s="728"/>
      <c r="L408" s="341"/>
      <c r="M408" s="341"/>
      <c r="N408" s="692"/>
      <c r="O408" s="728"/>
      <c r="P408" s="341"/>
      <c r="Q408" s="360"/>
      <c r="R408" s="692"/>
      <c r="S408" s="341"/>
      <c r="T408" s="341"/>
      <c r="U408" s="341"/>
      <c r="V408" s="692"/>
      <c r="W408" s="692"/>
      <c r="X408"/>
      <c r="Y408"/>
    </row>
    <row r="409" spans="2:25" ht="16">
      <c r="B409" s="67"/>
      <c r="I409" s="3" t="s">
        <v>59</v>
      </c>
      <c r="J409" s="691">
        <v>139</v>
      </c>
      <c r="K409" s="728">
        <v>4823.8977251356246</v>
      </c>
      <c r="L409" s="341">
        <v>1</v>
      </c>
      <c r="M409" s="341">
        <v>19.3965</v>
      </c>
      <c r="N409" s="692">
        <v>93566.732225593136</v>
      </c>
      <c r="O409" s="728">
        <v>4864.8599999999997</v>
      </c>
      <c r="P409" s="341">
        <v>1</v>
      </c>
      <c r="Q409" s="360">
        <v>20.6</v>
      </c>
      <c r="R409" s="692">
        <v>100216.11599999999</v>
      </c>
      <c r="S409" s="341">
        <v>113.018</v>
      </c>
      <c r="T409" s="341">
        <v>125.997</v>
      </c>
      <c r="U409" s="341">
        <v>1.1148</v>
      </c>
      <c r="V409" s="692">
        <v>111720.92611679999</v>
      </c>
      <c r="W409" s="692">
        <v>-18154.193891206858</v>
      </c>
      <c r="X409"/>
      <c r="Y409"/>
    </row>
    <row r="410" spans="2:25" ht="16">
      <c r="J410" s="691"/>
      <c r="K410" s="728"/>
      <c r="L410" s="341"/>
      <c r="M410" s="341"/>
      <c r="N410" s="692"/>
      <c r="O410" s="728"/>
      <c r="P410" s="341"/>
      <c r="Q410" s="360"/>
      <c r="R410" s="692"/>
      <c r="S410" s="341"/>
      <c r="T410" s="341"/>
      <c r="U410" s="341"/>
      <c r="V410" s="692"/>
      <c r="W410" s="692"/>
      <c r="X410"/>
      <c r="Y410"/>
    </row>
    <row r="411" spans="2:25" ht="16">
      <c r="B411" s="67"/>
      <c r="H411" s="345">
        <v>44441</v>
      </c>
      <c r="I411" s="345"/>
      <c r="J411" s="691"/>
      <c r="K411" s="728"/>
      <c r="L411" s="341"/>
      <c r="M411" s="341"/>
      <c r="N411" s="692"/>
      <c r="O411" s="728"/>
      <c r="P411" s="341"/>
      <c r="Q411" s="360"/>
      <c r="R411" s="692"/>
      <c r="S411" s="341"/>
      <c r="T411" s="341"/>
      <c r="U411" s="341"/>
      <c r="V411" s="692"/>
      <c r="W411" s="692"/>
      <c r="X411"/>
      <c r="Y411"/>
    </row>
    <row r="412" spans="2:25" ht="16">
      <c r="B412" s="67"/>
      <c r="I412" s="3" t="s">
        <v>59</v>
      </c>
      <c r="J412" s="691">
        <v>201</v>
      </c>
      <c r="K412" s="728">
        <v>6975.5643363471982</v>
      </c>
      <c r="L412" s="341">
        <v>1</v>
      </c>
      <c r="M412" s="341">
        <v>19.3965</v>
      </c>
      <c r="N412" s="692">
        <v>135301.53364995844</v>
      </c>
      <c r="O412" s="728">
        <v>7110.8600000000006</v>
      </c>
      <c r="P412" s="341">
        <v>1</v>
      </c>
      <c r="Q412" s="360">
        <v>20.060500000000001</v>
      </c>
      <c r="R412" s="692">
        <v>142647.40703000003</v>
      </c>
      <c r="S412" s="341">
        <v>114.601</v>
      </c>
      <c r="T412" s="341">
        <v>125.997</v>
      </c>
      <c r="U412" s="341">
        <v>1.0993999999999999</v>
      </c>
      <c r="V412" s="692">
        <v>156826.55928878204</v>
      </c>
      <c r="W412" s="692">
        <v>-21525.025638823601</v>
      </c>
      <c r="X412"/>
      <c r="Y412"/>
    </row>
    <row r="413" spans="2:25" ht="16">
      <c r="J413" s="691"/>
      <c r="K413" s="728"/>
      <c r="L413" s="341"/>
      <c r="M413" s="341"/>
      <c r="N413" s="692"/>
      <c r="O413" s="728"/>
      <c r="P413" s="341"/>
      <c r="Q413" s="360"/>
      <c r="R413" s="692"/>
      <c r="S413" s="341"/>
      <c r="T413" s="341"/>
      <c r="U413" s="341"/>
      <c r="V413" s="692"/>
      <c r="W413" s="692"/>
      <c r="X413"/>
      <c r="Y413"/>
    </row>
    <row r="414" spans="2:25" ht="16">
      <c r="B414" s="67"/>
      <c r="H414" s="345">
        <v>44491</v>
      </c>
      <c r="I414" s="345"/>
      <c r="J414" s="691"/>
      <c r="K414" s="728"/>
      <c r="L414" s="341"/>
      <c r="M414" s="341"/>
      <c r="N414" s="692"/>
      <c r="O414" s="728"/>
      <c r="P414" s="341"/>
      <c r="Q414" s="360"/>
      <c r="R414" s="692"/>
      <c r="S414" s="341"/>
      <c r="T414" s="341"/>
      <c r="U414" s="341"/>
      <c r="V414" s="692"/>
      <c r="W414" s="692"/>
      <c r="X414"/>
      <c r="Y414"/>
    </row>
    <row r="415" spans="2:25" ht="16">
      <c r="B415" s="67"/>
      <c r="I415" s="3" t="s">
        <v>59</v>
      </c>
      <c r="J415" s="691">
        <v>100</v>
      </c>
      <c r="K415" s="728">
        <v>3470.4300180831829</v>
      </c>
      <c r="L415" s="341">
        <v>1</v>
      </c>
      <c r="M415" s="341">
        <v>19.3965</v>
      </c>
      <c r="N415" s="692">
        <v>67314.195845750452</v>
      </c>
      <c r="O415" s="728">
        <v>3528.99</v>
      </c>
      <c r="P415" s="341">
        <v>1</v>
      </c>
      <c r="Q415" s="360">
        <v>20.184999999999999</v>
      </c>
      <c r="R415" s="692">
        <v>71232.663149999993</v>
      </c>
      <c r="S415" s="341">
        <v>115.56100000000001</v>
      </c>
      <c r="T415" s="341">
        <v>125.997</v>
      </c>
      <c r="U415" s="341">
        <v>1.0903</v>
      </c>
      <c r="V415" s="692">
        <v>77664.972632445002</v>
      </c>
      <c r="W415" s="692">
        <v>-10350.776786694551</v>
      </c>
      <c r="X415"/>
      <c r="Y415"/>
    </row>
    <row r="416" spans="2:25" ht="16">
      <c r="J416" s="691"/>
      <c r="K416" s="728"/>
      <c r="L416" s="341"/>
      <c r="M416" s="341"/>
      <c r="N416" s="692"/>
      <c r="O416" s="728"/>
      <c r="P416" s="341"/>
      <c r="Q416" s="360"/>
      <c r="R416" s="692"/>
      <c r="S416" s="341"/>
      <c r="T416" s="341"/>
      <c r="U416" s="341"/>
      <c r="V416" s="692"/>
      <c r="W416" s="692"/>
      <c r="X416"/>
      <c r="Y416"/>
    </row>
    <row r="417" spans="2:25" ht="16">
      <c r="B417" s="67"/>
      <c r="H417" s="345">
        <v>44603</v>
      </c>
      <c r="I417" s="345"/>
      <c r="J417" s="691"/>
      <c r="K417" s="728"/>
      <c r="L417" s="341"/>
      <c r="M417" s="341"/>
      <c r="N417" s="692"/>
      <c r="O417" s="728"/>
      <c r="P417" s="341"/>
      <c r="Q417" s="360"/>
      <c r="R417" s="692"/>
      <c r="S417" s="341"/>
      <c r="T417" s="341"/>
      <c r="U417" s="341"/>
      <c r="V417" s="692"/>
      <c r="W417" s="692"/>
      <c r="X417"/>
      <c r="Y417"/>
    </row>
    <row r="418" spans="2:25" ht="16">
      <c r="B418" s="67"/>
      <c r="I418" s="3" t="s">
        <v>59</v>
      </c>
      <c r="J418" s="691">
        <v>370</v>
      </c>
      <c r="K418" s="728">
        <v>12840.591066907777</v>
      </c>
      <c r="L418" s="341">
        <v>1</v>
      </c>
      <c r="M418" s="341">
        <v>19.3965</v>
      </c>
      <c r="N418" s="692">
        <v>249062.52462927668</v>
      </c>
      <c r="O418" s="728">
        <v>13181.065348399246</v>
      </c>
      <c r="P418" s="341">
        <v>1</v>
      </c>
      <c r="Q418" s="360">
        <v>20.500800000000002</v>
      </c>
      <c r="R418" s="692">
        <v>270222.38449446327</v>
      </c>
      <c r="S418" s="341">
        <v>118.98099999999999</v>
      </c>
      <c r="T418" s="341">
        <v>125.997</v>
      </c>
      <c r="U418" s="341">
        <v>1.0589</v>
      </c>
      <c r="V418" s="692">
        <v>286138.48294118716</v>
      </c>
      <c r="W418" s="692">
        <v>-37075.958311910479</v>
      </c>
      <c r="X418"/>
      <c r="Y418"/>
    </row>
    <row r="419" spans="2:25" ht="16">
      <c r="J419" s="691"/>
      <c r="K419" s="728"/>
      <c r="L419" s="341"/>
      <c r="M419" s="341"/>
      <c r="N419" s="692"/>
      <c r="O419" s="728"/>
      <c r="P419" s="341"/>
      <c r="Q419" s="360"/>
      <c r="R419" s="692"/>
      <c r="S419" s="341"/>
      <c r="T419" s="341"/>
      <c r="U419" s="341"/>
      <c r="V419" s="692"/>
      <c r="W419" s="692"/>
      <c r="X419"/>
      <c r="Y419"/>
    </row>
    <row r="420" spans="2:25" ht="16">
      <c r="B420" s="67"/>
      <c r="E420" s="131" t="s">
        <v>879</v>
      </c>
      <c r="F420" s="131"/>
      <c r="G420" s="131"/>
      <c r="H420" s="131"/>
      <c r="I420" s="131"/>
      <c r="J420" s="729">
        <v>12492</v>
      </c>
      <c r="K420" s="730">
        <v>422793.5400000001</v>
      </c>
      <c r="L420" s="366">
        <v>1</v>
      </c>
      <c r="M420" s="374">
        <v>19.669227272727273</v>
      </c>
      <c r="N420" s="704">
        <v>8310874.4977859994</v>
      </c>
      <c r="O420" s="730">
        <v>433773.27440827608</v>
      </c>
      <c r="P420" s="366">
        <v>1</v>
      </c>
      <c r="Q420" s="374">
        <v>20.688336363636363</v>
      </c>
      <c r="R420" s="704">
        <v>8841005.9555071332</v>
      </c>
      <c r="S420" s="366">
        <v>111.88845454545456</v>
      </c>
      <c r="T420" s="366">
        <v>124.0159090909091</v>
      </c>
      <c r="U420" s="366">
        <v>1.1088909090909089</v>
      </c>
      <c r="V420" s="704">
        <v>9915783.2301084418</v>
      </c>
      <c r="W420" s="704">
        <v>-1604908.7323224402</v>
      </c>
      <c r="X420"/>
      <c r="Y420"/>
    </row>
    <row r="421" spans="2:25" ht="16">
      <c r="J421" s="691"/>
      <c r="K421" s="728"/>
      <c r="L421" s="341"/>
      <c r="M421" s="341"/>
      <c r="N421" s="692"/>
      <c r="O421" s="728"/>
      <c r="P421" s="341"/>
      <c r="Q421" s="360"/>
      <c r="R421" s="692"/>
      <c r="S421" s="341"/>
      <c r="T421" s="341"/>
      <c r="U421" s="341"/>
      <c r="V421" s="692"/>
      <c r="W421" s="692"/>
      <c r="X421"/>
      <c r="Y421"/>
    </row>
    <row r="422" spans="2:25" ht="16">
      <c r="B422" s="67"/>
      <c r="E422" s="1" t="s">
        <v>720</v>
      </c>
      <c r="J422" s="691"/>
      <c r="K422" s="728"/>
      <c r="L422" s="341"/>
      <c r="M422" s="341"/>
      <c r="N422" s="692"/>
      <c r="O422" s="728"/>
      <c r="P422" s="341"/>
      <c r="Q422" s="360"/>
      <c r="R422" s="692"/>
      <c r="S422" s="341"/>
      <c r="T422" s="341"/>
      <c r="U422" s="341"/>
      <c r="V422" s="692"/>
      <c r="W422" s="692"/>
      <c r="X422"/>
      <c r="Y422"/>
    </row>
    <row r="423" spans="2:25" ht="16">
      <c r="B423" s="67"/>
      <c r="F423" s="344">
        <v>44603</v>
      </c>
      <c r="G423" s="344"/>
      <c r="H423" s="344"/>
      <c r="I423" s="344"/>
      <c r="J423" s="691"/>
      <c r="K423" s="728"/>
      <c r="L423" s="341"/>
      <c r="M423" s="341"/>
      <c r="N423" s="692"/>
      <c r="O423" s="728"/>
      <c r="P423" s="341"/>
      <c r="Q423" s="360"/>
      <c r="R423" s="692"/>
      <c r="S423" s="341"/>
      <c r="T423" s="341"/>
      <c r="U423" s="341"/>
      <c r="V423" s="692"/>
      <c r="W423" s="692"/>
      <c r="X423"/>
      <c r="Y423"/>
    </row>
    <row r="424" spans="2:25" ht="16">
      <c r="B424" s="67"/>
      <c r="G424" s="3" t="s">
        <v>59</v>
      </c>
      <c r="H424" s="3"/>
      <c r="I424" s="3"/>
      <c r="J424" s="691"/>
      <c r="K424" s="728"/>
      <c r="L424" s="341"/>
      <c r="M424" s="341"/>
      <c r="N424" s="692"/>
      <c r="O424" s="728"/>
      <c r="P424" s="341"/>
      <c r="Q424" s="360"/>
      <c r="R424" s="692"/>
      <c r="S424" s="341"/>
      <c r="T424" s="341"/>
      <c r="U424" s="341"/>
      <c r="V424" s="692"/>
      <c r="W424" s="692"/>
      <c r="X424"/>
      <c r="Y424"/>
    </row>
    <row r="425" spans="2:25" ht="16">
      <c r="B425" s="67"/>
      <c r="H425" s="345">
        <v>44293</v>
      </c>
      <c r="I425" s="345"/>
      <c r="J425" s="691"/>
      <c r="K425" s="728"/>
      <c r="L425" s="341"/>
      <c r="M425" s="341"/>
      <c r="N425" s="692"/>
      <c r="O425" s="728"/>
      <c r="P425" s="341"/>
      <c r="Q425" s="360"/>
      <c r="R425" s="692"/>
      <c r="S425" s="341"/>
      <c r="T425" s="341"/>
      <c r="U425" s="341"/>
      <c r="V425" s="692"/>
      <c r="W425" s="692"/>
      <c r="X425"/>
      <c r="Y425"/>
    </row>
    <row r="426" spans="2:25" ht="16">
      <c r="B426" s="67"/>
      <c r="I426" s="3" t="s">
        <v>59</v>
      </c>
      <c r="J426" s="691">
        <v>125933</v>
      </c>
      <c r="K426" s="728">
        <v>701799.41994617216</v>
      </c>
      <c r="L426" s="341">
        <v>1</v>
      </c>
      <c r="M426" s="341">
        <v>20.500800000000002</v>
      </c>
      <c r="N426" s="692">
        <v>14387449.548432488</v>
      </c>
      <c r="O426" s="728">
        <v>722062.04</v>
      </c>
      <c r="P426" s="341">
        <v>1</v>
      </c>
      <c r="Q426" s="360">
        <v>20.2483</v>
      </c>
      <c r="R426" s="692">
        <v>14620528.804532001</v>
      </c>
      <c r="S426" s="341">
        <v>112.19</v>
      </c>
      <c r="T426" s="341">
        <v>118.002</v>
      </c>
      <c r="U426" s="341">
        <v>1.0518000000000001</v>
      </c>
      <c r="V426" s="692">
        <v>15377872.196606759</v>
      </c>
      <c r="W426" s="692">
        <v>-990422.64817427099</v>
      </c>
      <c r="X426"/>
      <c r="Y426"/>
    </row>
    <row r="427" spans="2:25" ht="16">
      <c r="J427" s="691"/>
      <c r="K427" s="728"/>
      <c r="L427" s="341"/>
      <c r="M427" s="341"/>
      <c r="N427" s="692"/>
      <c r="O427" s="728"/>
      <c r="P427" s="341"/>
      <c r="Q427" s="360"/>
      <c r="R427" s="692"/>
      <c r="S427" s="341"/>
      <c r="T427" s="341"/>
      <c r="U427" s="341"/>
      <c r="V427" s="692"/>
      <c r="W427" s="692"/>
      <c r="X427"/>
      <c r="Y427"/>
    </row>
    <row r="428" spans="2:25" ht="16">
      <c r="B428" s="67"/>
      <c r="H428" s="345">
        <v>44302</v>
      </c>
      <c r="I428" s="345"/>
      <c r="J428" s="691"/>
      <c r="K428" s="728"/>
      <c r="L428" s="341"/>
      <c r="M428" s="341"/>
      <c r="N428" s="692"/>
      <c r="O428" s="728"/>
      <c r="P428" s="341"/>
      <c r="Q428" s="360"/>
      <c r="R428" s="692"/>
      <c r="S428" s="341"/>
      <c r="T428" s="341"/>
      <c r="U428" s="341"/>
      <c r="V428" s="692"/>
      <c r="W428" s="692"/>
      <c r="X428"/>
      <c r="Y428"/>
    </row>
    <row r="429" spans="2:25" ht="16">
      <c r="B429" s="67"/>
      <c r="I429" s="3" t="s">
        <v>59</v>
      </c>
      <c r="J429" s="691">
        <v>2428</v>
      </c>
      <c r="K429" s="728">
        <v>13530.758352689971</v>
      </c>
      <c r="L429" s="341">
        <v>1</v>
      </c>
      <c r="M429" s="341">
        <v>20.500800000000002</v>
      </c>
      <c r="N429" s="692">
        <v>277391.37083682657</v>
      </c>
      <c r="O429" s="728">
        <v>13970.954498429168</v>
      </c>
      <c r="P429" s="341">
        <v>1</v>
      </c>
      <c r="Q429" s="360">
        <v>20.058299999999999</v>
      </c>
      <c r="R429" s="692">
        <v>280233.59661584179</v>
      </c>
      <c r="S429" s="341">
        <v>112.19</v>
      </c>
      <c r="T429" s="341">
        <v>118.002</v>
      </c>
      <c r="U429" s="341">
        <v>1.0518000000000001</v>
      </c>
      <c r="V429" s="692">
        <v>294749.6969205424</v>
      </c>
      <c r="W429" s="692">
        <v>-17358.32608371583</v>
      </c>
      <c r="X429"/>
      <c r="Y429"/>
    </row>
    <row r="430" spans="2:25" ht="16">
      <c r="J430" s="691"/>
      <c r="K430" s="728"/>
      <c r="L430" s="341"/>
      <c r="M430" s="341"/>
      <c r="N430" s="692"/>
      <c r="O430" s="728"/>
      <c r="P430" s="341"/>
      <c r="Q430" s="360"/>
      <c r="R430" s="692"/>
      <c r="S430" s="341"/>
      <c r="T430" s="341"/>
      <c r="U430" s="341"/>
      <c r="V430" s="692"/>
      <c r="W430" s="692"/>
      <c r="X430"/>
      <c r="Y430"/>
    </row>
    <row r="431" spans="2:25" ht="16">
      <c r="B431" s="67"/>
      <c r="H431" s="345">
        <v>44231</v>
      </c>
      <c r="I431" s="345"/>
      <c r="J431" s="691"/>
      <c r="K431" s="728"/>
      <c r="L431" s="341"/>
      <c r="M431" s="341"/>
      <c r="N431" s="692"/>
      <c r="O431" s="728"/>
      <c r="P431" s="341"/>
      <c r="Q431" s="360"/>
      <c r="R431" s="692"/>
      <c r="S431" s="341"/>
      <c r="T431" s="341"/>
      <c r="U431" s="341"/>
      <c r="V431" s="692"/>
      <c r="W431" s="692"/>
      <c r="X431"/>
      <c r="Y431"/>
    </row>
    <row r="432" spans="2:25" ht="16">
      <c r="B432" s="67"/>
      <c r="I432" s="3" t="s">
        <v>59</v>
      </c>
      <c r="J432" s="691">
        <v>117980</v>
      </c>
      <c r="K432" s="728">
        <v>657478.94170113793</v>
      </c>
      <c r="L432" s="341">
        <v>1</v>
      </c>
      <c r="M432" s="341">
        <v>20.500800000000002</v>
      </c>
      <c r="N432" s="692">
        <v>13478844.288026689</v>
      </c>
      <c r="O432" s="728">
        <v>689746.47</v>
      </c>
      <c r="P432" s="341">
        <v>1</v>
      </c>
      <c r="Q432" s="360">
        <v>20.1722</v>
      </c>
      <c r="R432" s="692">
        <v>13913703.742133999</v>
      </c>
      <c r="S432" s="341">
        <v>110.907</v>
      </c>
      <c r="T432" s="341">
        <v>118.002</v>
      </c>
      <c r="U432" s="341">
        <v>1.0639000000000001</v>
      </c>
      <c r="V432" s="692">
        <v>14802789.411256364</v>
      </c>
      <c r="W432" s="692">
        <v>-1323945.123229675</v>
      </c>
      <c r="X432"/>
      <c r="Y432"/>
    </row>
    <row r="433" spans="2:25" ht="16">
      <c r="J433" s="691"/>
      <c r="K433" s="728"/>
      <c r="L433" s="341"/>
      <c r="M433" s="341"/>
      <c r="N433" s="692"/>
      <c r="O433" s="728"/>
      <c r="P433" s="341"/>
      <c r="Q433" s="360"/>
      <c r="R433" s="692"/>
      <c r="S433" s="341"/>
      <c r="T433" s="341"/>
      <c r="U433" s="341"/>
      <c r="V433" s="692"/>
      <c r="W433" s="692"/>
      <c r="X433"/>
      <c r="Y433"/>
    </row>
    <row r="434" spans="2:25" ht="16">
      <c r="B434" s="67"/>
      <c r="F434" s="344">
        <v>44671</v>
      </c>
      <c r="G434" s="344"/>
      <c r="H434" s="344"/>
      <c r="I434" s="344"/>
      <c r="J434" s="691"/>
      <c r="K434" s="728"/>
      <c r="L434" s="341"/>
      <c r="M434" s="341"/>
      <c r="N434" s="692"/>
      <c r="O434" s="728"/>
      <c r="P434" s="341"/>
      <c r="Q434" s="360"/>
      <c r="R434" s="692"/>
      <c r="S434" s="341"/>
      <c r="T434" s="341"/>
      <c r="U434" s="341"/>
      <c r="V434" s="692"/>
      <c r="W434" s="692"/>
      <c r="X434"/>
      <c r="Y434"/>
    </row>
    <row r="435" spans="2:25" ht="16">
      <c r="B435" s="67"/>
      <c r="G435" s="3" t="s">
        <v>59</v>
      </c>
      <c r="H435" s="3"/>
      <c r="I435" s="3"/>
      <c r="J435" s="691"/>
      <c r="K435" s="728"/>
      <c r="L435" s="341"/>
      <c r="M435" s="341"/>
      <c r="N435" s="692"/>
      <c r="O435" s="728"/>
      <c r="P435" s="341"/>
      <c r="Q435" s="360"/>
      <c r="R435" s="692"/>
      <c r="S435" s="341"/>
      <c r="T435" s="341"/>
      <c r="U435" s="341"/>
      <c r="V435" s="692"/>
      <c r="W435" s="692"/>
      <c r="X435"/>
      <c r="Y435"/>
    </row>
    <row r="436" spans="2:25" ht="16">
      <c r="B436" s="67"/>
      <c r="H436" s="345">
        <v>44370</v>
      </c>
      <c r="I436" s="345"/>
      <c r="J436" s="691"/>
      <c r="K436" s="728"/>
      <c r="L436" s="341"/>
      <c r="M436" s="341"/>
      <c r="N436" s="692"/>
      <c r="O436" s="728"/>
      <c r="P436" s="341"/>
      <c r="Q436" s="360"/>
      <c r="R436" s="692"/>
      <c r="S436" s="341"/>
      <c r="T436" s="341"/>
      <c r="U436" s="341"/>
      <c r="V436" s="692"/>
      <c r="W436" s="692"/>
      <c r="X436"/>
      <c r="Y436"/>
    </row>
    <row r="437" spans="2:25" ht="16">
      <c r="B437" s="67"/>
      <c r="I437" s="3" t="s">
        <v>59</v>
      </c>
      <c r="J437" s="691">
        <v>6057</v>
      </c>
      <c r="K437" s="728">
        <v>31831.957740800473</v>
      </c>
      <c r="L437" s="341">
        <v>1</v>
      </c>
      <c r="M437" s="341">
        <v>19.9377</v>
      </c>
      <c r="N437" s="692">
        <v>634656.02384875761</v>
      </c>
      <c r="O437" s="728">
        <v>35077.9</v>
      </c>
      <c r="P437" s="341">
        <v>1</v>
      </c>
      <c r="Q437" s="360">
        <v>20.6</v>
      </c>
      <c r="R437" s="692">
        <v>722604.74000000011</v>
      </c>
      <c r="S437" s="341">
        <v>113.018</v>
      </c>
      <c r="T437" s="341">
        <v>120.15900000000001</v>
      </c>
      <c r="U437" s="341">
        <v>1.0630999999999999</v>
      </c>
      <c r="V437" s="692">
        <v>768201.09909400006</v>
      </c>
      <c r="W437" s="692">
        <v>-133545.07524524245</v>
      </c>
      <c r="X437"/>
      <c r="Y437"/>
    </row>
    <row r="438" spans="2:25" ht="16">
      <c r="J438" s="691"/>
      <c r="K438" s="728"/>
      <c r="L438" s="341"/>
      <c r="M438" s="341"/>
      <c r="N438" s="692"/>
      <c r="O438" s="728"/>
      <c r="P438" s="341"/>
      <c r="Q438" s="360"/>
      <c r="R438" s="692"/>
      <c r="S438" s="341"/>
      <c r="T438" s="341"/>
      <c r="U438" s="341"/>
      <c r="V438" s="692"/>
      <c r="W438" s="692"/>
      <c r="X438"/>
      <c r="Y438"/>
    </row>
    <row r="439" spans="2:25" ht="16">
      <c r="B439" s="67"/>
      <c r="H439" s="345">
        <v>44441</v>
      </c>
      <c r="I439" s="345"/>
      <c r="J439" s="691"/>
      <c r="K439" s="728"/>
      <c r="L439" s="341"/>
      <c r="M439" s="341"/>
      <c r="N439" s="692"/>
      <c r="O439" s="728"/>
      <c r="P439" s="341"/>
      <c r="Q439" s="360"/>
      <c r="R439" s="692"/>
      <c r="S439" s="341"/>
      <c r="T439" s="341"/>
      <c r="U439" s="341"/>
      <c r="V439" s="692"/>
      <c r="W439" s="692"/>
      <c r="X439"/>
      <c r="Y439"/>
    </row>
    <row r="440" spans="2:25" ht="16">
      <c r="B440" s="67"/>
      <c r="I440" s="3" t="s">
        <v>59</v>
      </c>
      <c r="J440" s="691">
        <v>4949</v>
      </c>
      <c r="K440" s="728">
        <v>26008.974551629773</v>
      </c>
      <c r="L440" s="341">
        <v>1</v>
      </c>
      <c r="M440" s="341">
        <v>19.9377</v>
      </c>
      <c r="N440" s="692">
        <v>518559.13191802893</v>
      </c>
      <c r="O440" s="728">
        <v>28985.8</v>
      </c>
      <c r="P440" s="341">
        <v>1</v>
      </c>
      <c r="Q440" s="360">
        <v>20.060500000000001</v>
      </c>
      <c r="R440" s="692">
        <v>581469.6409</v>
      </c>
      <c r="S440" s="341">
        <v>114.601</v>
      </c>
      <c r="T440" s="341">
        <v>120.15900000000001</v>
      </c>
      <c r="U440" s="341">
        <v>1.0484</v>
      </c>
      <c r="V440" s="692">
        <v>609612.77151956002</v>
      </c>
      <c r="W440" s="692">
        <v>-91053.639601531089</v>
      </c>
      <c r="X440"/>
      <c r="Y440"/>
    </row>
    <row r="441" spans="2:25" ht="16">
      <c r="J441" s="691"/>
      <c r="K441" s="728"/>
      <c r="L441" s="341"/>
      <c r="M441" s="341"/>
      <c r="N441" s="692"/>
      <c r="O441" s="728"/>
      <c r="P441" s="341"/>
      <c r="Q441" s="360"/>
      <c r="R441" s="692"/>
      <c r="S441" s="341"/>
      <c r="T441" s="341"/>
      <c r="U441" s="341"/>
      <c r="V441" s="692"/>
      <c r="W441" s="692"/>
      <c r="X441"/>
      <c r="Y441"/>
    </row>
    <row r="442" spans="2:25" ht="16">
      <c r="B442" s="67"/>
      <c r="H442" s="345">
        <v>44491</v>
      </c>
      <c r="I442" s="345"/>
      <c r="J442" s="691"/>
      <c r="K442" s="728"/>
      <c r="L442" s="341"/>
      <c r="M442" s="341"/>
      <c r="N442" s="692"/>
      <c r="O442" s="728"/>
      <c r="P442" s="341"/>
      <c r="Q442" s="360"/>
      <c r="R442" s="692"/>
      <c r="S442" s="341"/>
      <c r="T442" s="341"/>
      <c r="U442" s="341"/>
      <c r="V442" s="692"/>
      <c r="W442" s="692"/>
      <c r="X442"/>
      <c r="Y442"/>
    </row>
    <row r="443" spans="2:25" ht="16">
      <c r="B443" s="67"/>
      <c r="I443" s="3" t="s">
        <v>59</v>
      </c>
      <c r="J443" s="691">
        <v>4974</v>
      </c>
      <c r="K443" s="728">
        <v>26140.359551385431</v>
      </c>
      <c r="L443" s="341">
        <v>1</v>
      </c>
      <c r="M443" s="341">
        <v>19.9377</v>
      </c>
      <c r="N443" s="692">
        <v>521178.64662765729</v>
      </c>
      <c r="O443" s="728">
        <v>28673.119999999999</v>
      </c>
      <c r="P443" s="341">
        <v>1</v>
      </c>
      <c r="Q443" s="360">
        <v>20.184999999999999</v>
      </c>
      <c r="R443" s="692">
        <v>578766.92719999992</v>
      </c>
      <c r="S443" s="341">
        <v>115.56100000000001</v>
      </c>
      <c r="T443" s="341">
        <v>120.15900000000001</v>
      </c>
      <c r="U443" s="341">
        <v>1.0397000000000001</v>
      </c>
      <c r="V443" s="692">
        <v>601743.97420983994</v>
      </c>
      <c r="W443" s="692">
        <v>-80565.327582182654</v>
      </c>
      <c r="X443"/>
      <c r="Y443"/>
    </row>
    <row r="444" spans="2:25" ht="16">
      <c r="J444" s="691"/>
      <c r="K444" s="728"/>
      <c r="L444" s="341"/>
      <c r="M444" s="341"/>
      <c r="N444" s="692"/>
      <c r="O444" s="728"/>
      <c r="P444" s="341"/>
      <c r="Q444" s="360"/>
      <c r="R444" s="692"/>
      <c r="S444" s="341"/>
      <c r="T444" s="341"/>
      <c r="U444" s="341"/>
      <c r="V444" s="692"/>
      <c r="W444" s="692"/>
      <c r="X444"/>
      <c r="Y444"/>
    </row>
    <row r="445" spans="2:25" ht="16">
      <c r="B445" s="67"/>
      <c r="H445" s="345">
        <v>44302</v>
      </c>
      <c r="I445" s="345"/>
      <c r="J445" s="691"/>
      <c r="K445" s="728"/>
      <c r="L445" s="341"/>
      <c r="M445" s="341"/>
      <c r="N445" s="692"/>
      <c r="O445" s="728"/>
      <c r="P445" s="341"/>
      <c r="Q445" s="360"/>
      <c r="R445" s="692"/>
      <c r="S445" s="341"/>
      <c r="T445" s="341"/>
      <c r="U445" s="341"/>
      <c r="V445" s="692"/>
      <c r="W445" s="692"/>
      <c r="X445"/>
      <c r="Y445"/>
    </row>
    <row r="446" spans="2:25" ht="16">
      <c r="B446" s="67"/>
      <c r="I446" s="3" t="s">
        <v>59</v>
      </c>
      <c r="J446" s="691">
        <v>24946</v>
      </c>
      <c r="K446" s="728">
        <v>131101.20815618435</v>
      </c>
      <c r="L446" s="341">
        <v>1</v>
      </c>
      <c r="M446" s="341">
        <v>19.9377</v>
      </c>
      <c r="N446" s="692">
        <v>2613856.5578555567</v>
      </c>
      <c r="O446" s="728">
        <v>143541.77550157084</v>
      </c>
      <c r="P446" s="341">
        <v>1</v>
      </c>
      <c r="Q446" s="360">
        <v>20.058299999999999</v>
      </c>
      <c r="R446" s="692">
        <v>2879203.9955431581</v>
      </c>
      <c r="S446" s="341">
        <v>112.19</v>
      </c>
      <c r="T446" s="341">
        <v>120.15900000000001</v>
      </c>
      <c r="U446" s="341">
        <v>1.071</v>
      </c>
      <c r="V446" s="692">
        <v>3083627.4792267224</v>
      </c>
      <c r="W446" s="692">
        <v>-469770.92137116566</v>
      </c>
      <c r="X446"/>
      <c r="Y446"/>
    </row>
    <row r="447" spans="2:25" ht="16">
      <c r="J447" s="691"/>
      <c r="K447" s="728"/>
      <c r="L447" s="341"/>
      <c r="M447" s="341"/>
      <c r="N447" s="692"/>
      <c r="O447" s="728"/>
      <c r="P447" s="341"/>
      <c r="Q447" s="360"/>
      <c r="R447" s="692"/>
      <c r="S447" s="341"/>
      <c r="T447" s="341"/>
      <c r="U447" s="341"/>
      <c r="V447" s="692"/>
      <c r="W447" s="692"/>
      <c r="X447"/>
      <c r="Y447"/>
    </row>
    <row r="448" spans="2:25" ht="16">
      <c r="B448" s="67"/>
      <c r="E448" s="131" t="s">
        <v>880</v>
      </c>
      <c r="F448" s="131"/>
      <c r="G448" s="131"/>
      <c r="H448" s="131"/>
      <c r="I448" s="131"/>
      <c r="J448" s="729">
        <v>287267</v>
      </c>
      <c r="K448" s="730">
        <v>1587891.62</v>
      </c>
      <c r="L448" s="366">
        <v>1</v>
      </c>
      <c r="M448" s="374">
        <v>20.179028571428574</v>
      </c>
      <c r="N448" s="704">
        <v>32431935.567546003</v>
      </c>
      <c r="O448" s="730">
        <v>1662058.06</v>
      </c>
      <c r="P448" s="366">
        <v>1</v>
      </c>
      <c r="Q448" s="374">
        <v>20.197514285714284</v>
      </c>
      <c r="R448" s="704">
        <v>33576511.446924999</v>
      </c>
      <c r="S448" s="366">
        <v>112.95099999999999</v>
      </c>
      <c r="T448" s="366">
        <v>119.23457142857141</v>
      </c>
      <c r="U448" s="366">
        <v>1.0556714285714286</v>
      </c>
      <c r="V448" s="704">
        <v>35538596.628833786</v>
      </c>
      <c r="W448" s="704">
        <v>-3106661.061287784</v>
      </c>
      <c r="X448"/>
      <c r="Y448"/>
    </row>
    <row r="449" spans="2:25" ht="16">
      <c r="J449" s="691"/>
      <c r="K449" s="728"/>
      <c r="L449" s="341"/>
      <c r="M449" s="341"/>
      <c r="N449" s="692"/>
      <c r="O449" s="728"/>
      <c r="P449" s="341"/>
      <c r="Q449" s="360"/>
      <c r="R449" s="692"/>
      <c r="S449" s="341"/>
      <c r="T449" s="341"/>
      <c r="U449" s="341"/>
      <c r="V449" s="692"/>
      <c r="W449" s="692"/>
      <c r="X449"/>
      <c r="Y449"/>
    </row>
    <row r="450" spans="2:25" ht="16">
      <c r="B450" s="67"/>
      <c r="E450" s="1" t="s">
        <v>721</v>
      </c>
      <c r="J450" s="691"/>
      <c r="K450" s="728"/>
      <c r="L450" s="341"/>
      <c r="M450" s="341"/>
      <c r="N450" s="692"/>
      <c r="O450" s="728"/>
      <c r="P450" s="341"/>
      <c r="Q450" s="360"/>
      <c r="R450" s="692"/>
      <c r="S450" s="341"/>
      <c r="T450" s="341"/>
      <c r="U450" s="341"/>
      <c r="V450" s="692"/>
      <c r="W450" s="692"/>
      <c r="X450"/>
      <c r="Y450"/>
    </row>
    <row r="451" spans="2:25" ht="16">
      <c r="B451" s="67"/>
      <c r="F451" s="344">
        <v>44603</v>
      </c>
      <c r="G451" s="344"/>
      <c r="H451" s="344"/>
      <c r="I451" s="344"/>
      <c r="J451" s="691"/>
      <c r="K451" s="728"/>
      <c r="L451" s="341"/>
      <c r="M451" s="341"/>
      <c r="N451" s="692"/>
      <c r="O451" s="728"/>
      <c r="P451" s="341"/>
      <c r="Q451" s="360"/>
      <c r="R451" s="692"/>
      <c r="S451" s="341"/>
      <c r="T451" s="341"/>
      <c r="U451" s="341"/>
      <c r="V451" s="692"/>
      <c r="W451" s="692"/>
      <c r="X451"/>
      <c r="Y451"/>
    </row>
    <row r="452" spans="2:25" ht="16">
      <c r="B452" s="67"/>
      <c r="G452" s="3" t="s">
        <v>59</v>
      </c>
      <c r="H452" s="3"/>
      <c r="I452" s="3"/>
      <c r="J452" s="691"/>
      <c r="K452" s="728"/>
      <c r="L452" s="341"/>
      <c r="M452" s="341"/>
      <c r="N452" s="692"/>
      <c r="O452" s="728"/>
      <c r="P452" s="341"/>
      <c r="Q452" s="360"/>
      <c r="R452" s="692"/>
      <c r="S452" s="341"/>
      <c r="T452" s="341"/>
      <c r="U452" s="341"/>
      <c r="V452" s="692"/>
      <c r="W452" s="692"/>
      <c r="X452"/>
      <c r="Y452"/>
    </row>
    <row r="453" spans="2:25" ht="16">
      <c r="B453" s="67"/>
      <c r="H453" s="345">
        <v>44370</v>
      </c>
      <c r="I453" s="345"/>
      <c r="J453" s="691"/>
      <c r="K453" s="728"/>
      <c r="L453" s="341"/>
      <c r="M453" s="341"/>
      <c r="N453" s="692"/>
      <c r="O453" s="728"/>
      <c r="P453" s="341"/>
      <c r="Q453" s="360"/>
      <c r="R453" s="692"/>
      <c r="S453" s="341"/>
      <c r="T453" s="341"/>
      <c r="U453" s="341"/>
      <c r="V453" s="692"/>
      <c r="W453" s="692"/>
      <c r="X453"/>
      <c r="Y453"/>
    </row>
    <row r="454" spans="2:25" ht="16">
      <c r="B454" s="67"/>
      <c r="I454" s="3" t="s">
        <v>59</v>
      </c>
      <c r="J454" s="691">
        <v>1393</v>
      </c>
      <c r="K454" s="728">
        <v>7440.8487347209739</v>
      </c>
      <c r="L454" s="341">
        <v>1</v>
      </c>
      <c r="M454" s="341">
        <v>20.500800000000002</v>
      </c>
      <c r="N454" s="692">
        <v>152543.35174076774</v>
      </c>
      <c r="O454" s="728">
        <v>7719.59</v>
      </c>
      <c r="P454" s="341">
        <v>1</v>
      </c>
      <c r="Q454" s="360">
        <v>20.6</v>
      </c>
      <c r="R454" s="692">
        <v>159023.554</v>
      </c>
      <c r="S454" s="341">
        <v>113.018</v>
      </c>
      <c r="T454" s="341">
        <v>118.002</v>
      </c>
      <c r="U454" s="341">
        <v>1.044</v>
      </c>
      <c r="V454" s="692">
        <v>166020.59037600001</v>
      </c>
      <c r="W454" s="692">
        <v>-13477.238635232265</v>
      </c>
      <c r="X454"/>
      <c r="Y454"/>
    </row>
    <row r="455" spans="2:25" ht="16">
      <c r="J455" s="691"/>
      <c r="K455" s="728"/>
      <c r="L455" s="341"/>
      <c r="M455" s="341"/>
      <c r="N455" s="692"/>
      <c r="O455" s="728"/>
      <c r="P455" s="341"/>
      <c r="Q455" s="360"/>
      <c r="R455" s="692"/>
      <c r="S455" s="341"/>
      <c r="T455" s="341"/>
      <c r="U455" s="341"/>
      <c r="V455" s="692"/>
      <c r="W455" s="692"/>
      <c r="X455"/>
      <c r="Y455"/>
    </row>
    <row r="456" spans="2:25" ht="16">
      <c r="B456" s="67"/>
      <c r="H456" s="345">
        <v>44441</v>
      </c>
      <c r="I456" s="345"/>
      <c r="J456" s="691"/>
      <c r="K456" s="728"/>
      <c r="L456" s="341"/>
      <c r="M456" s="341"/>
      <c r="N456" s="692"/>
      <c r="O456" s="728"/>
      <c r="P456" s="341"/>
      <c r="Q456" s="360"/>
      <c r="R456" s="692"/>
      <c r="S456" s="341"/>
      <c r="T456" s="341"/>
      <c r="U456" s="341"/>
      <c r="V456" s="692"/>
      <c r="W456" s="692"/>
      <c r="X456"/>
      <c r="Y456"/>
    </row>
    <row r="457" spans="2:25" ht="16">
      <c r="B457" s="67"/>
      <c r="I457" s="3" t="s">
        <v>59</v>
      </c>
      <c r="J457" s="691">
        <v>2097</v>
      </c>
      <c r="K457" s="728">
        <v>11201.335101729996</v>
      </c>
      <c r="L457" s="341">
        <v>1</v>
      </c>
      <c r="M457" s="341">
        <v>20.500800000000002</v>
      </c>
      <c r="N457" s="692">
        <v>229636.33065354632</v>
      </c>
      <c r="O457" s="728">
        <v>11671.27</v>
      </c>
      <c r="P457" s="341">
        <v>1</v>
      </c>
      <c r="Q457" s="360">
        <v>20.060500000000001</v>
      </c>
      <c r="R457" s="692">
        <v>234131.51183500001</v>
      </c>
      <c r="S457" s="341">
        <v>114.601</v>
      </c>
      <c r="T457" s="341">
        <v>118.002</v>
      </c>
      <c r="U457" s="341">
        <v>1.0296000000000001</v>
      </c>
      <c r="V457" s="692">
        <v>241061.80458531601</v>
      </c>
      <c r="W457" s="692">
        <v>-11425.473931769695</v>
      </c>
      <c r="X457"/>
      <c r="Y457"/>
    </row>
    <row r="458" spans="2:25" ht="16">
      <c r="J458" s="691"/>
      <c r="K458" s="728"/>
      <c r="L458" s="341"/>
      <c r="M458" s="341"/>
      <c r="N458" s="692"/>
      <c r="O458" s="728"/>
      <c r="P458" s="341"/>
      <c r="Q458" s="360"/>
      <c r="R458" s="692"/>
      <c r="S458" s="341"/>
      <c r="T458" s="341"/>
      <c r="U458" s="341"/>
      <c r="V458" s="692"/>
      <c r="W458" s="692"/>
      <c r="X458"/>
      <c r="Y458"/>
    </row>
    <row r="459" spans="2:25" ht="16">
      <c r="B459" s="67"/>
      <c r="H459" s="345">
        <v>44491</v>
      </c>
      <c r="I459" s="345"/>
      <c r="J459" s="691"/>
      <c r="K459" s="728"/>
      <c r="L459" s="341"/>
      <c r="M459" s="341"/>
      <c r="N459" s="692"/>
      <c r="O459" s="728"/>
      <c r="P459" s="341"/>
      <c r="Q459" s="360"/>
      <c r="R459" s="692"/>
      <c r="S459" s="341"/>
      <c r="T459" s="341"/>
      <c r="U459" s="341"/>
      <c r="V459" s="692"/>
      <c r="W459" s="692"/>
      <c r="X459"/>
      <c r="Y459"/>
    </row>
    <row r="460" spans="2:25" ht="16">
      <c r="B460" s="67"/>
      <c r="I460" s="3" t="s">
        <v>59</v>
      </c>
      <c r="J460" s="691">
        <v>371</v>
      </c>
      <c r="K460" s="728">
        <v>1981.7335826141289</v>
      </c>
      <c r="L460" s="341">
        <v>1</v>
      </c>
      <c r="M460" s="341">
        <v>20.500800000000002</v>
      </c>
      <c r="N460" s="692">
        <v>40627.123830455734</v>
      </c>
      <c r="O460" s="728">
        <v>2047.99</v>
      </c>
      <c r="P460" s="341">
        <v>1</v>
      </c>
      <c r="Q460" s="360">
        <v>20.184999999999999</v>
      </c>
      <c r="R460" s="692">
        <v>41338.67815</v>
      </c>
      <c r="S460" s="341">
        <v>115.56100000000001</v>
      </c>
      <c r="T460" s="341">
        <v>118.002</v>
      </c>
      <c r="U460" s="341">
        <v>1.0210999999999999</v>
      </c>
      <c r="V460" s="692">
        <v>42210.924258964995</v>
      </c>
      <c r="W460" s="692">
        <v>-1583.8004285092611</v>
      </c>
      <c r="X460"/>
      <c r="Y460"/>
    </row>
    <row r="461" spans="2:25" ht="16">
      <c r="J461" s="691"/>
      <c r="K461" s="728"/>
      <c r="L461" s="341"/>
      <c r="M461" s="341"/>
      <c r="N461" s="692"/>
      <c r="O461" s="728"/>
      <c r="P461" s="341"/>
      <c r="Q461" s="360"/>
      <c r="R461" s="692"/>
      <c r="S461" s="341"/>
      <c r="T461" s="341"/>
      <c r="U461" s="341"/>
      <c r="V461" s="692"/>
      <c r="W461" s="692"/>
      <c r="X461"/>
      <c r="Y461"/>
    </row>
    <row r="462" spans="2:25" ht="16">
      <c r="B462" s="67"/>
      <c r="H462" s="345">
        <v>44302</v>
      </c>
      <c r="I462" s="345"/>
      <c r="J462" s="691"/>
      <c r="K462" s="728"/>
      <c r="L462" s="341"/>
      <c r="M462" s="341"/>
      <c r="N462" s="692"/>
      <c r="O462" s="728"/>
      <c r="P462" s="341"/>
      <c r="Q462" s="360"/>
      <c r="R462" s="692"/>
      <c r="S462" s="341"/>
      <c r="T462" s="341"/>
      <c r="U462" s="341"/>
      <c r="V462" s="692"/>
      <c r="W462" s="692"/>
      <c r="X462"/>
      <c r="Y462"/>
    </row>
    <row r="463" spans="2:25" ht="16">
      <c r="B463" s="67"/>
      <c r="I463" s="3" t="s">
        <v>59</v>
      </c>
      <c r="J463" s="691">
        <v>72960</v>
      </c>
      <c r="K463" s="728">
        <v>389723.13258093485</v>
      </c>
      <c r="L463" s="341">
        <v>1</v>
      </c>
      <c r="M463" s="341">
        <v>20.500800000000002</v>
      </c>
      <c r="N463" s="692">
        <v>7989635.9964152295</v>
      </c>
      <c r="O463" s="728">
        <v>405584.64000000001</v>
      </c>
      <c r="P463" s="341">
        <v>1</v>
      </c>
      <c r="Q463" s="360">
        <v>20.058299999999999</v>
      </c>
      <c r="R463" s="692">
        <v>8135338.3845119998</v>
      </c>
      <c r="S463" s="341">
        <v>112.19</v>
      </c>
      <c r="T463" s="341">
        <v>118.002</v>
      </c>
      <c r="U463" s="341">
        <v>1.0518000000000001</v>
      </c>
      <c r="V463" s="692">
        <v>8556748.9128297213</v>
      </c>
      <c r="W463" s="692">
        <v>-567112.91641449183</v>
      </c>
      <c r="X463"/>
      <c r="Y463"/>
    </row>
    <row r="464" spans="2:25" ht="16">
      <c r="J464" s="691"/>
      <c r="K464" s="728"/>
      <c r="L464" s="341"/>
      <c r="M464" s="341"/>
      <c r="N464" s="692"/>
      <c r="O464" s="728"/>
      <c r="P464" s="341"/>
      <c r="Q464" s="360"/>
      <c r="R464" s="692"/>
      <c r="S464" s="341"/>
      <c r="T464" s="341"/>
      <c r="U464" s="341"/>
      <c r="V464" s="692"/>
      <c r="W464" s="692"/>
      <c r="X464"/>
      <c r="Y464"/>
    </row>
    <row r="465" spans="2:25" ht="16">
      <c r="B465" s="67"/>
      <c r="E465" s="131" t="s">
        <v>881</v>
      </c>
      <c r="F465" s="131"/>
      <c r="G465" s="131"/>
      <c r="H465" s="131"/>
      <c r="I465" s="131"/>
      <c r="J465" s="729">
        <v>76821</v>
      </c>
      <c r="K465" s="730">
        <v>410347.04999999993</v>
      </c>
      <c r="L465" s="366">
        <v>1</v>
      </c>
      <c r="M465" s="374">
        <v>20.500800000000002</v>
      </c>
      <c r="N465" s="704">
        <v>8412442.8026399985</v>
      </c>
      <c r="O465" s="730">
        <v>427023.49</v>
      </c>
      <c r="P465" s="366">
        <v>1</v>
      </c>
      <c r="Q465" s="374">
        <v>20.225950000000001</v>
      </c>
      <c r="R465" s="704">
        <v>8569832.1284969989</v>
      </c>
      <c r="S465" s="366">
        <v>113.8425</v>
      </c>
      <c r="T465" s="366">
        <v>118.002</v>
      </c>
      <c r="U465" s="366">
        <v>1.0366249999999999</v>
      </c>
      <c r="V465" s="704">
        <v>9006042.2320500016</v>
      </c>
      <c r="W465" s="704">
        <v>-593599.42941000301</v>
      </c>
      <c r="X465"/>
      <c r="Y465"/>
    </row>
    <row r="466" spans="2:25" ht="16">
      <c r="J466" s="691"/>
      <c r="K466" s="728"/>
      <c r="L466" s="341"/>
      <c r="M466" s="341"/>
      <c r="N466" s="692"/>
      <c r="O466" s="728"/>
      <c r="P466" s="341"/>
      <c r="Q466" s="360"/>
      <c r="R466" s="692"/>
      <c r="S466" s="341"/>
      <c r="T466" s="341"/>
      <c r="U466" s="341"/>
      <c r="V466" s="692"/>
      <c r="W466" s="692"/>
      <c r="X466"/>
      <c r="Y466"/>
    </row>
    <row r="467" spans="2:25" ht="16">
      <c r="B467" s="67"/>
      <c r="E467" s="1" t="s">
        <v>733</v>
      </c>
      <c r="J467" s="691"/>
      <c r="K467" s="728"/>
      <c r="L467" s="341"/>
      <c r="M467" s="341"/>
      <c r="N467" s="692"/>
      <c r="O467" s="728"/>
      <c r="P467" s="341"/>
      <c r="Q467" s="360"/>
      <c r="R467" s="692"/>
      <c r="S467" s="341"/>
      <c r="T467" s="341"/>
      <c r="U467" s="341"/>
      <c r="V467" s="692"/>
      <c r="W467" s="692"/>
      <c r="X467"/>
      <c r="Y467"/>
    </row>
    <row r="468" spans="2:25" ht="16">
      <c r="B468" s="67"/>
      <c r="F468" s="344">
        <v>44769</v>
      </c>
      <c r="G468" s="344"/>
      <c r="H468" s="344"/>
      <c r="I468" s="344"/>
      <c r="J468" s="691"/>
      <c r="K468" s="728"/>
      <c r="L468" s="341"/>
      <c r="M468" s="341"/>
      <c r="N468" s="692"/>
      <c r="O468" s="728"/>
      <c r="P468" s="341"/>
      <c r="Q468" s="360"/>
      <c r="R468" s="692"/>
      <c r="S468" s="341"/>
      <c r="T468" s="341"/>
      <c r="U468" s="341"/>
      <c r="V468" s="692"/>
      <c r="W468" s="692"/>
      <c r="X468"/>
      <c r="Y468"/>
    </row>
    <row r="469" spans="2:25" ht="16">
      <c r="B469" s="67"/>
      <c r="G469" s="3" t="s">
        <v>59</v>
      </c>
      <c r="H469" s="3"/>
      <c r="I469" s="3"/>
      <c r="J469" s="691"/>
      <c r="K469" s="728"/>
      <c r="L469" s="341"/>
      <c r="M469" s="341"/>
      <c r="N469" s="692"/>
      <c r="O469" s="728"/>
      <c r="P469" s="341"/>
      <c r="Q469" s="360"/>
      <c r="R469" s="692"/>
      <c r="S469" s="341"/>
      <c r="T469" s="341"/>
      <c r="U469" s="341"/>
      <c r="V469" s="692"/>
      <c r="W469" s="692"/>
      <c r="X469"/>
      <c r="Y469"/>
    </row>
    <row r="470" spans="2:25" ht="16">
      <c r="B470" s="67"/>
      <c r="H470" s="345">
        <v>44671</v>
      </c>
      <c r="I470" s="345"/>
      <c r="J470" s="691"/>
      <c r="K470" s="728"/>
      <c r="L470" s="341"/>
      <c r="M470" s="341"/>
      <c r="N470" s="692"/>
      <c r="O470" s="728"/>
      <c r="P470" s="341"/>
      <c r="Q470" s="360"/>
      <c r="R470" s="692"/>
      <c r="S470" s="341"/>
      <c r="T470" s="341"/>
      <c r="U470" s="341"/>
      <c r="V470" s="692"/>
      <c r="W470" s="692"/>
      <c r="X470"/>
      <c r="Y470"/>
    </row>
    <row r="471" spans="2:25" ht="16">
      <c r="B471" s="67"/>
      <c r="I471" s="3" t="s">
        <v>59</v>
      </c>
      <c r="J471" s="691">
        <v>67287</v>
      </c>
      <c r="K471" s="728">
        <v>363215.23</v>
      </c>
      <c r="L471" s="341">
        <v>1</v>
      </c>
      <c r="M471" s="341">
        <v>20.465199999999999</v>
      </c>
      <c r="N471" s="692">
        <v>7433272.3249959992</v>
      </c>
      <c r="O471" s="728">
        <v>367824.39</v>
      </c>
      <c r="P471" s="341">
        <v>1</v>
      </c>
      <c r="Q471" s="360">
        <v>19.9377</v>
      </c>
      <c r="R471" s="692">
        <v>7333572.3405029997</v>
      </c>
      <c r="S471" s="341">
        <v>120.809</v>
      </c>
      <c r="T471" s="341">
        <v>122.044</v>
      </c>
      <c r="U471" s="341">
        <v>1.0102</v>
      </c>
      <c r="V471" s="692">
        <v>7408374.7783761304</v>
      </c>
      <c r="W471" s="692">
        <v>24897.546619868837</v>
      </c>
      <c r="X471"/>
      <c r="Y471"/>
    </row>
    <row r="472" spans="2:25" ht="16">
      <c r="J472" s="691"/>
      <c r="K472" s="728"/>
      <c r="L472" s="341"/>
      <c r="M472" s="341"/>
      <c r="N472" s="692"/>
      <c r="O472" s="728"/>
      <c r="P472" s="341"/>
      <c r="Q472" s="360"/>
      <c r="R472" s="692"/>
      <c r="S472" s="341"/>
      <c r="T472" s="341"/>
      <c r="U472" s="341"/>
      <c r="V472" s="692"/>
      <c r="W472" s="692"/>
      <c r="X472"/>
      <c r="Y472"/>
    </row>
    <row r="473" spans="2:25" ht="16">
      <c r="B473" s="67"/>
      <c r="E473" s="131" t="s">
        <v>882</v>
      </c>
      <c r="F473" s="131"/>
      <c r="G473" s="131"/>
      <c r="H473" s="131"/>
      <c r="I473" s="131"/>
      <c r="J473" s="729">
        <v>67287</v>
      </c>
      <c r="K473" s="730">
        <v>363215.23</v>
      </c>
      <c r="L473" s="366">
        <v>1</v>
      </c>
      <c r="M473" s="374">
        <v>20.465199999999999</v>
      </c>
      <c r="N473" s="704">
        <v>7433272.3249959992</v>
      </c>
      <c r="O473" s="730">
        <v>367824.39</v>
      </c>
      <c r="P473" s="366">
        <v>1</v>
      </c>
      <c r="Q473" s="374">
        <v>19.9377</v>
      </c>
      <c r="R473" s="704">
        <v>7333572.3405029997</v>
      </c>
      <c r="S473" s="366">
        <v>120.809</v>
      </c>
      <c r="T473" s="366">
        <v>122.044</v>
      </c>
      <c r="U473" s="366">
        <v>1.0102</v>
      </c>
      <c r="V473" s="704">
        <v>7408374.7783761304</v>
      </c>
      <c r="W473" s="704">
        <v>24897.546619868837</v>
      </c>
      <c r="X473"/>
      <c r="Y473"/>
    </row>
    <row r="474" spans="2:25" ht="16">
      <c r="J474" s="691"/>
      <c r="K474" s="728"/>
      <c r="L474" s="341"/>
      <c r="M474" s="341"/>
      <c r="N474" s="692"/>
      <c r="O474" s="728"/>
      <c r="P474" s="341"/>
      <c r="Q474" s="360"/>
      <c r="R474" s="692"/>
      <c r="S474" s="341"/>
      <c r="T474" s="341"/>
      <c r="U474" s="341"/>
      <c r="V474" s="692"/>
      <c r="W474" s="692"/>
      <c r="X474"/>
      <c r="Y474"/>
    </row>
    <row r="475" spans="2:25" ht="16">
      <c r="B475" s="67"/>
      <c r="E475" s="1" t="s">
        <v>722</v>
      </c>
      <c r="J475" s="691"/>
      <c r="K475" s="728"/>
      <c r="L475" s="341"/>
      <c r="M475" s="341"/>
      <c r="N475" s="692"/>
      <c r="O475" s="728"/>
      <c r="P475" s="341"/>
      <c r="Q475" s="360"/>
      <c r="R475" s="692"/>
      <c r="S475" s="341"/>
      <c r="T475" s="341"/>
      <c r="U475" s="341"/>
      <c r="V475" s="692"/>
      <c r="W475" s="692"/>
      <c r="X475"/>
      <c r="Y475"/>
    </row>
    <row r="476" spans="2:25" ht="16">
      <c r="B476" s="67"/>
      <c r="F476" s="344">
        <v>44603</v>
      </c>
      <c r="G476" s="344"/>
      <c r="H476" s="344"/>
      <c r="I476" s="344"/>
      <c r="J476" s="691"/>
      <c r="K476" s="728"/>
      <c r="L476" s="341"/>
      <c r="M476" s="341"/>
      <c r="N476" s="692"/>
      <c r="O476" s="728"/>
      <c r="P476" s="341"/>
      <c r="Q476" s="360"/>
      <c r="R476" s="692"/>
      <c r="S476" s="341"/>
      <c r="T476" s="341"/>
      <c r="U476" s="341"/>
      <c r="V476" s="692"/>
      <c r="W476" s="692"/>
      <c r="X476"/>
      <c r="Y476"/>
    </row>
    <row r="477" spans="2:25" ht="16">
      <c r="B477" s="67"/>
      <c r="G477" s="3" t="s">
        <v>59</v>
      </c>
      <c r="H477" s="3"/>
      <c r="I477" s="3"/>
      <c r="J477" s="691"/>
      <c r="K477" s="728"/>
      <c r="L477" s="341"/>
      <c r="M477" s="341"/>
      <c r="N477" s="692"/>
      <c r="O477" s="728"/>
      <c r="P477" s="341"/>
      <c r="Q477" s="360"/>
      <c r="R477" s="692"/>
      <c r="S477" s="341"/>
      <c r="T477" s="341"/>
      <c r="U477" s="341"/>
      <c r="V477" s="692"/>
      <c r="W477" s="692"/>
      <c r="X477"/>
      <c r="Y477"/>
    </row>
    <row r="478" spans="2:25" ht="16">
      <c r="B478" s="67"/>
      <c r="H478" s="345">
        <v>44218</v>
      </c>
      <c r="I478" s="345"/>
      <c r="J478" s="691"/>
      <c r="K478" s="728"/>
      <c r="L478" s="341"/>
      <c r="M478" s="341"/>
      <c r="N478" s="692"/>
      <c r="O478" s="728"/>
      <c r="P478" s="341"/>
      <c r="Q478" s="360"/>
      <c r="R478" s="692"/>
      <c r="S478" s="341"/>
      <c r="T478" s="341"/>
      <c r="U478" s="341"/>
      <c r="V478" s="692"/>
      <c r="W478" s="692"/>
      <c r="X478"/>
      <c r="Y478"/>
    </row>
    <row r="479" spans="2:25" ht="16">
      <c r="B479" s="67"/>
      <c r="I479" s="3" t="s">
        <v>59</v>
      </c>
      <c r="J479" s="691">
        <v>41209</v>
      </c>
      <c r="K479" s="728">
        <v>226711.31336324479</v>
      </c>
      <c r="L479" s="341">
        <v>1</v>
      </c>
      <c r="M479" s="341">
        <v>20.500800000000002</v>
      </c>
      <c r="N479" s="692">
        <v>4647763.2929972094</v>
      </c>
      <c r="O479" s="728">
        <v>227758.02275159437</v>
      </c>
      <c r="P479" s="341">
        <v>1</v>
      </c>
      <c r="Q479" s="360">
        <v>19.5793</v>
      </c>
      <c r="R479" s="692">
        <v>4459342.6548602916</v>
      </c>
      <c r="S479" s="341">
        <v>110.21</v>
      </c>
      <c r="T479" s="341">
        <v>118.002</v>
      </c>
      <c r="U479" s="341">
        <v>1.0707</v>
      </c>
      <c r="V479" s="692">
        <v>4774618.1805589143</v>
      </c>
      <c r="W479" s="692">
        <v>-126854.88756170496</v>
      </c>
      <c r="X479"/>
      <c r="Y479"/>
    </row>
    <row r="480" spans="2:25" ht="16">
      <c r="J480" s="691"/>
      <c r="K480" s="728"/>
      <c r="L480" s="341"/>
      <c r="M480" s="341"/>
      <c r="N480" s="692"/>
      <c r="O480" s="728"/>
      <c r="P480" s="341"/>
      <c r="Q480" s="360"/>
      <c r="R480" s="692"/>
      <c r="S480" s="341"/>
      <c r="T480" s="341"/>
      <c r="U480" s="341"/>
      <c r="V480" s="692"/>
      <c r="W480" s="692"/>
      <c r="X480"/>
      <c r="Y480"/>
    </row>
    <row r="481" spans="2:25" ht="16">
      <c r="B481" s="67"/>
      <c r="H481" s="345">
        <v>44293</v>
      </c>
      <c r="I481" s="345"/>
      <c r="J481" s="691"/>
      <c r="K481" s="728"/>
      <c r="L481" s="341"/>
      <c r="M481" s="341"/>
      <c r="N481" s="692"/>
      <c r="O481" s="728"/>
      <c r="P481" s="341"/>
      <c r="Q481" s="360"/>
      <c r="R481" s="692"/>
      <c r="S481" s="341"/>
      <c r="T481" s="341"/>
      <c r="U481" s="341"/>
      <c r="V481" s="692"/>
      <c r="W481" s="692"/>
      <c r="X481"/>
      <c r="Y481"/>
    </row>
    <row r="482" spans="2:25" ht="16">
      <c r="B482" s="67"/>
      <c r="I482" s="3" t="s">
        <v>59</v>
      </c>
      <c r="J482" s="691">
        <v>103386</v>
      </c>
      <c r="K482" s="728">
        <v>568778.07865690568</v>
      </c>
      <c r="L482" s="341">
        <v>1</v>
      </c>
      <c r="M482" s="341">
        <v>20.500800000000002</v>
      </c>
      <c r="N482" s="692">
        <v>11660405.634929493</v>
      </c>
      <c r="O482" s="728">
        <v>578372.30000000005</v>
      </c>
      <c r="P482" s="341">
        <v>1</v>
      </c>
      <c r="Q482" s="360">
        <v>20.2483</v>
      </c>
      <c r="R482" s="692">
        <v>11711055.842090001</v>
      </c>
      <c r="S482" s="341">
        <v>112.19</v>
      </c>
      <c r="T482" s="341">
        <v>118.002</v>
      </c>
      <c r="U482" s="341">
        <v>1.0518000000000001</v>
      </c>
      <c r="V482" s="692">
        <v>12317688.534710264</v>
      </c>
      <c r="W482" s="692">
        <v>-657282.89978077076</v>
      </c>
      <c r="X482"/>
      <c r="Y482"/>
    </row>
    <row r="483" spans="2:25" ht="16">
      <c r="J483" s="691"/>
      <c r="K483" s="728"/>
      <c r="L483" s="341"/>
      <c r="M483" s="341"/>
      <c r="N483" s="692"/>
      <c r="O483" s="728"/>
      <c r="P483" s="341"/>
      <c r="Q483" s="360"/>
      <c r="R483" s="692"/>
      <c r="S483" s="341"/>
      <c r="T483" s="341"/>
      <c r="U483" s="341"/>
      <c r="V483" s="692"/>
      <c r="W483" s="692"/>
      <c r="X483"/>
      <c r="Y483"/>
    </row>
    <row r="484" spans="2:25" ht="16">
      <c r="B484" s="67"/>
      <c r="H484" s="345">
        <v>44370</v>
      </c>
      <c r="I484" s="345"/>
      <c r="J484" s="691"/>
      <c r="K484" s="728"/>
      <c r="L484" s="341"/>
      <c r="M484" s="341"/>
      <c r="N484" s="692"/>
      <c r="O484" s="728"/>
      <c r="P484" s="341"/>
      <c r="Q484" s="360"/>
      <c r="R484" s="692"/>
      <c r="S484" s="341"/>
      <c r="T484" s="341"/>
      <c r="U484" s="341"/>
      <c r="V484" s="692"/>
      <c r="W484" s="692"/>
      <c r="X484"/>
      <c r="Y484"/>
    </row>
    <row r="485" spans="2:25" ht="16">
      <c r="B485" s="67"/>
      <c r="I485" s="3" t="s">
        <v>59</v>
      </c>
      <c r="J485" s="691">
        <v>1536</v>
      </c>
      <c r="K485" s="728">
        <v>8450.3039949026661</v>
      </c>
      <c r="L485" s="341">
        <v>1</v>
      </c>
      <c r="M485" s="341">
        <v>20.500800000000002</v>
      </c>
      <c r="N485" s="692">
        <v>173237.99213870059</v>
      </c>
      <c r="O485" s="728">
        <v>8658.2800000000007</v>
      </c>
      <c r="P485" s="341">
        <v>1</v>
      </c>
      <c r="Q485" s="360">
        <v>20.6</v>
      </c>
      <c r="R485" s="692">
        <v>178360.56800000003</v>
      </c>
      <c r="S485" s="341">
        <v>113.018</v>
      </c>
      <c r="T485" s="341">
        <v>118.002</v>
      </c>
      <c r="U485" s="341">
        <v>1.044</v>
      </c>
      <c r="V485" s="692">
        <v>186208.43299200005</v>
      </c>
      <c r="W485" s="692">
        <v>-12970.440853299457</v>
      </c>
      <c r="X485"/>
      <c r="Y485"/>
    </row>
    <row r="486" spans="2:25" ht="16">
      <c r="J486" s="691"/>
      <c r="K486" s="728"/>
      <c r="L486" s="341"/>
      <c r="M486" s="341"/>
      <c r="N486" s="692"/>
      <c r="O486" s="728"/>
      <c r="P486" s="341"/>
      <c r="Q486" s="360"/>
      <c r="R486" s="692"/>
      <c r="S486" s="341"/>
      <c r="T486" s="341"/>
      <c r="U486" s="341"/>
      <c r="V486" s="692"/>
      <c r="W486" s="692"/>
      <c r="X486"/>
      <c r="Y486"/>
    </row>
    <row r="487" spans="2:25" ht="16">
      <c r="B487" s="67"/>
      <c r="H487" s="345">
        <v>44441</v>
      </c>
      <c r="I487" s="345"/>
      <c r="J487" s="691"/>
      <c r="K487" s="728"/>
      <c r="L487" s="341"/>
      <c r="M487" s="341"/>
      <c r="N487" s="692"/>
      <c r="O487" s="728"/>
      <c r="P487" s="341"/>
      <c r="Q487" s="360"/>
      <c r="R487" s="692"/>
      <c r="S487" s="341"/>
      <c r="T487" s="341"/>
      <c r="U487" s="341"/>
      <c r="V487" s="692"/>
      <c r="W487" s="692"/>
      <c r="X487"/>
      <c r="Y487"/>
    </row>
    <row r="488" spans="2:25" ht="16">
      <c r="B488" s="67"/>
      <c r="I488" s="3" t="s">
        <v>59</v>
      </c>
      <c r="J488" s="691">
        <v>2068</v>
      </c>
      <c r="K488" s="728">
        <v>11377.101993137185</v>
      </c>
      <c r="L488" s="341">
        <v>1</v>
      </c>
      <c r="M488" s="341">
        <v>20.500800000000002</v>
      </c>
      <c r="N488" s="692">
        <v>233239.69254090681</v>
      </c>
      <c r="O488" s="728">
        <v>11603.34</v>
      </c>
      <c r="P488" s="341">
        <v>1</v>
      </c>
      <c r="Q488" s="360">
        <v>20.060500000000001</v>
      </c>
      <c r="R488" s="692">
        <v>232768.80207000001</v>
      </c>
      <c r="S488" s="341">
        <v>114.601</v>
      </c>
      <c r="T488" s="341">
        <v>118.002</v>
      </c>
      <c r="U488" s="341">
        <v>1.0296000000000001</v>
      </c>
      <c r="V488" s="692">
        <v>239658.75861127203</v>
      </c>
      <c r="W488" s="692">
        <v>-6419.0660703652247</v>
      </c>
      <c r="X488"/>
      <c r="Y488"/>
    </row>
    <row r="489" spans="2:25" ht="16">
      <c r="J489" s="691"/>
      <c r="K489" s="728"/>
      <c r="L489" s="341"/>
      <c r="M489" s="341"/>
      <c r="N489" s="692"/>
      <c r="O489" s="728"/>
      <c r="P489" s="341"/>
      <c r="Q489" s="360"/>
      <c r="R489" s="692"/>
      <c r="S489" s="341"/>
      <c r="T489" s="341"/>
      <c r="U489" s="341"/>
      <c r="V489" s="692"/>
      <c r="W489" s="692"/>
      <c r="X489"/>
      <c r="Y489"/>
    </row>
    <row r="490" spans="2:25" ht="16">
      <c r="B490" s="67"/>
      <c r="H490" s="345">
        <v>44491</v>
      </c>
      <c r="I490" s="345"/>
      <c r="J490" s="691"/>
      <c r="K490" s="728"/>
      <c r="L490" s="341"/>
      <c r="M490" s="341"/>
      <c r="N490" s="692"/>
      <c r="O490" s="728"/>
      <c r="P490" s="341"/>
      <c r="Q490" s="360"/>
      <c r="R490" s="692"/>
      <c r="S490" s="341"/>
      <c r="T490" s="341"/>
      <c r="U490" s="341"/>
      <c r="V490" s="692"/>
      <c r="W490" s="692"/>
      <c r="X490"/>
      <c r="Y490"/>
    </row>
    <row r="491" spans="2:25" ht="16">
      <c r="B491" s="67"/>
      <c r="I491" s="3" t="s">
        <v>59</v>
      </c>
      <c r="J491" s="691">
        <v>2468</v>
      </c>
      <c r="K491" s="728">
        <v>13577.701991809754</v>
      </c>
      <c r="L491" s="341">
        <v>1</v>
      </c>
      <c r="M491" s="341">
        <v>20.500800000000002</v>
      </c>
      <c r="N491" s="692">
        <v>278353.7529936934</v>
      </c>
      <c r="O491" s="728">
        <v>13923.72</v>
      </c>
      <c r="P491" s="341">
        <v>1</v>
      </c>
      <c r="Q491" s="360">
        <v>20.184999999999999</v>
      </c>
      <c r="R491" s="692">
        <v>281050.28819999995</v>
      </c>
      <c r="S491" s="341">
        <v>115.56100000000001</v>
      </c>
      <c r="T491" s="341">
        <v>118.002</v>
      </c>
      <c r="U491" s="341">
        <v>1.0210999999999999</v>
      </c>
      <c r="V491" s="692">
        <v>286980.44928101992</v>
      </c>
      <c r="W491" s="692">
        <v>-8626.6962873265147</v>
      </c>
      <c r="X491"/>
      <c r="Y491"/>
    </row>
    <row r="492" spans="2:25" ht="16">
      <c r="J492" s="691"/>
      <c r="K492" s="728"/>
      <c r="L492" s="341"/>
      <c r="M492" s="341"/>
      <c r="N492" s="692"/>
      <c r="O492" s="728"/>
      <c r="P492" s="341"/>
      <c r="Q492" s="360"/>
      <c r="R492" s="692"/>
      <c r="S492" s="341"/>
      <c r="T492" s="341"/>
      <c r="U492" s="341"/>
      <c r="V492" s="692"/>
      <c r="W492" s="692"/>
      <c r="X492"/>
      <c r="Y492"/>
    </row>
    <row r="493" spans="2:25" ht="16">
      <c r="B493" s="67"/>
      <c r="E493" s="131" t="s">
        <v>883</v>
      </c>
      <c r="F493" s="131"/>
      <c r="G493" s="131"/>
      <c r="H493" s="131"/>
      <c r="I493" s="131"/>
      <c r="J493" s="729">
        <v>150667</v>
      </c>
      <c r="K493" s="730">
        <v>828894.5</v>
      </c>
      <c r="L493" s="366">
        <v>1</v>
      </c>
      <c r="M493" s="374">
        <v>20.500800000000002</v>
      </c>
      <c r="N493" s="704">
        <v>16993000.365600001</v>
      </c>
      <c r="O493" s="730">
        <v>840315.66275159444</v>
      </c>
      <c r="P493" s="366">
        <v>1</v>
      </c>
      <c r="Q493" s="374">
        <v>20.134620000000002</v>
      </c>
      <c r="R493" s="704">
        <v>16862578.155220293</v>
      </c>
      <c r="S493" s="366">
        <v>113.11600000000001</v>
      </c>
      <c r="T493" s="366">
        <v>118.002</v>
      </c>
      <c r="U493" s="366">
        <v>1.0434399999999999</v>
      </c>
      <c r="V493" s="704">
        <v>17805154.35615347</v>
      </c>
      <c r="W493" s="704">
        <v>-812153.99055346695</v>
      </c>
      <c r="X493"/>
      <c r="Y493"/>
    </row>
    <row r="494" spans="2:25" ht="16">
      <c r="J494" s="691"/>
      <c r="K494" s="728"/>
      <c r="L494" s="341"/>
      <c r="M494" s="341"/>
      <c r="N494" s="692"/>
      <c r="O494" s="728"/>
      <c r="P494" s="341"/>
      <c r="Q494" s="360"/>
      <c r="R494" s="692"/>
      <c r="S494" s="341"/>
      <c r="T494" s="341"/>
      <c r="U494" s="341"/>
      <c r="V494" s="692"/>
      <c r="W494" s="692"/>
      <c r="X494"/>
      <c r="Y494"/>
    </row>
    <row r="495" spans="2:25" ht="16">
      <c r="B495" s="67"/>
      <c r="E495" s="1" t="s">
        <v>723</v>
      </c>
      <c r="J495" s="691"/>
      <c r="K495" s="728"/>
      <c r="L495" s="341"/>
      <c r="M495" s="341"/>
      <c r="N495" s="692"/>
      <c r="O495" s="728"/>
      <c r="P495" s="341"/>
      <c r="Q495" s="360"/>
      <c r="R495" s="692"/>
      <c r="S495" s="341"/>
      <c r="T495" s="341"/>
      <c r="U495" s="341"/>
      <c r="V495" s="692"/>
      <c r="W495" s="692"/>
      <c r="X495"/>
      <c r="Y495"/>
    </row>
    <row r="496" spans="2:25" ht="16">
      <c r="B496" s="67"/>
      <c r="F496" s="344">
        <v>44603</v>
      </c>
      <c r="G496" s="344"/>
      <c r="H496" s="344"/>
      <c r="I496" s="344"/>
      <c r="J496" s="691"/>
      <c r="K496" s="728"/>
      <c r="L496" s="341"/>
      <c r="M496" s="341"/>
      <c r="N496" s="692"/>
      <c r="O496" s="728"/>
      <c r="P496" s="341"/>
      <c r="Q496" s="360"/>
      <c r="R496" s="692"/>
      <c r="S496" s="341"/>
      <c r="T496" s="341"/>
      <c r="U496" s="341"/>
      <c r="V496" s="692"/>
      <c r="W496" s="692"/>
      <c r="X496"/>
      <c r="Y496"/>
    </row>
    <row r="497" spans="2:25" ht="16">
      <c r="B497" s="67"/>
      <c r="G497" s="3" t="s">
        <v>59</v>
      </c>
      <c r="H497" s="3"/>
      <c r="I497" s="3"/>
      <c r="J497" s="691"/>
      <c r="K497" s="728"/>
      <c r="L497" s="341"/>
      <c r="M497" s="341"/>
      <c r="N497" s="692"/>
      <c r="O497" s="728"/>
      <c r="P497" s="341"/>
      <c r="Q497" s="360"/>
      <c r="R497" s="692"/>
      <c r="S497" s="341"/>
      <c r="T497" s="341"/>
      <c r="U497" s="341"/>
      <c r="V497" s="692"/>
      <c r="W497" s="692"/>
      <c r="X497"/>
      <c r="Y497"/>
    </row>
    <row r="498" spans="2:25" ht="16">
      <c r="B498" s="67"/>
      <c r="H498" s="345">
        <v>44293</v>
      </c>
      <c r="I498" s="345"/>
      <c r="J498" s="691"/>
      <c r="K498" s="728"/>
      <c r="L498" s="341"/>
      <c r="M498" s="341"/>
      <c r="N498" s="692"/>
      <c r="O498" s="728"/>
      <c r="P498" s="341"/>
      <c r="Q498" s="360"/>
      <c r="R498" s="692"/>
      <c r="S498" s="341"/>
      <c r="T498" s="341"/>
      <c r="U498" s="341"/>
      <c r="V498" s="692"/>
      <c r="W498" s="692"/>
      <c r="X498"/>
      <c r="Y498"/>
    </row>
    <row r="499" spans="2:25" ht="16">
      <c r="B499" s="67"/>
      <c r="I499" s="3" t="s">
        <v>59</v>
      </c>
      <c r="J499" s="691">
        <v>11896</v>
      </c>
      <c r="K499" s="728">
        <v>71481.873275240854</v>
      </c>
      <c r="L499" s="341">
        <v>1</v>
      </c>
      <c r="M499" s="341">
        <v>20.500800000000002</v>
      </c>
      <c r="N499" s="692">
        <v>1465435.5876410578</v>
      </c>
      <c r="O499" s="728">
        <v>72516.826253348132</v>
      </c>
      <c r="P499" s="341">
        <v>1</v>
      </c>
      <c r="Q499" s="360">
        <v>20.2483</v>
      </c>
      <c r="R499" s="692">
        <v>1468342.4530256691</v>
      </c>
      <c r="S499" s="341">
        <v>112.19</v>
      </c>
      <c r="T499" s="341">
        <v>118.002</v>
      </c>
      <c r="U499" s="341">
        <v>1.0518000000000001</v>
      </c>
      <c r="V499" s="692">
        <v>1544402.5920923988</v>
      </c>
      <c r="W499" s="692">
        <v>-78967.004451341229</v>
      </c>
      <c r="X499"/>
      <c r="Y499"/>
    </row>
    <row r="500" spans="2:25" ht="16">
      <c r="J500" s="691"/>
      <c r="K500" s="728"/>
      <c r="L500" s="341"/>
      <c r="M500" s="341"/>
      <c r="N500" s="692"/>
      <c r="O500" s="728"/>
      <c r="P500" s="341"/>
      <c r="Q500" s="360"/>
      <c r="R500" s="692"/>
      <c r="S500" s="341"/>
      <c r="T500" s="341"/>
      <c r="U500" s="341"/>
      <c r="V500" s="692"/>
      <c r="W500" s="692"/>
      <c r="X500"/>
      <c r="Y500"/>
    </row>
    <row r="501" spans="2:25" ht="16">
      <c r="B501" s="67"/>
      <c r="H501" s="345">
        <v>44302</v>
      </c>
      <c r="I501" s="345"/>
      <c r="J501" s="691"/>
      <c r="K501" s="728"/>
      <c r="L501" s="341"/>
      <c r="M501" s="341"/>
      <c r="N501" s="692"/>
      <c r="O501" s="728"/>
      <c r="P501" s="341"/>
      <c r="Q501" s="360"/>
      <c r="R501" s="692"/>
      <c r="S501" s="341"/>
      <c r="T501" s="341"/>
      <c r="U501" s="341"/>
      <c r="V501" s="692"/>
      <c r="W501" s="692"/>
      <c r="X501"/>
      <c r="Y501"/>
    </row>
    <row r="502" spans="2:25" ht="16">
      <c r="B502" s="67"/>
      <c r="I502" s="3" t="s">
        <v>59</v>
      </c>
      <c r="J502" s="691">
        <v>27237</v>
      </c>
      <c r="K502" s="728">
        <v>163664.40672475917</v>
      </c>
      <c r="L502" s="341">
        <v>1</v>
      </c>
      <c r="M502" s="341">
        <v>20.500800000000002</v>
      </c>
      <c r="N502" s="692">
        <v>3355251.2693829429</v>
      </c>
      <c r="O502" s="728">
        <v>166546.08362036344</v>
      </c>
      <c r="P502" s="341">
        <v>1</v>
      </c>
      <c r="Q502" s="360">
        <v>20.058299999999999</v>
      </c>
      <c r="R502" s="692">
        <v>3340631.3090823358</v>
      </c>
      <c r="S502" s="341">
        <v>112.19</v>
      </c>
      <c r="T502" s="341">
        <v>118.002</v>
      </c>
      <c r="U502" s="341">
        <v>1.0518000000000001</v>
      </c>
      <c r="V502" s="692">
        <v>3513676.010892801</v>
      </c>
      <c r="W502" s="692">
        <v>-158424.74150985805</v>
      </c>
      <c r="X502"/>
      <c r="Y502"/>
    </row>
    <row r="503" spans="2:25" ht="16">
      <c r="J503" s="691"/>
      <c r="K503" s="728"/>
      <c r="L503" s="341"/>
      <c r="M503" s="341"/>
      <c r="N503" s="692"/>
      <c r="O503" s="728"/>
      <c r="P503" s="341"/>
      <c r="Q503" s="360"/>
      <c r="R503" s="692"/>
      <c r="S503" s="341"/>
      <c r="T503" s="341"/>
      <c r="U503" s="341"/>
      <c r="V503" s="692"/>
      <c r="W503" s="692"/>
      <c r="X503"/>
      <c r="Y503"/>
    </row>
    <row r="504" spans="2:25" ht="16">
      <c r="B504" s="67"/>
      <c r="F504" s="344">
        <v>44671</v>
      </c>
      <c r="G504" s="344"/>
      <c r="H504" s="344"/>
      <c r="I504" s="344"/>
      <c r="J504" s="691"/>
      <c r="K504" s="728"/>
      <c r="L504" s="341"/>
      <c r="M504" s="341"/>
      <c r="N504" s="692"/>
      <c r="O504" s="728"/>
      <c r="P504" s="341"/>
      <c r="Q504" s="360"/>
      <c r="R504" s="692"/>
      <c r="S504" s="341"/>
      <c r="T504" s="341"/>
      <c r="U504" s="341"/>
      <c r="V504" s="692"/>
      <c r="W504" s="692"/>
      <c r="X504"/>
      <c r="Y504"/>
    </row>
    <row r="505" spans="2:25" ht="16">
      <c r="B505" s="67"/>
      <c r="G505" s="3" t="s">
        <v>59</v>
      </c>
      <c r="H505" s="3"/>
      <c r="I505" s="3"/>
      <c r="J505" s="691"/>
      <c r="K505" s="728"/>
      <c r="L505" s="341"/>
      <c r="M505" s="341"/>
      <c r="N505" s="692"/>
      <c r="O505" s="728"/>
      <c r="P505" s="341"/>
      <c r="Q505" s="360"/>
      <c r="R505" s="692"/>
      <c r="S505" s="341"/>
      <c r="T505" s="341"/>
      <c r="U505" s="341"/>
      <c r="V505" s="692"/>
      <c r="W505" s="692"/>
      <c r="X505"/>
      <c r="Y505"/>
    </row>
    <row r="506" spans="2:25" ht="16">
      <c r="B506" s="67"/>
      <c r="H506" s="345">
        <v>44302</v>
      </c>
      <c r="I506" s="345"/>
      <c r="J506" s="691"/>
      <c r="K506" s="728"/>
      <c r="L506" s="341"/>
      <c r="M506" s="341"/>
      <c r="N506" s="692"/>
      <c r="O506" s="728"/>
      <c r="P506" s="341"/>
      <c r="Q506" s="360"/>
      <c r="R506" s="692"/>
      <c r="S506" s="341"/>
      <c r="T506" s="341"/>
      <c r="U506" s="341"/>
      <c r="V506" s="692"/>
      <c r="W506" s="692"/>
      <c r="X506"/>
      <c r="Y506"/>
    </row>
    <row r="507" spans="2:25" ht="16">
      <c r="B507" s="67"/>
      <c r="I507" s="3" t="s">
        <v>59</v>
      </c>
      <c r="J507" s="691">
        <v>2980</v>
      </c>
      <c r="K507" s="728">
        <v>17483.96</v>
      </c>
      <c r="L507" s="341">
        <v>1</v>
      </c>
      <c r="M507" s="341">
        <v>19.9377</v>
      </c>
      <c r="N507" s="692">
        <v>348589.94929199998</v>
      </c>
      <c r="O507" s="728">
        <v>18221.805969404966</v>
      </c>
      <c r="P507" s="341">
        <v>1</v>
      </c>
      <c r="Q507" s="360">
        <v>20.058299999999999</v>
      </c>
      <c r="R507" s="692">
        <v>365498.45067611564</v>
      </c>
      <c r="S507" s="341">
        <v>112.19</v>
      </c>
      <c r="T507" s="341">
        <v>120.15900000000001</v>
      </c>
      <c r="U507" s="341">
        <v>1.071</v>
      </c>
      <c r="V507" s="692">
        <v>391448.84067411983</v>
      </c>
      <c r="W507" s="692">
        <v>-42858.891382119851</v>
      </c>
      <c r="X507"/>
      <c r="Y507"/>
    </row>
    <row r="508" spans="2:25" ht="16">
      <c r="J508" s="691"/>
      <c r="K508" s="728"/>
      <c r="L508" s="341"/>
      <c r="M508" s="341"/>
      <c r="N508" s="692"/>
      <c r="O508" s="728"/>
      <c r="P508" s="341"/>
      <c r="Q508" s="360"/>
      <c r="R508" s="692"/>
      <c r="S508" s="341"/>
      <c r="T508" s="341"/>
      <c r="U508" s="341"/>
      <c r="V508" s="692"/>
      <c r="W508" s="692"/>
      <c r="X508"/>
      <c r="Y508"/>
    </row>
    <row r="509" spans="2:25" ht="16">
      <c r="B509" s="67"/>
      <c r="F509" s="344">
        <v>44769</v>
      </c>
      <c r="G509" s="344"/>
      <c r="H509" s="344"/>
      <c r="I509" s="344"/>
      <c r="J509" s="691"/>
      <c r="K509" s="728"/>
      <c r="L509" s="341"/>
      <c r="M509" s="341"/>
      <c r="N509" s="692"/>
      <c r="O509" s="728"/>
      <c r="P509" s="341"/>
      <c r="Q509" s="360"/>
      <c r="R509" s="692"/>
      <c r="S509" s="341"/>
      <c r="T509" s="341"/>
      <c r="U509" s="341"/>
      <c r="V509" s="692"/>
      <c r="W509" s="692"/>
      <c r="X509"/>
      <c r="Y509"/>
    </row>
    <row r="510" spans="2:25" ht="16">
      <c r="B510" s="67"/>
      <c r="G510" s="3" t="s">
        <v>59</v>
      </c>
      <c r="H510" s="3"/>
      <c r="I510" s="3"/>
      <c r="J510" s="691"/>
      <c r="K510" s="728"/>
      <c r="L510" s="341"/>
      <c r="M510" s="341"/>
      <c r="N510" s="692"/>
      <c r="O510" s="728"/>
      <c r="P510" s="341"/>
      <c r="Q510" s="360"/>
      <c r="R510" s="692"/>
      <c r="S510" s="341"/>
      <c r="T510" s="341"/>
      <c r="U510" s="341"/>
      <c r="V510" s="692"/>
      <c r="W510" s="692"/>
      <c r="X510"/>
      <c r="Y510"/>
    </row>
    <row r="511" spans="2:25" ht="16">
      <c r="B511" s="67"/>
      <c r="H511" s="345">
        <v>44441</v>
      </c>
      <c r="I511" s="345"/>
      <c r="J511" s="691"/>
      <c r="K511" s="728"/>
      <c r="L511" s="341"/>
      <c r="M511" s="341"/>
      <c r="N511" s="692"/>
      <c r="O511" s="728"/>
      <c r="P511" s="341"/>
      <c r="Q511" s="360"/>
      <c r="R511" s="692"/>
      <c r="S511" s="341"/>
      <c r="T511" s="341"/>
      <c r="U511" s="341"/>
      <c r="V511" s="692"/>
      <c r="W511" s="692"/>
      <c r="X511"/>
      <c r="Y511"/>
    </row>
    <row r="512" spans="2:25" ht="16">
      <c r="B512" s="67"/>
      <c r="I512" s="3" t="s">
        <v>59</v>
      </c>
      <c r="J512" s="691">
        <v>69744</v>
      </c>
      <c r="K512" s="728">
        <v>401132.61411641852</v>
      </c>
      <c r="L512" s="341">
        <v>1</v>
      </c>
      <c r="M512" s="341">
        <v>20.465199999999999</v>
      </c>
      <c r="N512" s="692">
        <v>8209259.1744153285</v>
      </c>
      <c r="O512" s="728">
        <v>436743.9</v>
      </c>
      <c r="P512" s="341">
        <v>1</v>
      </c>
      <c r="Q512" s="360">
        <v>20.060500000000001</v>
      </c>
      <c r="R512" s="692">
        <v>8761301.0059500001</v>
      </c>
      <c r="S512" s="341">
        <v>114.601</v>
      </c>
      <c r="T512" s="341">
        <v>122.044</v>
      </c>
      <c r="U512" s="341">
        <v>1.0649</v>
      </c>
      <c r="V512" s="692">
        <v>9329909.4412361551</v>
      </c>
      <c r="W512" s="692">
        <v>-1120650.2668208247</v>
      </c>
      <c r="X512"/>
      <c r="Y512"/>
    </row>
    <row r="513" spans="2:25" ht="16">
      <c r="J513" s="691"/>
      <c r="K513" s="728"/>
      <c r="L513" s="341"/>
      <c r="M513" s="341"/>
      <c r="N513" s="692"/>
      <c r="O513" s="728"/>
      <c r="P513" s="341"/>
      <c r="Q513" s="360"/>
      <c r="R513" s="692"/>
      <c r="S513" s="341"/>
      <c r="T513" s="341"/>
      <c r="U513" s="341"/>
      <c r="V513" s="692"/>
      <c r="W513" s="692"/>
      <c r="X513"/>
      <c r="Y513"/>
    </row>
    <row r="514" spans="2:25" ht="16">
      <c r="B514" s="67"/>
      <c r="H514" s="345">
        <v>44491</v>
      </c>
      <c r="I514" s="345"/>
      <c r="J514" s="691"/>
      <c r="K514" s="728"/>
      <c r="L514" s="341"/>
      <c r="M514" s="341"/>
      <c r="N514" s="692"/>
      <c r="O514" s="728"/>
      <c r="P514" s="341"/>
      <c r="Q514" s="360"/>
      <c r="R514" s="692"/>
      <c r="S514" s="341"/>
      <c r="T514" s="341"/>
      <c r="U514" s="341"/>
      <c r="V514" s="692"/>
      <c r="W514" s="692"/>
      <c r="X514"/>
      <c r="Y514"/>
    </row>
    <row r="515" spans="2:25" ht="16">
      <c r="B515" s="67"/>
      <c r="I515" s="3" t="s">
        <v>59</v>
      </c>
      <c r="J515" s="691">
        <v>3374</v>
      </c>
      <c r="K515" s="728">
        <v>19405.560908878128</v>
      </c>
      <c r="L515" s="341">
        <v>1</v>
      </c>
      <c r="M515" s="341">
        <v>20.465199999999999</v>
      </c>
      <c r="N515" s="692">
        <v>397138.68511237262</v>
      </c>
      <c r="O515" s="728">
        <v>20976.5</v>
      </c>
      <c r="P515" s="341">
        <v>1</v>
      </c>
      <c r="Q515" s="360">
        <v>20.184999999999999</v>
      </c>
      <c r="R515" s="692">
        <v>423410.65249999997</v>
      </c>
      <c r="S515" s="341">
        <v>115.56100000000001</v>
      </c>
      <c r="T515" s="341">
        <v>122.044</v>
      </c>
      <c r="U515" s="341">
        <v>1.0561</v>
      </c>
      <c r="V515" s="692">
        <v>447163.99010524998</v>
      </c>
      <c r="W515" s="692">
        <v>-50025.304992877354</v>
      </c>
      <c r="X515"/>
      <c r="Y515"/>
    </row>
    <row r="516" spans="2:25" ht="16">
      <c r="J516" s="691"/>
      <c r="K516" s="728"/>
      <c r="L516" s="341"/>
      <c r="M516" s="341"/>
      <c r="N516" s="692"/>
      <c r="O516" s="728"/>
      <c r="P516" s="341"/>
      <c r="Q516" s="360"/>
      <c r="R516" s="692"/>
      <c r="S516" s="341"/>
      <c r="T516" s="341"/>
      <c r="U516" s="341"/>
      <c r="V516" s="692"/>
      <c r="W516" s="692"/>
      <c r="X516"/>
      <c r="Y516"/>
    </row>
    <row r="517" spans="2:25" ht="16">
      <c r="B517" s="67"/>
      <c r="H517" s="345">
        <v>44302</v>
      </c>
      <c r="I517" s="345"/>
      <c r="J517" s="691"/>
      <c r="K517" s="728"/>
      <c r="L517" s="341"/>
      <c r="M517" s="341"/>
      <c r="N517" s="692"/>
      <c r="O517" s="728"/>
      <c r="P517" s="341"/>
      <c r="Q517" s="360"/>
      <c r="R517" s="692"/>
      <c r="S517" s="341"/>
      <c r="T517" s="341"/>
      <c r="U517" s="341"/>
      <c r="V517" s="692"/>
      <c r="W517" s="692"/>
      <c r="X517"/>
      <c r="Y517"/>
    </row>
    <row r="518" spans="2:25" ht="16">
      <c r="B518" s="67"/>
      <c r="I518" s="3" t="s">
        <v>59</v>
      </c>
      <c r="J518" s="691">
        <v>37964</v>
      </c>
      <c r="K518" s="728">
        <v>218349.94497470339</v>
      </c>
      <c r="L518" s="341">
        <v>1</v>
      </c>
      <c r="M518" s="341">
        <v>20.465199999999999</v>
      </c>
      <c r="N518" s="692">
        <v>4468575.2938962998</v>
      </c>
      <c r="O518" s="728">
        <v>232138.47041023159</v>
      </c>
      <c r="P518" s="341">
        <v>1</v>
      </c>
      <c r="Q518" s="360">
        <v>20.058299999999999</v>
      </c>
      <c r="R518" s="692">
        <v>4656303.0810295483</v>
      </c>
      <c r="S518" s="341">
        <v>112.19</v>
      </c>
      <c r="T518" s="341">
        <v>122.044</v>
      </c>
      <c r="U518" s="341">
        <v>1.0878000000000001</v>
      </c>
      <c r="V518" s="692">
        <v>5065126.4915439431</v>
      </c>
      <c r="W518" s="692">
        <v>-596551.19764764328</v>
      </c>
      <c r="X518"/>
      <c r="Y518"/>
    </row>
    <row r="519" spans="2:25" ht="16">
      <c r="J519" s="691"/>
      <c r="K519" s="728"/>
      <c r="L519" s="341"/>
      <c r="M519" s="341"/>
      <c r="N519" s="692"/>
      <c r="O519" s="728"/>
      <c r="P519" s="341"/>
      <c r="Q519" s="360"/>
      <c r="R519" s="692"/>
      <c r="S519" s="341"/>
      <c r="T519" s="341"/>
      <c r="U519" s="341"/>
      <c r="V519" s="692"/>
      <c r="W519" s="692"/>
      <c r="X519"/>
      <c r="Y519"/>
    </row>
    <row r="520" spans="2:25" ht="16">
      <c r="B520" s="67"/>
      <c r="E520" s="131" t="s">
        <v>884</v>
      </c>
      <c r="F520" s="131"/>
      <c r="G520" s="131"/>
      <c r="H520" s="131"/>
      <c r="I520" s="131"/>
      <c r="J520" s="729">
        <v>153195</v>
      </c>
      <c r="K520" s="730">
        <v>891518.36</v>
      </c>
      <c r="L520" s="366">
        <v>1</v>
      </c>
      <c r="M520" s="374">
        <v>20.389149999999997</v>
      </c>
      <c r="N520" s="704">
        <v>18244249.959740002</v>
      </c>
      <c r="O520" s="730">
        <v>947143.58625334816</v>
      </c>
      <c r="P520" s="366">
        <v>1</v>
      </c>
      <c r="Q520" s="374">
        <v>20.111450000000001</v>
      </c>
      <c r="R520" s="704">
        <v>19015486.952263668</v>
      </c>
      <c r="S520" s="366">
        <v>113.15366666666667</v>
      </c>
      <c r="T520" s="366">
        <v>120.38249999999999</v>
      </c>
      <c r="U520" s="366">
        <v>1.0639000000000001</v>
      </c>
      <c r="V520" s="704">
        <v>20291727.366544668</v>
      </c>
      <c r="W520" s="704">
        <v>-2047477.4068046645</v>
      </c>
      <c r="X520"/>
      <c r="Y520"/>
    </row>
    <row r="521" spans="2:25" ht="16">
      <c r="J521" s="691"/>
      <c r="K521" s="728"/>
      <c r="L521" s="341"/>
      <c r="M521" s="341"/>
      <c r="N521" s="692"/>
      <c r="O521" s="728"/>
      <c r="P521" s="341"/>
      <c r="Q521" s="360"/>
      <c r="R521" s="692"/>
      <c r="S521" s="341"/>
      <c r="T521" s="341"/>
      <c r="U521" s="341"/>
      <c r="V521" s="692"/>
      <c r="W521" s="692"/>
      <c r="X521"/>
      <c r="Y521"/>
    </row>
    <row r="522" spans="2:25" ht="16">
      <c r="B522" s="67"/>
      <c r="E522" s="1" t="s">
        <v>724</v>
      </c>
      <c r="J522" s="691"/>
      <c r="K522" s="728"/>
      <c r="L522" s="341"/>
      <c r="M522" s="341"/>
      <c r="N522" s="692"/>
      <c r="O522" s="728"/>
      <c r="P522" s="341"/>
      <c r="Q522" s="360"/>
      <c r="R522" s="692"/>
      <c r="S522" s="341"/>
      <c r="T522" s="341"/>
      <c r="U522" s="341"/>
      <c r="V522" s="692"/>
      <c r="W522" s="692"/>
      <c r="X522"/>
      <c r="Y522"/>
    </row>
    <row r="523" spans="2:25" ht="16">
      <c r="B523" s="67"/>
      <c r="F523" s="344">
        <v>44603</v>
      </c>
      <c r="G523" s="344"/>
      <c r="H523" s="344"/>
      <c r="I523" s="344"/>
      <c r="J523" s="691"/>
      <c r="K523" s="728"/>
      <c r="L523" s="341"/>
      <c r="M523" s="341"/>
      <c r="N523" s="692"/>
      <c r="O523" s="728"/>
      <c r="P523" s="341"/>
      <c r="Q523" s="360"/>
      <c r="R523" s="692"/>
      <c r="S523" s="341"/>
      <c r="T523" s="341"/>
      <c r="U523" s="341"/>
      <c r="V523" s="692"/>
      <c r="W523" s="692"/>
      <c r="X523"/>
      <c r="Y523"/>
    </row>
    <row r="524" spans="2:25" ht="16">
      <c r="B524" s="67"/>
      <c r="G524" s="3" t="s">
        <v>59</v>
      </c>
      <c r="H524" s="3"/>
      <c r="I524" s="3"/>
      <c r="J524" s="691"/>
      <c r="K524" s="728"/>
      <c r="L524" s="341"/>
      <c r="M524" s="341"/>
      <c r="N524" s="692"/>
      <c r="O524" s="728"/>
      <c r="P524" s="341"/>
      <c r="Q524" s="360"/>
      <c r="R524" s="692"/>
      <c r="S524" s="341"/>
      <c r="T524" s="341"/>
      <c r="U524" s="341"/>
      <c r="V524" s="692"/>
      <c r="W524" s="692"/>
      <c r="X524"/>
      <c r="Y524"/>
    </row>
    <row r="525" spans="2:25" ht="16">
      <c r="B525" s="67"/>
      <c r="H525" s="345">
        <v>44218</v>
      </c>
      <c r="I525" s="345"/>
      <c r="J525" s="691"/>
      <c r="K525" s="728"/>
      <c r="L525" s="341"/>
      <c r="M525" s="341"/>
      <c r="N525" s="692"/>
      <c r="O525" s="728"/>
      <c r="P525" s="341"/>
      <c r="Q525" s="360"/>
      <c r="R525" s="692"/>
      <c r="S525" s="341"/>
      <c r="T525" s="341"/>
      <c r="U525" s="341"/>
      <c r="V525" s="692"/>
      <c r="W525" s="692"/>
      <c r="X525"/>
      <c r="Y525"/>
    </row>
    <row r="526" spans="2:25" ht="16">
      <c r="B526" s="67"/>
      <c r="I526" s="3" t="s">
        <v>59</v>
      </c>
      <c r="J526" s="691">
        <v>12108</v>
      </c>
      <c r="K526" s="728">
        <v>64275.317753531737</v>
      </c>
      <c r="L526" s="341">
        <v>1</v>
      </c>
      <c r="M526" s="341">
        <v>20.500800000000002</v>
      </c>
      <c r="N526" s="692">
        <v>1317695.4342016035</v>
      </c>
      <c r="O526" s="728">
        <v>65597.509553773678</v>
      </c>
      <c r="P526" s="341">
        <v>1</v>
      </c>
      <c r="Q526" s="360">
        <v>19.5793</v>
      </c>
      <c r="R526" s="692">
        <v>1284353.318806201</v>
      </c>
      <c r="S526" s="341">
        <v>110.21</v>
      </c>
      <c r="T526" s="341">
        <v>118.002</v>
      </c>
      <c r="U526" s="341">
        <v>1.0707</v>
      </c>
      <c r="V526" s="692">
        <v>1375157.0984457994</v>
      </c>
      <c r="W526" s="692">
        <v>-57461.664244195912</v>
      </c>
      <c r="X526"/>
      <c r="Y526"/>
    </row>
    <row r="527" spans="2:25" ht="16">
      <c r="J527" s="691"/>
      <c r="K527" s="728"/>
      <c r="L527" s="341"/>
      <c r="M527" s="341"/>
      <c r="N527" s="692"/>
      <c r="O527" s="728"/>
      <c r="P527" s="341"/>
      <c r="Q527" s="360"/>
      <c r="R527" s="692"/>
      <c r="S527" s="341"/>
      <c r="T527" s="341"/>
      <c r="U527" s="341"/>
      <c r="V527" s="692"/>
      <c r="W527" s="692"/>
      <c r="X527"/>
      <c r="Y527"/>
    </row>
    <row r="528" spans="2:25" ht="16">
      <c r="B528" s="67"/>
      <c r="H528" s="345">
        <v>44293</v>
      </c>
      <c r="I528" s="345"/>
      <c r="J528" s="691"/>
      <c r="K528" s="728"/>
      <c r="L528" s="341"/>
      <c r="M528" s="341"/>
      <c r="N528" s="692"/>
      <c r="O528" s="728"/>
      <c r="P528" s="341"/>
      <c r="Q528" s="360"/>
      <c r="R528" s="692"/>
      <c r="S528" s="341"/>
      <c r="T528" s="341"/>
      <c r="U528" s="341"/>
      <c r="V528" s="692"/>
      <c r="W528" s="692"/>
      <c r="X528"/>
      <c r="Y528"/>
    </row>
    <row r="529" spans="2:25" ht="16">
      <c r="B529" s="67"/>
      <c r="I529" s="3" t="s">
        <v>59</v>
      </c>
      <c r="J529" s="691">
        <v>63603</v>
      </c>
      <c r="K529" s="728">
        <v>337636.52420530881</v>
      </c>
      <c r="L529" s="341">
        <v>1</v>
      </c>
      <c r="M529" s="341">
        <v>20.500800000000002</v>
      </c>
      <c r="N529" s="692">
        <v>6921818.8554281956</v>
      </c>
      <c r="O529" s="728">
        <v>344391.16</v>
      </c>
      <c r="P529" s="341">
        <v>1</v>
      </c>
      <c r="Q529" s="360">
        <v>20.2483</v>
      </c>
      <c r="R529" s="692">
        <v>6973335.5250279997</v>
      </c>
      <c r="S529" s="341">
        <v>112.19</v>
      </c>
      <c r="T529" s="341">
        <v>118.002</v>
      </c>
      <c r="U529" s="341">
        <v>1.0518000000000001</v>
      </c>
      <c r="V529" s="692">
        <v>7334554.3052244503</v>
      </c>
      <c r="W529" s="692">
        <v>-412735.44979625475</v>
      </c>
      <c r="X529"/>
      <c r="Y529"/>
    </row>
    <row r="530" spans="2:25" ht="16">
      <c r="J530" s="691"/>
      <c r="K530" s="728"/>
      <c r="L530" s="341"/>
      <c r="M530" s="341"/>
      <c r="N530" s="692"/>
      <c r="O530" s="728"/>
      <c r="P530" s="341"/>
      <c r="Q530" s="360"/>
      <c r="R530" s="692"/>
      <c r="S530" s="341"/>
      <c r="T530" s="341"/>
      <c r="U530" s="341"/>
      <c r="V530" s="692"/>
      <c r="W530" s="692"/>
      <c r="X530"/>
      <c r="Y530"/>
    </row>
    <row r="531" spans="2:25" ht="16">
      <c r="B531" s="67"/>
      <c r="H531" s="345">
        <v>44370</v>
      </c>
      <c r="I531" s="345"/>
      <c r="J531" s="691"/>
      <c r="K531" s="728"/>
      <c r="L531" s="341"/>
      <c r="M531" s="341"/>
      <c r="N531" s="692"/>
      <c r="O531" s="728"/>
      <c r="P531" s="341"/>
      <c r="Q531" s="360"/>
      <c r="R531" s="692"/>
      <c r="S531" s="341"/>
      <c r="T531" s="341"/>
      <c r="U531" s="341"/>
      <c r="V531" s="692"/>
      <c r="W531" s="692"/>
      <c r="X531"/>
      <c r="Y531"/>
    </row>
    <row r="532" spans="2:25" ht="16">
      <c r="B532" s="67"/>
      <c r="I532" s="3" t="s">
        <v>59</v>
      </c>
      <c r="J532" s="691">
        <v>20498</v>
      </c>
      <c r="K532" s="728">
        <v>108813.6325827464</v>
      </c>
      <c r="L532" s="341">
        <v>1</v>
      </c>
      <c r="M532" s="341">
        <v>20.500800000000002</v>
      </c>
      <c r="N532" s="692">
        <v>2230766.5188523675</v>
      </c>
      <c r="O532" s="728">
        <v>110926.98</v>
      </c>
      <c r="P532" s="341">
        <v>1</v>
      </c>
      <c r="Q532" s="360">
        <v>20.6</v>
      </c>
      <c r="R532" s="692">
        <v>2285095.7880000002</v>
      </c>
      <c r="S532" s="341">
        <v>113.018</v>
      </c>
      <c r="T532" s="341">
        <v>118.002</v>
      </c>
      <c r="U532" s="341">
        <v>1.044</v>
      </c>
      <c r="V532" s="692">
        <v>2385640.0026720003</v>
      </c>
      <c r="W532" s="692">
        <v>-154873.48381963279</v>
      </c>
      <c r="X532"/>
      <c r="Y532"/>
    </row>
    <row r="533" spans="2:25" ht="16">
      <c r="J533" s="691"/>
      <c r="K533" s="728"/>
      <c r="L533" s="341"/>
      <c r="M533" s="341"/>
      <c r="N533" s="692"/>
      <c r="O533" s="728"/>
      <c r="P533" s="341"/>
      <c r="Q533" s="360"/>
      <c r="R533" s="692"/>
      <c r="S533" s="341"/>
      <c r="T533" s="341"/>
      <c r="U533" s="341"/>
      <c r="V533" s="692"/>
      <c r="W533" s="692"/>
      <c r="X533"/>
      <c r="Y533"/>
    </row>
    <row r="534" spans="2:25" ht="16">
      <c r="B534" s="67"/>
      <c r="H534" s="345">
        <v>44441</v>
      </c>
      <c r="I534" s="345"/>
      <c r="J534" s="691"/>
      <c r="K534" s="728"/>
      <c r="L534" s="341"/>
      <c r="M534" s="341"/>
      <c r="N534" s="692"/>
      <c r="O534" s="728"/>
      <c r="P534" s="341"/>
      <c r="Q534" s="360"/>
      <c r="R534" s="692"/>
      <c r="S534" s="341"/>
      <c r="T534" s="341"/>
      <c r="U534" s="341"/>
      <c r="V534" s="692"/>
      <c r="W534" s="692"/>
      <c r="X534"/>
      <c r="Y534"/>
    </row>
    <row r="535" spans="2:25" ht="16">
      <c r="B535" s="67"/>
      <c r="I535" s="3" t="s">
        <v>59</v>
      </c>
      <c r="J535" s="691">
        <v>74779</v>
      </c>
      <c r="K535" s="728">
        <v>396964.31997781218</v>
      </c>
      <c r="L535" s="341">
        <v>1</v>
      </c>
      <c r="M535" s="341">
        <v>20.500800000000002</v>
      </c>
      <c r="N535" s="692">
        <v>8138086.1310011325</v>
      </c>
      <c r="O535" s="728">
        <v>405182.53</v>
      </c>
      <c r="P535" s="341">
        <v>1</v>
      </c>
      <c r="Q535" s="360">
        <v>20.060500000000001</v>
      </c>
      <c r="R535" s="692">
        <v>8128164.1430650009</v>
      </c>
      <c r="S535" s="341">
        <v>114.601</v>
      </c>
      <c r="T535" s="341">
        <v>118.002</v>
      </c>
      <c r="U535" s="341">
        <v>1.0296000000000001</v>
      </c>
      <c r="V535" s="692">
        <v>8368757.8016997259</v>
      </c>
      <c r="W535" s="692">
        <v>-230671.6706985943</v>
      </c>
      <c r="X535"/>
      <c r="Y535"/>
    </row>
    <row r="536" spans="2:25" ht="16">
      <c r="J536" s="691"/>
      <c r="K536" s="728"/>
      <c r="L536" s="341"/>
      <c r="M536" s="341"/>
      <c r="N536" s="692"/>
      <c r="O536" s="728"/>
      <c r="P536" s="341"/>
      <c r="Q536" s="360"/>
      <c r="R536" s="692"/>
      <c r="S536" s="341"/>
      <c r="T536" s="341"/>
      <c r="U536" s="341"/>
      <c r="V536" s="692"/>
      <c r="W536" s="692"/>
      <c r="X536"/>
      <c r="Y536"/>
    </row>
    <row r="537" spans="2:25" ht="16">
      <c r="B537" s="67"/>
      <c r="H537" s="345">
        <v>44491</v>
      </c>
      <c r="I537" s="345"/>
      <c r="J537" s="691"/>
      <c r="K537" s="728"/>
      <c r="L537" s="341"/>
      <c r="M537" s="341"/>
      <c r="N537" s="692"/>
      <c r="O537" s="728"/>
      <c r="P537" s="341"/>
      <c r="Q537" s="360"/>
      <c r="R537" s="692"/>
      <c r="S537" s="341"/>
      <c r="T537" s="341"/>
      <c r="U537" s="341"/>
      <c r="V537" s="692"/>
      <c r="W537" s="692"/>
      <c r="X537"/>
      <c r="Y537"/>
    </row>
    <row r="538" spans="2:25" ht="16">
      <c r="B538" s="67"/>
      <c r="I538" s="3" t="s">
        <v>59</v>
      </c>
      <c r="J538" s="691">
        <v>56</v>
      </c>
      <c r="K538" s="728">
        <v>297.27599886007408</v>
      </c>
      <c r="L538" s="341">
        <v>1</v>
      </c>
      <c r="M538" s="341">
        <v>20.500800000000002</v>
      </c>
      <c r="N538" s="692">
        <v>6094.3957974306077</v>
      </c>
      <c r="O538" s="728">
        <v>302.11</v>
      </c>
      <c r="P538" s="341">
        <v>1</v>
      </c>
      <c r="Q538" s="360">
        <v>20.184999999999999</v>
      </c>
      <c r="R538" s="692">
        <v>6098.0903499999995</v>
      </c>
      <c r="S538" s="341">
        <v>115.56100000000001</v>
      </c>
      <c r="T538" s="341">
        <v>118.002</v>
      </c>
      <c r="U538" s="341">
        <v>1.0210999999999999</v>
      </c>
      <c r="V538" s="692">
        <v>6226.7600563849992</v>
      </c>
      <c r="W538" s="692">
        <v>-132.36425895439152</v>
      </c>
      <c r="X538"/>
      <c r="Y538"/>
    </row>
    <row r="539" spans="2:25" ht="16">
      <c r="J539" s="691"/>
      <c r="K539" s="728"/>
      <c r="L539" s="341"/>
      <c r="M539" s="341"/>
      <c r="N539" s="692"/>
      <c r="O539" s="728"/>
      <c r="P539" s="341"/>
      <c r="Q539" s="360"/>
      <c r="R539" s="692"/>
      <c r="S539" s="341"/>
      <c r="T539" s="341"/>
      <c r="U539" s="341"/>
      <c r="V539" s="692"/>
      <c r="W539" s="692"/>
      <c r="X539"/>
      <c r="Y539"/>
    </row>
    <row r="540" spans="2:25" ht="16">
      <c r="B540" s="67"/>
      <c r="H540" s="345">
        <v>44231</v>
      </c>
      <c r="I540" s="345"/>
      <c r="J540" s="691"/>
      <c r="K540" s="728"/>
      <c r="L540" s="341"/>
      <c r="M540" s="341"/>
      <c r="N540" s="692"/>
      <c r="O540" s="728"/>
      <c r="P540" s="341"/>
      <c r="Q540" s="360"/>
      <c r="R540" s="692"/>
      <c r="S540" s="341"/>
      <c r="T540" s="341"/>
      <c r="U540" s="341"/>
      <c r="V540" s="692"/>
      <c r="W540" s="692"/>
      <c r="X540"/>
      <c r="Y540"/>
    </row>
    <row r="541" spans="2:25" ht="16">
      <c r="B541" s="67"/>
      <c r="I541" s="3" t="s">
        <v>59</v>
      </c>
      <c r="J541" s="691">
        <v>25460</v>
      </c>
      <c r="K541" s="728">
        <v>135154.40948174082</v>
      </c>
      <c r="L541" s="341">
        <v>1</v>
      </c>
      <c r="M541" s="341">
        <v>20.500800000000002</v>
      </c>
      <c r="N541" s="692">
        <v>2770773.5179032725</v>
      </c>
      <c r="O541" s="728">
        <v>137927</v>
      </c>
      <c r="P541" s="341">
        <v>1</v>
      </c>
      <c r="Q541" s="360">
        <v>20.1722</v>
      </c>
      <c r="R541" s="692">
        <v>2782291.0293999999</v>
      </c>
      <c r="S541" s="341">
        <v>110.907</v>
      </c>
      <c r="T541" s="341">
        <v>118.002</v>
      </c>
      <c r="U541" s="341">
        <v>1.0639000000000001</v>
      </c>
      <c r="V541" s="692">
        <v>2960079.4261786602</v>
      </c>
      <c r="W541" s="692">
        <v>-189305.90827538772</v>
      </c>
      <c r="X541"/>
      <c r="Y541"/>
    </row>
    <row r="542" spans="2:25" ht="16">
      <c r="J542" s="691"/>
      <c r="K542" s="728"/>
      <c r="L542" s="341"/>
      <c r="M542" s="341"/>
      <c r="N542" s="692"/>
      <c r="O542" s="728"/>
      <c r="P542" s="341"/>
      <c r="Q542" s="360"/>
      <c r="R542" s="692"/>
      <c r="S542" s="341"/>
      <c r="T542" s="341"/>
      <c r="U542" s="341"/>
      <c r="V542" s="692"/>
      <c r="W542" s="692"/>
      <c r="X542"/>
      <c r="Y542"/>
    </row>
    <row r="543" spans="2:25" ht="16">
      <c r="B543" s="67"/>
      <c r="E543" s="131" t="s">
        <v>885</v>
      </c>
      <c r="F543" s="131"/>
      <c r="G543" s="131"/>
      <c r="H543" s="131"/>
      <c r="I543" s="131"/>
      <c r="J543" s="729">
        <v>196504</v>
      </c>
      <c r="K543" s="730">
        <v>1043141.48</v>
      </c>
      <c r="L543" s="366">
        <v>1</v>
      </c>
      <c r="M543" s="374">
        <v>20.500800000000002</v>
      </c>
      <c r="N543" s="704">
        <v>21385234.853184003</v>
      </c>
      <c r="O543" s="730">
        <v>1064327.2895537736</v>
      </c>
      <c r="P543" s="366">
        <v>1</v>
      </c>
      <c r="Q543" s="374">
        <v>20.140883333333335</v>
      </c>
      <c r="R543" s="704">
        <v>21459337.8946492</v>
      </c>
      <c r="S543" s="366">
        <v>112.74783333333335</v>
      </c>
      <c r="T543" s="366">
        <v>118.002</v>
      </c>
      <c r="U543" s="366">
        <v>1.0468500000000001</v>
      </c>
      <c r="V543" s="704">
        <v>22430415.394277018</v>
      </c>
      <c r="W543" s="704">
        <v>-1045180.5410930199</v>
      </c>
      <c r="X543"/>
      <c r="Y543"/>
    </row>
    <row r="544" spans="2:25" ht="16">
      <c r="J544" s="691"/>
      <c r="K544" s="728"/>
      <c r="L544" s="341"/>
      <c r="M544" s="341"/>
      <c r="N544" s="692"/>
      <c r="O544" s="728"/>
      <c r="P544" s="341"/>
      <c r="Q544" s="360"/>
      <c r="R544" s="692"/>
      <c r="S544" s="341"/>
      <c r="T544" s="341"/>
      <c r="U544" s="341"/>
      <c r="V544" s="692"/>
      <c r="W544" s="692"/>
      <c r="X544"/>
      <c r="Y544"/>
    </row>
    <row r="545" spans="2:25" ht="16">
      <c r="B545" s="67"/>
      <c r="E545" s="1" t="s">
        <v>781</v>
      </c>
      <c r="J545" s="691"/>
      <c r="K545" s="728"/>
      <c r="L545" s="341"/>
      <c r="M545" s="341"/>
      <c r="N545" s="692"/>
      <c r="O545" s="728"/>
      <c r="P545" s="341"/>
      <c r="Q545" s="360"/>
      <c r="R545" s="692"/>
      <c r="S545" s="341"/>
      <c r="T545" s="341"/>
      <c r="U545" s="341"/>
      <c r="V545" s="692"/>
      <c r="W545" s="692"/>
      <c r="X545"/>
      <c r="Y545"/>
    </row>
    <row r="546" spans="2:25" ht="16">
      <c r="B546" s="67"/>
      <c r="F546" s="344">
        <v>44862</v>
      </c>
      <c r="G546" s="344"/>
      <c r="H546" s="344"/>
      <c r="I546" s="344"/>
      <c r="J546" s="691"/>
      <c r="K546" s="728"/>
      <c r="L546" s="341"/>
      <c r="M546" s="341"/>
      <c r="N546" s="692"/>
      <c r="O546" s="728"/>
      <c r="P546" s="341"/>
      <c r="Q546" s="360"/>
      <c r="R546" s="692"/>
      <c r="S546" s="341"/>
      <c r="T546" s="341"/>
      <c r="U546" s="341"/>
      <c r="V546" s="692"/>
      <c r="W546" s="692"/>
      <c r="X546"/>
      <c r="Y546"/>
    </row>
    <row r="547" spans="2:25" ht="16">
      <c r="B547" s="67"/>
      <c r="G547" s="3" t="s">
        <v>59</v>
      </c>
      <c r="H547" s="3"/>
      <c r="I547" s="3"/>
      <c r="J547" s="691"/>
      <c r="K547" s="728"/>
      <c r="L547" s="341"/>
      <c r="M547" s="341"/>
      <c r="N547" s="692"/>
      <c r="O547" s="728"/>
      <c r="P547" s="341"/>
      <c r="Q547" s="360"/>
      <c r="R547" s="692"/>
      <c r="S547" s="341"/>
      <c r="T547" s="341"/>
      <c r="U547" s="341"/>
      <c r="V547" s="692"/>
      <c r="W547" s="692"/>
      <c r="X547"/>
      <c r="Y547"/>
    </row>
    <row r="548" spans="2:25" ht="16">
      <c r="B548" s="67"/>
      <c r="H548" s="345">
        <v>44769</v>
      </c>
      <c r="I548" s="345"/>
      <c r="J548" s="691"/>
      <c r="K548" s="728"/>
      <c r="L548" s="341"/>
      <c r="M548" s="341"/>
      <c r="N548" s="692"/>
      <c r="O548" s="728"/>
      <c r="P548" s="341"/>
      <c r="Q548" s="360"/>
      <c r="R548" s="692"/>
      <c r="S548" s="341"/>
      <c r="T548" s="341"/>
      <c r="U548" s="341"/>
      <c r="V548" s="692"/>
      <c r="W548" s="692"/>
      <c r="X548"/>
      <c r="Y548"/>
    </row>
    <row r="549" spans="2:25" ht="16">
      <c r="B549" s="67"/>
      <c r="I549" s="3" t="s">
        <v>59</v>
      </c>
      <c r="J549" s="691">
        <v>2137</v>
      </c>
      <c r="K549" s="728">
        <v>264129.14</v>
      </c>
      <c r="L549" s="341">
        <v>1</v>
      </c>
      <c r="M549" s="341">
        <v>19.8553</v>
      </c>
      <c r="N549" s="692">
        <v>5244363.3134420002</v>
      </c>
      <c r="O549" s="728">
        <v>278241.46000000002</v>
      </c>
      <c r="P549" s="341">
        <v>1</v>
      </c>
      <c r="Q549" s="360">
        <v>20.465199999999999</v>
      </c>
      <c r="R549" s="692">
        <v>5694267.1271919999</v>
      </c>
      <c r="S549" s="341">
        <v>122.94799999999999</v>
      </c>
      <c r="T549" s="341">
        <v>124.571</v>
      </c>
      <c r="U549" s="341">
        <v>1.0132000000000001</v>
      </c>
      <c r="V549" s="692">
        <v>5769431.4532709345</v>
      </c>
      <c r="W549" s="692">
        <v>-525068.13982893433</v>
      </c>
      <c r="X549"/>
      <c r="Y549"/>
    </row>
    <row r="550" spans="2:25" ht="16">
      <c r="J550" s="691"/>
      <c r="K550" s="728"/>
      <c r="L550" s="341"/>
      <c r="M550" s="341"/>
      <c r="N550" s="692"/>
      <c r="O550" s="728"/>
      <c r="P550" s="341"/>
      <c r="Q550" s="360"/>
      <c r="R550" s="692"/>
      <c r="S550" s="341"/>
      <c r="T550" s="341"/>
      <c r="U550" s="341"/>
      <c r="V550" s="692"/>
      <c r="W550" s="692"/>
      <c r="X550"/>
      <c r="Y550"/>
    </row>
    <row r="551" spans="2:25" ht="16">
      <c r="B551" s="67"/>
      <c r="E551" s="131" t="s">
        <v>886</v>
      </c>
      <c r="F551" s="131"/>
      <c r="G551" s="131"/>
      <c r="H551" s="131"/>
      <c r="I551" s="131"/>
      <c r="J551" s="729">
        <v>2137</v>
      </c>
      <c r="K551" s="730">
        <v>264129.14</v>
      </c>
      <c r="L551" s="366">
        <v>1</v>
      </c>
      <c r="M551" s="374">
        <v>19.8553</v>
      </c>
      <c r="N551" s="704">
        <v>5244363.3134420002</v>
      </c>
      <c r="O551" s="730">
        <v>278241.46000000002</v>
      </c>
      <c r="P551" s="366">
        <v>1</v>
      </c>
      <c r="Q551" s="374">
        <v>20.465199999999999</v>
      </c>
      <c r="R551" s="704">
        <v>5694267.1271919999</v>
      </c>
      <c r="S551" s="366">
        <v>122.94799999999999</v>
      </c>
      <c r="T551" s="366">
        <v>124.571</v>
      </c>
      <c r="U551" s="366">
        <v>1.0132000000000001</v>
      </c>
      <c r="V551" s="704">
        <v>5769431.4532709345</v>
      </c>
      <c r="W551" s="704">
        <v>-525068.13982893433</v>
      </c>
      <c r="X551"/>
      <c r="Y551"/>
    </row>
    <row r="552" spans="2:25" ht="16">
      <c r="J552" s="691"/>
      <c r="K552" s="728"/>
      <c r="L552" s="341"/>
      <c r="M552" s="341"/>
      <c r="N552" s="692"/>
      <c r="O552" s="728"/>
      <c r="P552" s="341"/>
      <c r="Q552" s="360"/>
      <c r="R552" s="692"/>
      <c r="S552" s="341"/>
      <c r="T552" s="341"/>
      <c r="U552" s="341"/>
      <c r="V552" s="692"/>
      <c r="W552" s="692"/>
      <c r="X552"/>
      <c r="Y552"/>
    </row>
    <row r="553" spans="2:25" ht="16">
      <c r="B553" s="67"/>
      <c r="E553" s="1" t="s">
        <v>727</v>
      </c>
      <c r="J553" s="691"/>
      <c r="K553" s="728"/>
      <c r="L553" s="341"/>
      <c r="M553" s="341"/>
      <c r="N553" s="692"/>
      <c r="O553" s="728"/>
      <c r="P553" s="341"/>
      <c r="Q553" s="360"/>
      <c r="R553" s="692"/>
      <c r="S553" s="341"/>
      <c r="T553" s="341"/>
      <c r="U553" s="341"/>
      <c r="V553" s="692"/>
      <c r="W553" s="692"/>
      <c r="X553"/>
      <c r="Y553"/>
    </row>
    <row r="554" spans="2:25" ht="16">
      <c r="B554" s="67"/>
      <c r="F554" s="344">
        <v>44603</v>
      </c>
      <c r="G554" s="344"/>
      <c r="H554" s="344"/>
      <c r="I554" s="344"/>
      <c r="J554" s="691"/>
      <c r="K554" s="728"/>
      <c r="L554" s="341"/>
      <c r="M554" s="341"/>
      <c r="N554" s="692"/>
      <c r="O554" s="728"/>
      <c r="P554" s="341"/>
      <c r="Q554" s="360"/>
      <c r="R554" s="692"/>
      <c r="S554" s="341"/>
      <c r="T554" s="341"/>
      <c r="U554" s="341"/>
      <c r="V554" s="692"/>
      <c r="W554" s="692"/>
      <c r="X554"/>
      <c r="Y554"/>
    </row>
    <row r="555" spans="2:25" ht="16">
      <c r="B555" s="67"/>
      <c r="G555" s="3" t="s">
        <v>59</v>
      </c>
      <c r="H555" s="3"/>
      <c r="I555" s="3"/>
      <c r="J555" s="691"/>
      <c r="K555" s="728"/>
      <c r="L555" s="341"/>
      <c r="M555" s="341"/>
      <c r="N555" s="692"/>
      <c r="O555" s="728"/>
      <c r="P555" s="341"/>
      <c r="Q555" s="360"/>
      <c r="R555" s="692"/>
      <c r="S555" s="341"/>
      <c r="T555" s="341"/>
      <c r="U555" s="341"/>
      <c r="V555" s="692"/>
      <c r="W555" s="692"/>
      <c r="X555"/>
      <c r="Y555"/>
    </row>
    <row r="556" spans="2:25" ht="16">
      <c r="B556" s="67"/>
      <c r="H556" s="345">
        <v>44218</v>
      </c>
      <c r="I556" s="345"/>
      <c r="J556" s="691"/>
      <c r="K556" s="728"/>
      <c r="L556" s="341"/>
      <c r="M556" s="341"/>
      <c r="N556" s="692"/>
      <c r="O556" s="728"/>
      <c r="P556" s="341"/>
      <c r="Q556" s="360"/>
      <c r="R556" s="692"/>
      <c r="S556" s="341"/>
      <c r="T556" s="341"/>
      <c r="U556" s="341"/>
      <c r="V556" s="692"/>
      <c r="W556" s="692"/>
      <c r="X556"/>
      <c r="Y556"/>
    </row>
    <row r="557" spans="2:25" ht="16">
      <c r="B557" s="67"/>
      <c r="I557" s="3" t="s">
        <v>59</v>
      </c>
      <c r="J557" s="691">
        <v>30746</v>
      </c>
      <c r="K557" s="728">
        <v>182133.15621694797</v>
      </c>
      <c r="L557" s="341">
        <v>1</v>
      </c>
      <c r="M557" s="341">
        <v>20.500800000000002</v>
      </c>
      <c r="N557" s="692">
        <v>3733875.4089724072</v>
      </c>
      <c r="O557" s="728">
        <v>188076.36</v>
      </c>
      <c r="P557" s="341">
        <v>1</v>
      </c>
      <c r="Q557" s="360">
        <v>19.5793</v>
      </c>
      <c r="R557" s="692">
        <v>3682403.4753479995</v>
      </c>
      <c r="S557" s="341">
        <v>110.21</v>
      </c>
      <c r="T557" s="341">
        <v>118.002</v>
      </c>
      <c r="U557" s="341">
        <v>1.0707</v>
      </c>
      <c r="V557" s="692">
        <v>3942749.4010551032</v>
      </c>
      <c r="W557" s="692">
        <v>-208873.99208269594</v>
      </c>
      <c r="X557"/>
      <c r="Y557"/>
    </row>
    <row r="558" spans="2:25" ht="16">
      <c r="J558" s="691"/>
      <c r="K558" s="728"/>
      <c r="L558" s="341"/>
      <c r="M558" s="341"/>
      <c r="N558" s="692"/>
      <c r="O558" s="728"/>
      <c r="P558" s="341"/>
      <c r="Q558" s="360"/>
      <c r="R558" s="692"/>
      <c r="S558" s="341"/>
      <c r="T558" s="341"/>
      <c r="U558" s="341"/>
      <c r="V558" s="692"/>
      <c r="W558" s="692"/>
      <c r="X558"/>
      <c r="Y558"/>
    </row>
    <row r="559" spans="2:25" ht="16">
      <c r="B559" s="67"/>
      <c r="H559" s="345">
        <v>44293</v>
      </c>
      <c r="I559" s="345"/>
      <c r="J559" s="691"/>
      <c r="K559" s="728"/>
      <c r="L559" s="341"/>
      <c r="M559" s="341"/>
      <c r="N559" s="692"/>
      <c r="O559" s="728"/>
      <c r="P559" s="341"/>
      <c r="Q559" s="360"/>
      <c r="R559" s="692"/>
      <c r="S559" s="341"/>
      <c r="T559" s="341"/>
      <c r="U559" s="341"/>
      <c r="V559" s="692"/>
      <c r="W559" s="692"/>
      <c r="X559"/>
      <c r="Y559"/>
    </row>
    <row r="560" spans="2:25" ht="16">
      <c r="B560" s="67"/>
      <c r="I560" s="3" t="s">
        <v>59</v>
      </c>
      <c r="J560" s="691">
        <v>40636</v>
      </c>
      <c r="K560" s="728">
        <v>240719.5386727346</v>
      </c>
      <c r="L560" s="341">
        <v>1</v>
      </c>
      <c r="M560" s="341">
        <v>20.500800000000002</v>
      </c>
      <c r="N560" s="692">
        <v>4934943.1184219979</v>
      </c>
      <c r="O560" s="728">
        <v>246363.87999999998</v>
      </c>
      <c r="P560" s="341">
        <v>1</v>
      </c>
      <c r="Q560" s="360">
        <v>20.2483</v>
      </c>
      <c r="R560" s="692">
        <v>4988449.7514039995</v>
      </c>
      <c r="S560" s="341">
        <v>112.19</v>
      </c>
      <c r="T560" s="341">
        <v>118.002</v>
      </c>
      <c r="U560" s="341">
        <v>1.0518000000000001</v>
      </c>
      <c r="V560" s="692">
        <v>5246851.448526727</v>
      </c>
      <c r="W560" s="692">
        <v>-311908.33010472916</v>
      </c>
      <c r="X560"/>
      <c r="Y560"/>
    </row>
    <row r="561" spans="2:25" ht="16">
      <c r="J561" s="691"/>
      <c r="K561" s="728"/>
      <c r="L561" s="341"/>
      <c r="M561" s="341"/>
      <c r="N561" s="692"/>
      <c r="O561" s="728"/>
      <c r="P561" s="341"/>
      <c r="Q561" s="360"/>
      <c r="R561" s="692"/>
      <c r="S561" s="341"/>
      <c r="T561" s="341"/>
      <c r="U561" s="341"/>
      <c r="V561" s="692"/>
      <c r="W561" s="692"/>
      <c r="X561"/>
      <c r="Y561"/>
    </row>
    <row r="562" spans="2:25" ht="16">
      <c r="B562" s="67"/>
      <c r="H562" s="345">
        <v>44370</v>
      </c>
      <c r="I562" s="345"/>
      <c r="J562" s="691"/>
      <c r="K562" s="728"/>
      <c r="L562" s="341"/>
      <c r="M562" s="341"/>
      <c r="N562" s="692"/>
      <c r="O562" s="728"/>
      <c r="P562" s="341"/>
      <c r="Q562" s="360"/>
      <c r="R562" s="692"/>
      <c r="S562" s="341"/>
      <c r="T562" s="341"/>
      <c r="U562" s="341"/>
      <c r="V562" s="692"/>
      <c r="W562" s="692"/>
      <c r="X562"/>
      <c r="Y562"/>
    </row>
    <row r="563" spans="2:25" ht="16">
      <c r="B563" s="67"/>
      <c r="I563" s="3" t="s">
        <v>59</v>
      </c>
      <c r="J563" s="691">
        <v>3531</v>
      </c>
      <c r="K563" s="728">
        <v>20916.937962728265</v>
      </c>
      <c r="L563" s="341">
        <v>1</v>
      </c>
      <c r="M563" s="341">
        <v>20.500800000000002</v>
      </c>
      <c r="N563" s="692">
        <v>428813.96178629965</v>
      </c>
      <c r="O563" s="728">
        <v>21743.9</v>
      </c>
      <c r="P563" s="341">
        <v>1</v>
      </c>
      <c r="Q563" s="360">
        <v>20.6</v>
      </c>
      <c r="R563" s="692">
        <v>447924.34000000008</v>
      </c>
      <c r="S563" s="341">
        <v>113.018</v>
      </c>
      <c r="T563" s="341">
        <v>118.002</v>
      </c>
      <c r="U563" s="341">
        <v>1.044</v>
      </c>
      <c r="V563" s="692">
        <v>467633.0109600001</v>
      </c>
      <c r="W563" s="692">
        <v>-38819.049173700449</v>
      </c>
      <c r="X563"/>
      <c r="Y563"/>
    </row>
    <row r="564" spans="2:25" ht="16">
      <c r="J564" s="691"/>
      <c r="K564" s="728"/>
      <c r="L564" s="341"/>
      <c r="M564" s="341"/>
      <c r="N564" s="692"/>
      <c r="O564" s="728"/>
      <c r="P564" s="341"/>
      <c r="Q564" s="360"/>
      <c r="R564" s="692"/>
      <c r="S564" s="341"/>
      <c r="T564" s="341"/>
      <c r="U564" s="341"/>
      <c r="V564" s="692"/>
      <c r="W564" s="692"/>
      <c r="X564"/>
      <c r="Y564"/>
    </row>
    <row r="565" spans="2:25" ht="16">
      <c r="B565" s="67"/>
      <c r="H565" s="345">
        <v>44441</v>
      </c>
      <c r="I565" s="345"/>
      <c r="J565" s="691"/>
      <c r="K565" s="728"/>
      <c r="L565" s="341"/>
      <c r="M565" s="341"/>
      <c r="N565" s="692"/>
      <c r="O565" s="728"/>
      <c r="P565" s="341"/>
      <c r="Q565" s="360"/>
      <c r="R565" s="692"/>
      <c r="S565" s="341"/>
      <c r="T565" s="341"/>
      <c r="U565" s="341"/>
      <c r="V565" s="692"/>
      <c r="W565" s="692"/>
      <c r="X565"/>
      <c r="Y565"/>
    </row>
    <row r="566" spans="2:25" ht="16">
      <c r="B566" s="67"/>
      <c r="I566" s="3" t="s">
        <v>59</v>
      </c>
      <c r="J566" s="691">
        <v>2320</v>
      </c>
      <c r="K566" s="728">
        <v>13743.2161069186</v>
      </c>
      <c r="L566" s="341">
        <v>1</v>
      </c>
      <c r="M566" s="341">
        <v>20.500800000000002</v>
      </c>
      <c r="N566" s="692">
        <v>281746.92476471688</v>
      </c>
      <c r="O566" s="728">
        <v>14420.19</v>
      </c>
      <c r="P566" s="341">
        <v>1</v>
      </c>
      <c r="Q566" s="360">
        <v>20.060500000000001</v>
      </c>
      <c r="R566" s="692">
        <v>289276.22149500001</v>
      </c>
      <c r="S566" s="341">
        <v>114.601</v>
      </c>
      <c r="T566" s="341">
        <v>118.002</v>
      </c>
      <c r="U566" s="341">
        <v>1.0296000000000001</v>
      </c>
      <c r="V566" s="692">
        <v>297838.79765125201</v>
      </c>
      <c r="W566" s="692">
        <v>-16091.87288653513</v>
      </c>
      <c r="X566"/>
      <c r="Y566"/>
    </row>
    <row r="567" spans="2:25" ht="16">
      <c r="J567" s="691"/>
      <c r="K567" s="728"/>
      <c r="L567" s="341"/>
      <c r="M567" s="341"/>
      <c r="N567" s="692"/>
      <c r="O567" s="728"/>
      <c r="P567" s="341"/>
      <c r="Q567" s="360"/>
      <c r="R567" s="692"/>
      <c r="S567" s="341"/>
      <c r="T567" s="341"/>
      <c r="U567" s="341"/>
      <c r="V567" s="692"/>
      <c r="W567" s="692"/>
      <c r="X567"/>
      <c r="Y567"/>
    </row>
    <row r="568" spans="2:25" ht="16">
      <c r="B568" s="67"/>
      <c r="H568" s="345">
        <v>44491</v>
      </c>
      <c r="I568" s="345"/>
      <c r="J568" s="691"/>
      <c r="K568" s="728"/>
      <c r="L568" s="341"/>
      <c r="M568" s="341"/>
      <c r="N568" s="692"/>
      <c r="O568" s="728"/>
      <c r="P568" s="341"/>
      <c r="Q568" s="360"/>
      <c r="R568" s="692"/>
      <c r="S568" s="341"/>
      <c r="T568" s="341"/>
      <c r="U568" s="341"/>
      <c r="V568" s="692"/>
      <c r="W568" s="692"/>
      <c r="X568"/>
      <c r="Y568"/>
    </row>
    <row r="569" spans="2:25" ht="16">
      <c r="B569" s="67"/>
      <c r="I569" s="3" t="s">
        <v>59</v>
      </c>
      <c r="J569" s="691">
        <v>1445</v>
      </c>
      <c r="K569" s="728">
        <v>8559.8910665936983</v>
      </c>
      <c r="L569" s="341">
        <v>1</v>
      </c>
      <c r="M569" s="341">
        <v>20.500800000000002</v>
      </c>
      <c r="N569" s="692">
        <v>175484.61477802412</v>
      </c>
      <c r="O569" s="728">
        <v>8817.5300000000007</v>
      </c>
      <c r="P569" s="341">
        <v>1</v>
      </c>
      <c r="Q569" s="360">
        <v>20.184999999999999</v>
      </c>
      <c r="R569" s="692">
        <v>177981.84305</v>
      </c>
      <c r="S569" s="341">
        <v>115.56100000000001</v>
      </c>
      <c r="T569" s="341">
        <v>118.002</v>
      </c>
      <c r="U569" s="341">
        <v>1.0210999999999999</v>
      </c>
      <c r="V569" s="692">
        <v>181737.25993835498</v>
      </c>
      <c r="W569" s="692">
        <v>-6252.6451603308669</v>
      </c>
      <c r="X569"/>
      <c r="Y569"/>
    </row>
    <row r="570" spans="2:25" ht="16">
      <c r="J570" s="691"/>
      <c r="K570" s="728"/>
      <c r="L570" s="341"/>
      <c r="M570" s="341"/>
      <c r="N570" s="692"/>
      <c r="O570" s="728"/>
      <c r="P570" s="341"/>
      <c r="Q570" s="360"/>
      <c r="R570" s="692"/>
      <c r="S570" s="341"/>
      <c r="T570" s="341"/>
      <c r="U570" s="341"/>
      <c r="V570" s="692"/>
      <c r="W570" s="692"/>
      <c r="X570"/>
      <c r="Y570"/>
    </row>
    <row r="571" spans="2:25" ht="16">
      <c r="B571" s="67"/>
      <c r="H571" s="345">
        <v>44302</v>
      </c>
      <c r="I571" s="345"/>
      <c r="J571" s="691"/>
      <c r="K571" s="728"/>
      <c r="L571" s="341"/>
      <c r="M571" s="341"/>
      <c r="N571" s="692"/>
      <c r="O571" s="728"/>
      <c r="P571" s="341"/>
      <c r="Q571" s="360"/>
      <c r="R571" s="692"/>
      <c r="S571" s="341"/>
      <c r="T571" s="341"/>
      <c r="U571" s="341"/>
      <c r="V571" s="692"/>
      <c r="W571" s="692"/>
      <c r="X571"/>
      <c r="Y571"/>
    </row>
    <row r="572" spans="2:25" ht="16">
      <c r="B572" s="67"/>
      <c r="I572" s="3" t="s">
        <v>59</v>
      </c>
      <c r="J572" s="691">
        <v>17612</v>
      </c>
      <c r="K572" s="728">
        <v>104329.96641165965</v>
      </c>
      <c r="L572" s="341">
        <v>1</v>
      </c>
      <c r="M572" s="341">
        <v>20.500800000000002</v>
      </c>
      <c r="N572" s="692">
        <v>2138847.7754121525</v>
      </c>
      <c r="O572" s="728">
        <v>106915.41</v>
      </c>
      <c r="P572" s="341">
        <v>1</v>
      </c>
      <c r="Q572" s="360">
        <v>20.058299999999999</v>
      </c>
      <c r="R572" s="692">
        <v>2144541.3684029998</v>
      </c>
      <c r="S572" s="341">
        <v>112.19</v>
      </c>
      <c r="T572" s="341">
        <v>118.002</v>
      </c>
      <c r="U572" s="341">
        <v>1.0518000000000001</v>
      </c>
      <c r="V572" s="692">
        <v>2255628.6112862756</v>
      </c>
      <c r="W572" s="692">
        <v>-116780.83587412303</v>
      </c>
      <c r="X572"/>
      <c r="Y572"/>
    </row>
    <row r="573" spans="2:25" ht="16">
      <c r="J573" s="691"/>
      <c r="K573" s="728"/>
      <c r="L573" s="341"/>
      <c r="M573" s="341"/>
      <c r="N573" s="692"/>
      <c r="O573" s="728"/>
      <c r="P573" s="341"/>
      <c r="Q573" s="360"/>
      <c r="R573" s="692"/>
      <c r="S573" s="341"/>
      <c r="T573" s="341"/>
      <c r="U573" s="341"/>
      <c r="V573" s="692"/>
      <c r="W573" s="692"/>
      <c r="X573"/>
      <c r="Y573"/>
    </row>
    <row r="574" spans="2:25" ht="16">
      <c r="B574" s="67"/>
      <c r="H574" s="345">
        <v>44118</v>
      </c>
      <c r="I574" s="345"/>
      <c r="J574" s="691"/>
      <c r="K574" s="728"/>
      <c r="L574" s="341"/>
      <c r="M574" s="341"/>
      <c r="N574" s="692"/>
      <c r="O574" s="728"/>
      <c r="P574" s="341"/>
      <c r="Q574" s="360"/>
      <c r="R574" s="692"/>
      <c r="S574" s="341"/>
      <c r="T574" s="341"/>
      <c r="U574" s="341"/>
      <c r="V574" s="692"/>
      <c r="W574" s="692"/>
      <c r="X574"/>
      <c r="Y574"/>
    </row>
    <row r="575" spans="2:25" ht="16">
      <c r="B575" s="67"/>
      <c r="I575" s="3" t="s">
        <v>59</v>
      </c>
      <c r="J575" s="691">
        <v>5007</v>
      </c>
      <c r="K575" s="728">
        <v>29660.466830750618</v>
      </c>
      <c r="L575" s="341">
        <v>1</v>
      </c>
      <c r="M575" s="341">
        <v>20.500800000000002</v>
      </c>
      <c r="N575" s="692">
        <v>608063.29840385227</v>
      </c>
      <c r="O575" s="728">
        <v>29737.07</v>
      </c>
      <c r="P575" s="341">
        <v>1</v>
      </c>
      <c r="Q575" s="360">
        <v>21.218299999999999</v>
      </c>
      <c r="R575" s="692">
        <v>630970.07238099992</v>
      </c>
      <c r="S575" s="341">
        <v>108.774</v>
      </c>
      <c r="T575" s="341">
        <v>118.002</v>
      </c>
      <c r="U575" s="341">
        <v>1.0848</v>
      </c>
      <c r="V575" s="692">
        <v>684476.33451890876</v>
      </c>
      <c r="W575" s="692">
        <v>-76413.036115056486</v>
      </c>
      <c r="X575"/>
      <c r="Y575"/>
    </row>
    <row r="576" spans="2:25" ht="16">
      <c r="J576" s="691"/>
      <c r="K576" s="728"/>
      <c r="L576" s="341"/>
      <c r="M576" s="341"/>
      <c r="N576" s="692"/>
      <c r="O576" s="728"/>
      <c r="P576" s="341"/>
      <c r="Q576" s="360"/>
      <c r="R576" s="692"/>
      <c r="S576" s="341"/>
      <c r="T576" s="341"/>
      <c r="U576" s="341"/>
      <c r="V576" s="692"/>
      <c r="W576" s="692"/>
      <c r="X576"/>
      <c r="Y576"/>
    </row>
    <row r="577" spans="2:25" ht="16">
      <c r="B577" s="67"/>
      <c r="H577" s="345">
        <v>44158</v>
      </c>
      <c r="I577" s="345"/>
      <c r="J577" s="691"/>
      <c r="K577" s="728"/>
      <c r="L577" s="341"/>
      <c r="M577" s="341"/>
      <c r="N577" s="692"/>
      <c r="O577" s="728"/>
      <c r="P577" s="341"/>
      <c r="Q577" s="360"/>
      <c r="R577" s="692"/>
      <c r="S577" s="341"/>
      <c r="T577" s="341"/>
      <c r="U577" s="341"/>
      <c r="V577" s="692"/>
      <c r="W577" s="692"/>
      <c r="X577"/>
      <c r="Y577"/>
    </row>
    <row r="578" spans="2:25" ht="16">
      <c r="B578" s="67"/>
      <c r="I578" s="3" t="s">
        <v>59</v>
      </c>
      <c r="J578" s="691">
        <v>2783</v>
      </c>
      <c r="K578" s="728">
        <v>16485.935528256236</v>
      </c>
      <c r="L578" s="341">
        <v>1</v>
      </c>
      <c r="M578" s="341">
        <v>20.500800000000002</v>
      </c>
      <c r="N578" s="692">
        <v>337974.86707767547</v>
      </c>
      <c r="O578" s="728">
        <v>16785.939999999999</v>
      </c>
      <c r="P578" s="341">
        <v>1</v>
      </c>
      <c r="Q578" s="360">
        <v>20.1858</v>
      </c>
      <c r="R578" s="692">
        <v>338837.627652</v>
      </c>
      <c r="S578" s="341">
        <v>108.85599999999999</v>
      </c>
      <c r="T578" s="341">
        <v>118.002</v>
      </c>
      <c r="U578" s="341">
        <v>1.0840000000000001</v>
      </c>
      <c r="V578" s="692">
        <v>367299.988374768</v>
      </c>
      <c r="W578" s="692">
        <v>-29325.121297092526</v>
      </c>
      <c r="X578"/>
      <c r="Y578"/>
    </row>
    <row r="579" spans="2:25" ht="16">
      <c r="J579" s="691"/>
      <c r="K579" s="728"/>
      <c r="L579" s="341"/>
      <c r="M579" s="341"/>
      <c r="N579" s="692"/>
      <c r="O579" s="728"/>
      <c r="P579" s="341"/>
      <c r="Q579" s="360"/>
      <c r="R579" s="692"/>
      <c r="S579" s="341"/>
      <c r="T579" s="341"/>
      <c r="U579" s="341"/>
      <c r="V579" s="692"/>
      <c r="W579" s="692"/>
      <c r="X579"/>
      <c r="Y579"/>
    </row>
    <row r="580" spans="2:25" ht="16">
      <c r="B580" s="67"/>
      <c r="H580" s="345">
        <v>43957</v>
      </c>
      <c r="I580" s="345"/>
      <c r="J580" s="691"/>
      <c r="K580" s="728"/>
      <c r="L580" s="341"/>
      <c r="M580" s="341"/>
      <c r="N580" s="692"/>
      <c r="O580" s="728"/>
      <c r="P580" s="341"/>
      <c r="Q580" s="360"/>
      <c r="R580" s="692"/>
      <c r="S580" s="341"/>
      <c r="T580" s="341"/>
      <c r="U580" s="341"/>
      <c r="V580" s="692"/>
      <c r="W580" s="692"/>
      <c r="X580"/>
      <c r="Y580"/>
    </row>
    <row r="581" spans="2:25" ht="16">
      <c r="B581" s="67"/>
      <c r="I581" s="3" t="s">
        <v>59</v>
      </c>
      <c r="J581" s="691">
        <v>74</v>
      </c>
      <c r="K581" s="728">
        <v>438.36120341033467</v>
      </c>
      <c r="L581" s="341">
        <v>1</v>
      </c>
      <c r="M581" s="341">
        <v>20.500800000000002</v>
      </c>
      <c r="N581" s="692">
        <v>8986.7553588745905</v>
      </c>
      <c r="O581" s="728">
        <v>397.83881068399205</v>
      </c>
      <c r="P581" s="341">
        <v>1</v>
      </c>
      <c r="Q581" s="360">
        <v>24.3812</v>
      </c>
      <c r="R581" s="692">
        <v>9699.7876110485468</v>
      </c>
      <c r="S581" s="341">
        <v>106.16200000000001</v>
      </c>
      <c r="T581" s="341">
        <v>118.002</v>
      </c>
      <c r="U581" s="341">
        <v>1.1114999999999999</v>
      </c>
      <c r="V581" s="692">
        <v>10781.313929680458</v>
      </c>
      <c r="W581" s="692">
        <v>-1794.5585708058679</v>
      </c>
      <c r="X581"/>
      <c r="Y581"/>
    </row>
    <row r="582" spans="2:25" ht="16">
      <c r="J582" s="691"/>
      <c r="K582" s="728"/>
      <c r="L582" s="341"/>
      <c r="M582" s="341"/>
      <c r="N582" s="692"/>
      <c r="O582" s="728"/>
      <c r="P582" s="341"/>
      <c r="Q582" s="360"/>
      <c r="R582" s="692"/>
      <c r="S582" s="341"/>
      <c r="T582" s="341"/>
      <c r="U582" s="341"/>
      <c r="V582" s="692"/>
      <c r="W582" s="692"/>
      <c r="X582"/>
      <c r="Y582"/>
    </row>
    <row r="583" spans="2:25" ht="16">
      <c r="B583" s="67"/>
      <c r="E583" s="131" t="s">
        <v>887</v>
      </c>
      <c r="F583" s="131"/>
      <c r="G583" s="131"/>
      <c r="H583" s="131"/>
      <c r="I583" s="131"/>
      <c r="J583" s="729">
        <v>104154</v>
      </c>
      <c r="K583" s="730">
        <v>616987.46999999986</v>
      </c>
      <c r="L583" s="366">
        <v>1</v>
      </c>
      <c r="M583" s="374">
        <v>20.500800000000002</v>
      </c>
      <c r="N583" s="704">
        <v>12648736.724975999</v>
      </c>
      <c r="O583" s="730">
        <v>633258.11881068395</v>
      </c>
      <c r="P583" s="366">
        <v>1</v>
      </c>
      <c r="Q583" s="374">
        <v>20.724077777777779</v>
      </c>
      <c r="R583" s="704">
        <v>12710084.487344047</v>
      </c>
      <c r="S583" s="366">
        <v>111.28466666666667</v>
      </c>
      <c r="T583" s="366">
        <v>118.00199999999998</v>
      </c>
      <c r="U583" s="366">
        <v>1.0610333333333333</v>
      </c>
      <c r="V583" s="704">
        <v>13454996.16624107</v>
      </c>
      <c r="W583" s="704">
        <v>-806259.4412650693</v>
      </c>
      <c r="X583"/>
      <c r="Y583"/>
    </row>
    <row r="584" spans="2:25" ht="16">
      <c r="J584" s="691"/>
      <c r="K584" s="728"/>
      <c r="L584" s="341"/>
      <c r="M584" s="341"/>
      <c r="N584" s="692"/>
      <c r="O584" s="728"/>
      <c r="P584" s="341"/>
      <c r="Q584" s="360"/>
      <c r="R584" s="692"/>
      <c r="S584" s="341"/>
      <c r="T584" s="341"/>
      <c r="U584" s="341"/>
      <c r="V584" s="692"/>
      <c r="W584" s="692"/>
      <c r="X584"/>
      <c r="Y584"/>
    </row>
    <row r="585" spans="2:25" ht="16">
      <c r="B585" s="67"/>
      <c r="D585" s="361" t="s">
        <v>954</v>
      </c>
      <c r="E585" s="361"/>
      <c r="F585" s="361"/>
      <c r="G585" s="361"/>
      <c r="H585" s="361"/>
      <c r="I585" s="361"/>
      <c r="J585" s="731">
        <v>1625605</v>
      </c>
      <c r="K585" s="732">
        <v>12091327.870000001</v>
      </c>
      <c r="L585" s="367">
        <v>1</v>
      </c>
      <c r="M585" s="367">
        <v>20.156730909090893</v>
      </c>
      <c r="N585" s="733">
        <v>244582674.39905503</v>
      </c>
      <c r="O585" s="732">
        <v>12453694.627125954</v>
      </c>
      <c r="P585" s="367">
        <v>1</v>
      </c>
      <c r="Q585" s="373">
        <v>20.520483636363632</v>
      </c>
      <c r="R585" s="733">
        <v>252276409.73394489</v>
      </c>
      <c r="S585" s="367">
        <v>112.65956363636363</v>
      </c>
      <c r="T585" s="367">
        <v>121.02158181818189</v>
      </c>
      <c r="U585" s="367">
        <v>1.0751736363636366</v>
      </c>
      <c r="V585" s="733">
        <v>268482132.5025304</v>
      </c>
      <c r="W585" s="733">
        <v>-23899458.10347534</v>
      </c>
      <c r="X585"/>
      <c r="Y585"/>
    </row>
    <row r="586" spans="2:25" ht="16">
      <c r="J586" s="691"/>
      <c r="K586" s="728"/>
      <c r="L586" s="341"/>
      <c r="M586" s="341"/>
      <c r="N586" s="692"/>
      <c r="O586" s="728"/>
      <c r="P586" s="341"/>
      <c r="Q586" s="360"/>
      <c r="R586" s="692"/>
      <c r="S586" s="341"/>
      <c r="T586" s="341"/>
      <c r="U586" s="341"/>
      <c r="V586" s="692"/>
      <c r="W586" s="692"/>
      <c r="X586"/>
      <c r="Y586"/>
    </row>
    <row r="587" spans="2:25" ht="16">
      <c r="B587" s="67"/>
      <c r="D587" s="1" t="s">
        <v>853</v>
      </c>
      <c r="J587" s="691"/>
      <c r="K587" s="728"/>
      <c r="L587" s="341"/>
      <c r="M587" s="341"/>
      <c r="N587" s="692"/>
      <c r="O587" s="728"/>
      <c r="P587" s="341"/>
      <c r="Q587" s="360"/>
      <c r="R587" s="692"/>
      <c r="S587" s="341"/>
      <c r="T587" s="341"/>
      <c r="U587" s="341"/>
      <c r="V587" s="692"/>
      <c r="W587" s="692"/>
      <c r="X587"/>
      <c r="Y587"/>
    </row>
    <row r="588" spans="2:25" ht="16">
      <c r="B588" s="67"/>
      <c r="E588" s="1" t="s">
        <v>810</v>
      </c>
      <c r="J588" s="691"/>
      <c r="K588" s="728"/>
      <c r="L588" s="341"/>
      <c r="M588" s="341"/>
      <c r="N588" s="692"/>
      <c r="O588" s="728"/>
      <c r="P588" s="341"/>
      <c r="Q588" s="360"/>
      <c r="R588" s="692"/>
      <c r="S588" s="341"/>
      <c r="T588" s="341"/>
      <c r="U588" s="341"/>
      <c r="V588" s="692"/>
      <c r="W588" s="692"/>
      <c r="X588"/>
      <c r="Y588"/>
    </row>
    <row r="589" spans="2:25" ht="16">
      <c r="B589" s="67"/>
      <c r="F589" s="344">
        <v>44706</v>
      </c>
      <c r="G589" s="344"/>
      <c r="H589" s="344"/>
      <c r="I589" s="344"/>
      <c r="J589" s="691"/>
      <c r="K589" s="728"/>
      <c r="L589" s="341"/>
      <c r="M589" s="341"/>
      <c r="N589" s="692"/>
      <c r="O589" s="728"/>
      <c r="P589" s="341"/>
      <c r="Q589" s="360"/>
      <c r="R589" s="692"/>
      <c r="S589" s="341"/>
      <c r="T589" s="341"/>
      <c r="U589" s="341"/>
      <c r="V589" s="692"/>
      <c r="W589" s="692"/>
      <c r="X589"/>
      <c r="Y589"/>
    </row>
    <row r="590" spans="2:25" ht="16">
      <c r="B590" s="67"/>
      <c r="G590" s="3" t="s">
        <v>59</v>
      </c>
      <c r="H590" s="3"/>
      <c r="I590" s="3"/>
      <c r="J590" s="691"/>
      <c r="K590" s="728"/>
      <c r="L590" s="341"/>
      <c r="M590" s="341"/>
      <c r="N590" s="692"/>
      <c r="O590" s="728"/>
      <c r="P590" s="341"/>
      <c r="Q590" s="360"/>
      <c r="R590" s="692"/>
      <c r="S590" s="341"/>
      <c r="T590" s="341"/>
      <c r="U590" s="341"/>
      <c r="V590" s="692"/>
      <c r="W590" s="692"/>
      <c r="X590"/>
      <c r="Y590"/>
    </row>
    <row r="591" spans="2:25" ht="16">
      <c r="B591" s="67"/>
      <c r="H591" s="345">
        <v>44705</v>
      </c>
      <c r="I591" s="345"/>
      <c r="J591" s="691"/>
      <c r="K591" s="728"/>
      <c r="L591" s="341"/>
      <c r="M591" s="341"/>
      <c r="N591" s="692"/>
      <c r="O591" s="728"/>
      <c r="P591" s="341"/>
      <c r="Q591" s="360"/>
      <c r="R591" s="692"/>
      <c r="S591" s="341"/>
      <c r="T591" s="341"/>
      <c r="U591" s="341"/>
      <c r="V591" s="692"/>
      <c r="W591" s="692"/>
      <c r="X591"/>
      <c r="Y591"/>
    </row>
    <row r="592" spans="2:25" ht="16">
      <c r="B592" s="67"/>
      <c r="I592" s="3" t="s">
        <v>59</v>
      </c>
      <c r="J592" s="691">
        <v>500</v>
      </c>
      <c r="K592" s="728">
        <v>196170.5</v>
      </c>
      <c r="L592" s="341">
        <v>1</v>
      </c>
      <c r="M592" s="341">
        <v>19.828199999999999</v>
      </c>
      <c r="N592" s="692">
        <v>3889707.9080999997</v>
      </c>
      <c r="O592" s="728">
        <v>212505</v>
      </c>
      <c r="P592" s="341">
        <v>1</v>
      </c>
      <c r="Q592" s="360">
        <v>19.8657</v>
      </c>
      <c r="R592" s="692">
        <v>4221560.5784999998</v>
      </c>
      <c r="S592" s="341">
        <v>121.02200000000001</v>
      </c>
      <c r="T592" s="341">
        <v>120.809</v>
      </c>
      <c r="U592" s="341">
        <v>1</v>
      </c>
      <c r="V592" s="692">
        <v>4221560.5784999998</v>
      </c>
      <c r="W592" s="692">
        <v>-331852.67040000018</v>
      </c>
      <c r="X592"/>
      <c r="Y592"/>
    </row>
    <row r="593" spans="2:25" ht="16">
      <c r="J593" s="691"/>
      <c r="K593" s="728"/>
      <c r="L593" s="341"/>
      <c r="M593" s="341"/>
      <c r="N593" s="692"/>
      <c r="O593" s="728"/>
      <c r="P593" s="341"/>
      <c r="Q593" s="360"/>
      <c r="R593" s="692"/>
      <c r="S593" s="341"/>
      <c r="T593" s="341"/>
      <c r="U593" s="341"/>
      <c r="V593" s="692"/>
      <c r="W593" s="692"/>
      <c r="X593"/>
      <c r="Y593"/>
    </row>
    <row r="594" spans="2:25" ht="16">
      <c r="B594" s="67"/>
      <c r="F594" s="344">
        <v>44733</v>
      </c>
      <c r="G594" s="344"/>
      <c r="H594" s="344"/>
      <c r="I594" s="344"/>
      <c r="J594" s="691"/>
      <c r="K594" s="728"/>
      <c r="L594" s="341"/>
      <c r="M594" s="341"/>
      <c r="N594" s="692"/>
      <c r="O594" s="728"/>
      <c r="P594" s="341"/>
      <c r="Q594" s="360"/>
      <c r="R594" s="692"/>
      <c r="S594" s="341"/>
      <c r="T594" s="341"/>
      <c r="U594" s="341"/>
      <c r="V594" s="692"/>
      <c r="W594" s="692"/>
      <c r="X594"/>
      <c r="Y594"/>
    </row>
    <row r="595" spans="2:25" ht="16">
      <c r="B595" s="67"/>
      <c r="G595" s="3" t="s">
        <v>59</v>
      </c>
      <c r="H595" s="3"/>
      <c r="I595" s="3"/>
      <c r="J595" s="691"/>
      <c r="K595" s="728"/>
      <c r="L595" s="341"/>
      <c r="M595" s="341"/>
      <c r="N595" s="692"/>
      <c r="O595" s="728"/>
      <c r="P595" s="341"/>
      <c r="Q595" s="360"/>
      <c r="R595" s="692"/>
      <c r="S595" s="341"/>
      <c r="T595" s="341"/>
      <c r="U595" s="341"/>
      <c r="V595" s="692"/>
      <c r="W595" s="692"/>
      <c r="X595"/>
      <c r="Y595"/>
    </row>
    <row r="596" spans="2:25" ht="16">
      <c r="B596" s="67"/>
      <c r="H596" s="345">
        <v>44729</v>
      </c>
      <c r="I596" s="345"/>
      <c r="J596" s="691"/>
      <c r="K596" s="728"/>
      <c r="L596" s="341"/>
      <c r="M596" s="341"/>
      <c r="N596" s="692"/>
      <c r="O596" s="728"/>
      <c r="P596" s="341"/>
      <c r="Q596" s="360"/>
      <c r="R596" s="692"/>
      <c r="S596" s="341"/>
      <c r="T596" s="341"/>
      <c r="U596" s="341"/>
      <c r="V596" s="692"/>
      <c r="W596" s="692"/>
      <c r="X596"/>
      <c r="Y596"/>
    </row>
    <row r="597" spans="2:25" ht="16">
      <c r="B597" s="67"/>
      <c r="I597" s="3" t="s">
        <v>59</v>
      </c>
      <c r="J597" s="691">
        <v>100</v>
      </c>
      <c r="K597" s="728">
        <v>37188.14</v>
      </c>
      <c r="L597" s="341">
        <v>1</v>
      </c>
      <c r="M597" s="341">
        <v>20.475999999999999</v>
      </c>
      <c r="N597" s="692">
        <v>761464.35463999992</v>
      </c>
      <c r="O597" s="728">
        <v>42001</v>
      </c>
      <c r="P597" s="341">
        <v>1</v>
      </c>
      <c r="Q597" s="360">
        <v>20.6675</v>
      </c>
      <c r="R597" s="692">
        <v>868055.66749999998</v>
      </c>
      <c r="S597" s="341">
        <v>122.044</v>
      </c>
      <c r="T597" s="341">
        <v>121.02200000000001</v>
      </c>
      <c r="U597" s="341">
        <v>1</v>
      </c>
      <c r="V597" s="692">
        <v>868055.66749999998</v>
      </c>
      <c r="W597" s="692">
        <v>-106591.31286000006</v>
      </c>
      <c r="X597"/>
      <c r="Y597"/>
    </row>
    <row r="598" spans="2:25" ht="16">
      <c r="J598" s="691"/>
      <c r="K598" s="728"/>
      <c r="L598" s="341"/>
      <c r="M598" s="341"/>
      <c r="N598" s="692"/>
      <c r="O598" s="728"/>
      <c r="P598" s="341"/>
      <c r="Q598" s="360"/>
      <c r="R598" s="692"/>
      <c r="S598" s="341"/>
      <c r="T598" s="341"/>
      <c r="U598" s="341"/>
      <c r="V598" s="692"/>
      <c r="W598" s="692"/>
      <c r="X598"/>
      <c r="Y598"/>
    </row>
    <row r="599" spans="2:25" ht="16">
      <c r="B599" s="67"/>
      <c r="F599" s="344">
        <v>44735</v>
      </c>
      <c r="G599" s="344"/>
      <c r="H599" s="344"/>
      <c r="I599" s="344"/>
      <c r="J599" s="691"/>
      <c r="K599" s="728"/>
      <c r="L599" s="341"/>
      <c r="M599" s="341"/>
      <c r="N599" s="692"/>
      <c r="O599" s="728"/>
      <c r="P599" s="341"/>
      <c r="Q599" s="360"/>
      <c r="R599" s="692"/>
      <c r="S599" s="341"/>
      <c r="T599" s="341"/>
      <c r="U599" s="341"/>
      <c r="V599" s="692"/>
      <c r="W599" s="692"/>
      <c r="X599"/>
      <c r="Y599"/>
    </row>
    <row r="600" spans="2:25" ht="16">
      <c r="B600" s="67"/>
      <c r="G600" s="3" t="s">
        <v>59</v>
      </c>
      <c r="H600" s="3"/>
      <c r="I600" s="3"/>
      <c r="J600" s="691"/>
      <c r="K600" s="728"/>
      <c r="L600" s="341"/>
      <c r="M600" s="341"/>
      <c r="N600" s="692"/>
      <c r="O600" s="728"/>
      <c r="P600" s="341"/>
      <c r="Q600" s="360"/>
      <c r="R600" s="692"/>
      <c r="S600" s="341"/>
      <c r="T600" s="341"/>
      <c r="U600" s="341"/>
      <c r="V600" s="692"/>
      <c r="W600" s="692"/>
      <c r="X600"/>
      <c r="Y600"/>
    </row>
    <row r="601" spans="2:25" ht="16">
      <c r="B601" s="67"/>
      <c r="H601" s="345">
        <v>44734</v>
      </c>
      <c r="I601" s="345"/>
      <c r="J601" s="691"/>
      <c r="K601" s="728"/>
      <c r="L601" s="341"/>
      <c r="M601" s="341"/>
      <c r="N601" s="692"/>
      <c r="O601" s="728"/>
      <c r="P601" s="341"/>
      <c r="Q601" s="360"/>
      <c r="R601" s="692"/>
      <c r="S601" s="341"/>
      <c r="T601" s="341"/>
      <c r="U601" s="341"/>
      <c r="V601" s="692"/>
      <c r="W601" s="692"/>
      <c r="X601"/>
      <c r="Y601"/>
    </row>
    <row r="602" spans="2:25" ht="16">
      <c r="B602" s="67"/>
      <c r="I602" s="3" t="s">
        <v>59</v>
      </c>
      <c r="J602" s="691">
        <v>300</v>
      </c>
      <c r="K602" s="728">
        <v>113001.41</v>
      </c>
      <c r="L602" s="341">
        <v>1</v>
      </c>
      <c r="M602" s="341">
        <v>20.196300000000001</v>
      </c>
      <c r="N602" s="692">
        <v>2282210.3767830003</v>
      </c>
      <c r="O602" s="728">
        <v>126003</v>
      </c>
      <c r="P602" s="341">
        <v>1</v>
      </c>
      <c r="Q602" s="360">
        <v>20.244199999999999</v>
      </c>
      <c r="R602" s="692">
        <v>2550829.9325999999</v>
      </c>
      <c r="S602" s="341">
        <v>122.044</v>
      </c>
      <c r="T602" s="341">
        <v>121.02200000000001</v>
      </c>
      <c r="U602" s="341">
        <v>1</v>
      </c>
      <c r="V602" s="692">
        <v>2550829.9325999999</v>
      </c>
      <c r="W602" s="692">
        <v>-268619.55581699964</v>
      </c>
      <c r="X602"/>
      <c r="Y602"/>
    </row>
    <row r="603" spans="2:25" ht="16">
      <c r="J603" s="691"/>
      <c r="K603" s="728"/>
      <c r="L603" s="341"/>
      <c r="M603" s="341"/>
      <c r="N603" s="692"/>
      <c r="O603" s="728"/>
      <c r="P603" s="341"/>
      <c r="Q603" s="360"/>
      <c r="R603" s="692"/>
      <c r="S603" s="341"/>
      <c r="T603" s="341"/>
      <c r="U603" s="341"/>
      <c r="V603" s="692"/>
      <c r="W603" s="692"/>
      <c r="X603"/>
      <c r="Y603"/>
    </row>
    <row r="604" spans="2:25" ht="16">
      <c r="B604" s="67"/>
      <c r="F604" s="344">
        <v>44753</v>
      </c>
      <c r="G604" s="344"/>
      <c r="H604" s="344"/>
      <c r="I604" s="344"/>
      <c r="J604" s="691"/>
      <c r="K604" s="728"/>
      <c r="L604" s="341"/>
      <c r="M604" s="341"/>
      <c r="N604" s="692"/>
      <c r="O604" s="728"/>
      <c r="P604" s="341"/>
      <c r="Q604" s="360"/>
      <c r="R604" s="692"/>
      <c r="S604" s="341"/>
      <c r="T604" s="341"/>
      <c r="U604" s="341"/>
      <c r="V604" s="692"/>
      <c r="W604" s="692"/>
      <c r="X604"/>
      <c r="Y604"/>
    </row>
    <row r="605" spans="2:25" ht="16">
      <c r="B605" s="67"/>
      <c r="G605" s="3" t="s">
        <v>59</v>
      </c>
      <c r="H605" s="3"/>
      <c r="I605" s="3"/>
      <c r="J605" s="691"/>
      <c r="K605" s="728"/>
      <c r="L605" s="341"/>
      <c r="M605" s="341"/>
      <c r="N605" s="692"/>
      <c r="O605" s="728"/>
      <c r="P605" s="341"/>
      <c r="Q605" s="360"/>
      <c r="R605" s="692"/>
      <c r="S605" s="341"/>
      <c r="T605" s="341"/>
      <c r="U605" s="341"/>
      <c r="V605" s="692"/>
      <c r="W605" s="692"/>
      <c r="X605"/>
      <c r="Y605"/>
    </row>
    <row r="606" spans="2:25" ht="16">
      <c r="B606" s="67"/>
      <c r="H606" s="345">
        <v>44750</v>
      </c>
      <c r="I606" s="345"/>
      <c r="J606" s="691"/>
      <c r="K606" s="728"/>
      <c r="L606" s="341"/>
      <c r="M606" s="341"/>
      <c r="N606" s="692"/>
      <c r="O606" s="728"/>
      <c r="P606" s="341"/>
      <c r="Q606" s="360"/>
      <c r="R606" s="692"/>
      <c r="S606" s="341"/>
      <c r="T606" s="341"/>
      <c r="U606" s="341"/>
      <c r="V606" s="692"/>
      <c r="W606" s="692"/>
      <c r="X606"/>
      <c r="Y606"/>
    </row>
    <row r="607" spans="2:25" ht="16">
      <c r="B607" s="67"/>
      <c r="I607" s="3" t="s">
        <v>59</v>
      </c>
      <c r="J607" s="691">
        <v>200</v>
      </c>
      <c r="K607" s="728">
        <v>77178.23</v>
      </c>
      <c r="L607" s="341">
        <v>1</v>
      </c>
      <c r="M607" s="341">
        <v>20.6022</v>
      </c>
      <c r="N607" s="692">
        <v>1590041.330106</v>
      </c>
      <c r="O607" s="728">
        <v>83002</v>
      </c>
      <c r="P607" s="341">
        <v>1</v>
      </c>
      <c r="Q607" s="360">
        <v>20.722799999999999</v>
      </c>
      <c r="R607" s="692">
        <v>1720033.8455999999</v>
      </c>
      <c r="S607" s="341">
        <v>122.94799999999999</v>
      </c>
      <c r="T607" s="341">
        <v>122.044</v>
      </c>
      <c r="U607" s="341">
        <v>1</v>
      </c>
      <c r="V607" s="692">
        <v>1720033.8455999999</v>
      </c>
      <c r="W607" s="692">
        <v>-129992.5154939997</v>
      </c>
      <c r="X607"/>
      <c r="Y607"/>
    </row>
    <row r="608" spans="2:25" ht="16">
      <c r="J608" s="691"/>
      <c r="K608" s="728"/>
      <c r="L608" s="341"/>
      <c r="M608" s="341"/>
      <c r="N608" s="692"/>
      <c r="O608" s="728"/>
      <c r="P608" s="341"/>
      <c r="Q608" s="360"/>
      <c r="R608" s="692"/>
      <c r="S608" s="341"/>
      <c r="T608" s="341"/>
      <c r="U608" s="341"/>
      <c r="V608" s="692"/>
      <c r="W608" s="692"/>
      <c r="X608"/>
      <c r="Y608"/>
    </row>
    <row r="609" spans="2:25" ht="16">
      <c r="B609" s="67"/>
      <c r="F609" s="344">
        <v>44754</v>
      </c>
      <c r="G609" s="344"/>
      <c r="H609" s="344"/>
      <c r="I609" s="344"/>
      <c r="J609" s="691"/>
      <c r="K609" s="728"/>
      <c r="L609" s="341"/>
      <c r="M609" s="341"/>
      <c r="N609" s="692"/>
      <c r="O609" s="728"/>
      <c r="P609" s="341"/>
      <c r="Q609" s="360"/>
      <c r="R609" s="692"/>
      <c r="S609" s="341"/>
      <c r="T609" s="341"/>
      <c r="U609" s="341"/>
      <c r="V609" s="692"/>
      <c r="W609" s="692"/>
      <c r="X609"/>
      <c r="Y609"/>
    </row>
    <row r="610" spans="2:25" ht="16">
      <c r="B610" s="67"/>
      <c r="G610" s="3" t="s">
        <v>59</v>
      </c>
      <c r="H610" s="3"/>
      <c r="I610" s="3"/>
      <c r="J610" s="691"/>
      <c r="K610" s="728"/>
      <c r="L610" s="341"/>
      <c r="M610" s="341"/>
      <c r="N610" s="692"/>
      <c r="O610" s="728"/>
      <c r="P610" s="341"/>
      <c r="Q610" s="360"/>
      <c r="R610" s="692"/>
      <c r="S610" s="341"/>
      <c r="T610" s="341"/>
      <c r="U610" s="341"/>
      <c r="V610" s="692"/>
      <c r="W610" s="692"/>
      <c r="X610"/>
      <c r="Y610"/>
    </row>
    <row r="611" spans="2:25" ht="16">
      <c r="B611" s="67"/>
      <c r="H611" s="345">
        <v>44753</v>
      </c>
      <c r="I611" s="345"/>
      <c r="J611" s="691"/>
      <c r="K611" s="728"/>
      <c r="L611" s="341"/>
      <c r="M611" s="341"/>
      <c r="N611" s="692"/>
      <c r="O611" s="728"/>
      <c r="P611" s="341"/>
      <c r="Q611" s="360"/>
      <c r="R611" s="692"/>
      <c r="S611" s="341"/>
      <c r="T611" s="341"/>
      <c r="U611" s="341"/>
      <c r="V611" s="692"/>
      <c r="W611" s="692"/>
      <c r="X611"/>
      <c r="Y611"/>
    </row>
    <row r="612" spans="2:25" ht="16">
      <c r="B612" s="67"/>
      <c r="I612" s="3" t="s">
        <v>59</v>
      </c>
      <c r="J612" s="691">
        <v>300</v>
      </c>
      <c r="K612" s="728">
        <v>115092.36</v>
      </c>
      <c r="L612" s="341">
        <v>1</v>
      </c>
      <c r="M612" s="341">
        <v>20.442299999999999</v>
      </c>
      <c r="N612" s="692">
        <v>2352752.5508280001</v>
      </c>
      <c r="O612" s="728">
        <v>124503</v>
      </c>
      <c r="P612" s="341">
        <v>1</v>
      </c>
      <c r="Q612" s="360">
        <v>20.6022</v>
      </c>
      <c r="R612" s="692">
        <v>2565035.7066000002</v>
      </c>
      <c r="S612" s="341">
        <v>122.94799999999999</v>
      </c>
      <c r="T612" s="341">
        <v>122.044</v>
      </c>
      <c r="U612" s="341">
        <v>1</v>
      </c>
      <c r="V612" s="692">
        <v>2565035.7066000002</v>
      </c>
      <c r="W612" s="692">
        <v>-212283.15577200009</v>
      </c>
      <c r="X612"/>
      <c r="Y612"/>
    </row>
    <row r="613" spans="2:25" ht="16">
      <c r="J613" s="691"/>
      <c r="K613" s="728"/>
      <c r="L613" s="341"/>
      <c r="M613" s="341"/>
      <c r="N613" s="692"/>
      <c r="O613" s="728"/>
      <c r="P613" s="341"/>
      <c r="Q613" s="360"/>
      <c r="R613" s="692"/>
      <c r="S613" s="341"/>
      <c r="T613" s="341"/>
      <c r="U613" s="341"/>
      <c r="V613" s="692"/>
      <c r="W613" s="692"/>
      <c r="X613"/>
      <c r="Y613"/>
    </row>
    <row r="614" spans="2:25" ht="16">
      <c r="B614" s="67"/>
      <c r="E614" s="131" t="s">
        <v>888</v>
      </c>
      <c r="F614" s="131"/>
      <c r="G614" s="131"/>
      <c r="H614" s="131"/>
      <c r="I614" s="131"/>
      <c r="J614" s="729">
        <v>1400</v>
      </c>
      <c r="K614" s="730">
        <v>538630.64</v>
      </c>
      <c r="L614" s="366">
        <v>1</v>
      </c>
      <c r="M614" s="374">
        <v>20.309000000000001</v>
      </c>
      <c r="N614" s="704">
        <v>10876176.520457</v>
      </c>
      <c r="O614" s="730">
        <v>588014</v>
      </c>
      <c r="P614" s="366">
        <v>1</v>
      </c>
      <c r="Q614" s="374">
        <v>20.420480000000001</v>
      </c>
      <c r="R614" s="704">
        <v>11925515.730799999</v>
      </c>
      <c r="S614" s="366">
        <v>122.2012</v>
      </c>
      <c r="T614" s="366">
        <v>121.38820000000001</v>
      </c>
      <c r="U614" s="366">
        <v>1</v>
      </c>
      <c r="V614" s="704">
        <v>11925515.730799999</v>
      </c>
      <c r="W614" s="704">
        <v>-1049339.2103429995</v>
      </c>
      <c r="X614"/>
      <c r="Y614"/>
    </row>
    <row r="615" spans="2:25" ht="16">
      <c r="J615" s="691"/>
      <c r="K615" s="728"/>
      <c r="L615" s="341"/>
      <c r="M615" s="341"/>
      <c r="N615" s="692"/>
      <c r="O615" s="728"/>
      <c r="P615" s="341"/>
      <c r="Q615" s="360"/>
      <c r="R615" s="692"/>
      <c r="S615" s="341"/>
      <c r="T615" s="341"/>
      <c r="U615" s="341"/>
      <c r="V615" s="692"/>
      <c r="W615" s="692"/>
      <c r="X615"/>
      <c r="Y615"/>
    </row>
    <row r="616" spans="2:25" ht="16">
      <c r="B616" s="67"/>
      <c r="D616" s="361" t="s">
        <v>854</v>
      </c>
      <c r="E616" s="361"/>
      <c r="F616" s="361"/>
      <c r="G616" s="361"/>
      <c r="H616" s="361"/>
      <c r="I616" s="361"/>
      <c r="J616" s="731">
        <v>1400</v>
      </c>
      <c r="K616" s="732">
        <v>538630.64</v>
      </c>
      <c r="L616" s="367">
        <v>1</v>
      </c>
      <c r="M616" s="367">
        <v>20.309000000000001</v>
      </c>
      <c r="N616" s="733">
        <v>10876176.520457</v>
      </c>
      <c r="O616" s="732">
        <v>588014</v>
      </c>
      <c r="P616" s="367">
        <v>1</v>
      </c>
      <c r="Q616" s="373">
        <v>20.420480000000001</v>
      </c>
      <c r="R616" s="733">
        <v>11925515.730799999</v>
      </c>
      <c r="S616" s="367">
        <v>122.2012</v>
      </c>
      <c r="T616" s="367">
        <v>121.38820000000001</v>
      </c>
      <c r="U616" s="367">
        <v>1</v>
      </c>
      <c r="V616" s="733">
        <v>11925515.730799999</v>
      </c>
      <c r="W616" s="733">
        <v>-1049339.2103429995</v>
      </c>
      <c r="X616"/>
      <c r="Y616"/>
    </row>
    <row r="617" spans="2:25" ht="16">
      <c r="J617" s="691"/>
      <c r="K617" s="728"/>
      <c r="L617" s="341"/>
      <c r="M617" s="341"/>
      <c r="N617" s="692"/>
      <c r="O617" s="728"/>
      <c r="P617" s="341"/>
      <c r="Q617" s="360"/>
      <c r="R617" s="692"/>
      <c r="S617" s="341"/>
      <c r="T617" s="341"/>
      <c r="U617" s="341"/>
      <c r="V617" s="692"/>
      <c r="W617" s="692"/>
      <c r="X617"/>
      <c r="Y617"/>
    </row>
    <row r="618" spans="2:25" ht="16">
      <c r="B618" s="67"/>
      <c r="C618" s="347" t="s">
        <v>847</v>
      </c>
      <c r="D618" s="347"/>
      <c r="E618" s="347"/>
      <c r="F618" s="347"/>
      <c r="G618" s="347"/>
      <c r="H618" s="347"/>
      <c r="I618" s="347"/>
      <c r="J618" s="734">
        <v>2313533</v>
      </c>
      <c r="K618" s="735">
        <v>88350421.460000023</v>
      </c>
      <c r="L618" s="368">
        <v>0.9108679041346518</v>
      </c>
      <c r="M618" s="368">
        <v>20.17766484374998</v>
      </c>
      <c r="N618" s="694">
        <v>331372098.48951191</v>
      </c>
      <c r="O618" s="735">
        <v>78514265.007125929</v>
      </c>
      <c r="P618" s="368">
        <v>0.91121172208233037</v>
      </c>
      <c r="Q618" s="372">
        <v>20.364046875000007</v>
      </c>
      <c r="R618" s="694">
        <v>329871440.51308268</v>
      </c>
      <c r="S618" s="368">
        <v>111.72877414320278</v>
      </c>
      <c r="T618" s="368">
        <v>120.83192968750005</v>
      </c>
      <c r="U618" s="368">
        <v>1.0843906249999997</v>
      </c>
      <c r="V618" s="694">
        <v>359697089.01514393</v>
      </c>
      <c r="W618" s="694">
        <v>-28324990.525631957</v>
      </c>
      <c r="X618"/>
      <c r="Y618"/>
    </row>
    <row r="619" spans="2:25" ht="16">
      <c r="J619" s="691"/>
      <c r="K619" s="728"/>
      <c r="L619" s="341"/>
      <c r="M619" s="341"/>
      <c r="N619" s="692"/>
      <c r="O619" s="728"/>
      <c r="P619" s="341"/>
      <c r="Q619" s="360"/>
      <c r="R619" s="692"/>
      <c r="S619" s="341"/>
      <c r="T619" s="341"/>
      <c r="U619" s="341"/>
      <c r="V619" s="692"/>
      <c r="W619" s="692"/>
      <c r="X619"/>
      <c r="Y619"/>
    </row>
    <row r="620" spans="2:25" ht="16">
      <c r="B620" s="348" t="s">
        <v>848</v>
      </c>
      <c r="C620" s="348"/>
      <c r="D620" s="348"/>
      <c r="E620" s="348"/>
      <c r="F620" s="348"/>
      <c r="G620" s="348"/>
      <c r="H620" s="348"/>
      <c r="I620" s="348"/>
      <c r="J620" s="736">
        <v>2313533</v>
      </c>
      <c r="K620" s="737">
        <v>88350421.460000023</v>
      </c>
      <c r="L620" s="369">
        <v>0.9108679041346518</v>
      </c>
      <c r="M620" s="369">
        <v>20.17766484374998</v>
      </c>
      <c r="N620" s="695">
        <v>331372098.48951191</v>
      </c>
      <c r="O620" s="737">
        <v>78514265.007125929</v>
      </c>
      <c r="P620" s="369">
        <v>0.91121172208233037</v>
      </c>
      <c r="Q620" s="371">
        <v>20.364046875000007</v>
      </c>
      <c r="R620" s="695">
        <v>329871440.51308268</v>
      </c>
      <c r="S620" s="369">
        <v>111.72877414320278</v>
      </c>
      <c r="T620" s="369">
        <v>120.83192968750005</v>
      </c>
      <c r="U620" s="369">
        <v>1.0843906249999997</v>
      </c>
      <c r="V620" s="695">
        <v>359697089.01514393</v>
      </c>
      <c r="W620" s="695">
        <v>-28324990.525631957</v>
      </c>
      <c r="X620"/>
      <c r="Y620"/>
    </row>
    <row r="621" spans="2:25" ht="16">
      <c r="J621" s="691"/>
      <c r="K621" s="728"/>
      <c r="L621" s="341"/>
      <c r="M621" s="341"/>
      <c r="N621" s="692"/>
      <c r="O621" s="728"/>
      <c r="P621" s="341"/>
      <c r="Q621" s="360"/>
      <c r="R621" s="692"/>
      <c r="S621" s="341"/>
      <c r="T621" s="341"/>
      <c r="U621" s="341"/>
      <c r="V621" s="692"/>
      <c r="W621" s="692"/>
      <c r="X621"/>
      <c r="Y621"/>
    </row>
    <row r="622" spans="2:25" ht="16">
      <c r="B622" s="132" t="s">
        <v>842</v>
      </c>
      <c r="C622" s="132"/>
      <c r="D622" s="132"/>
      <c r="E622" s="132"/>
      <c r="F622" s="132"/>
      <c r="G622" s="132"/>
      <c r="H622" s="132"/>
      <c r="I622" s="132"/>
      <c r="J622" s="738">
        <v>2313533</v>
      </c>
      <c r="K622" s="739">
        <v>88350421.460000023</v>
      </c>
      <c r="L622" s="365">
        <v>0.9108679041346518</v>
      </c>
      <c r="M622" s="548">
        <v>20.17766484374998</v>
      </c>
      <c r="N622" s="740">
        <v>331372098.48951191</v>
      </c>
      <c r="O622" s="739">
        <v>78514265.007125929</v>
      </c>
      <c r="P622" s="365">
        <v>0.91121172208233037</v>
      </c>
      <c r="Q622" s="370">
        <v>20.364046875000007</v>
      </c>
      <c r="R622" s="740">
        <v>329871440.51308268</v>
      </c>
      <c r="S622" s="365">
        <v>111.72877414320278</v>
      </c>
      <c r="T622" s="365">
        <v>120.83192968750005</v>
      </c>
      <c r="U622" s="365">
        <v>1.0843906249999997</v>
      </c>
      <c r="V622" s="740">
        <v>359697089.01514393</v>
      </c>
      <c r="W622" s="740">
        <v>-28324990.525631957</v>
      </c>
      <c r="X622"/>
      <c r="Y622"/>
    </row>
    <row r="623" spans="2:25" ht="16">
      <c r="B623"/>
      <c r="C623"/>
      <c r="D623"/>
      <c r="E623"/>
      <c r="F623"/>
      <c r="G623"/>
      <c r="H623"/>
      <c r="I623"/>
      <c r="J623"/>
      <c r="K623"/>
      <c r="L623"/>
      <c r="M623"/>
      <c r="N623"/>
      <c r="O623"/>
      <c r="P623"/>
      <c r="Q623"/>
      <c r="R623"/>
      <c r="S623"/>
      <c r="T623"/>
      <c r="U623"/>
      <c r="V623"/>
      <c r="W623"/>
      <c r="X623"/>
      <c r="Y623"/>
    </row>
    <row r="624" spans="2:25" ht="16">
      <c r="B624"/>
      <c r="C624"/>
      <c r="D624"/>
      <c r="E624"/>
      <c r="F624"/>
      <c r="G624"/>
      <c r="H624"/>
      <c r="I624"/>
      <c r="J624"/>
      <c r="K624"/>
      <c r="L624"/>
      <c r="M624"/>
      <c r="N624"/>
      <c r="O624"/>
      <c r="P624"/>
      <c r="Q624"/>
      <c r="R624"/>
      <c r="S624"/>
      <c r="T624"/>
      <c r="U624"/>
      <c r="V624"/>
      <c r="W624"/>
      <c r="X624"/>
      <c r="Y624"/>
    </row>
    <row r="625" spans="2:25" ht="16">
      <c r="B625"/>
      <c r="C625"/>
      <c r="D625"/>
      <c r="E625"/>
      <c r="F625"/>
      <c r="G625"/>
      <c r="H625"/>
      <c r="I625"/>
      <c r="J625"/>
      <c r="K625"/>
      <c r="L625"/>
      <c r="M625"/>
      <c r="N625"/>
      <c r="O625"/>
      <c r="P625"/>
      <c r="Q625"/>
      <c r="R625"/>
      <c r="S625"/>
      <c r="T625"/>
      <c r="U625"/>
      <c r="V625"/>
      <c r="W625"/>
      <c r="X625"/>
      <c r="Y625"/>
    </row>
    <row r="626" spans="2:25" ht="16">
      <c r="B626"/>
      <c r="C626"/>
      <c r="D626"/>
      <c r="E626"/>
      <c r="F626"/>
      <c r="G626"/>
      <c r="H626"/>
      <c r="I626"/>
      <c r="J626"/>
      <c r="K626"/>
      <c r="L626"/>
      <c r="M626"/>
      <c r="N626"/>
      <c r="O626"/>
      <c r="P626"/>
      <c r="Q626"/>
      <c r="R626"/>
      <c r="S626"/>
      <c r="T626"/>
      <c r="U626"/>
      <c r="V626"/>
      <c r="W626"/>
      <c r="X626"/>
      <c r="Y626"/>
    </row>
    <row r="627" spans="2:25" ht="16">
      <c r="B627"/>
      <c r="C627"/>
      <c r="D627"/>
      <c r="E627"/>
      <c r="F627"/>
      <c r="G627"/>
      <c r="H627"/>
      <c r="I627"/>
      <c r="J627"/>
      <c r="K627"/>
      <c r="L627"/>
      <c r="M627"/>
      <c r="N627"/>
      <c r="O627"/>
      <c r="P627"/>
      <c r="Q627"/>
      <c r="R627"/>
      <c r="S627"/>
      <c r="T627"/>
      <c r="U627"/>
      <c r="V627"/>
      <c r="W627"/>
      <c r="X627"/>
      <c r="Y627"/>
    </row>
    <row r="628" spans="2:25" ht="16">
      <c r="B628"/>
      <c r="C628"/>
      <c r="D628"/>
      <c r="E628"/>
      <c r="F628"/>
      <c r="G628"/>
      <c r="H628"/>
      <c r="I628"/>
      <c r="J628"/>
      <c r="K628"/>
      <c r="L628"/>
      <c r="M628"/>
      <c r="N628"/>
      <c r="O628"/>
      <c r="P628"/>
      <c r="Q628"/>
      <c r="R628"/>
      <c r="S628"/>
      <c r="T628"/>
      <c r="U628"/>
      <c r="V628"/>
      <c r="W628"/>
      <c r="X628"/>
      <c r="Y628"/>
    </row>
    <row r="629" spans="2:25" ht="16">
      <c r="B629"/>
      <c r="C629"/>
      <c r="D629"/>
      <c r="E629"/>
      <c r="F629"/>
      <c r="G629"/>
      <c r="H629"/>
      <c r="I629"/>
      <c r="J629"/>
      <c r="K629"/>
      <c r="L629"/>
      <c r="M629"/>
      <c r="N629"/>
      <c r="O629"/>
      <c r="P629"/>
      <c r="Q629"/>
      <c r="R629"/>
      <c r="S629"/>
      <c r="T629"/>
      <c r="U629"/>
      <c r="V629"/>
      <c r="W629"/>
      <c r="X629"/>
      <c r="Y629"/>
    </row>
    <row r="630" spans="2:25" ht="16">
      <c r="B630"/>
      <c r="C630"/>
      <c r="D630"/>
      <c r="E630"/>
      <c r="F630"/>
      <c r="G630"/>
      <c r="H630"/>
      <c r="I630"/>
      <c r="J630"/>
      <c r="K630"/>
      <c r="L630"/>
      <c r="M630"/>
      <c r="N630"/>
      <c r="O630"/>
      <c r="P630"/>
      <c r="Q630"/>
      <c r="R630"/>
      <c r="S630"/>
      <c r="T630"/>
      <c r="U630"/>
      <c r="V630"/>
      <c r="W630"/>
      <c r="X630"/>
      <c r="Y630"/>
    </row>
    <row r="631" spans="2:25" ht="16">
      <c r="B631"/>
      <c r="C631"/>
      <c r="D631"/>
      <c r="E631"/>
      <c r="F631"/>
      <c r="G631"/>
      <c r="H631"/>
      <c r="I631"/>
      <c r="J631"/>
      <c r="K631"/>
      <c r="L631"/>
      <c r="M631"/>
      <c r="N631"/>
      <c r="O631"/>
      <c r="P631"/>
      <c r="Q631"/>
      <c r="R631"/>
      <c r="S631"/>
      <c r="T631"/>
      <c r="U631"/>
      <c r="V631"/>
      <c r="W631"/>
      <c r="X631"/>
      <c r="Y631"/>
    </row>
    <row r="632" spans="2:25" ht="16">
      <c r="B632"/>
      <c r="C632"/>
      <c r="D632"/>
      <c r="E632"/>
      <c r="F632"/>
      <c r="G632"/>
      <c r="H632"/>
      <c r="I632"/>
      <c r="J632"/>
      <c r="K632"/>
      <c r="L632"/>
      <c r="M632"/>
      <c r="N632"/>
      <c r="O632"/>
      <c r="P632"/>
      <c r="Q632"/>
      <c r="R632"/>
      <c r="S632"/>
      <c r="T632"/>
      <c r="U632"/>
      <c r="V632"/>
      <c r="W632"/>
      <c r="X632"/>
      <c r="Y632"/>
    </row>
    <row r="633" spans="2:25" ht="16">
      <c r="B633"/>
      <c r="C633"/>
      <c r="D633"/>
      <c r="E633"/>
      <c r="F633"/>
      <c r="G633"/>
      <c r="H633"/>
      <c r="I633"/>
      <c r="J633"/>
      <c r="K633"/>
      <c r="L633"/>
      <c r="M633"/>
      <c r="N633"/>
      <c r="O633"/>
      <c r="P633"/>
      <c r="Q633"/>
      <c r="R633"/>
      <c r="S633"/>
      <c r="T633"/>
      <c r="U633"/>
      <c r="V633"/>
      <c r="W633"/>
      <c r="X633"/>
      <c r="Y633"/>
    </row>
    <row r="634" spans="2:25" ht="16">
      <c r="B634"/>
      <c r="C634"/>
      <c r="D634"/>
      <c r="E634"/>
      <c r="F634"/>
      <c r="G634"/>
      <c r="H634"/>
      <c r="I634"/>
      <c r="J634"/>
      <c r="K634"/>
      <c r="L634"/>
      <c r="M634"/>
      <c r="N634"/>
      <c r="O634"/>
      <c r="P634"/>
      <c r="Q634"/>
      <c r="R634"/>
      <c r="S634"/>
      <c r="T634"/>
      <c r="U634"/>
      <c r="V634"/>
      <c r="W634"/>
      <c r="X634"/>
      <c r="Y634"/>
    </row>
    <row r="635" spans="2:25" ht="16">
      <c r="B635"/>
      <c r="C635"/>
      <c r="D635"/>
      <c r="E635"/>
      <c r="F635"/>
      <c r="G635"/>
      <c r="H635"/>
      <c r="I635"/>
      <c r="J635"/>
      <c r="K635"/>
      <c r="L635"/>
      <c r="M635"/>
      <c r="N635"/>
      <c r="O635"/>
      <c r="P635"/>
      <c r="Q635"/>
      <c r="R635"/>
      <c r="S635"/>
      <c r="T635"/>
      <c r="U635"/>
      <c r="V635"/>
      <c r="W635"/>
      <c r="X635"/>
      <c r="Y635"/>
    </row>
    <row r="636" spans="2:25" ht="16">
      <c r="B636"/>
      <c r="C636"/>
      <c r="D636"/>
      <c r="E636"/>
      <c r="F636"/>
      <c r="G636"/>
      <c r="H636"/>
      <c r="I636"/>
      <c r="J636"/>
      <c r="K636"/>
      <c r="L636"/>
      <c r="M636"/>
      <c r="N636"/>
      <c r="O636"/>
      <c r="P636"/>
      <c r="Q636"/>
      <c r="R636"/>
      <c r="S636"/>
      <c r="T636"/>
      <c r="U636"/>
      <c r="V636"/>
      <c r="W636"/>
      <c r="X636"/>
      <c r="Y636"/>
    </row>
    <row r="637" spans="2:25" ht="16">
      <c r="B637"/>
      <c r="C637"/>
      <c r="D637"/>
      <c r="E637"/>
      <c r="F637"/>
      <c r="G637"/>
      <c r="H637"/>
      <c r="I637"/>
      <c r="J637"/>
      <c r="K637"/>
      <c r="L637"/>
      <c r="M637"/>
      <c r="N637"/>
      <c r="O637"/>
      <c r="P637"/>
      <c r="Q637"/>
      <c r="R637"/>
      <c r="S637"/>
      <c r="T637"/>
      <c r="U637"/>
      <c r="V637"/>
      <c r="W637"/>
      <c r="X637"/>
      <c r="Y637"/>
    </row>
    <row r="638" spans="2:25" ht="16">
      <c r="B638"/>
      <c r="C638"/>
      <c r="D638"/>
      <c r="E638"/>
      <c r="F638"/>
      <c r="G638"/>
      <c r="H638"/>
      <c r="I638"/>
      <c r="J638"/>
      <c r="K638"/>
      <c r="L638"/>
      <c r="M638"/>
      <c r="N638"/>
      <c r="O638"/>
      <c r="P638"/>
      <c r="Q638"/>
      <c r="R638"/>
      <c r="S638"/>
      <c r="T638"/>
      <c r="U638"/>
      <c r="V638"/>
      <c r="W638"/>
      <c r="X638"/>
      <c r="Y638"/>
    </row>
    <row r="639" spans="2:25" ht="16">
      <c r="B639"/>
      <c r="C639"/>
      <c r="D639"/>
      <c r="E639"/>
      <c r="F639"/>
      <c r="G639"/>
      <c r="H639"/>
      <c r="I639"/>
      <c r="J639"/>
      <c r="K639"/>
      <c r="L639"/>
      <c r="M639"/>
      <c r="N639"/>
      <c r="O639"/>
      <c r="P639"/>
      <c r="Q639"/>
      <c r="R639"/>
      <c r="S639"/>
      <c r="T639"/>
      <c r="U639"/>
      <c r="V639"/>
      <c r="W639"/>
      <c r="X639"/>
      <c r="Y639"/>
    </row>
    <row r="640" spans="2:25" ht="16">
      <c r="B640"/>
      <c r="C640"/>
      <c r="D640"/>
      <c r="E640"/>
      <c r="F640"/>
      <c r="G640"/>
      <c r="H640"/>
      <c r="I640"/>
      <c r="J640"/>
      <c r="K640"/>
      <c r="L640"/>
      <c r="M640"/>
      <c r="N640"/>
      <c r="O640"/>
      <c r="P640"/>
      <c r="Q640"/>
      <c r="R640"/>
      <c r="S640"/>
      <c r="T640"/>
      <c r="U640"/>
      <c r="V640"/>
      <c r="W640"/>
      <c r="X640"/>
      <c r="Y640"/>
    </row>
    <row r="641" spans="2:25" ht="16">
      <c r="B641"/>
      <c r="C641"/>
      <c r="D641"/>
      <c r="E641"/>
      <c r="F641"/>
      <c r="G641"/>
      <c r="H641"/>
      <c r="I641"/>
      <c r="J641"/>
      <c r="K641"/>
      <c r="L641"/>
      <c r="M641"/>
      <c r="N641"/>
      <c r="O641"/>
      <c r="P641"/>
      <c r="Q641"/>
      <c r="R641"/>
      <c r="S641"/>
      <c r="T641"/>
      <c r="U641"/>
      <c r="V641"/>
      <c r="W641"/>
      <c r="X641"/>
      <c r="Y641"/>
    </row>
    <row r="642" spans="2:25" ht="16">
      <c r="B642"/>
      <c r="C642"/>
      <c r="D642"/>
      <c r="E642"/>
      <c r="F642"/>
      <c r="G642"/>
      <c r="H642"/>
      <c r="I642"/>
      <c r="J642"/>
      <c r="K642"/>
      <c r="L642"/>
      <c r="M642"/>
      <c r="N642"/>
      <c r="O642"/>
      <c r="P642"/>
      <c r="Q642"/>
      <c r="R642"/>
      <c r="S642"/>
      <c r="T642"/>
      <c r="U642"/>
      <c r="V642"/>
      <c r="W642"/>
      <c r="X642"/>
      <c r="Y642"/>
    </row>
    <row r="643" spans="2:25" ht="16">
      <c r="B643"/>
      <c r="C643"/>
      <c r="D643"/>
      <c r="E643"/>
      <c r="F643"/>
      <c r="G643"/>
      <c r="H643"/>
      <c r="I643"/>
      <c r="J643"/>
      <c r="K643"/>
      <c r="L643"/>
      <c r="M643"/>
      <c r="N643"/>
      <c r="O643"/>
      <c r="P643"/>
      <c r="Q643"/>
      <c r="R643"/>
      <c r="S643"/>
      <c r="T643"/>
      <c r="U643"/>
      <c r="V643"/>
      <c r="W643"/>
      <c r="X643"/>
      <c r="Y643"/>
    </row>
    <row r="644" spans="2:25" ht="16">
      <c r="B644"/>
      <c r="C644"/>
      <c r="D644"/>
      <c r="E644"/>
      <c r="F644"/>
      <c r="G644"/>
      <c r="H644"/>
      <c r="I644"/>
      <c r="J644"/>
      <c r="K644"/>
      <c r="L644"/>
      <c r="M644"/>
      <c r="N644"/>
      <c r="O644"/>
      <c r="P644"/>
      <c r="Q644"/>
      <c r="R644"/>
      <c r="S644"/>
      <c r="T644"/>
      <c r="U644"/>
      <c r="V644"/>
      <c r="W644"/>
      <c r="X644"/>
      <c r="Y644"/>
    </row>
    <row r="645" spans="2:25" ht="16">
      <c r="B645"/>
      <c r="C645"/>
      <c r="D645"/>
      <c r="E645"/>
      <c r="F645"/>
      <c r="G645"/>
      <c r="H645"/>
      <c r="I645"/>
      <c r="J645"/>
      <c r="K645"/>
      <c r="L645"/>
      <c r="M645"/>
      <c r="N645"/>
      <c r="O645"/>
      <c r="P645"/>
      <c r="Q645"/>
      <c r="R645"/>
      <c r="S645"/>
      <c r="T645"/>
      <c r="U645"/>
      <c r="V645"/>
      <c r="W645"/>
      <c r="X645"/>
      <c r="Y645"/>
    </row>
    <row r="646" spans="2:25" ht="16">
      <c r="B646"/>
      <c r="C646"/>
      <c r="D646"/>
      <c r="E646"/>
      <c r="F646"/>
      <c r="G646"/>
      <c r="H646"/>
      <c r="I646"/>
      <c r="J646"/>
      <c r="K646"/>
      <c r="L646"/>
      <c r="M646"/>
      <c r="N646"/>
      <c r="O646"/>
      <c r="P646"/>
      <c r="Q646"/>
      <c r="R646"/>
      <c r="S646"/>
      <c r="T646"/>
      <c r="U646"/>
      <c r="V646"/>
      <c r="W646"/>
      <c r="X646"/>
      <c r="Y646"/>
    </row>
    <row r="647" spans="2:25" ht="16">
      <c r="B647"/>
      <c r="C647"/>
      <c r="D647"/>
      <c r="E647"/>
      <c r="F647"/>
      <c r="G647"/>
      <c r="H647"/>
      <c r="I647"/>
      <c r="J647"/>
      <c r="K647"/>
      <c r="L647"/>
      <c r="M647"/>
      <c r="N647"/>
      <c r="O647"/>
      <c r="P647"/>
      <c r="Q647"/>
      <c r="R647"/>
      <c r="S647"/>
      <c r="T647"/>
      <c r="U647"/>
      <c r="V647"/>
      <c r="W647"/>
      <c r="X647"/>
      <c r="Y647"/>
    </row>
    <row r="648" spans="2:25" ht="16">
      <c r="B648"/>
      <c r="C648"/>
      <c r="D648"/>
      <c r="E648"/>
      <c r="F648"/>
      <c r="G648"/>
      <c r="H648"/>
      <c r="I648"/>
      <c r="J648"/>
      <c r="K648"/>
      <c r="L648"/>
      <c r="M648"/>
      <c r="N648"/>
      <c r="O648"/>
      <c r="P648"/>
      <c r="Q648"/>
      <c r="R648"/>
      <c r="S648"/>
      <c r="T648"/>
      <c r="U648"/>
      <c r="V648"/>
      <c r="W648"/>
      <c r="X648"/>
      <c r="Y648"/>
    </row>
    <row r="649" spans="2:25" ht="16">
      <c r="B649"/>
      <c r="C649"/>
      <c r="D649"/>
      <c r="E649"/>
      <c r="F649"/>
      <c r="G649"/>
      <c r="H649"/>
      <c r="I649"/>
      <c r="J649"/>
      <c r="K649"/>
      <c r="L649"/>
      <c r="M649"/>
      <c r="N649"/>
      <c r="O649"/>
      <c r="P649"/>
      <c r="Q649"/>
      <c r="R649"/>
      <c r="S649"/>
      <c r="T649"/>
      <c r="U649"/>
      <c r="V649"/>
      <c r="W649"/>
      <c r="X649"/>
      <c r="Y649"/>
    </row>
    <row r="650" spans="2:25" ht="16">
      <c r="B650"/>
      <c r="C650"/>
      <c r="D650"/>
      <c r="E650"/>
      <c r="F650"/>
      <c r="G650"/>
      <c r="H650"/>
      <c r="I650"/>
      <c r="J650"/>
      <c r="K650"/>
      <c r="L650"/>
      <c r="M650"/>
      <c r="N650"/>
      <c r="O650"/>
      <c r="P650"/>
      <c r="Q650"/>
      <c r="R650"/>
      <c r="S650"/>
      <c r="T650"/>
      <c r="U650"/>
      <c r="V650"/>
      <c r="W650"/>
      <c r="X650"/>
      <c r="Y650"/>
    </row>
    <row r="651" spans="2:25" ht="16">
      <c r="B651"/>
      <c r="C651"/>
      <c r="D651"/>
      <c r="E651"/>
      <c r="F651"/>
      <c r="G651"/>
      <c r="H651"/>
      <c r="I651"/>
      <c r="J651"/>
      <c r="K651"/>
      <c r="L651"/>
      <c r="M651"/>
      <c r="N651"/>
      <c r="O651"/>
      <c r="P651"/>
      <c r="Q651"/>
      <c r="R651"/>
      <c r="S651"/>
      <c r="T651"/>
      <c r="U651"/>
      <c r="V651"/>
      <c r="W651"/>
      <c r="X651"/>
      <c r="Y651"/>
    </row>
    <row r="652" spans="2:25" ht="16">
      <c r="B652"/>
      <c r="C652"/>
      <c r="D652"/>
      <c r="E652"/>
      <c r="F652"/>
      <c r="G652"/>
      <c r="H652"/>
      <c r="I652"/>
      <c r="J652"/>
      <c r="K652"/>
      <c r="L652"/>
      <c r="M652"/>
      <c r="N652"/>
      <c r="O652"/>
      <c r="P652"/>
      <c r="Q652"/>
      <c r="R652"/>
      <c r="S652"/>
      <c r="T652"/>
      <c r="U652"/>
      <c r="V652"/>
      <c r="W652"/>
      <c r="X652"/>
      <c r="Y652"/>
    </row>
    <row r="653" spans="2:25" ht="16">
      <c r="B653"/>
      <c r="C653"/>
      <c r="D653"/>
      <c r="E653"/>
      <c r="F653"/>
      <c r="G653"/>
      <c r="H653"/>
      <c r="I653"/>
      <c r="J653"/>
      <c r="K653"/>
      <c r="L653"/>
      <c r="M653"/>
      <c r="N653"/>
      <c r="O653"/>
      <c r="P653"/>
      <c r="Q653"/>
      <c r="R653"/>
      <c r="S653"/>
      <c r="T653"/>
      <c r="U653"/>
      <c r="V653"/>
      <c r="W653"/>
      <c r="X653"/>
      <c r="Y653"/>
    </row>
    <row r="654" spans="2:25" ht="16">
      <c r="B654"/>
      <c r="C654"/>
      <c r="D654"/>
      <c r="E654"/>
      <c r="F654"/>
      <c r="G654"/>
      <c r="H654"/>
      <c r="I654"/>
      <c r="J654"/>
      <c r="K654"/>
      <c r="L654"/>
      <c r="M654"/>
      <c r="N654"/>
      <c r="O654"/>
      <c r="P654"/>
      <c r="Q654"/>
      <c r="R654"/>
      <c r="S654"/>
      <c r="T654"/>
      <c r="U654"/>
      <c r="V654"/>
      <c r="W654"/>
      <c r="X654"/>
      <c r="Y654"/>
    </row>
    <row r="655" spans="2:25" ht="16">
      <c r="B655"/>
      <c r="C655"/>
      <c r="D655"/>
      <c r="E655"/>
      <c r="F655"/>
      <c r="G655"/>
      <c r="H655"/>
      <c r="I655"/>
      <c r="J655"/>
      <c r="K655"/>
      <c r="L655"/>
      <c r="M655"/>
      <c r="N655"/>
      <c r="O655"/>
      <c r="P655"/>
      <c r="Q655"/>
      <c r="R655"/>
      <c r="S655"/>
      <c r="T655"/>
      <c r="U655"/>
      <c r="V655"/>
      <c r="W655"/>
      <c r="X655"/>
      <c r="Y655"/>
    </row>
    <row r="656" spans="2:25" ht="16">
      <c r="B656"/>
      <c r="C656"/>
      <c r="D656"/>
      <c r="E656"/>
      <c r="F656"/>
      <c r="G656"/>
      <c r="H656"/>
      <c r="I656"/>
      <c r="J656"/>
      <c r="K656"/>
      <c r="L656"/>
      <c r="M656"/>
      <c r="N656"/>
      <c r="O656"/>
      <c r="P656"/>
      <c r="Q656"/>
      <c r="R656"/>
      <c r="S656"/>
      <c r="T656"/>
      <c r="U656"/>
      <c r="V656"/>
      <c r="W656"/>
      <c r="X656"/>
      <c r="Y656"/>
    </row>
    <row r="657" spans="2:25" ht="16">
      <c r="B657"/>
      <c r="C657"/>
      <c r="D657"/>
      <c r="E657"/>
      <c r="F657"/>
      <c r="G657"/>
      <c r="H657"/>
      <c r="I657"/>
      <c r="J657"/>
      <c r="K657"/>
      <c r="L657"/>
      <c r="M657"/>
      <c r="N657"/>
      <c r="O657"/>
      <c r="P657"/>
      <c r="Q657"/>
      <c r="R657"/>
      <c r="S657"/>
      <c r="T657"/>
      <c r="U657"/>
      <c r="V657"/>
      <c r="W657"/>
      <c r="X657"/>
      <c r="Y657"/>
    </row>
    <row r="658" spans="2:25" ht="16">
      <c r="B658"/>
      <c r="C658"/>
      <c r="D658"/>
      <c r="E658"/>
      <c r="F658"/>
      <c r="G658"/>
      <c r="H658"/>
      <c r="I658"/>
      <c r="J658"/>
      <c r="K658"/>
      <c r="L658"/>
      <c r="M658"/>
      <c r="N658"/>
      <c r="O658"/>
      <c r="P658"/>
      <c r="Q658"/>
      <c r="R658"/>
      <c r="S658"/>
      <c r="T658"/>
      <c r="U658"/>
      <c r="V658"/>
      <c r="W658"/>
      <c r="X658"/>
      <c r="Y658"/>
    </row>
    <row r="659" spans="2:25" ht="16">
      <c r="B659"/>
      <c r="C659"/>
      <c r="D659"/>
      <c r="E659"/>
      <c r="F659"/>
      <c r="G659"/>
      <c r="H659"/>
      <c r="I659"/>
      <c r="J659"/>
      <c r="K659"/>
      <c r="L659"/>
      <c r="M659"/>
      <c r="N659"/>
      <c r="O659"/>
      <c r="P659"/>
      <c r="Q659"/>
      <c r="R659"/>
      <c r="S659"/>
      <c r="T659"/>
      <c r="U659"/>
      <c r="V659"/>
      <c r="W659"/>
      <c r="X659"/>
      <c r="Y659"/>
    </row>
    <row r="660" spans="2:25" ht="16">
      <c r="B660"/>
      <c r="C660"/>
      <c r="D660"/>
      <c r="E660"/>
      <c r="F660"/>
      <c r="G660"/>
      <c r="H660"/>
      <c r="I660"/>
      <c r="J660"/>
      <c r="K660"/>
      <c r="L660"/>
      <c r="M660"/>
      <c r="N660"/>
      <c r="O660"/>
      <c r="P660"/>
      <c r="Q660"/>
      <c r="R660"/>
      <c r="S660"/>
      <c r="T660"/>
      <c r="U660"/>
      <c r="V660"/>
      <c r="W660"/>
      <c r="X660"/>
      <c r="Y660"/>
    </row>
    <row r="661" spans="2:25" ht="16">
      <c r="B661"/>
      <c r="C661"/>
      <c r="D661"/>
      <c r="E661"/>
      <c r="F661"/>
      <c r="G661"/>
      <c r="H661"/>
      <c r="I661"/>
      <c r="J661"/>
      <c r="K661"/>
      <c r="L661"/>
      <c r="M661"/>
      <c r="N661"/>
      <c r="O661"/>
      <c r="P661"/>
      <c r="Q661"/>
      <c r="R661"/>
      <c r="S661"/>
      <c r="T661"/>
      <c r="U661"/>
      <c r="V661"/>
      <c r="W661"/>
      <c r="X661"/>
      <c r="Y661"/>
    </row>
    <row r="662" spans="2:25" ht="16">
      <c r="B662"/>
      <c r="C662"/>
      <c r="D662"/>
      <c r="E662"/>
      <c r="F662"/>
      <c r="G662"/>
      <c r="H662"/>
      <c r="I662"/>
      <c r="J662"/>
      <c r="K662"/>
      <c r="L662"/>
      <c r="M662"/>
      <c r="N662"/>
      <c r="O662"/>
      <c r="P662"/>
      <c r="Q662"/>
      <c r="R662"/>
      <c r="S662"/>
      <c r="T662"/>
      <c r="U662"/>
      <c r="V662"/>
      <c r="W662"/>
      <c r="X662"/>
      <c r="Y662"/>
    </row>
    <row r="663" spans="2:25" ht="16">
      <c r="B663"/>
      <c r="C663"/>
      <c r="D663"/>
      <c r="E663"/>
      <c r="F663"/>
      <c r="G663"/>
      <c r="H663"/>
      <c r="I663"/>
      <c r="J663"/>
      <c r="K663"/>
      <c r="L663"/>
      <c r="M663"/>
      <c r="N663"/>
      <c r="O663"/>
      <c r="P663"/>
      <c r="Q663"/>
      <c r="R663"/>
      <c r="S663"/>
      <c r="T663"/>
      <c r="U663"/>
      <c r="V663"/>
      <c r="W663"/>
      <c r="X663"/>
      <c r="Y663"/>
    </row>
    <row r="664" spans="2:25" ht="16">
      <c r="B664"/>
      <c r="C664"/>
      <c r="D664"/>
      <c r="E664"/>
      <c r="F664"/>
      <c r="G664"/>
      <c r="H664"/>
      <c r="I664"/>
      <c r="J664"/>
      <c r="K664"/>
      <c r="L664"/>
      <c r="M664"/>
      <c r="N664"/>
      <c r="O664"/>
      <c r="P664"/>
      <c r="Q664"/>
      <c r="R664"/>
      <c r="S664"/>
      <c r="T664"/>
      <c r="U664"/>
      <c r="V664"/>
      <c r="W664"/>
      <c r="X664"/>
      <c r="Y664"/>
    </row>
    <row r="665" spans="2:25" ht="16">
      <c r="B665"/>
      <c r="C665"/>
      <c r="D665"/>
      <c r="E665"/>
      <c r="F665"/>
      <c r="G665"/>
      <c r="H665"/>
      <c r="I665"/>
      <c r="J665"/>
      <c r="K665"/>
      <c r="L665"/>
      <c r="M665"/>
      <c r="N665"/>
      <c r="O665"/>
      <c r="P665"/>
      <c r="Q665"/>
      <c r="R665"/>
      <c r="S665"/>
      <c r="T665"/>
      <c r="U665"/>
      <c r="V665"/>
      <c r="W665"/>
      <c r="X665"/>
      <c r="Y665"/>
    </row>
    <row r="666" spans="2:25" ht="16">
      <c r="B666"/>
      <c r="C666"/>
      <c r="D666"/>
      <c r="E666"/>
      <c r="F666"/>
      <c r="G666"/>
      <c r="H666"/>
      <c r="I666"/>
      <c r="J666"/>
      <c r="K666"/>
      <c r="L666"/>
      <c r="M666"/>
      <c r="N666"/>
      <c r="O666"/>
      <c r="P666"/>
      <c r="Q666"/>
      <c r="R666"/>
      <c r="S666"/>
      <c r="T666"/>
      <c r="U666"/>
      <c r="V666"/>
      <c r="W666"/>
      <c r="X666"/>
      <c r="Y666"/>
    </row>
    <row r="667" spans="2:25" ht="16">
      <c r="B667"/>
      <c r="C667"/>
      <c r="D667"/>
      <c r="E667"/>
      <c r="F667"/>
      <c r="G667"/>
      <c r="H667"/>
      <c r="I667"/>
      <c r="J667"/>
      <c r="K667"/>
      <c r="L667"/>
      <c r="M667"/>
      <c r="N667"/>
      <c r="O667"/>
      <c r="P667"/>
      <c r="Q667"/>
      <c r="R667"/>
      <c r="S667"/>
      <c r="T667"/>
      <c r="U667"/>
      <c r="V667"/>
      <c r="W667"/>
      <c r="X667"/>
      <c r="Y667"/>
    </row>
    <row r="668" spans="2:25" ht="16">
      <c r="B668"/>
      <c r="C668"/>
      <c r="D668"/>
      <c r="E668"/>
      <c r="F668"/>
      <c r="G668"/>
      <c r="H668"/>
      <c r="I668"/>
      <c r="J668"/>
      <c r="K668"/>
      <c r="L668"/>
      <c r="M668"/>
      <c r="N668"/>
      <c r="O668"/>
      <c r="P668"/>
      <c r="Q668"/>
      <c r="R668"/>
      <c r="S668"/>
      <c r="T668"/>
      <c r="U668"/>
      <c r="V668"/>
      <c r="W668"/>
      <c r="X668"/>
      <c r="Y668"/>
    </row>
    <row r="669" spans="2:25" ht="16">
      <c r="B669"/>
      <c r="C669"/>
      <c r="D669"/>
      <c r="E669"/>
      <c r="F669"/>
      <c r="G669"/>
      <c r="H669"/>
      <c r="I669"/>
      <c r="J669"/>
      <c r="K669"/>
      <c r="L669"/>
      <c r="M669"/>
      <c r="N669"/>
      <c r="O669"/>
      <c r="P669"/>
      <c r="Q669"/>
      <c r="R669"/>
      <c r="S669"/>
      <c r="T669"/>
      <c r="U669"/>
      <c r="V669"/>
      <c r="W669"/>
      <c r="X669"/>
      <c r="Y669"/>
    </row>
    <row r="670" spans="2:25" ht="16">
      <c r="B670"/>
      <c r="C670"/>
      <c r="D670"/>
      <c r="E670"/>
      <c r="F670"/>
      <c r="G670"/>
      <c r="H670"/>
      <c r="I670"/>
      <c r="J670"/>
      <c r="K670"/>
      <c r="L670"/>
      <c r="M670"/>
      <c r="N670"/>
      <c r="O670"/>
      <c r="P670"/>
      <c r="Q670"/>
      <c r="R670"/>
      <c r="S670"/>
      <c r="T670"/>
      <c r="U670"/>
      <c r="V670"/>
      <c r="W670"/>
      <c r="X670"/>
      <c r="Y670"/>
    </row>
    <row r="671" spans="2:25" ht="16">
      <c r="B671"/>
      <c r="C671"/>
      <c r="D671"/>
      <c r="E671"/>
      <c r="F671"/>
      <c r="G671"/>
      <c r="H671"/>
      <c r="I671"/>
      <c r="J671"/>
      <c r="K671"/>
      <c r="L671"/>
      <c r="M671"/>
      <c r="N671"/>
      <c r="O671"/>
      <c r="P671"/>
      <c r="Q671"/>
      <c r="R671"/>
      <c r="S671"/>
      <c r="T671"/>
      <c r="U671"/>
      <c r="V671"/>
      <c r="W671"/>
      <c r="X671"/>
      <c r="Y671"/>
    </row>
    <row r="672" spans="2:25" ht="16">
      <c r="B672"/>
      <c r="C672"/>
      <c r="D672"/>
      <c r="E672"/>
      <c r="F672"/>
      <c r="G672"/>
      <c r="H672"/>
      <c r="I672"/>
      <c r="J672"/>
      <c r="K672"/>
      <c r="L672"/>
      <c r="M672"/>
      <c r="N672"/>
      <c r="O672"/>
      <c r="P672"/>
      <c r="Q672"/>
      <c r="R672"/>
      <c r="S672"/>
      <c r="T672"/>
      <c r="U672"/>
      <c r="V672"/>
      <c r="W672"/>
      <c r="X672"/>
      <c r="Y672"/>
    </row>
    <row r="673" spans="2:25" ht="16">
      <c r="B673"/>
      <c r="C673"/>
      <c r="D673"/>
      <c r="E673"/>
      <c r="F673"/>
      <c r="G673"/>
      <c r="H673"/>
      <c r="I673"/>
      <c r="J673"/>
      <c r="K673"/>
      <c r="L673"/>
      <c r="M673"/>
      <c r="N673"/>
      <c r="O673"/>
      <c r="P673"/>
      <c r="Q673"/>
      <c r="R673"/>
      <c r="S673"/>
      <c r="T673"/>
      <c r="U673"/>
      <c r="V673"/>
      <c r="W673"/>
      <c r="X673"/>
      <c r="Y673"/>
    </row>
    <row r="674" spans="2:25" ht="16">
      <c r="B674"/>
      <c r="C674"/>
      <c r="D674"/>
      <c r="E674"/>
      <c r="F674"/>
      <c r="G674"/>
      <c r="H674"/>
      <c r="I674"/>
      <c r="J674"/>
      <c r="K674"/>
      <c r="L674"/>
      <c r="M674"/>
      <c r="N674"/>
      <c r="O674"/>
      <c r="P674"/>
      <c r="Q674"/>
      <c r="R674"/>
      <c r="S674"/>
      <c r="T674"/>
      <c r="U674"/>
      <c r="V674"/>
      <c r="W674"/>
      <c r="X674"/>
      <c r="Y674"/>
    </row>
    <row r="675" spans="2:25" ht="16">
      <c r="B675"/>
      <c r="C675"/>
      <c r="D675"/>
      <c r="E675"/>
      <c r="F675"/>
      <c r="G675"/>
      <c r="H675"/>
      <c r="I675"/>
      <c r="J675"/>
      <c r="K675"/>
      <c r="L675"/>
      <c r="M675"/>
      <c r="N675"/>
      <c r="O675"/>
      <c r="P675"/>
      <c r="Q675"/>
      <c r="R675"/>
      <c r="S675"/>
      <c r="T675"/>
      <c r="U675"/>
      <c r="V675"/>
      <c r="W675"/>
      <c r="X675"/>
      <c r="Y675"/>
    </row>
    <row r="676" spans="2:25" ht="16">
      <c r="B676"/>
      <c r="C676"/>
      <c r="D676"/>
      <c r="E676"/>
      <c r="F676"/>
      <c r="G676"/>
      <c r="H676"/>
      <c r="I676"/>
      <c r="J676"/>
      <c r="K676"/>
      <c r="L676"/>
      <c r="M676"/>
      <c r="N676"/>
      <c r="O676"/>
      <c r="P676"/>
      <c r="Q676"/>
      <c r="R676"/>
      <c r="S676"/>
      <c r="T676"/>
      <c r="U676"/>
      <c r="V676"/>
      <c r="W676"/>
      <c r="X676"/>
      <c r="Y676"/>
    </row>
    <row r="677" spans="2:25" ht="16">
      <c r="B677"/>
      <c r="C677"/>
      <c r="D677"/>
      <c r="E677"/>
      <c r="F677"/>
      <c r="G677"/>
      <c r="H677"/>
      <c r="I677"/>
      <c r="J677"/>
      <c r="K677"/>
      <c r="L677"/>
      <c r="M677"/>
      <c r="N677"/>
      <c r="O677"/>
      <c r="P677"/>
      <c r="Q677"/>
      <c r="R677"/>
      <c r="S677"/>
      <c r="T677"/>
      <c r="U677"/>
      <c r="V677"/>
      <c r="W677"/>
      <c r="X677"/>
      <c r="Y677"/>
    </row>
    <row r="678" spans="2:25" ht="16">
      <c r="B678"/>
      <c r="C678"/>
      <c r="D678"/>
      <c r="E678"/>
      <c r="F678"/>
      <c r="G678"/>
      <c r="H678"/>
      <c r="I678"/>
      <c r="J678"/>
      <c r="K678"/>
      <c r="L678"/>
      <c r="M678"/>
      <c r="N678"/>
      <c r="O678"/>
      <c r="P678"/>
      <c r="Q678"/>
      <c r="R678"/>
      <c r="S678"/>
      <c r="T678"/>
      <c r="U678"/>
      <c r="V678"/>
      <c r="W678"/>
      <c r="X678"/>
      <c r="Y678"/>
    </row>
    <row r="679" spans="2:25" ht="16">
      <c r="B679"/>
      <c r="C679"/>
      <c r="D679"/>
      <c r="E679"/>
      <c r="F679"/>
      <c r="G679"/>
      <c r="H679"/>
      <c r="I679"/>
      <c r="J679"/>
      <c r="K679"/>
      <c r="L679"/>
      <c r="M679"/>
      <c r="N679"/>
      <c r="O679"/>
      <c r="P679"/>
      <c r="Q679"/>
      <c r="R679"/>
      <c r="S679"/>
      <c r="T679"/>
      <c r="U679"/>
      <c r="V679"/>
      <c r="W679"/>
      <c r="X679"/>
      <c r="Y679"/>
    </row>
    <row r="680" spans="2:25" ht="16">
      <c r="B680"/>
      <c r="C680"/>
      <c r="D680"/>
      <c r="E680"/>
      <c r="F680"/>
      <c r="G680"/>
      <c r="H680"/>
      <c r="I680"/>
      <c r="J680"/>
      <c r="K680"/>
      <c r="L680"/>
      <c r="M680"/>
      <c r="N680"/>
      <c r="O680"/>
      <c r="P680"/>
      <c r="Q680"/>
      <c r="R680"/>
      <c r="S680"/>
      <c r="T680"/>
      <c r="U680"/>
      <c r="V680"/>
      <c r="W680"/>
      <c r="X680"/>
      <c r="Y680"/>
    </row>
    <row r="681" spans="2:25" ht="16">
      <c r="B681"/>
      <c r="C681"/>
      <c r="D681"/>
      <c r="E681"/>
      <c r="F681"/>
      <c r="G681"/>
      <c r="H681"/>
      <c r="I681"/>
      <c r="J681"/>
      <c r="K681"/>
      <c r="L681"/>
      <c r="M681"/>
      <c r="N681"/>
      <c r="O681"/>
      <c r="P681"/>
      <c r="Q681"/>
      <c r="R681"/>
      <c r="S681"/>
      <c r="T681"/>
      <c r="U681"/>
      <c r="V681"/>
      <c r="W681"/>
      <c r="X681"/>
      <c r="Y681"/>
    </row>
    <row r="682" spans="2:25" ht="16">
      <c r="B682"/>
      <c r="C682"/>
      <c r="D682"/>
      <c r="E682"/>
      <c r="F682"/>
      <c r="G682"/>
      <c r="H682"/>
      <c r="I682"/>
      <c r="J682"/>
      <c r="K682"/>
      <c r="L682"/>
      <c r="M682"/>
      <c r="N682"/>
      <c r="O682"/>
      <c r="P682"/>
      <c r="Q682"/>
      <c r="R682"/>
      <c r="S682"/>
      <c r="T682"/>
      <c r="U682"/>
      <c r="V682"/>
      <c r="W682"/>
      <c r="X682"/>
      <c r="Y682"/>
    </row>
    <row r="683" spans="2:25" ht="16">
      <c r="B683"/>
      <c r="C683"/>
      <c r="D683"/>
      <c r="E683"/>
      <c r="F683"/>
      <c r="G683"/>
      <c r="H683"/>
      <c r="I683"/>
      <c r="J683"/>
      <c r="K683"/>
      <c r="L683"/>
      <c r="M683"/>
      <c r="N683"/>
      <c r="O683"/>
      <c r="P683"/>
      <c r="Q683"/>
      <c r="R683"/>
      <c r="S683"/>
      <c r="T683"/>
      <c r="U683"/>
      <c r="V683"/>
      <c r="W683"/>
      <c r="X683"/>
      <c r="Y683"/>
    </row>
    <row r="684" spans="2:25" ht="16">
      <c r="B684"/>
      <c r="C684"/>
      <c r="D684"/>
      <c r="E684"/>
      <c r="F684"/>
      <c r="G684"/>
      <c r="H684"/>
      <c r="I684"/>
      <c r="J684"/>
      <c r="K684"/>
      <c r="L684"/>
      <c r="M684"/>
      <c r="N684"/>
      <c r="O684"/>
      <c r="P684"/>
      <c r="Q684"/>
      <c r="R684"/>
      <c r="S684"/>
      <c r="T684"/>
      <c r="U684"/>
      <c r="V684"/>
      <c r="W684"/>
      <c r="X684"/>
      <c r="Y684"/>
    </row>
    <row r="685" spans="2:25" ht="16">
      <c r="B685"/>
      <c r="C685"/>
      <c r="D685"/>
      <c r="E685"/>
      <c r="F685"/>
      <c r="G685"/>
      <c r="H685"/>
      <c r="I685"/>
      <c r="J685"/>
      <c r="K685"/>
      <c r="L685"/>
      <c r="M685"/>
      <c r="N685"/>
      <c r="O685"/>
      <c r="P685"/>
      <c r="Q685"/>
      <c r="R685"/>
      <c r="S685"/>
      <c r="T685"/>
    </row>
    <row r="686" spans="2:25" ht="16">
      <c r="B686"/>
      <c r="C686"/>
      <c r="D686"/>
      <c r="E686"/>
      <c r="F686"/>
      <c r="G686"/>
      <c r="H686"/>
      <c r="I686"/>
      <c r="J686"/>
      <c r="K686"/>
      <c r="L686"/>
      <c r="M686"/>
      <c r="N686"/>
      <c r="O686"/>
      <c r="P686"/>
      <c r="Q686"/>
      <c r="R686"/>
      <c r="S686"/>
      <c r="T686"/>
    </row>
    <row r="687" spans="2:25" ht="16">
      <c r="B687"/>
      <c r="C687"/>
      <c r="D687"/>
      <c r="E687"/>
      <c r="F687"/>
      <c r="G687"/>
      <c r="H687"/>
      <c r="I687"/>
      <c r="J687"/>
      <c r="K687"/>
      <c r="L687"/>
      <c r="M687"/>
      <c r="N687"/>
      <c r="O687"/>
      <c r="P687"/>
      <c r="Q687"/>
      <c r="R687"/>
      <c r="S687"/>
      <c r="T687"/>
    </row>
    <row r="688" spans="2:25" ht="16">
      <c r="B688"/>
      <c r="C688"/>
      <c r="D688"/>
      <c r="E688"/>
      <c r="F688"/>
      <c r="G688"/>
      <c r="H688"/>
      <c r="I688"/>
      <c r="J688"/>
      <c r="K688"/>
      <c r="L688"/>
      <c r="M688"/>
      <c r="N688"/>
      <c r="O688"/>
      <c r="P688"/>
      <c r="Q688"/>
      <c r="R688"/>
      <c r="S688"/>
      <c r="T688"/>
    </row>
    <row r="689" spans="2:20" ht="16">
      <c r="B689"/>
      <c r="C689"/>
      <c r="D689"/>
      <c r="E689"/>
      <c r="F689"/>
      <c r="G689"/>
      <c r="H689"/>
      <c r="I689"/>
      <c r="J689"/>
      <c r="K689"/>
      <c r="L689"/>
      <c r="M689"/>
      <c r="N689"/>
      <c r="O689"/>
      <c r="P689"/>
      <c r="Q689"/>
      <c r="R689"/>
      <c r="S689"/>
      <c r="T689"/>
    </row>
    <row r="690" spans="2:20" ht="16">
      <c r="B690"/>
      <c r="C690"/>
      <c r="D690"/>
      <c r="E690"/>
      <c r="F690"/>
      <c r="G690"/>
      <c r="H690"/>
      <c r="I690"/>
      <c r="J690"/>
      <c r="K690"/>
      <c r="L690"/>
      <c r="M690"/>
      <c r="N690"/>
      <c r="O690"/>
      <c r="P690"/>
      <c r="Q690"/>
      <c r="R690"/>
      <c r="S690"/>
      <c r="T690"/>
    </row>
    <row r="691" spans="2:20" ht="16">
      <c r="B691"/>
      <c r="C691"/>
      <c r="D691"/>
      <c r="E691"/>
      <c r="F691"/>
      <c r="G691"/>
      <c r="H691"/>
      <c r="I691"/>
      <c r="J691"/>
      <c r="K691"/>
      <c r="L691"/>
      <c r="M691"/>
      <c r="N691"/>
      <c r="O691"/>
      <c r="P691"/>
      <c r="Q691"/>
      <c r="R691"/>
      <c r="S691"/>
      <c r="T691"/>
    </row>
    <row r="692" spans="2:20" ht="16">
      <c r="B692"/>
      <c r="C692"/>
      <c r="D692"/>
      <c r="E692"/>
      <c r="F692"/>
      <c r="G692"/>
      <c r="H692"/>
      <c r="I692"/>
      <c r="J692"/>
      <c r="K692"/>
      <c r="L692"/>
      <c r="M692"/>
      <c r="N692"/>
      <c r="O692"/>
      <c r="P692"/>
      <c r="Q692"/>
      <c r="R692"/>
      <c r="S692"/>
      <c r="T692"/>
    </row>
    <row r="693" spans="2:20" ht="16">
      <c r="B693"/>
      <c r="C693"/>
      <c r="D693"/>
      <c r="E693"/>
      <c r="F693"/>
      <c r="G693"/>
      <c r="H693"/>
      <c r="I693"/>
      <c r="J693"/>
      <c r="K693"/>
      <c r="L693"/>
      <c r="M693"/>
      <c r="N693"/>
      <c r="O693"/>
      <c r="P693"/>
      <c r="Q693"/>
      <c r="R693"/>
      <c r="S693"/>
      <c r="T693"/>
    </row>
    <row r="694" spans="2:20" ht="16">
      <c r="B694"/>
      <c r="C694"/>
      <c r="D694"/>
      <c r="E694"/>
      <c r="F694"/>
      <c r="G694"/>
      <c r="H694"/>
      <c r="I694"/>
      <c r="J694"/>
      <c r="K694"/>
      <c r="L694"/>
      <c r="M694"/>
      <c r="N694"/>
      <c r="O694"/>
      <c r="P694"/>
      <c r="Q694"/>
      <c r="R694"/>
      <c r="S694"/>
      <c r="T694"/>
    </row>
    <row r="695" spans="2:20" ht="16">
      <c r="B695"/>
      <c r="C695"/>
      <c r="D695"/>
      <c r="E695"/>
      <c r="F695"/>
      <c r="G695"/>
      <c r="H695"/>
      <c r="I695"/>
      <c r="J695"/>
      <c r="K695"/>
      <c r="L695"/>
      <c r="M695"/>
      <c r="N695"/>
      <c r="O695"/>
      <c r="P695"/>
      <c r="Q695"/>
      <c r="R695"/>
      <c r="S695"/>
      <c r="T695"/>
    </row>
    <row r="696" spans="2:20" ht="16">
      <c r="B696"/>
      <c r="C696"/>
      <c r="D696"/>
      <c r="E696"/>
      <c r="F696"/>
      <c r="G696"/>
      <c r="H696"/>
      <c r="I696"/>
      <c r="J696"/>
      <c r="K696"/>
      <c r="L696"/>
      <c r="M696"/>
      <c r="N696"/>
      <c r="O696"/>
      <c r="P696"/>
      <c r="Q696"/>
      <c r="R696"/>
      <c r="S696"/>
      <c r="T696"/>
    </row>
    <row r="697" spans="2:20" ht="16">
      <c r="B697"/>
      <c r="C697"/>
      <c r="D697"/>
      <c r="E697"/>
      <c r="F697"/>
      <c r="G697"/>
      <c r="H697"/>
      <c r="I697"/>
      <c r="J697"/>
      <c r="K697"/>
      <c r="L697"/>
      <c r="M697"/>
      <c r="N697"/>
      <c r="O697"/>
      <c r="P697"/>
      <c r="Q697"/>
      <c r="R697"/>
      <c r="S697"/>
      <c r="T697"/>
    </row>
    <row r="698" spans="2:20" ht="16">
      <c r="B698"/>
      <c r="C698"/>
      <c r="D698"/>
      <c r="E698"/>
      <c r="F698"/>
      <c r="G698"/>
      <c r="H698"/>
      <c r="I698"/>
      <c r="J698"/>
      <c r="K698"/>
      <c r="L698"/>
      <c r="M698"/>
      <c r="N698"/>
      <c r="O698"/>
      <c r="P698"/>
      <c r="Q698"/>
      <c r="R698"/>
      <c r="S698"/>
      <c r="T698"/>
    </row>
    <row r="699" spans="2:20" ht="16">
      <c r="B699"/>
      <c r="C699"/>
      <c r="D699"/>
      <c r="E699"/>
      <c r="F699"/>
      <c r="G699"/>
      <c r="H699"/>
      <c r="I699"/>
      <c r="J699"/>
      <c r="K699"/>
      <c r="L699"/>
      <c r="M699"/>
      <c r="N699"/>
      <c r="O699"/>
      <c r="P699"/>
      <c r="Q699"/>
      <c r="R699"/>
      <c r="S699"/>
      <c r="T699"/>
    </row>
    <row r="700" spans="2:20" ht="16">
      <c r="B700"/>
      <c r="C700"/>
      <c r="D700"/>
      <c r="E700"/>
      <c r="F700"/>
      <c r="G700"/>
      <c r="H700"/>
      <c r="I700"/>
      <c r="J700"/>
      <c r="K700"/>
      <c r="L700"/>
      <c r="M700"/>
      <c r="N700"/>
      <c r="O700"/>
      <c r="P700"/>
      <c r="Q700"/>
      <c r="R700"/>
      <c r="S700"/>
      <c r="T700"/>
    </row>
    <row r="701" spans="2:20" ht="16">
      <c r="B701"/>
      <c r="C701"/>
      <c r="D701"/>
      <c r="E701"/>
      <c r="F701"/>
      <c r="G701"/>
      <c r="H701"/>
      <c r="I701"/>
      <c r="J701"/>
      <c r="K701"/>
      <c r="L701"/>
      <c r="M701"/>
      <c r="N701"/>
      <c r="O701"/>
      <c r="P701"/>
      <c r="Q701"/>
      <c r="R701"/>
      <c r="S701"/>
      <c r="T701"/>
    </row>
    <row r="702" spans="2:20" ht="16">
      <c r="B702"/>
      <c r="C702"/>
      <c r="D702"/>
      <c r="E702"/>
      <c r="F702"/>
      <c r="G702"/>
      <c r="H702"/>
      <c r="I702"/>
      <c r="J702"/>
      <c r="K702"/>
      <c r="L702"/>
      <c r="M702"/>
      <c r="N702"/>
      <c r="O702"/>
      <c r="P702"/>
      <c r="Q702"/>
      <c r="R702"/>
      <c r="S702"/>
      <c r="T702"/>
    </row>
    <row r="703" spans="2:20" ht="16">
      <c r="B703"/>
      <c r="C703"/>
      <c r="D703"/>
      <c r="E703"/>
      <c r="F703"/>
      <c r="G703"/>
      <c r="H703"/>
      <c r="I703"/>
      <c r="J703"/>
      <c r="K703"/>
      <c r="L703"/>
      <c r="M703"/>
      <c r="N703"/>
      <c r="O703"/>
      <c r="P703"/>
      <c r="Q703"/>
      <c r="R703"/>
      <c r="S703"/>
      <c r="T703"/>
    </row>
    <row r="704" spans="2:20" ht="16">
      <c r="B704"/>
      <c r="C704"/>
      <c r="D704"/>
      <c r="E704"/>
      <c r="F704"/>
      <c r="G704"/>
      <c r="H704"/>
      <c r="I704"/>
      <c r="J704"/>
      <c r="K704"/>
      <c r="L704"/>
      <c r="M704"/>
      <c r="N704"/>
      <c r="O704"/>
      <c r="P704"/>
      <c r="Q704"/>
      <c r="R704"/>
      <c r="S704"/>
      <c r="T704"/>
    </row>
    <row r="705" spans="2:20" ht="16">
      <c r="B705"/>
      <c r="C705"/>
      <c r="D705"/>
      <c r="E705"/>
      <c r="F705"/>
      <c r="G705"/>
      <c r="H705"/>
      <c r="I705"/>
      <c r="J705"/>
      <c r="K705"/>
      <c r="L705"/>
      <c r="M705"/>
      <c r="N705"/>
      <c r="O705"/>
      <c r="P705"/>
      <c r="Q705"/>
      <c r="R705"/>
      <c r="S705"/>
      <c r="T705"/>
    </row>
    <row r="706" spans="2:20" ht="16">
      <c r="B706"/>
      <c r="C706"/>
      <c r="D706"/>
      <c r="E706"/>
      <c r="F706"/>
      <c r="G706"/>
      <c r="H706"/>
      <c r="I706"/>
      <c r="J706"/>
      <c r="K706"/>
      <c r="L706"/>
      <c r="M706"/>
      <c r="N706"/>
      <c r="O706"/>
      <c r="P706"/>
      <c r="Q706"/>
      <c r="R706"/>
      <c r="S706"/>
      <c r="T706"/>
    </row>
    <row r="707" spans="2:20" ht="16">
      <c r="B707"/>
      <c r="C707"/>
      <c r="D707"/>
      <c r="E707"/>
      <c r="F707"/>
      <c r="G707"/>
      <c r="H707"/>
      <c r="I707"/>
      <c r="J707"/>
      <c r="K707"/>
      <c r="L707"/>
      <c r="M707"/>
      <c r="N707"/>
      <c r="O707"/>
      <c r="P707"/>
      <c r="Q707"/>
      <c r="R707"/>
      <c r="S707"/>
      <c r="T707"/>
    </row>
    <row r="708" spans="2:20" ht="16">
      <c r="B708"/>
      <c r="C708"/>
      <c r="D708"/>
      <c r="E708"/>
      <c r="F708"/>
      <c r="G708"/>
      <c r="H708"/>
      <c r="I708"/>
      <c r="J708"/>
      <c r="K708"/>
      <c r="L708"/>
      <c r="M708"/>
      <c r="N708"/>
      <c r="O708"/>
      <c r="P708"/>
      <c r="Q708"/>
      <c r="R708"/>
      <c r="S708"/>
      <c r="T708"/>
    </row>
    <row r="709" spans="2:20" ht="16">
      <c r="B709"/>
      <c r="C709"/>
      <c r="D709"/>
      <c r="E709"/>
      <c r="F709"/>
      <c r="G709"/>
      <c r="H709"/>
      <c r="I709"/>
      <c r="J709"/>
      <c r="K709"/>
      <c r="L709"/>
      <c r="M709"/>
      <c r="N709"/>
      <c r="O709"/>
      <c r="P709"/>
      <c r="Q709"/>
      <c r="R709"/>
      <c r="S709"/>
      <c r="T709"/>
    </row>
    <row r="710" spans="2:20" ht="16">
      <c r="B710"/>
      <c r="C710"/>
      <c r="D710"/>
      <c r="E710"/>
      <c r="F710"/>
      <c r="G710"/>
      <c r="H710"/>
      <c r="I710"/>
      <c r="J710"/>
      <c r="K710"/>
      <c r="L710"/>
      <c r="M710"/>
      <c r="N710"/>
      <c r="O710"/>
      <c r="P710"/>
      <c r="Q710"/>
      <c r="R710"/>
      <c r="S710"/>
      <c r="T710"/>
    </row>
    <row r="711" spans="2:20" ht="16">
      <c r="B711"/>
      <c r="C711"/>
      <c r="D711"/>
      <c r="E711"/>
      <c r="F711"/>
      <c r="G711"/>
      <c r="H711"/>
      <c r="I711"/>
      <c r="J711"/>
      <c r="K711"/>
      <c r="L711"/>
      <c r="M711"/>
      <c r="N711"/>
      <c r="O711"/>
      <c r="P711"/>
      <c r="Q711"/>
      <c r="R711"/>
      <c r="S711"/>
      <c r="T711"/>
    </row>
    <row r="712" spans="2:20" ht="16">
      <c r="B712"/>
      <c r="C712"/>
      <c r="D712"/>
      <c r="E712"/>
      <c r="F712"/>
      <c r="G712"/>
      <c r="H712"/>
      <c r="I712"/>
      <c r="J712"/>
      <c r="K712"/>
      <c r="L712"/>
      <c r="M712"/>
      <c r="N712"/>
      <c r="O712"/>
      <c r="P712"/>
      <c r="Q712"/>
      <c r="R712"/>
      <c r="S712"/>
      <c r="T712"/>
    </row>
    <row r="713" spans="2:20" ht="16">
      <c r="B713"/>
      <c r="C713"/>
      <c r="D713"/>
      <c r="E713"/>
      <c r="F713"/>
      <c r="G713"/>
      <c r="H713"/>
      <c r="I713"/>
      <c r="J713"/>
      <c r="K713"/>
      <c r="L713"/>
      <c r="M713"/>
      <c r="N713"/>
      <c r="O713"/>
      <c r="P713"/>
      <c r="Q713"/>
      <c r="R713"/>
      <c r="S713"/>
      <c r="T713"/>
    </row>
    <row r="714" spans="2:20" ht="16">
      <c r="B714"/>
      <c r="C714"/>
      <c r="D714"/>
      <c r="E714"/>
      <c r="F714"/>
      <c r="G714"/>
      <c r="H714"/>
      <c r="I714"/>
      <c r="J714"/>
      <c r="K714"/>
      <c r="L714"/>
      <c r="M714"/>
      <c r="N714"/>
      <c r="O714"/>
      <c r="P714"/>
      <c r="Q714"/>
      <c r="R714"/>
      <c r="S714"/>
      <c r="T714"/>
    </row>
    <row r="715" spans="2:20" ht="16">
      <c r="B715"/>
      <c r="C715"/>
      <c r="D715"/>
      <c r="E715"/>
      <c r="F715"/>
      <c r="G715"/>
      <c r="H715"/>
      <c r="I715"/>
      <c r="J715"/>
      <c r="K715"/>
      <c r="L715"/>
      <c r="M715"/>
      <c r="N715"/>
      <c r="O715"/>
      <c r="P715"/>
      <c r="Q715"/>
      <c r="R715"/>
      <c r="S715"/>
      <c r="T715"/>
    </row>
    <row r="716" spans="2:20" ht="16">
      <c r="B716"/>
      <c r="C716"/>
      <c r="D716"/>
      <c r="E716"/>
      <c r="F716"/>
      <c r="G716"/>
      <c r="H716"/>
      <c r="I716"/>
      <c r="J716"/>
      <c r="K716"/>
      <c r="L716"/>
      <c r="M716"/>
      <c r="N716"/>
      <c r="O716"/>
      <c r="P716"/>
      <c r="Q716"/>
      <c r="R716"/>
      <c r="S716"/>
      <c r="T716"/>
    </row>
    <row r="717" spans="2:20" ht="16">
      <c r="B717"/>
      <c r="C717"/>
      <c r="D717"/>
      <c r="E717"/>
      <c r="F717"/>
      <c r="G717"/>
      <c r="H717"/>
      <c r="I717"/>
      <c r="J717"/>
      <c r="K717"/>
      <c r="L717"/>
      <c r="M717"/>
      <c r="N717"/>
      <c r="O717"/>
      <c r="P717"/>
      <c r="Q717"/>
      <c r="R717"/>
      <c r="S717"/>
      <c r="T717"/>
    </row>
    <row r="718" spans="2:20" ht="16">
      <c r="B718"/>
      <c r="C718"/>
      <c r="D718"/>
      <c r="E718"/>
      <c r="F718"/>
      <c r="G718"/>
      <c r="H718"/>
      <c r="I718"/>
      <c r="J718"/>
      <c r="K718"/>
      <c r="L718"/>
      <c r="M718"/>
      <c r="N718"/>
      <c r="O718"/>
      <c r="P718"/>
      <c r="Q718"/>
      <c r="R718"/>
      <c r="S718"/>
      <c r="T718"/>
    </row>
    <row r="719" spans="2:20" ht="16">
      <c r="B719"/>
      <c r="C719"/>
      <c r="D719"/>
      <c r="E719"/>
      <c r="F719"/>
      <c r="G719"/>
      <c r="H719"/>
      <c r="I719"/>
      <c r="J719"/>
      <c r="K719"/>
      <c r="L719"/>
      <c r="M719"/>
      <c r="N719"/>
      <c r="O719"/>
      <c r="P719"/>
      <c r="Q719"/>
      <c r="R719"/>
      <c r="S719"/>
      <c r="T719"/>
    </row>
    <row r="720" spans="2:20" ht="16">
      <c r="B720"/>
      <c r="C720"/>
      <c r="D720"/>
      <c r="E720"/>
      <c r="F720"/>
      <c r="G720"/>
      <c r="H720"/>
      <c r="I720"/>
      <c r="J720"/>
      <c r="K720"/>
      <c r="L720"/>
      <c r="M720"/>
      <c r="N720"/>
      <c r="O720"/>
      <c r="P720"/>
      <c r="Q720"/>
      <c r="R720"/>
      <c r="S720"/>
      <c r="T720"/>
    </row>
    <row r="721" spans="2:20" ht="16">
      <c r="B721"/>
      <c r="C721"/>
      <c r="D721"/>
      <c r="E721"/>
      <c r="F721"/>
      <c r="G721"/>
      <c r="H721"/>
      <c r="I721"/>
      <c r="J721"/>
      <c r="K721"/>
      <c r="L721"/>
      <c r="M721"/>
      <c r="N721"/>
      <c r="O721"/>
      <c r="P721"/>
      <c r="Q721"/>
      <c r="R721"/>
      <c r="S721"/>
      <c r="T721"/>
    </row>
    <row r="722" spans="2:20" ht="16">
      <c r="B722"/>
      <c r="C722"/>
      <c r="D722"/>
      <c r="E722"/>
      <c r="F722"/>
      <c r="G722"/>
      <c r="H722"/>
      <c r="I722"/>
      <c r="J722"/>
      <c r="K722"/>
      <c r="L722"/>
      <c r="M722"/>
      <c r="N722"/>
      <c r="O722"/>
      <c r="P722"/>
      <c r="Q722"/>
      <c r="R722"/>
      <c r="S722"/>
      <c r="T722"/>
    </row>
    <row r="723" spans="2:20" ht="16">
      <c r="B723"/>
      <c r="C723"/>
      <c r="D723"/>
      <c r="E723"/>
      <c r="F723"/>
      <c r="G723"/>
      <c r="H723"/>
      <c r="I723"/>
      <c r="J723"/>
      <c r="K723"/>
      <c r="L723"/>
      <c r="M723"/>
      <c r="N723"/>
      <c r="O723"/>
      <c r="P723"/>
      <c r="Q723"/>
      <c r="R723"/>
      <c r="S723"/>
      <c r="T723"/>
    </row>
    <row r="724" spans="2:20" ht="16">
      <c r="B724"/>
      <c r="C724"/>
      <c r="D724"/>
      <c r="E724"/>
      <c r="F724"/>
      <c r="G724"/>
      <c r="H724"/>
      <c r="I724"/>
      <c r="J724"/>
      <c r="K724"/>
      <c r="L724"/>
      <c r="M724"/>
      <c r="N724"/>
      <c r="O724"/>
      <c r="P724"/>
      <c r="Q724"/>
      <c r="R724"/>
      <c r="S724"/>
      <c r="T724"/>
    </row>
    <row r="725" spans="2:20" ht="16">
      <c r="B725"/>
      <c r="C725"/>
      <c r="D725"/>
      <c r="E725"/>
      <c r="F725"/>
      <c r="G725"/>
      <c r="H725"/>
      <c r="I725"/>
      <c r="J725"/>
      <c r="K725"/>
      <c r="L725"/>
      <c r="M725"/>
      <c r="N725"/>
      <c r="O725"/>
      <c r="P725"/>
      <c r="Q725"/>
      <c r="R725"/>
      <c r="S725"/>
      <c r="T725"/>
    </row>
    <row r="726" spans="2:20" ht="16">
      <c r="B726"/>
      <c r="C726"/>
      <c r="D726"/>
      <c r="E726"/>
      <c r="F726"/>
      <c r="G726"/>
      <c r="H726"/>
      <c r="I726"/>
      <c r="J726"/>
      <c r="K726"/>
      <c r="L726"/>
      <c r="M726"/>
      <c r="N726"/>
      <c r="O726"/>
      <c r="P726"/>
      <c r="Q726"/>
      <c r="R726"/>
      <c r="S726"/>
      <c r="T726"/>
    </row>
    <row r="727" spans="2:20" ht="16">
      <c r="B727"/>
      <c r="C727"/>
      <c r="D727"/>
      <c r="E727"/>
      <c r="F727"/>
      <c r="G727"/>
      <c r="H727"/>
      <c r="I727"/>
      <c r="J727"/>
      <c r="K727"/>
      <c r="L727"/>
      <c r="M727"/>
      <c r="N727"/>
      <c r="O727"/>
      <c r="P727"/>
      <c r="Q727"/>
      <c r="R727"/>
      <c r="S727"/>
      <c r="T727"/>
    </row>
    <row r="728" spans="2:20" ht="16">
      <c r="B728"/>
      <c r="C728"/>
      <c r="D728"/>
      <c r="E728"/>
      <c r="F728"/>
      <c r="G728"/>
      <c r="H728"/>
      <c r="I728"/>
      <c r="J728"/>
      <c r="K728"/>
      <c r="L728"/>
      <c r="M728"/>
      <c r="N728"/>
      <c r="O728"/>
      <c r="P728"/>
      <c r="Q728"/>
      <c r="R728"/>
      <c r="S728"/>
      <c r="T728"/>
    </row>
    <row r="729" spans="2:20" ht="16">
      <c r="B729"/>
      <c r="C729"/>
      <c r="D729"/>
      <c r="E729"/>
      <c r="F729"/>
      <c r="G729"/>
      <c r="H729"/>
      <c r="I729"/>
      <c r="J729"/>
      <c r="K729"/>
      <c r="L729"/>
      <c r="M729"/>
      <c r="N729"/>
      <c r="O729"/>
      <c r="P729"/>
      <c r="Q729"/>
      <c r="R729"/>
      <c r="S729"/>
      <c r="T729"/>
    </row>
    <row r="730" spans="2:20" ht="16">
      <c r="B730"/>
      <c r="C730"/>
      <c r="D730"/>
      <c r="E730"/>
      <c r="F730"/>
      <c r="G730"/>
      <c r="H730"/>
      <c r="I730"/>
      <c r="J730"/>
      <c r="K730"/>
      <c r="L730"/>
      <c r="M730"/>
      <c r="N730"/>
      <c r="O730"/>
      <c r="P730"/>
      <c r="Q730"/>
      <c r="R730"/>
      <c r="S730"/>
      <c r="T730"/>
    </row>
    <row r="731" spans="2:20" ht="16">
      <c r="B731"/>
      <c r="C731"/>
      <c r="D731"/>
      <c r="E731"/>
      <c r="F731"/>
      <c r="G731"/>
      <c r="H731"/>
      <c r="I731"/>
      <c r="J731"/>
      <c r="K731"/>
      <c r="L731"/>
      <c r="M731"/>
      <c r="N731"/>
      <c r="O731"/>
      <c r="P731"/>
      <c r="Q731"/>
      <c r="R731"/>
      <c r="S731"/>
      <c r="T731"/>
    </row>
    <row r="732" spans="2:20" ht="16">
      <c r="B732"/>
      <c r="C732"/>
      <c r="D732"/>
      <c r="E732"/>
      <c r="F732"/>
      <c r="G732"/>
      <c r="H732"/>
      <c r="I732"/>
      <c r="J732"/>
      <c r="K732"/>
      <c r="L732"/>
      <c r="M732"/>
      <c r="N732"/>
      <c r="O732"/>
      <c r="P732"/>
      <c r="Q732"/>
      <c r="R732"/>
      <c r="S732"/>
      <c r="T732"/>
    </row>
    <row r="733" spans="2:20" ht="16">
      <c r="B733"/>
      <c r="C733"/>
      <c r="D733"/>
      <c r="E733"/>
      <c r="F733"/>
      <c r="G733"/>
      <c r="H733"/>
      <c r="I733"/>
      <c r="J733"/>
      <c r="K733"/>
      <c r="L733"/>
      <c r="M733"/>
      <c r="N733"/>
      <c r="O733"/>
      <c r="P733"/>
      <c r="Q733"/>
      <c r="R733"/>
      <c r="S733"/>
      <c r="T733"/>
    </row>
    <row r="734" spans="2:20" ht="16">
      <c r="B734"/>
      <c r="C734"/>
      <c r="D734"/>
      <c r="E734"/>
      <c r="F734"/>
      <c r="G734"/>
      <c r="H734"/>
      <c r="I734"/>
      <c r="J734"/>
      <c r="K734"/>
      <c r="L734"/>
      <c r="M734"/>
      <c r="N734"/>
      <c r="O734"/>
      <c r="P734"/>
      <c r="Q734"/>
      <c r="R734"/>
      <c r="S734"/>
      <c r="T734"/>
    </row>
    <row r="735" spans="2:20" ht="16">
      <c r="B735"/>
      <c r="C735"/>
      <c r="D735"/>
      <c r="E735"/>
      <c r="F735"/>
      <c r="G735"/>
      <c r="H735"/>
      <c r="I735"/>
      <c r="J735"/>
      <c r="K735"/>
      <c r="L735"/>
      <c r="M735"/>
      <c r="N735"/>
      <c r="O735"/>
      <c r="P735"/>
      <c r="Q735"/>
      <c r="R735"/>
      <c r="S735"/>
      <c r="T735"/>
    </row>
    <row r="736" spans="2:20" ht="16">
      <c r="B736"/>
      <c r="C736"/>
      <c r="D736"/>
      <c r="E736"/>
      <c r="F736"/>
      <c r="G736"/>
      <c r="H736"/>
      <c r="I736"/>
      <c r="J736"/>
      <c r="K736"/>
      <c r="L736"/>
      <c r="M736"/>
      <c r="N736"/>
      <c r="O736"/>
      <c r="P736"/>
      <c r="Q736"/>
      <c r="R736"/>
      <c r="S736"/>
      <c r="T736"/>
    </row>
    <row r="737" spans="2:20" ht="16">
      <c r="B737"/>
      <c r="C737"/>
      <c r="D737"/>
      <c r="E737"/>
      <c r="F737"/>
      <c r="G737"/>
      <c r="H737"/>
      <c r="I737"/>
      <c r="J737"/>
      <c r="K737"/>
      <c r="L737"/>
      <c r="M737"/>
      <c r="N737"/>
      <c r="O737"/>
      <c r="P737"/>
      <c r="Q737"/>
      <c r="R737"/>
      <c r="S737"/>
      <c r="T737"/>
    </row>
    <row r="738" spans="2:20" ht="16">
      <c r="B738"/>
      <c r="C738"/>
      <c r="D738"/>
      <c r="E738"/>
      <c r="F738"/>
      <c r="G738"/>
      <c r="H738"/>
      <c r="I738"/>
      <c r="J738"/>
      <c r="K738"/>
      <c r="L738"/>
      <c r="M738"/>
      <c r="N738"/>
      <c r="O738"/>
      <c r="P738"/>
      <c r="Q738"/>
      <c r="R738"/>
      <c r="S738"/>
      <c r="T738"/>
    </row>
    <row r="739" spans="2:20" ht="16">
      <c r="B739"/>
      <c r="C739"/>
      <c r="D739"/>
      <c r="E739"/>
      <c r="F739"/>
      <c r="G739"/>
      <c r="H739"/>
      <c r="I739"/>
      <c r="J739"/>
      <c r="K739"/>
      <c r="L739"/>
      <c r="M739"/>
      <c r="N739"/>
      <c r="O739"/>
      <c r="P739"/>
      <c r="Q739"/>
      <c r="R739"/>
      <c r="S739"/>
      <c r="T739"/>
    </row>
    <row r="740" spans="2:20" ht="16">
      <c r="B740"/>
      <c r="C740"/>
      <c r="D740"/>
      <c r="E740"/>
      <c r="F740"/>
      <c r="G740"/>
      <c r="H740"/>
      <c r="I740"/>
      <c r="J740"/>
      <c r="K740"/>
      <c r="L740"/>
      <c r="M740"/>
      <c r="N740"/>
      <c r="O740"/>
      <c r="P740"/>
      <c r="Q740"/>
      <c r="R740"/>
      <c r="S740"/>
      <c r="T740"/>
    </row>
    <row r="741" spans="2:20" ht="16">
      <c r="B741"/>
      <c r="C741"/>
      <c r="D741"/>
      <c r="E741"/>
      <c r="F741"/>
      <c r="G741"/>
      <c r="H741"/>
      <c r="I741"/>
      <c r="J741"/>
      <c r="K741"/>
      <c r="L741"/>
      <c r="M741"/>
      <c r="N741"/>
      <c r="O741"/>
      <c r="P741"/>
      <c r="Q741"/>
      <c r="R741"/>
      <c r="S741"/>
      <c r="T741"/>
    </row>
    <row r="742" spans="2:20" ht="16">
      <c r="B742"/>
      <c r="C742"/>
      <c r="D742"/>
      <c r="E742"/>
      <c r="F742"/>
      <c r="G742"/>
      <c r="H742"/>
      <c r="I742"/>
      <c r="J742"/>
      <c r="K742"/>
      <c r="L742"/>
      <c r="M742"/>
      <c r="N742"/>
      <c r="O742"/>
      <c r="P742"/>
      <c r="Q742"/>
      <c r="R742"/>
      <c r="S742"/>
      <c r="T742"/>
    </row>
    <row r="743" spans="2:20" ht="16">
      <c r="B743"/>
      <c r="C743"/>
      <c r="D743"/>
      <c r="E743"/>
      <c r="F743"/>
      <c r="G743"/>
      <c r="H743"/>
      <c r="I743"/>
      <c r="J743"/>
      <c r="K743"/>
      <c r="L743"/>
      <c r="M743"/>
      <c r="N743"/>
      <c r="O743"/>
      <c r="P743"/>
      <c r="Q743"/>
      <c r="R743"/>
      <c r="S743"/>
      <c r="T743"/>
    </row>
    <row r="744" spans="2:20" ht="16">
      <c r="B744"/>
      <c r="C744"/>
      <c r="D744"/>
      <c r="E744"/>
      <c r="F744"/>
      <c r="G744"/>
      <c r="H744"/>
      <c r="I744"/>
      <c r="J744"/>
      <c r="K744"/>
      <c r="L744"/>
      <c r="M744"/>
      <c r="N744"/>
      <c r="O744"/>
      <c r="P744"/>
      <c r="Q744"/>
      <c r="R744"/>
      <c r="S744"/>
      <c r="T744"/>
    </row>
    <row r="745" spans="2:20" ht="16">
      <c r="B745"/>
      <c r="C745"/>
      <c r="D745"/>
      <c r="E745"/>
      <c r="F745"/>
      <c r="G745"/>
      <c r="H745"/>
      <c r="I745"/>
      <c r="J745"/>
      <c r="K745"/>
      <c r="L745"/>
      <c r="M745"/>
      <c r="N745"/>
      <c r="O745"/>
      <c r="P745"/>
      <c r="Q745"/>
      <c r="R745"/>
      <c r="S745"/>
      <c r="T745"/>
    </row>
    <row r="746" spans="2:20" ht="16">
      <c r="B746"/>
      <c r="C746"/>
      <c r="D746"/>
      <c r="E746"/>
      <c r="F746"/>
      <c r="G746"/>
      <c r="H746"/>
      <c r="I746"/>
      <c r="J746"/>
      <c r="K746"/>
      <c r="L746"/>
      <c r="M746"/>
      <c r="N746"/>
      <c r="O746"/>
      <c r="P746"/>
      <c r="Q746"/>
      <c r="R746"/>
      <c r="S746"/>
      <c r="T746"/>
    </row>
    <row r="747" spans="2:20" ht="16">
      <c r="B747"/>
      <c r="C747"/>
      <c r="D747"/>
      <c r="E747"/>
      <c r="F747"/>
      <c r="G747"/>
      <c r="H747"/>
      <c r="I747"/>
      <c r="J747"/>
      <c r="K747"/>
      <c r="L747"/>
      <c r="M747"/>
      <c r="N747"/>
      <c r="O747"/>
      <c r="P747"/>
      <c r="Q747"/>
      <c r="R747"/>
      <c r="S747"/>
      <c r="T747"/>
    </row>
    <row r="748" spans="2:20" ht="16">
      <c r="B748"/>
      <c r="C748"/>
      <c r="D748"/>
      <c r="E748"/>
      <c r="F748"/>
      <c r="G748"/>
      <c r="H748"/>
      <c r="I748"/>
      <c r="J748"/>
      <c r="K748"/>
      <c r="L748"/>
      <c r="M748"/>
      <c r="N748"/>
      <c r="O748"/>
      <c r="P748"/>
      <c r="Q748"/>
      <c r="R748"/>
      <c r="S748"/>
      <c r="T748"/>
    </row>
    <row r="749" spans="2:20" ht="16">
      <c r="B749"/>
      <c r="C749"/>
      <c r="D749"/>
      <c r="E749"/>
      <c r="F749"/>
      <c r="G749"/>
      <c r="H749"/>
      <c r="I749"/>
      <c r="J749"/>
      <c r="K749"/>
      <c r="L749"/>
      <c r="M749"/>
      <c r="N749"/>
      <c r="O749"/>
      <c r="P749"/>
      <c r="Q749"/>
      <c r="R749"/>
      <c r="S749"/>
      <c r="T749"/>
    </row>
    <row r="750" spans="2:20" ht="16">
      <c r="B750"/>
      <c r="C750"/>
      <c r="D750"/>
      <c r="E750"/>
      <c r="F750"/>
      <c r="G750"/>
      <c r="H750"/>
      <c r="I750"/>
      <c r="J750"/>
      <c r="K750"/>
      <c r="L750"/>
      <c r="M750"/>
      <c r="N750"/>
      <c r="O750"/>
      <c r="P750"/>
      <c r="Q750"/>
      <c r="R750"/>
      <c r="S750"/>
      <c r="T750"/>
    </row>
    <row r="751" spans="2:20" ht="16">
      <c r="B751"/>
      <c r="C751"/>
      <c r="D751"/>
      <c r="E751"/>
      <c r="F751"/>
      <c r="G751"/>
      <c r="H751"/>
      <c r="I751"/>
      <c r="J751"/>
      <c r="K751"/>
      <c r="L751"/>
      <c r="M751"/>
      <c r="N751"/>
      <c r="O751"/>
      <c r="P751"/>
      <c r="Q751"/>
      <c r="R751"/>
      <c r="S751"/>
      <c r="T751"/>
    </row>
    <row r="752" spans="2:20" ht="16">
      <c r="B752"/>
      <c r="C752"/>
      <c r="D752"/>
      <c r="E752"/>
      <c r="F752"/>
      <c r="G752"/>
      <c r="H752"/>
      <c r="I752"/>
      <c r="J752"/>
      <c r="K752"/>
      <c r="L752"/>
      <c r="M752"/>
      <c r="N752"/>
      <c r="O752"/>
      <c r="P752"/>
      <c r="Q752"/>
      <c r="R752"/>
      <c r="S752"/>
      <c r="T752"/>
    </row>
    <row r="753" spans="2:20" ht="16">
      <c r="B753"/>
      <c r="C753"/>
      <c r="D753"/>
      <c r="E753"/>
      <c r="F753"/>
      <c r="G753"/>
      <c r="H753"/>
      <c r="I753"/>
      <c r="J753"/>
      <c r="K753"/>
      <c r="L753"/>
      <c r="M753"/>
      <c r="N753"/>
      <c r="O753"/>
      <c r="P753"/>
      <c r="Q753"/>
      <c r="R753"/>
      <c r="S753"/>
      <c r="T753"/>
    </row>
    <row r="754" spans="2:20" ht="16">
      <c r="B754"/>
      <c r="C754"/>
      <c r="D754"/>
      <c r="E754"/>
      <c r="F754"/>
      <c r="G754"/>
      <c r="H754"/>
      <c r="I754"/>
      <c r="J754"/>
      <c r="K754"/>
      <c r="L754"/>
      <c r="M754"/>
      <c r="N754"/>
      <c r="O754"/>
      <c r="P754"/>
      <c r="Q754"/>
      <c r="R754"/>
      <c r="S754"/>
      <c r="T754"/>
    </row>
    <row r="755" spans="2:20" ht="16">
      <c r="B755"/>
      <c r="C755"/>
      <c r="D755"/>
      <c r="E755"/>
      <c r="F755"/>
      <c r="G755"/>
      <c r="H755"/>
      <c r="I755"/>
      <c r="J755"/>
      <c r="K755"/>
      <c r="L755"/>
      <c r="M755"/>
      <c r="N755"/>
      <c r="O755"/>
      <c r="P755"/>
      <c r="Q755"/>
      <c r="R755"/>
      <c r="S755"/>
      <c r="T755"/>
    </row>
    <row r="756" spans="2:20" ht="16">
      <c r="B756"/>
      <c r="C756"/>
      <c r="D756"/>
      <c r="E756"/>
      <c r="F756"/>
      <c r="G756"/>
      <c r="H756"/>
      <c r="I756"/>
      <c r="J756"/>
      <c r="K756"/>
      <c r="L756"/>
      <c r="M756"/>
      <c r="N756"/>
      <c r="O756"/>
      <c r="P756"/>
      <c r="Q756"/>
      <c r="R756"/>
      <c r="S756"/>
      <c r="T756"/>
    </row>
    <row r="757" spans="2:20" ht="16">
      <c r="B757"/>
      <c r="C757"/>
      <c r="D757"/>
      <c r="E757"/>
      <c r="F757"/>
      <c r="G757"/>
      <c r="H757"/>
      <c r="I757"/>
      <c r="J757"/>
      <c r="K757"/>
      <c r="L757"/>
      <c r="M757"/>
      <c r="N757"/>
      <c r="O757"/>
      <c r="P757"/>
      <c r="Q757"/>
      <c r="R757"/>
      <c r="S757"/>
      <c r="T757"/>
    </row>
    <row r="758" spans="2:20" ht="16">
      <c r="B758"/>
      <c r="C758"/>
      <c r="D758"/>
      <c r="E758"/>
      <c r="F758"/>
      <c r="G758"/>
      <c r="H758"/>
      <c r="I758"/>
      <c r="J758"/>
      <c r="K758"/>
      <c r="L758"/>
      <c r="M758"/>
      <c r="N758"/>
      <c r="O758"/>
      <c r="P758"/>
      <c r="Q758"/>
      <c r="R758"/>
      <c r="S758"/>
      <c r="T758"/>
    </row>
    <row r="759" spans="2:20" ht="16">
      <c r="B759"/>
      <c r="C759"/>
      <c r="D759"/>
      <c r="E759"/>
      <c r="F759"/>
      <c r="G759"/>
      <c r="H759"/>
      <c r="I759"/>
      <c r="J759"/>
      <c r="K759"/>
      <c r="L759"/>
      <c r="M759"/>
      <c r="N759"/>
      <c r="O759"/>
      <c r="P759"/>
      <c r="Q759"/>
      <c r="R759"/>
      <c r="S759"/>
      <c r="T759"/>
    </row>
    <row r="760" spans="2:20" ht="16">
      <c r="B760"/>
      <c r="C760"/>
      <c r="D760"/>
      <c r="E760"/>
      <c r="F760"/>
      <c r="G760"/>
      <c r="H760"/>
      <c r="I760"/>
      <c r="J760"/>
      <c r="K760"/>
      <c r="L760"/>
      <c r="M760"/>
      <c r="N760"/>
      <c r="O760"/>
      <c r="P760"/>
      <c r="Q760"/>
      <c r="R760"/>
      <c r="S760"/>
      <c r="T760"/>
    </row>
    <row r="761" spans="2:20" ht="16">
      <c r="B761"/>
      <c r="C761"/>
      <c r="D761"/>
      <c r="E761"/>
      <c r="F761"/>
      <c r="G761"/>
      <c r="H761"/>
      <c r="I761"/>
      <c r="J761"/>
      <c r="K761"/>
      <c r="L761"/>
      <c r="M761"/>
      <c r="N761"/>
      <c r="O761"/>
      <c r="P761"/>
      <c r="Q761"/>
      <c r="R761"/>
      <c r="S761"/>
      <c r="T761"/>
    </row>
    <row r="762" spans="2:20" ht="16">
      <c r="B762"/>
      <c r="C762"/>
      <c r="D762"/>
      <c r="E762"/>
      <c r="F762"/>
      <c r="G762"/>
      <c r="H762"/>
      <c r="I762"/>
      <c r="J762"/>
      <c r="K762"/>
      <c r="L762"/>
      <c r="M762"/>
      <c r="N762"/>
      <c r="O762"/>
      <c r="P762"/>
      <c r="Q762"/>
      <c r="R762"/>
      <c r="S762"/>
      <c r="T762"/>
    </row>
    <row r="763" spans="2:20" ht="16">
      <c r="B763"/>
      <c r="C763"/>
      <c r="D763"/>
      <c r="E763"/>
      <c r="F763"/>
      <c r="G763"/>
      <c r="H763"/>
      <c r="I763"/>
      <c r="J763"/>
      <c r="K763"/>
      <c r="L763"/>
      <c r="M763"/>
      <c r="N763"/>
      <c r="O763"/>
      <c r="P763"/>
      <c r="Q763"/>
      <c r="R763"/>
      <c r="S763"/>
      <c r="T763"/>
    </row>
    <row r="764" spans="2:20" ht="16">
      <c r="B764"/>
      <c r="C764"/>
      <c r="D764"/>
      <c r="E764"/>
      <c r="F764"/>
      <c r="G764"/>
      <c r="H764"/>
      <c r="I764"/>
      <c r="J764"/>
      <c r="K764"/>
      <c r="L764"/>
      <c r="M764"/>
      <c r="N764"/>
      <c r="O764"/>
      <c r="P764"/>
      <c r="Q764"/>
      <c r="R764"/>
      <c r="S764"/>
      <c r="T764"/>
    </row>
    <row r="765" spans="2:20" ht="16">
      <c r="B765"/>
      <c r="C765"/>
      <c r="D765"/>
      <c r="E765"/>
      <c r="F765"/>
      <c r="G765"/>
      <c r="H765"/>
      <c r="I765"/>
      <c r="J765"/>
      <c r="K765"/>
      <c r="L765"/>
      <c r="M765"/>
      <c r="N765"/>
      <c r="O765"/>
      <c r="P765"/>
      <c r="Q765"/>
      <c r="R765"/>
      <c r="S765"/>
      <c r="T765"/>
    </row>
    <row r="766" spans="2:20" ht="16">
      <c r="B766"/>
      <c r="C766"/>
      <c r="D766"/>
      <c r="E766"/>
      <c r="F766"/>
      <c r="G766"/>
      <c r="H766"/>
      <c r="I766"/>
      <c r="J766"/>
      <c r="K766"/>
      <c r="L766"/>
      <c r="M766"/>
      <c r="N766"/>
      <c r="O766"/>
      <c r="P766"/>
      <c r="Q766"/>
      <c r="R766"/>
      <c r="S766"/>
      <c r="T766"/>
    </row>
    <row r="767" spans="2:20" ht="16">
      <c r="B767"/>
      <c r="C767"/>
      <c r="D767"/>
      <c r="E767"/>
      <c r="F767"/>
      <c r="G767"/>
      <c r="H767"/>
      <c r="I767"/>
      <c r="J767"/>
      <c r="K767"/>
      <c r="L767"/>
      <c r="M767"/>
      <c r="N767"/>
      <c r="O767"/>
      <c r="P767"/>
      <c r="Q767"/>
      <c r="R767"/>
      <c r="S767"/>
      <c r="T767"/>
    </row>
    <row r="768" spans="2:20" ht="16">
      <c r="B768"/>
      <c r="C768"/>
      <c r="D768"/>
      <c r="E768"/>
      <c r="F768"/>
      <c r="G768"/>
      <c r="H768"/>
      <c r="I768"/>
      <c r="J768"/>
      <c r="K768"/>
      <c r="L768"/>
      <c r="M768"/>
      <c r="N768"/>
      <c r="O768"/>
      <c r="P768"/>
      <c r="Q768"/>
      <c r="R768"/>
      <c r="S768"/>
      <c r="T768"/>
    </row>
    <row r="769" spans="2:20" ht="16">
      <c r="B769"/>
      <c r="C769"/>
      <c r="D769"/>
      <c r="E769"/>
      <c r="F769"/>
      <c r="G769"/>
      <c r="H769"/>
      <c r="I769"/>
      <c r="J769"/>
      <c r="K769"/>
      <c r="L769"/>
      <c r="M769"/>
      <c r="N769"/>
      <c r="O769"/>
      <c r="P769"/>
      <c r="Q769"/>
      <c r="R769"/>
      <c r="S769"/>
      <c r="T769"/>
    </row>
    <row r="770" spans="2:20" ht="16">
      <c r="B770"/>
      <c r="C770"/>
      <c r="D770"/>
      <c r="E770"/>
      <c r="F770"/>
      <c r="G770"/>
      <c r="H770"/>
      <c r="I770"/>
      <c r="J770"/>
      <c r="K770"/>
      <c r="L770"/>
      <c r="M770"/>
      <c r="N770"/>
      <c r="O770"/>
      <c r="P770"/>
      <c r="Q770"/>
      <c r="R770"/>
      <c r="S770"/>
      <c r="T770"/>
    </row>
    <row r="771" spans="2:20" ht="16">
      <c r="B771"/>
      <c r="C771"/>
      <c r="D771"/>
      <c r="E771"/>
      <c r="F771"/>
      <c r="G771"/>
      <c r="H771"/>
      <c r="I771"/>
      <c r="J771"/>
      <c r="K771"/>
      <c r="L771"/>
      <c r="M771"/>
      <c r="N771"/>
      <c r="O771"/>
      <c r="P771"/>
      <c r="Q771"/>
      <c r="R771"/>
      <c r="S771"/>
      <c r="T771"/>
    </row>
    <row r="772" spans="2:20" ht="16">
      <c r="B772"/>
      <c r="C772"/>
      <c r="D772"/>
      <c r="E772"/>
      <c r="F772"/>
      <c r="G772"/>
      <c r="H772"/>
      <c r="I772"/>
      <c r="J772"/>
      <c r="K772"/>
      <c r="L772"/>
      <c r="M772"/>
      <c r="N772"/>
      <c r="O772"/>
      <c r="P772"/>
      <c r="Q772"/>
      <c r="R772"/>
      <c r="S772"/>
      <c r="T772"/>
    </row>
    <row r="773" spans="2:20" ht="16">
      <c r="B773"/>
      <c r="C773"/>
      <c r="D773"/>
      <c r="E773"/>
      <c r="F773"/>
      <c r="G773"/>
      <c r="H773"/>
      <c r="I773"/>
      <c r="J773"/>
      <c r="K773"/>
      <c r="L773"/>
      <c r="M773"/>
      <c r="N773"/>
      <c r="O773"/>
      <c r="P773"/>
      <c r="Q773"/>
      <c r="R773"/>
      <c r="S773"/>
      <c r="T773"/>
    </row>
    <row r="774" spans="2:20" ht="16">
      <c r="B774"/>
      <c r="C774"/>
      <c r="D774"/>
      <c r="E774"/>
      <c r="F774"/>
      <c r="G774"/>
      <c r="H774"/>
      <c r="I774"/>
      <c r="J774"/>
      <c r="K774"/>
      <c r="L774"/>
      <c r="M774"/>
      <c r="N774"/>
      <c r="O774"/>
      <c r="P774"/>
      <c r="Q774"/>
      <c r="R774"/>
      <c r="S774"/>
      <c r="T774"/>
    </row>
    <row r="775" spans="2:20" ht="16">
      <c r="B775"/>
      <c r="C775"/>
      <c r="D775"/>
      <c r="E775"/>
      <c r="F775"/>
      <c r="G775"/>
      <c r="H775"/>
      <c r="I775"/>
      <c r="J775"/>
      <c r="K775"/>
      <c r="L775"/>
      <c r="M775"/>
      <c r="N775"/>
      <c r="O775"/>
      <c r="P775"/>
      <c r="Q775"/>
      <c r="R775"/>
      <c r="S775"/>
      <c r="T775"/>
    </row>
    <row r="776" spans="2:20" ht="16">
      <c r="B776"/>
      <c r="C776"/>
      <c r="D776"/>
      <c r="E776"/>
      <c r="F776"/>
      <c r="G776"/>
      <c r="H776"/>
      <c r="I776"/>
      <c r="J776"/>
      <c r="K776"/>
      <c r="L776"/>
      <c r="M776"/>
      <c r="N776"/>
      <c r="O776"/>
      <c r="P776"/>
      <c r="Q776"/>
      <c r="R776"/>
      <c r="S776"/>
      <c r="T776"/>
    </row>
    <row r="777" spans="2:20" ht="16">
      <c r="B777"/>
      <c r="C777"/>
      <c r="D777"/>
      <c r="E777"/>
      <c r="F777"/>
      <c r="G777"/>
      <c r="H777"/>
      <c r="I777"/>
      <c r="J777"/>
      <c r="K777"/>
      <c r="L777"/>
      <c r="M777"/>
      <c r="N777"/>
      <c r="O777"/>
      <c r="P777"/>
      <c r="Q777"/>
      <c r="R777"/>
      <c r="S777"/>
      <c r="T777"/>
    </row>
    <row r="778" spans="2:20" ht="16">
      <c r="B778"/>
      <c r="C778"/>
      <c r="D778"/>
      <c r="E778"/>
      <c r="F778"/>
      <c r="G778"/>
      <c r="H778"/>
      <c r="I778"/>
      <c r="J778"/>
      <c r="K778"/>
      <c r="L778"/>
      <c r="M778"/>
      <c r="N778"/>
      <c r="O778"/>
      <c r="P778"/>
      <c r="Q778"/>
      <c r="R778"/>
      <c r="S778"/>
      <c r="T778"/>
    </row>
    <row r="779" spans="2:20" ht="16">
      <c r="B779"/>
      <c r="C779"/>
      <c r="D779"/>
      <c r="E779"/>
      <c r="F779"/>
      <c r="G779"/>
      <c r="H779"/>
      <c r="I779"/>
      <c r="J779"/>
      <c r="K779"/>
      <c r="L779"/>
      <c r="M779"/>
      <c r="N779"/>
      <c r="O779"/>
      <c r="P779"/>
      <c r="Q779"/>
      <c r="R779"/>
      <c r="S779"/>
      <c r="T779"/>
    </row>
    <row r="780" spans="2:20" ht="16">
      <c r="B780"/>
      <c r="C780"/>
      <c r="D780"/>
      <c r="E780"/>
      <c r="F780"/>
      <c r="G780"/>
      <c r="H780"/>
      <c r="I780"/>
      <c r="J780"/>
      <c r="K780"/>
      <c r="L780"/>
      <c r="M780"/>
      <c r="N780"/>
      <c r="O780"/>
      <c r="P780"/>
      <c r="Q780"/>
      <c r="R780"/>
      <c r="S780"/>
      <c r="T780"/>
    </row>
    <row r="781" spans="2:20" ht="16">
      <c r="B781"/>
      <c r="C781"/>
      <c r="D781"/>
      <c r="E781"/>
      <c r="F781"/>
      <c r="G781"/>
      <c r="H781"/>
      <c r="I781"/>
      <c r="J781"/>
      <c r="K781"/>
      <c r="L781"/>
      <c r="M781"/>
      <c r="N781"/>
      <c r="O781"/>
      <c r="P781"/>
      <c r="Q781"/>
      <c r="R781"/>
      <c r="S781"/>
      <c r="T781"/>
    </row>
    <row r="782" spans="2:20" ht="16">
      <c r="B782"/>
      <c r="C782"/>
      <c r="D782"/>
      <c r="E782"/>
      <c r="F782"/>
      <c r="G782"/>
      <c r="H782"/>
      <c r="I782"/>
      <c r="J782"/>
      <c r="K782"/>
      <c r="L782"/>
      <c r="M782"/>
      <c r="N782"/>
      <c r="O782"/>
      <c r="P782"/>
      <c r="Q782"/>
      <c r="R782"/>
      <c r="S782"/>
      <c r="T782"/>
    </row>
    <row r="783" spans="2:20" ht="16">
      <c r="B783"/>
      <c r="C783"/>
      <c r="D783"/>
      <c r="E783"/>
      <c r="F783"/>
      <c r="G783"/>
      <c r="H783"/>
      <c r="I783"/>
      <c r="J783"/>
      <c r="K783"/>
      <c r="L783"/>
      <c r="M783"/>
      <c r="N783"/>
      <c r="O783"/>
      <c r="P783"/>
      <c r="Q783"/>
      <c r="R783"/>
      <c r="S783"/>
      <c r="T783"/>
    </row>
    <row r="784" spans="2:20" ht="16">
      <c r="B784"/>
      <c r="C784"/>
      <c r="D784"/>
      <c r="E784"/>
      <c r="F784"/>
      <c r="G784"/>
      <c r="H784"/>
      <c r="I784"/>
      <c r="J784"/>
      <c r="K784"/>
      <c r="L784"/>
      <c r="M784"/>
      <c r="N784"/>
      <c r="O784"/>
      <c r="P784"/>
      <c r="Q784"/>
      <c r="R784"/>
      <c r="S784"/>
      <c r="T784"/>
    </row>
    <row r="785" spans="2:20" ht="16">
      <c r="B785"/>
      <c r="C785"/>
      <c r="D785"/>
      <c r="E785"/>
      <c r="F785"/>
      <c r="G785"/>
      <c r="H785"/>
      <c r="I785"/>
      <c r="J785"/>
      <c r="K785"/>
      <c r="L785"/>
      <c r="M785"/>
      <c r="N785"/>
      <c r="O785"/>
      <c r="P785"/>
      <c r="Q785"/>
      <c r="R785"/>
      <c r="S785"/>
      <c r="T785"/>
    </row>
    <row r="786" spans="2:20" ht="16">
      <c r="B786"/>
      <c r="C786"/>
      <c r="D786"/>
      <c r="E786"/>
      <c r="F786"/>
      <c r="G786"/>
      <c r="H786"/>
      <c r="I786"/>
      <c r="J786"/>
      <c r="K786"/>
      <c r="L786"/>
      <c r="M786"/>
      <c r="N786"/>
      <c r="O786"/>
      <c r="P786"/>
      <c r="Q786"/>
      <c r="R786"/>
      <c r="S786"/>
      <c r="T786"/>
    </row>
    <row r="787" spans="2:20" ht="16">
      <c r="B787"/>
      <c r="C787"/>
      <c r="D787"/>
      <c r="E787"/>
      <c r="F787"/>
      <c r="G787"/>
      <c r="H787"/>
      <c r="I787"/>
      <c r="J787"/>
      <c r="K787"/>
      <c r="L787"/>
      <c r="M787"/>
      <c r="N787"/>
      <c r="O787"/>
      <c r="P787"/>
      <c r="Q787"/>
      <c r="R787"/>
      <c r="S787"/>
      <c r="T787"/>
    </row>
    <row r="788" spans="2:20" ht="16">
      <c r="B788"/>
      <c r="C788"/>
      <c r="D788"/>
      <c r="E788"/>
      <c r="F788"/>
      <c r="G788"/>
      <c r="H788"/>
      <c r="I788"/>
      <c r="J788"/>
      <c r="K788"/>
      <c r="L788"/>
      <c r="M788"/>
      <c r="N788"/>
      <c r="O788"/>
      <c r="P788"/>
      <c r="Q788"/>
      <c r="R788"/>
      <c r="S788"/>
      <c r="T788"/>
    </row>
    <row r="789" spans="2:20" ht="16">
      <c r="B789"/>
      <c r="C789"/>
      <c r="D789"/>
      <c r="E789"/>
      <c r="F789"/>
      <c r="G789"/>
      <c r="H789"/>
      <c r="I789"/>
      <c r="J789"/>
      <c r="K789"/>
      <c r="L789"/>
      <c r="M789"/>
      <c r="N789"/>
      <c r="O789"/>
      <c r="P789"/>
      <c r="Q789"/>
      <c r="R789"/>
      <c r="S789"/>
      <c r="T789"/>
    </row>
    <row r="790" spans="2:20" ht="16">
      <c r="B790"/>
      <c r="C790"/>
      <c r="D790"/>
      <c r="E790"/>
      <c r="F790"/>
      <c r="G790"/>
      <c r="H790"/>
      <c r="I790"/>
      <c r="J790"/>
      <c r="K790"/>
      <c r="L790"/>
      <c r="M790"/>
      <c r="N790"/>
      <c r="O790"/>
      <c r="P790"/>
      <c r="Q790"/>
      <c r="R790"/>
      <c r="S790"/>
      <c r="T790"/>
    </row>
    <row r="791" spans="2:20" ht="16">
      <c r="B791"/>
      <c r="C791"/>
      <c r="D791"/>
      <c r="E791"/>
      <c r="F791"/>
      <c r="G791"/>
      <c r="H791"/>
      <c r="I791"/>
      <c r="J791"/>
      <c r="K791"/>
      <c r="L791"/>
      <c r="M791"/>
      <c r="N791"/>
      <c r="O791"/>
      <c r="P791"/>
      <c r="Q791"/>
      <c r="R791"/>
      <c r="S791"/>
      <c r="T791"/>
    </row>
    <row r="792" spans="2:20" ht="16">
      <c r="B792"/>
      <c r="C792"/>
      <c r="D792"/>
      <c r="E792"/>
      <c r="F792"/>
      <c r="G792"/>
      <c r="H792"/>
      <c r="I792"/>
      <c r="J792"/>
      <c r="K792"/>
      <c r="L792"/>
      <c r="M792"/>
      <c r="N792"/>
      <c r="O792"/>
      <c r="P792"/>
      <c r="Q792"/>
      <c r="R792"/>
      <c r="S792"/>
      <c r="T792"/>
    </row>
    <row r="793" spans="2:20" ht="16">
      <c r="B793"/>
      <c r="C793"/>
      <c r="D793"/>
      <c r="E793"/>
      <c r="F793"/>
      <c r="G793"/>
      <c r="H793"/>
      <c r="I793"/>
      <c r="J793"/>
      <c r="K793"/>
      <c r="L793"/>
      <c r="M793"/>
      <c r="N793"/>
      <c r="O793"/>
      <c r="P793"/>
      <c r="Q793"/>
      <c r="R793"/>
      <c r="S793"/>
      <c r="T793"/>
    </row>
    <row r="794" spans="2:20" ht="16">
      <c r="B794"/>
      <c r="C794"/>
      <c r="D794"/>
      <c r="E794"/>
      <c r="F794"/>
      <c r="G794"/>
      <c r="H794"/>
      <c r="I794"/>
      <c r="J794"/>
      <c r="K794"/>
      <c r="L794"/>
      <c r="M794"/>
      <c r="N794"/>
      <c r="O794"/>
      <c r="P794"/>
      <c r="Q794"/>
      <c r="R794"/>
      <c r="S794"/>
      <c r="T794"/>
    </row>
    <row r="795" spans="2:20" ht="16">
      <c r="B795"/>
      <c r="C795"/>
      <c r="D795"/>
      <c r="E795"/>
      <c r="F795"/>
      <c r="G795"/>
      <c r="H795"/>
      <c r="I795"/>
      <c r="J795"/>
      <c r="K795"/>
      <c r="L795"/>
      <c r="M795"/>
      <c r="N795"/>
      <c r="O795"/>
      <c r="P795"/>
      <c r="Q795"/>
      <c r="R795"/>
      <c r="S795"/>
      <c r="T795"/>
    </row>
    <row r="796" spans="2:20" ht="16">
      <c r="B796"/>
      <c r="C796"/>
      <c r="D796"/>
      <c r="E796"/>
      <c r="F796"/>
      <c r="G796"/>
      <c r="H796"/>
      <c r="I796"/>
      <c r="J796"/>
      <c r="K796"/>
      <c r="L796"/>
      <c r="M796"/>
      <c r="N796"/>
      <c r="O796"/>
      <c r="P796"/>
      <c r="Q796"/>
      <c r="R796"/>
      <c r="S796"/>
      <c r="T796"/>
    </row>
    <row r="797" spans="2:20" ht="16">
      <c r="B797"/>
      <c r="C797"/>
      <c r="D797"/>
      <c r="E797"/>
      <c r="F797"/>
      <c r="G797"/>
      <c r="H797"/>
      <c r="I797"/>
      <c r="J797"/>
      <c r="K797"/>
      <c r="L797"/>
      <c r="M797"/>
      <c r="N797"/>
      <c r="O797"/>
      <c r="P797"/>
      <c r="Q797"/>
      <c r="R797"/>
      <c r="S797"/>
      <c r="T797"/>
    </row>
    <row r="798" spans="2:20" ht="16">
      <c r="B798"/>
      <c r="C798"/>
      <c r="D798"/>
      <c r="E798"/>
      <c r="F798"/>
      <c r="G798"/>
      <c r="H798"/>
      <c r="I798"/>
      <c r="J798"/>
      <c r="K798"/>
      <c r="L798"/>
      <c r="M798"/>
      <c r="N798"/>
      <c r="O798"/>
      <c r="P798"/>
      <c r="Q798"/>
      <c r="R798"/>
      <c r="S798"/>
      <c r="T798"/>
    </row>
    <row r="799" spans="2:20" ht="16">
      <c r="B799"/>
      <c r="C799"/>
      <c r="D799"/>
      <c r="E799"/>
      <c r="F799"/>
      <c r="G799"/>
      <c r="H799"/>
      <c r="I799"/>
      <c r="J799"/>
      <c r="K799"/>
      <c r="L799"/>
      <c r="M799"/>
      <c r="N799"/>
      <c r="O799"/>
      <c r="P799"/>
      <c r="Q799"/>
      <c r="R799"/>
      <c r="S799"/>
      <c r="T799"/>
    </row>
    <row r="800" spans="2:20" ht="16">
      <c r="B800"/>
      <c r="C800"/>
      <c r="D800"/>
      <c r="E800"/>
      <c r="F800"/>
      <c r="G800"/>
      <c r="H800"/>
      <c r="I800"/>
      <c r="J800"/>
      <c r="K800"/>
      <c r="L800"/>
      <c r="M800"/>
      <c r="N800"/>
      <c r="O800"/>
      <c r="P800"/>
      <c r="Q800"/>
      <c r="R800"/>
      <c r="S800"/>
      <c r="T800"/>
    </row>
    <row r="801" spans="2:20" ht="16">
      <c r="B801"/>
      <c r="C801"/>
      <c r="D801"/>
      <c r="E801"/>
      <c r="F801"/>
      <c r="G801"/>
      <c r="H801"/>
      <c r="I801"/>
      <c r="J801"/>
      <c r="K801"/>
      <c r="L801"/>
      <c r="M801"/>
      <c r="N801"/>
      <c r="O801"/>
      <c r="P801"/>
      <c r="Q801"/>
      <c r="R801"/>
      <c r="S801"/>
      <c r="T801"/>
    </row>
    <row r="802" spans="2:20" ht="16">
      <c r="B802"/>
      <c r="C802"/>
      <c r="D802"/>
      <c r="E802"/>
      <c r="F802"/>
      <c r="G802"/>
      <c r="H802"/>
      <c r="I802"/>
      <c r="J802"/>
      <c r="K802"/>
      <c r="L802"/>
      <c r="M802"/>
      <c r="N802"/>
      <c r="O802"/>
      <c r="P802"/>
      <c r="Q802"/>
      <c r="R802"/>
      <c r="S802"/>
      <c r="T802"/>
    </row>
    <row r="803" spans="2:20" ht="16">
      <c r="B803"/>
      <c r="C803"/>
      <c r="D803"/>
      <c r="E803"/>
      <c r="F803"/>
      <c r="G803"/>
      <c r="H803"/>
      <c r="I803"/>
      <c r="J803"/>
      <c r="K803"/>
      <c r="L803"/>
      <c r="M803"/>
      <c r="N803"/>
      <c r="O803"/>
      <c r="P803"/>
      <c r="Q803"/>
      <c r="R803"/>
      <c r="S803"/>
      <c r="T803"/>
    </row>
    <row r="804" spans="2:20" ht="16">
      <c r="B804"/>
      <c r="C804"/>
      <c r="D804"/>
      <c r="E804"/>
      <c r="F804"/>
      <c r="G804"/>
      <c r="H804"/>
      <c r="I804"/>
      <c r="J804"/>
      <c r="K804"/>
      <c r="L804"/>
      <c r="M804"/>
      <c r="N804"/>
      <c r="O804"/>
      <c r="P804"/>
      <c r="Q804"/>
      <c r="R804"/>
      <c r="S804"/>
      <c r="T804"/>
    </row>
    <row r="805" spans="2:20" ht="16">
      <c r="B805"/>
      <c r="C805"/>
      <c r="D805"/>
      <c r="E805"/>
      <c r="F805"/>
      <c r="G805"/>
      <c r="H805"/>
      <c r="I805"/>
      <c r="J805"/>
      <c r="K805"/>
      <c r="L805"/>
      <c r="M805"/>
      <c r="N805"/>
      <c r="O805"/>
      <c r="P805"/>
      <c r="Q805"/>
      <c r="R805"/>
      <c r="S805"/>
      <c r="T805"/>
    </row>
    <row r="806" spans="2:20" ht="16">
      <c r="B806"/>
      <c r="C806"/>
      <c r="D806"/>
      <c r="E806"/>
      <c r="F806"/>
      <c r="G806"/>
      <c r="H806"/>
      <c r="I806"/>
      <c r="J806"/>
      <c r="K806"/>
      <c r="L806"/>
      <c r="M806"/>
      <c r="N806"/>
      <c r="O806"/>
      <c r="P806"/>
      <c r="Q806"/>
      <c r="R806"/>
      <c r="S806"/>
      <c r="T806"/>
    </row>
    <row r="807" spans="2:20" ht="16">
      <c r="B807"/>
      <c r="C807"/>
      <c r="D807"/>
      <c r="E807"/>
      <c r="F807"/>
      <c r="G807"/>
      <c r="H807"/>
      <c r="I807"/>
      <c r="J807"/>
      <c r="K807"/>
      <c r="L807"/>
      <c r="M807"/>
      <c r="N807"/>
      <c r="O807"/>
      <c r="P807"/>
      <c r="Q807"/>
      <c r="R807"/>
      <c r="S807"/>
      <c r="T807"/>
    </row>
    <row r="808" spans="2:20" ht="16">
      <c r="B808"/>
      <c r="C808"/>
      <c r="D808"/>
      <c r="E808"/>
      <c r="F808"/>
      <c r="G808"/>
      <c r="H808"/>
      <c r="I808"/>
      <c r="J808"/>
      <c r="K808"/>
      <c r="L808"/>
      <c r="M808"/>
      <c r="N808"/>
      <c r="O808"/>
      <c r="P808"/>
      <c r="Q808"/>
      <c r="R808"/>
      <c r="S808"/>
      <c r="T808"/>
    </row>
    <row r="809" spans="2:20" ht="16">
      <c r="B809"/>
      <c r="C809"/>
      <c r="D809"/>
      <c r="E809"/>
      <c r="F809"/>
      <c r="G809"/>
      <c r="H809"/>
      <c r="I809"/>
      <c r="J809"/>
      <c r="K809"/>
      <c r="L809"/>
      <c r="M809"/>
      <c r="N809"/>
      <c r="O809"/>
      <c r="P809"/>
      <c r="Q809"/>
      <c r="R809"/>
      <c r="S809"/>
      <c r="T809"/>
    </row>
    <row r="810" spans="2:20" ht="24" customHeight="1">
      <c r="N810" s="1"/>
    </row>
    <row r="811" spans="2:20" ht="24" customHeight="1">
      <c r="N811" s="1"/>
    </row>
    <row r="812" spans="2:20" ht="24" customHeight="1">
      <c r="N812" s="1"/>
    </row>
    <row r="813" spans="2:20" ht="24" customHeight="1">
      <c r="N813" s="1"/>
    </row>
    <row r="814" spans="2:20" ht="24" customHeight="1">
      <c r="N814" s="1"/>
    </row>
    <row r="815" spans="2:20" ht="24" customHeight="1">
      <c r="N815" s="1"/>
    </row>
    <row r="816" spans="2:20" ht="24" customHeight="1">
      <c r="N816" s="1"/>
    </row>
    <row r="817" spans="14:14" ht="24" customHeight="1">
      <c r="N817" s="1"/>
    </row>
    <row r="818" spans="14:14" ht="24" customHeight="1">
      <c r="N818" s="1"/>
    </row>
    <row r="819" spans="14:14" ht="24" customHeight="1">
      <c r="N819" s="1"/>
    </row>
    <row r="820" spans="14:14" ht="24" customHeight="1">
      <c r="N820" s="1"/>
    </row>
    <row r="821" spans="14:14" ht="24" customHeight="1">
      <c r="N821" s="1"/>
    </row>
    <row r="822" spans="14:14" ht="24" customHeight="1">
      <c r="N822" s="1"/>
    </row>
    <row r="823" spans="14:14" ht="24" customHeight="1">
      <c r="N823" s="1"/>
    </row>
    <row r="824" spans="14:14" ht="24" customHeight="1">
      <c r="N824" s="1"/>
    </row>
    <row r="825" spans="14:14" ht="24" customHeight="1">
      <c r="N825" s="1"/>
    </row>
    <row r="826" spans="14:14" ht="24" customHeight="1">
      <c r="N826" s="1"/>
    </row>
    <row r="827" spans="14:14" ht="24" customHeight="1">
      <c r="N827" s="1"/>
    </row>
    <row r="828" spans="14:14" ht="24" customHeight="1">
      <c r="N828" s="1"/>
    </row>
    <row r="829" spans="14:14" ht="24" customHeight="1">
      <c r="N829" s="1"/>
    </row>
    <row r="830" spans="14:14" ht="24" customHeight="1">
      <c r="N830" s="1"/>
    </row>
    <row r="831" spans="14:14" ht="24" customHeight="1">
      <c r="N831" s="1"/>
    </row>
    <row r="832" spans="14:14" ht="24" customHeight="1">
      <c r="N832" s="1"/>
    </row>
    <row r="833" spans="14:14" ht="24" customHeight="1">
      <c r="N833" s="1"/>
    </row>
    <row r="834" spans="14:14" ht="24" customHeight="1">
      <c r="N834" s="1"/>
    </row>
    <row r="835" spans="14:14" ht="24" customHeight="1">
      <c r="N835" s="1"/>
    </row>
    <row r="836" spans="14:14" ht="24" customHeight="1">
      <c r="N836" s="1"/>
    </row>
    <row r="837" spans="14:14" ht="24" customHeight="1">
      <c r="N837" s="1"/>
    </row>
    <row r="838" spans="14:14" ht="24" customHeight="1">
      <c r="N838" s="1"/>
    </row>
    <row r="839" spans="14:14" ht="24" customHeight="1">
      <c r="N839" s="1"/>
    </row>
    <row r="840" spans="14:14" ht="24" customHeight="1">
      <c r="N840" s="1"/>
    </row>
    <row r="841" spans="14:14" ht="24" customHeight="1">
      <c r="N841" s="1"/>
    </row>
    <row r="842" spans="14:14" ht="24" customHeight="1">
      <c r="N842" s="1"/>
    </row>
    <row r="843" spans="14:14" ht="24" customHeight="1">
      <c r="N843" s="1"/>
    </row>
    <row r="844" spans="14:14" ht="24" customHeight="1">
      <c r="N844" s="1"/>
    </row>
    <row r="845" spans="14:14" ht="24" customHeight="1">
      <c r="N845" s="1"/>
    </row>
    <row r="846" spans="14:14" ht="24" customHeight="1">
      <c r="N846" s="1"/>
    </row>
    <row r="847" spans="14:14" ht="24" customHeight="1">
      <c r="N847" s="1"/>
    </row>
    <row r="848" spans="14:14" ht="24" customHeight="1">
      <c r="N848" s="1"/>
    </row>
    <row r="849" spans="14:14" ht="24" customHeight="1">
      <c r="N849" s="1"/>
    </row>
    <row r="850" spans="14:14" ht="24" customHeight="1">
      <c r="N850" s="1"/>
    </row>
    <row r="851" spans="14:14" ht="24" customHeight="1">
      <c r="N851" s="1"/>
    </row>
    <row r="852" spans="14:14" ht="24" customHeight="1">
      <c r="N852" s="1"/>
    </row>
    <row r="853" spans="14:14" ht="24" customHeight="1">
      <c r="N853" s="1"/>
    </row>
    <row r="854" spans="14:14" ht="24" customHeight="1">
      <c r="N854" s="1"/>
    </row>
    <row r="855" spans="14:14" ht="24" customHeight="1">
      <c r="N855" s="1"/>
    </row>
    <row r="856" spans="14:14" ht="24" customHeight="1">
      <c r="N856" s="1"/>
    </row>
    <row r="857" spans="14:14" ht="24" customHeight="1">
      <c r="N857" s="1"/>
    </row>
    <row r="858" spans="14:14" ht="24" customHeight="1">
      <c r="N858" s="1"/>
    </row>
    <row r="859" spans="14:14" ht="24" customHeight="1">
      <c r="N859" s="1"/>
    </row>
    <row r="860" spans="14:14" ht="24" customHeight="1">
      <c r="N860" s="1"/>
    </row>
    <row r="861" spans="14:14" ht="24" customHeight="1">
      <c r="N861" s="1"/>
    </row>
    <row r="862" spans="14:14" ht="24" customHeight="1">
      <c r="N862" s="1"/>
    </row>
    <row r="863" spans="14:14" ht="24" customHeight="1">
      <c r="N863" s="1"/>
    </row>
    <row r="864" spans="14:14" ht="24" customHeight="1">
      <c r="N864" s="1"/>
    </row>
  </sheetData>
  <printOptions horizontalCentered="1"/>
  <pageMargins left="0.196850393700787" right="0" top="0" bottom="0.39370078740157499" header="0" footer="0.196850393700787"/>
  <pageSetup scale="29" fitToHeight="20" orientation="landscape" horizontalDpi="1200" verticalDpi="12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D31CA-0109-0F43-B622-7B217C83FA81}">
  <sheetPr>
    <pageSetUpPr fitToPage="1"/>
  </sheetPr>
  <dimension ref="B1:AA678"/>
  <sheetViews>
    <sheetView view="pageBreakPreview" topLeftCell="R1" zoomScale="50" zoomScaleNormal="80" zoomScaleSheetLayoutView="50" workbookViewId="0">
      <pane ySplit="5" topLeftCell="A615" activePane="bottomLeft" state="frozen"/>
      <selection pane="bottomLeft" activeCell="W656" sqref="W656"/>
    </sheetView>
  </sheetViews>
  <sheetFormatPr baseColWidth="10" defaultColWidth="10.83203125" defaultRowHeight="23" customHeight="1"/>
  <cols>
    <col min="1" max="1" width="10.83203125" style="1"/>
    <col min="2" max="2" width="12.1640625" style="1" customWidth="1"/>
    <col min="3" max="3" width="15.1640625" style="1" customWidth="1"/>
    <col min="4" max="4" width="23.33203125" style="1" customWidth="1"/>
    <col min="5" max="5" width="35.6640625" style="1" bestFit="1" customWidth="1"/>
    <col min="6" max="6" width="17.83203125" style="1" customWidth="1"/>
    <col min="7" max="7" width="16" style="1" customWidth="1"/>
    <col min="8" max="8" width="17.1640625" style="1" customWidth="1"/>
    <col min="9" max="9" width="19.5" style="1" customWidth="1"/>
    <col min="10" max="10" width="18.5" style="1" customWidth="1"/>
    <col min="11" max="11" width="20.83203125" style="1" customWidth="1"/>
    <col min="12" max="12" width="40.1640625" style="1" bestFit="1" customWidth="1"/>
    <col min="13" max="13" width="14.5" style="1" bestFit="1" customWidth="1"/>
    <col min="14" max="14" width="15.83203125" style="1" bestFit="1" customWidth="1"/>
    <col min="15" max="15" width="15.83203125" style="3" bestFit="1" customWidth="1"/>
    <col min="16" max="16" width="14" style="3" bestFit="1" customWidth="1"/>
    <col min="17" max="17" width="13.83203125" style="1" bestFit="1" customWidth="1"/>
    <col min="18" max="18" width="14.1640625" style="3" bestFit="1" customWidth="1"/>
    <col min="19" max="19" width="8.1640625" style="3" bestFit="1" customWidth="1"/>
    <col min="20" max="20" width="17.5" style="3" bestFit="1" customWidth="1"/>
    <col min="21" max="21" width="14.5" style="1" bestFit="1" customWidth="1"/>
    <col min="22" max="22" width="15.1640625" style="1" bestFit="1" customWidth="1"/>
    <col min="23" max="23" width="13.5" style="1" bestFit="1" customWidth="1"/>
    <col min="24" max="24" width="14.5" style="3" bestFit="1" customWidth="1"/>
    <col min="25" max="25" width="17.6640625" style="1" bestFit="1" customWidth="1"/>
    <col min="26" max="26" width="13.1640625" style="1" bestFit="1" customWidth="1"/>
    <col min="27" max="27" width="10.83203125" style="1" bestFit="1" customWidth="1"/>
    <col min="28" max="16384" width="10.83203125" style="1"/>
  </cols>
  <sheetData>
    <row r="1" spans="2:27" ht="24" customHeight="1"/>
    <row r="2" spans="2:27" s="67" customFormat="1" ht="23" customHeight="1">
      <c r="B2" s="756" t="s">
        <v>488</v>
      </c>
      <c r="C2" s="756"/>
      <c r="D2" s="756"/>
      <c r="E2" s="756"/>
      <c r="F2" s="756"/>
      <c r="G2" s="756"/>
      <c r="H2" s="756"/>
      <c r="I2" s="756"/>
      <c r="J2" s="756"/>
      <c r="K2" s="756"/>
      <c r="L2" s="756"/>
      <c r="M2" s="756"/>
      <c r="N2" s="756"/>
      <c r="O2" s="756"/>
      <c r="P2" s="756"/>
      <c r="Q2" s="756"/>
      <c r="R2" s="756"/>
      <c r="S2" s="756"/>
      <c r="T2" s="756"/>
      <c r="U2" s="756"/>
      <c r="V2" s="756"/>
      <c r="W2" s="756"/>
      <c r="X2" s="756"/>
      <c r="Y2" s="756"/>
      <c r="Z2" s="124"/>
    </row>
    <row r="3" spans="2:27" ht="23" customHeight="1">
      <c r="B3" s="757" t="s">
        <v>454</v>
      </c>
      <c r="C3" s="757"/>
      <c r="D3" s="757"/>
      <c r="E3" s="757"/>
      <c r="F3" s="757"/>
      <c r="G3" s="757"/>
      <c r="H3" s="757"/>
      <c r="I3" s="757"/>
      <c r="J3" s="757"/>
      <c r="K3" s="757"/>
      <c r="L3" s="757"/>
      <c r="M3" s="757"/>
      <c r="N3" s="757"/>
      <c r="O3" s="757"/>
      <c r="P3" s="757"/>
      <c r="Q3" s="757"/>
      <c r="R3" s="757"/>
      <c r="S3" s="757"/>
      <c r="T3" s="757"/>
      <c r="U3" s="757"/>
      <c r="V3" s="757"/>
      <c r="W3" s="757"/>
      <c r="X3" s="757"/>
      <c r="Y3" s="757"/>
      <c r="Z3" s="60"/>
    </row>
    <row r="4" spans="2:27" ht="14" customHeight="1">
      <c r="B4" s="24" t="s">
        <v>443</v>
      </c>
      <c r="C4" s="122" t="s">
        <v>676</v>
      </c>
      <c r="D4" s="24"/>
      <c r="E4" s="123"/>
      <c r="F4" s="123"/>
      <c r="G4" s="123"/>
      <c r="H4" s="123"/>
      <c r="I4" s="123"/>
      <c r="J4" s="123"/>
      <c r="K4" s="123"/>
      <c r="L4" s="123"/>
      <c r="M4" s="123"/>
      <c r="N4" s="123"/>
      <c r="O4" s="123"/>
      <c r="P4" s="123"/>
      <c r="Q4" s="123"/>
      <c r="R4" s="123"/>
      <c r="S4" s="123"/>
      <c r="T4" s="123"/>
      <c r="U4" s="123"/>
      <c r="V4" s="123"/>
      <c r="W4" s="123"/>
      <c r="X4" s="123"/>
      <c r="Y4" s="123"/>
      <c r="Z4" s="123"/>
      <c r="AA4" s="123"/>
    </row>
    <row r="5" spans="2:27" s="85" customFormat="1" ht="30">
      <c r="B5" s="127" t="s">
        <v>662</v>
      </c>
      <c r="C5" s="127" t="s">
        <v>272</v>
      </c>
      <c r="D5" s="127" t="s">
        <v>452</v>
      </c>
      <c r="E5" s="127" t="s">
        <v>178</v>
      </c>
      <c r="F5" s="127" t="s">
        <v>273</v>
      </c>
      <c r="G5" s="127" t="s">
        <v>300</v>
      </c>
      <c r="H5" s="127" t="s">
        <v>336</v>
      </c>
      <c r="I5" s="127" t="s">
        <v>299</v>
      </c>
      <c r="J5" s="127" t="s">
        <v>292</v>
      </c>
      <c r="K5" s="127" t="s">
        <v>337</v>
      </c>
      <c r="L5" s="127" t="s">
        <v>333</v>
      </c>
      <c r="M5" s="127" t="s">
        <v>338</v>
      </c>
      <c r="N5" s="127" t="s">
        <v>339</v>
      </c>
      <c r="O5" s="127" t="s">
        <v>499</v>
      </c>
      <c r="P5" s="127" t="s">
        <v>340</v>
      </c>
      <c r="Q5" s="127" t="s">
        <v>341</v>
      </c>
      <c r="R5" s="127" t="s">
        <v>347</v>
      </c>
      <c r="S5" s="127" t="s">
        <v>348</v>
      </c>
      <c r="T5" s="127" t="s">
        <v>342</v>
      </c>
      <c r="U5" s="127" t="s">
        <v>343</v>
      </c>
      <c r="V5" s="127" t="s">
        <v>344</v>
      </c>
      <c r="W5" s="127" t="s">
        <v>498</v>
      </c>
      <c r="X5" s="127" t="s">
        <v>345</v>
      </c>
      <c r="Y5" s="127" t="s">
        <v>346</v>
      </c>
      <c r="Z5"/>
      <c r="AA5"/>
    </row>
    <row r="6" spans="2:27" ht="16">
      <c r="B6" s="472" t="s">
        <v>663</v>
      </c>
      <c r="C6" s="472"/>
      <c r="D6" s="472"/>
      <c r="E6" s="472"/>
      <c r="F6" s="472"/>
      <c r="G6" s="472"/>
      <c r="H6" s="472"/>
      <c r="I6" s="472"/>
      <c r="J6" s="472"/>
      <c r="K6" s="472"/>
      <c r="L6" s="472"/>
      <c r="M6" s="692"/>
      <c r="N6" s="340"/>
      <c r="O6" s="341"/>
      <c r="P6" s="700"/>
      <c r="Q6" s="341"/>
      <c r="R6" s="341"/>
      <c r="S6" s="342"/>
      <c r="T6" s="700"/>
      <c r="U6" s="596"/>
      <c r="V6" s="343"/>
      <c r="W6" s="341"/>
      <c r="X6" s="343"/>
      <c r="Y6" s="343"/>
      <c r="Z6"/>
      <c r="AA6"/>
    </row>
    <row r="7" spans="2:27" ht="16">
      <c r="B7" s="472"/>
      <c r="C7" s="67" t="s">
        <v>775</v>
      </c>
      <c r="D7" s="67"/>
      <c r="E7" s="67"/>
      <c r="F7" s="67"/>
      <c r="G7" s="67"/>
      <c r="H7" s="67"/>
      <c r="I7" s="67"/>
      <c r="J7" s="67"/>
      <c r="K7" s="67"/>
      <c r="L7" s="67"/>
      <c r="M7" s="692"/>
      <c r="N7" s="340"/>
      <c r="O7" s="341"/>
      <c r="P7" s="700"/>
      <c r="Q7" s="341"/>
      <c r="R7" s="341"/>
      <c r="S7" s="342"/>
      <c r="T7" s="700"/>
      <c r="U7" s="596"/>
      <c r="V7" s="343"/>
      <c r="W7" s="341"/>
      <c r="X7" s="343"/>
      <c r="Y7" s="343"/>
      <c r="Z7"/>
      <c r="AA7"/>
    </row>
    <row r="8" spans="2:27" ht="16">
      <c r="B8" s="472"/>
      <c r="D8" s="1" t="s">
        <v>114</v>
      </c>
      <c r="M8" s="692"/>
      <c r="N8" s="340"/>
      <c r="O8" s="341"/>
      <c r="P8" s="700"/>
      <c r="Q8" s="341"/>
      <c r="R8" s="341"/>
      <c r="S8" s="342"/>
      <c r="T8" s="700"/>
      <c r="U8" s="596"/>
      <c r="V8" s="343"/>
      <c r="W8" s="341"/>
      <c r="X8" s="343"/>
      <c r="Y8" s="343"/>
      <c r="Z8"/>
      <c r="AA8"/>
    </row>
    <row r="9" spans="2:27" ht="16">
      <c r="B9" s="472"/>
      <c r="E9" s="3" t="s">
        <v>851</v>
      </c>
      <c r="F9" s="3"/>
      <c r="G9" s="3"/>
      <c r="H9" s="3"/>
      <c r="I9" s="3"/>
      <c r="J9" s="3"/>
      <c r="K9" s="3"/>
      <c r="L9" s="3"/>
      <c r="M9" s="692"/>
      <c r="N9" s="340"/>
      <c r="O9" s="341"/>
      <c r="P9" s="700"/>
      <c r="Q9" s="341"/>
      <c r="R9" s="341"/>
      <c r="S9" s="342"/>
      <c r="T9" s="700"/>
      <c r="U9" s="596"/>
      <c r="V9" s="343"/>
      <c r="W9" s="341"/>
      <c r="X9" s="343"/>
      <c r="Y9" s="343"/>
      <c r="Z9"/>
      <c r="AA9"/>
    </row>
    <row r="10" spans="2:27" ht="16">
      <c r="B10" s="472"/>
      <c r="F10" s="1" t="s">
        <v>838</v>
      </c>
      <c r="M10" s="692"/>
      <c r="N10" s="340"/>
      <c r="O10" s="341"/>
      <c r="P10" s="700"/>
      <c r="Q10" s="341"/>
      <c r="R10" s="341"/>
      <c r="S10" s="342"/>
      <c r="T10" s="700"/>
      <c r="U10" s="596"/>
      <c r="V10" s="343"/>
      <c r="W10" s="341"/>
      <c r="X10" s="343"/>
      <c r="Y10" s="343"/>
      <c r="Z10"/>
      <c r="AA10"/>
    </row>
    <row r="11" spans="2:27" ht="16">
      <c r="B11" s="472"/>
      <c r="G11" s="691">
        <v>-2</v>
      </c>
      <c r="H11" s="691"/>
      <c r="I11" s="691"/>
      <c r="J11" s="691"/>
      <c r="K11" s="691"/>
      <c r="L11" s="691"/>
      <c r="M11" s="692"/>
      <c r="N11" s="340"/>
      <c r="O11" s="341"/>
      <c r="P11" s="700"/>
      <c r="Q11" s="341"/>
      <c r="R11" s="341"/>
      <c r="S11" s="342"/>
      <c r="T11" s="700"/>
      <c r="U11" s="596"/>
      <c r="V11" s="343"/>
      <c r="W11" s="341"/>
      <c r="X11" s="343"/>
      <c r="Y11" s="343"/>
      <c r="Z11"/>
      <c r="AA11"/>
    </row>
    <row r="12" spans="2:27" ht="16">
      <c r="B12" s="472"/>
      <c r="H12" s="3" t="s">
        <v>268</v>
      </c>
      <c r="I12" s="3"/>
      <c r="J12" s="3"/>
      <c r="K12" s="3"/>
      <c r="L12" s="3"/>
      <c r="M12" s="692"/>
      <c r="N12" s="340"/>
      <c r="O12" s="341"/>
      <c r="P12" s="700"/>
      <c r="Q12" s="341"/>
      <c r="R12" s="341"/>
      <c r="S12" s="342"/>
      <c r="T12" s="700"/>
      <c r="U12" s="596"/>
      <c r="V12" s="343"/>
      <c r="W12" s="341"/>
      <c r="X12" s="343"/>
      <c r="Y12" s="343"/>
      <c r="Z12"/>
      <c r="AA12"/>
    </row>
    <row r="13" spans="2:27" ht="16">
      <c r="B13" s="472"/>
      <c r="I13" s="344">
        <v>44917</v>
      </c>
      <c r="J13" s="344"/>
      <c r="K13" s="344"/>
      <c r="L13" s="344"/>
      <c r="M13" s="692"/>
      <c r="N13" s="340"/>
      <c r="O13" s="341"/>
      <c r="P13" s="700"/>
      <c r="Q13" s="341"/>
      <c r="R13" s="341"/>
      <c r="S13" s="342"/>
      <c r="T13" s="700"/>
      <c r="U13" s="596"/>
      <c r="V13" s="343"/>
      <c r="W13" s="341"/>
      <c r="X13" s="343"/>
      <c r="Y13" s="343"/>
      <c r="Z13"/>
      <c r="AA13"/>
    </row>
    <row r="14" spans="2:27" ht="16">
      <c r="B14" s="472"/>
      <c r="J14" s="345" t="s">
        <v>843</v>
      </c>
      <c r="K14" s="345"/>
      <c r="L14" s="345"/>
      <c r="M14" s="692"/>
      <c r="N14" s="340"/>
      <c r="O14" s="341"/>
      <c r="P14" s="700"/>
      <c r="Q14" s="341"/>
      <c r="R14" s="341"/>
      <c r="S14" s="342"/>
      <c r="T14" s="700"/>
      <c r="U14" s="596"/>
      <c r="V14" s="343"/>
      <c r="W14" s="341"/>
      <c r="X14" s="343"/>
      <c r="Y14" s="343"/>
      <c r="Z14"/>
      <c r="AA14"/>
    </row>
    <row r="15" spans="2:27" ht="16">
      <c r="B15" s="472"/>
      <c r="K15" s="3" t="s">
        <v>843</v>
      </c>
      <c r="L15" s="3"/>
      <c r="M15" s="692"/>
      <c r="N15" s="340"/>
      <c r="O15" s="341"/>
      <c r="P15" s="700"/>
      <c r="Q15" s="341"/>
      <c r="R15" s="341"/>
      <c r="S15" s="342"/>
      <c r="T15" s="700"/>
      <c r="U15" s="596"/>
      <c r="V15" s="343"/>
      <c r="W15" s="341"/>
      <c r="X15" s="343"/>
      <c r="Y15" s="343"/>
      <c r="Z15"/>
      <c r="AA15"/>
    </row>
    <row r="16" spans="2:27" ht="16">
      <c r="B16" s="472"/>
      <c r="L16" s="691" t="s">
        <v>843</v>
      </c>
      <c r="M16" s="692">
        <v>479.98</v>
      </c>
      <c r="N16" s="340">
        <v>1</v>
      </c>
      <c r="O16" s="341">
        <v>19.748200000000001</v>
      </c>
      <c r="P16" s="700">
        <v>9478.7410360000013</v>
      </c>
      <c r="Q16" s="341">
        <v>126.47799999999999</v>
      </c>
      <c r="R16" s="341">
        <v>0</v>
      </c>
      <c r="S16" s="342">
        <v>0</v>
      </c>
      <c r="T16" s="700">
        <v>0</v>
      </c>
      <c r="U16" s="596"/>
      <c r="V16" s="343">
        <v>0</v>
      </c>
      <c r="W16" s="341">
        <v>0</v>
      </c>
      <c r="X16" s="343">
        <v>0</v>
      </c>
      <c r="Y16" s="343">
        <v>0</v>
      </c>
      <c r="Z16"/>
      <c r="AA16"/>
    </row>
    <row r="17" spans="2:27" ht="16">
      <c r="M17" s="692"/>
      <c r="N17" s="340"/>
      <c r="O17" s="341"/>
      <c r="P17" s="700"/>
      <c r="Q17" s="341"/>
      <c r="R17" s="341"/>
      <c r="S17" s="342"/>
      <c r="T17" s="700"/>
      <c r="U17" s="596"/>
      <c r="V17" s="343"/>
      <c r="W17" s="341"/>
      <c r="X17" s="343"/>
      <c r="Y17" s="343"/>
      <c r="Z17"/>
      <c r="AA17"/>
    </row>
    <row r="18" spans="2:27" ht="16">
      <c r="B18" s="472"/>
      <c r="F18" s="580" t="s">
        <v>889</v>
      </c>
      <c r="G18" s="580"/>
      <c r="H18" s="580"/>
      <c r="I18" s="580"/>
      <c r="J18" s="580"/>
      <c r="K18" s="580"/>
      <c r="L18" s="580"/>
      <c r="M18" s="705">
        <v>479.98</v>
      </c>
      <c r="N18" s="664">
        <v>1</v>
      </c>
      <c r="O18" s="582">
        <v>19.748200000000001</v>
      </c>
      <c r="P18" s="708">
        <v>9478.7410360000013</v>
      </c>
      <c r="Q18" s="582">
        <v>126.47799999999999</v>
      </c>
      <c r="R18" s="582">
        <v>0</v>
      </c>
      <c r="S18" s="583">
        <v>0</v>
      </c>
      <c r="T18" s="708">
        <v>0</v>
      </c>
      <c r="U18" s="599"/>
      <c r="V18" s="581">
        <v>0</v>
      </c>
      <c r="W18" s="582">
        <v>0</v>
      </c>
      <c r="X18" s="581">
        <v>0</v>
      </c>
      <c r="Y18" s="581">
        <v>0</v>
      </c>
      <c r="Z18"/>
      <c r="AA18"/>
    </row>
    <row r="19" spans="2:27" ht="16">
      <c r="M19" s="692"/>
      <c r="N19" s="340"/>
      <c r="O19" s="341"/>
      <c r="P19" s="700"/>
      <c r="Q19" s="341"/>
      <c r="R19" s="341"/>
      <c r="S19" s="342"/>
      <c r="T19" s="700"/>
      <c r="U19" s="596"/>
      <c r="V19" s="343"/>
      <c r="W19" s="341"/>
      <c r="X19" s="343"/>
      <c r="Y19" s="343"/>
      <c r="Z19"/>
      <c r="AA19"/>
    </row>
    <row r="20" spans="2:27" ht="16">
      <c r="B20" s="472"/>
      <c r="F20" s="1" t="s">
        <v>823</v>
      </c>
      <c r="M20" s="692"/>
      <c r="N20" s="340"/>
      <c r="O20" s="341"/>
      <c r="P20" s="700"/>
      <c r="Q20" s="341"/>
      <c r="R20" s="341"/>
      <c r="S20" s="342"/>
      <c r="T20" s="700"/>
      <c r="U20" s="596"/>
      <c r="V20" s="343"/>
      <c r="W20" s="341"/>
      <c r="X20" s="343"/>
      <c r="Y20" s="343"/>
      <c r="Z20"/>
      <c r="AA20"/>
    </row>
    <row r="21" spans="2:27" ht="16">
      <c r="B21" s="472"/>
      <c r="G21" s="691">
        <v>-6</v>
      </c>
      <c r="H21" s="691"/>
      <c r="I21" s="691"/>
      <c r="J21" s="691"/>
      <c r="K21" s="691"/>
      <c r="L21" s="691"/>
      <c r="M21" s="692"/>
      <c r="N21" s="340"/>
      <c r="O21" s="341"/>
      <c r="P21" s="700"/>
      <c r="Q21" s="341"/>
      <c r="R21" s="341"/>
      <c r="S21" s="342"/>
      <c r="T21" s="700"/>
      <c r="U21" s="596"/>
      <c r="V21" s="343"/>
      <c r="W21" s="341"/>
      <c r="X21" s="343"/>
      <c r="Y21" s="343"/>
      <c r="Z21"/>
      <c r="AA21"/>
    </row>
    <row r="22" spans="2:27" ht="16">
      <c r="B22" s="472"/>
      <c r="H22" s="3" t="s">
        <v>268</v>
      </c>
      <c r="I22" s="3"/>
      <c r="J22" s="3"/>
      <c r="K22" s="3"/>
      <c r="L22" s="3"/>
      <c r="M22" s="692"/>
      <c r="N22" s="340"/>
      <c r="O22" s="341"/>
      <c r="P22" s="700"/>
      <c r="Q22" s="341"/>
      <c r="R22" s="341"/>
      <c r="S22" s="342"/>
      <c r="T22" s="700"/>
      <c r="U22" s="596"/>
      <c r="V22" s="343"/>
      <c r="W22" s="341"/>
      <c r="X22" s="343"/>
      <c r="Y22" s="343"/>
      <c r="Z22"/>
      <c r="AA22"/>
    </row>
    <row r="23" spans="2:27" ht="16">
      <c r="B23" s="472"/>
      <c r="I23" s="344">
        <v>44832</v>
      </c>
      <c r="J23" s="344"/>
      <c r="K23" s="344"/>
      <c r="L23" s="344"/>
      <c r="M23" s="692"/>
      <c r="N23" s="340"/>
      <c r="O23" s="341"/>
      <c r="P23" s="700"/>
      <c r="Q23" s="341"/>
      <c r="R23" s="341"/>
      <c r="S23" s="342"/>
      <c r="T23" s="700"/>
      <c r="U23" s="596"/>
      <c r="V23" s="343"/>
      <c r="W23" s="341"/>
      <c r="X23" s="343"/>
      <c r="Y23" s="343"/>
      <c r="Z23"/>
      <c r="AA23"/>
    </row>
    <row r="24" spans="2:27" ht="16">
      <c r="B24" s="472"/>
      <c r="J24" s="345" t="s">
        <v>843</v>
      </c>
      <c r="K24" s="345"/>
      <c r="L24" s="345"/>
      <c r="M24" s="692"/>
      <c r="N24" s="340"/>
      <c r="O24" s="341"/>
      <c r="P24" s="700"/>
      <c r="Q24" s="341"/>
      <c r="R24" s="341"/>
      <c r="S24" s="342"/>
      <c r="T24" s="700"/>
      <c r="U24" s="596"/>
      <c r="V24" s="343"/>
      <c r="W24" s="341"/>
      <c r="X24" s="343"/>
      <c r="Y24" s="343"/>
      <c r="Z24"/>
      <c r="AA24"/>
    </row>
    <row r="25" spans="2:27" ht="16">
      <c r="B25" s="472"/>
      <c r="K25" s="3" t="s">
        <v>843</v>
      </c>
      <c r="L25" s="3"/>
      <c r="M25" s="692"/>
      <c r="N25" s="340"/>
      <c r="O25" s="341"/>
      <c r="P25" s="700"/>
      <c r="Q25" s="341"/>
      <c r="R25" s="341"/>
      <c r="S25" s="342"/>
      <c r="T25" s="700"/>
      <c r="U25" s="596"/>
      <c r="V25" s="343"/>
      <c r="W25" s="341"/>
      <c r="X25" s="343"/>
      <c r="Y25" s="343"/>
      <c r="Z25"/>
      <c r="AA25"/>
    </row>
    <row r="26" spans="2:27" ht="16">
      <c r="B26" s="472"/>
      <c r="L26" s="691" t="s">
        <v>843</v>
      </c>
      <c r="M26" s="692">
        <v>5795.86</v>
      </c>
      <c r="N26" s="340">
        <v>1</v>
      </c>
      <c r="O26" s="341">
        <v>20.351700000000001</v>
      </c>
      <c r="P26" s="700">
        <v>117955.60396199999</v>
      </c>
      <c r="Q26" s="341">
        <v>124.571</v>
      </c>
      <c r="R26" s="341">
        <v>0</v>
      </c>
      <c r="S26" s="342">
        <v>0</v>
      </c>
      <c r="T26" s="700">
        <v>0</v>
      </c>
      <c r="U26" s="596"/>
      <c r="V26" s="343">
        <v>0</v>
      </c>
      <c r="W26" s="341">
        <v>0</v>
      </c>
      <c r="X26" s="343">
        <v>0</v>
      </c>
      <c r="Y26" s="343">
        <v>0</v>
      </c>
      <c r="Z26"/>
      <c r="AA26"/>
    </row>
    <row r="27" spans="2:27" ht="16">
      <c r="M27" s="692"/>
      <c r="N27" s="340"/>
      <c r="O27" s="341"/>
      <c r="P27" s="700"/>
      <c r="Q27" s="341"/>
      <c r="R27" s="341"/>
      <c r="S27" s="342"/>
      <c r="T27" s="700"/>
      <c r="U27" s="596"/>
      <c r="V27" s="343"/>
      <c r="W27" s="341"/>
      <c r="X27" s="343"/>
      <c r="Y27" s="343"/>
      <c r="Z27"/>
      <c r="AA27"/>
    </row>
    <row r="28" spans="2:27" ht="16">
      <c r="B28" s="472"/>
      <c r="F28" s="580" t="s">
        <v>890</v>
      </c>
      <c r="G28" s="580"/>
      <c r="H28" s="580"/>
      <c r="I28" s="580"/>
      <c r="J28" s="580"/>
      <c r="K28" s="580"/>
      <c r="L28" s="580"/>
      <c r="M28" s="705">
        <v>5795.86</v>
      </c>
      <c r="N28" s="664">
        <v>1</v>
      </c>
      <c r="O28" s="582">
        <v>20.351700000000001</v>
      </c>
      <c r="P28" s="708">
        <v>117955.60396199999</v>
      </c>
      <c r="Q28" s="582">
        <v>124.571</v>
      </c>
      <c r="R28" s="582">
        <v>0</v>
      </c>
      <c r="S28" s="583">
        <v>0</v>
      </c>
      <c r="T28" s="708">
        <v>0</v>
      </c>
      <c r="U28" s="599"/>
      <c r="V28" s="581">
        <v>0</v>
      </c>
      <c r="W28" s="582">
        <v>0</v>
      </c>
      <c r="X28" s="581">
        <v>0</v>
      </c>
      <c r="Y28" s="581">
        <v>0</v>
      </c>
      <c r="Z28"/>
      <c r="AA28"/>
    </row>
    <row r="29" spans="2:27" ht="16">
      <c r="M29" s="692"/>
      <c r="N29" s="340"/>
      <c r="O29" s="341"/>
      <c r="P29" s="700"/>
      <c r="Q29" s="341"/>
      <c r="R29" s="341"/>
      <c r="S29" s="342"/>
      <c r="T29" s="700"/>
      <c r="U29" s="596"/>
      <c r="V29" s="343"/>
      <c r="W29" s="341"/>
      <c r="X29" s="343"/>
      <c r="Y29" s="343"/>
      <c r="Z29"/>
      <c r="AA29"/>
    </row>
    <row r="30" spans="2:27" ht="16">
      <c r="B30" s="472"/>
      <c r="F30" s="1" t="s">
        <v>839</v>
      </c>
      <c r="M30" s="692"/>
      <c r="N30" s="340"/>
      <c r="O30" s="341"/>
      <c r="P30" s="700"/>
      <c r="Q30" s="341"/>
      <c r="R30" s="341"/>
      <c r="S30" s="342"/>
      <c r="T30" s="700"/>
      <c r="U30" s="596"/>
      <c r="V30" s="343"/>
      <c r="W30" s="341"/>
      <c r="X30" s="343"/>
      <c r="Y30" s="343"/>
      <c r="Z30"/>
      <c r="AA30"/>
    </row>
    <row r="31" spans="2:27" ht="16">
      <c r="B31" s="472"/>
      <c r="G31" s="691">
        <v>-8</v>
      </c>
      <c r="H31" s="691"/>
      <c r="I31" s="691"/>
      <c r="J31" s="691"/>
      <c r="K31" s="691"/>
      <c r="L31" s="691"/>
      <c r="M31" s="692"/>
      <c r="N31" s="340"/>
      <c r="O31" s="341"/>
      <c r="P31" s="700"/>
      <c r="Q31" s="341"/>
      <c r="R31" s="341"/>
      <c r="S31" s="342"/>
      <c r="T31" s="700"/>
      <c r="U31" s="596"/>
      <c r="V31" s="343"/>
      <c r="W31" s="341"/>
      <c r="X31" s="343"/>
      <c r="Y31" s="343"/>
      <c r="Z31"/>
      <c r="AA31"/>
    </row>
    <row r="32" spans="2:27" ht="16">
      <c r="B32" s="472"/>
      <c r="H32" s="3" t="s">
        <v>268</v>
      </c>
      <c r="I32" s="3"/>
      <c r="J32" s="3"/>
      <c r="K32" s="3"/>
      <c r="L32" s="3"/>
      <c r="M32" s="692"/>
      <c r="N32" s="340"/>
      <c r="O32" s="341"/>
      <c r="P32" s="700"/>
      <c r="Q32" s="341"/>
      <c r="R32" s="341"/>
      <c r="S32" s="342"/>
      <c r="T32" s="700"/>
      <c r="U32" s="596"/>
      <c r="V32" s="343"/>
      <c r="W32" s="341"/>
      <c r="X32" s="343"/>
      <c r="Y32" s="343"/>
      <c r="Z32"/>
      <c r="AA32"/>
    </row>
    <row r="33" spans="2:27" ht="16">
      <c r="B33" s="472"/>
      <c r="I33" s="344">
        <v>44917</v>
      </c>
      <c r="J33" s="344"/>
      <c r="K33" s="344"/>
      <c r="L33" s="344"/>
      <c r="M33" s="692"/>
      <c r="N33" s="340"/>
      <c r="O33" s="341"/>
      <c r="P33" s="700"/>
      <c r="Q33" s="341"/>
      <c r="R33" s="341"/>
      <c r="S33" s="342"/>
      <c r="T33" s="700"/>
      <c r="U33" s="596"/>
      <c r="V33" s="343"/>
      <c r="W33" s="341"/>
      <c r="X33" s="343"/>
      <c r="Y33" s="343"/>
      <c r="Z33"/>
      <c r="AA33"/>
    </row>
    <row r="34" spans="2:27" ht="16">
      <c r="B34" s="472"/>
      <c r="J34" s="345" t="s">
        <v>843</v>
      </c>
      <c r="K34" s="345"/>
      <c r="L34" s="345"/>
      <c r="M34" s="692"/>
      <c r="N34" s="340"/>
      <c r="O34" s="341"/>
      <c r="P34" s="700"/>
      <c r="Q34" s="341"/>
      <c r="R34" s="341"/>
      <c r="S34" s="342"/>
      <c r="T34" s="700"/>
      <c r="U34" s="596"/>
      <c r="V34" s="343"/>
      <c r="W34" s="341"/>
      <c r="X34" s="343"/>
      <c r="Y34" s="343"/>
      <c r="Z34"/>
      <c r="AA34"/>
    </row>
    <row r="35" spans="2:27" ht="16">
      <c r="B35" s="472"/>
      <c r="K35" s="3" t="s">
        <v>843</v>
      </c>
      <c r="L35" s="3"/>
      <c r="M35" s="692"/>
      <c r="N35" s="340"/>
      <c r="O35" s="341"/>
      <c r="P35" s="700"/>
      <c r="Q35" s="341"/>
      <c r="R35" s="341"/>
      <c r="S35" s="342"/>
      <c r="T35" s="700"/>
      <c r="U35" s="596"/>
      <c r="V35" s="343"/>
      <c r="W35" s="341"/>
      <c r="X35" s="343"/>
      <c r="Y35" s="343"/>
      <c r="Z35"/>
      <c r="AA35"/>
    </row>
    <row r="36" spans="2:27" ht="16">
      <c r="B36" s="472"/>
      <c r="L36" s="691" t="s">
        <v>843</v>
      </c>
      <c r="M36" s="692">
        <v>1319.96</v>
      </c>
      <c r="N36" s="340">
        <v>1</v>
      </c>
      <c r="O36" s="341">
        <v>19.748200000000001</v>
      </c>
      <c r="P36" s="700">
        <v>26066.834072000001</v>
      </c>
      <c r="Q36" s="341">
        <v>126.47799999999999</v>
      </c>
      <c r="R36" s="341">
        <v>0</v>
      </c>
      <c r="S36" s="342">
        <v>0</v>
      </c>
      <c r="T36" s="700">
        <v>0</v>
      </c>
      <c r="U36" s="596"/>
      <c r="V36" s="343">
        <v>0</v>
      </c>
      <c r="W36" s="341">
        <v>0</v>
      </c>
      <c r="X36" s="343">
        <v>0</v>
      </c>
      <c r="Y36" s="343">
        <v>0</v>
      </c>
      <c r="Z36"/>
      <c r="AA36"/>
    </row>
    <row r="37" spans="2:27" ht="16">
      <c r="M37" s="692"/>
      <c r="N37" s="340"/>
      <c r="O37" s="341"/>
      <c r="P37" s="700"/>
      <c r="Q37" s="341"/>
      <c r="R37" s="341"/>
      <c r="S37" s="342"/>
      <c r="T37" s="700"/>
      <c r="U37" s="596"/>
      <c r="V37" s="343"/>
      <c r="W37" s="341"/>
      <c r="X37" s="343"/>
      <c r="Y37" s="343"/>
      <c r="Z37"/>
      <c r="AA37"/>
    </row>
    <row r="38" spans="2:27" ht="16">
      <c r="B38" s="472"/>
      <c r="F38" s="580" t="s">
        <v>891</v>
      </c>
      <c r="G38" s="580"/>
      <c r="H38" s="580"/>
      <c r="I38" s="580"/>
      <c r="J38" s="580"/>
      <c r="K38" s="580"/>
      <c r="L38" s="580"/>
      <c r="M38" s="705">
        <v>1319.96</v>
      </c>
      <c r="N38" s="664">
        <v>1</v>
      </c>
      <c r="O38" s="582">
        <v>19.748200000000001</v>
      </c>
      <c r="P38" s="708">
        <v>26066.834072000001</v>
      </c>
      <c r="Q38" s="582">
        <v>126.47799999999999</v>
      </c>
      <c r="R38" s="582">
        <v>0</v>
      </c>
      <c r="S38" s="583">
        <v>0</v>
      </c>
      <c r="T38" s="708">
        <v>0</v>
      </c>
      <c r="U38" s="599"/>
      <c r="V38" s="581">
        <v>0</v>
      </c>
      <c r="W38" s="582">
        <v>0</v>
      </c>
      <c r="X38" s="581">
        <v>0</v>
      </c>
      <c r="Y38" s="581">
        <v>0</v>
      </c>
      <c r="Z38"/>
      <c r="AA38"/>
    </row>
    <row r="39" spans="2:27" ht="16">
      <c r="M39" s="692"/>
      <c r="N39" s="340"/>
      <c r="O39" s="341"/>
      <c r="P39" s="700"/>
      <c r="Q39" s="341"/>
      <c r="R39" s="341"/>
      <c r="S39" s="342"/>
      <c r="T39" s="700"/>
      <c r="U39" s="596"/>
      <c r="V39" s="343"/>
      <c r="W39" s="341"/>
      <c r="X39" s="343"/>
      <c r="Y39" s="343"/>
      <c r="Z39"/>
      <c r="AA39"/>
    </row>
    <row r="40" spans="2:27" ht="16">
      <c r="B40" s="472"/>
      <c r="F40" s="1" t="s">
        <v>830</v>
      </c>
      <c r="M40" s="692"/>
      <c r="N40" s="340"/>
      <c r="O40" s="341"/>
      <c r="P40" s="700"/>
      <c r="Q40" s="341"/>
      <c r="R40" s="341"/>
      <c r="S40" s="342"/>
      <c r="T40" s="700"/>
      <c r="U40" s="596"/>
      <c r="V40" s="343"/>
      <c r="W40" s="341"/>
      <c r="X40" s="343"/>
      <c r="Y40" s="343"/>
      <c r="Z40"/>
      <c r="AA40"/>
    </row>
    <row r="41" spans="2:27" ht="16">
      <c r="B41" s="472"/>
      <c r="G41" s="691">
        <v>-8</v>
      </c>
      <c r="H41" s="691"/>
      <c r="I41" s="691"/>
      <c r="J41" s="691"/>
      <c r="K41" s="691"/>
      <c r="L41" s="691"/>
      <c r="M41" s="692"/>
      <c r="N41" s="340"/>
      <c r="O41" s="341"/>
      <c r="P41" s="700"/>
      <c r="Q41" s="341"/>
      <c r="R41" s="341"/>
      <c r="S41" s="342"/>
      <c r="T41" s="700"/>
      <c r="U41" s="596"/>
      <c r="V41" s="343"/>
      <c r="W41" s="341"/>
      <c r="X41" s="343"/>
      <c r="Y41" s="343"/>
      <c r="Z41"/>
      <c r="AA41"/>
    </row>
    <row r="42" spans="2:27" ht="16">
      <c r="B42" s="472"/>
      <c r="H42" s="3" t="s">
        <v>268</v>
      </c>
      <c r="I42" s="3"/>
      <c r="J42" s="3"/>
      <c r="K42" s="3"/>
      <c r="L42" s="3"/>
      <c r="M42" s="692"/>
      <c r="N42" s="340"/>
      <c r="O42" s="341"/>
      <c r="P42" s="700"/>
      <c r="Q42" s="341"/>
      <c r="R42" s="341"/>
      <c r="S42" s="342"/>
      <c r="T42" s="700"/>
      <c r="U42" s="596"/>
      <c r="V42" s="343"/>
      <c r="W42" s="341"/>
      <c r="X42" s="343"/>
      <c r="Y42" s="343"/>
      <c r="Z42"/>
      <c r="AA42"/>
    </row>
    <row r="43" spans="2:27" ht="16">
      <c r="B43" s="472"/>
      <c r="I43" s="344">
        <v>44868</v>
      </c>
      <c r="J43" s="344"/>
      <c r="K43" s="344"/>
      <c r="L43" s="344"/>
      <c r="M43" s="692"/>
      <c r="N43" s="340"/>
      <c r="O43" s="341"/>
      <c r="P43" s="700"/>
      <c r="Q43" s="341"/>
      <c r="R43" s="341"/>
      <c r="S43" s="342"/>
      <c r="T43" s="700"/>
      <c r="U43" s="596"/>
      <c r="V43" s="343"/>
      <c r="W43" s="341"/>
      <c r="X43" s="343"/>
      <c r="Y43" s="343"/>
      <c r="Z43"/>
      <c r="AA43"/>
    </row>
    <row r="44" spans="2:27" ht="16">
      <c r="B44" s="472"/>
      <c r="J44" s="345" t="s">
        <v>843</v>
      </c>
      <c r="K44" s="345"/>
      <c r="L44" s="345"/>
      <c r="M44" s="692"/>
      <c r="N44" s="340"/>
      <c r="O44" s="341"/>
      <c r="P44" s="700"/>
      <c r="Q44" s="341"/>
      <c r="R44" s="341"/>
      <c r="S44" s="342"/>
      <c r="T44" s="700"/>
      <c r="U44" s="596"/>
      <c r="V44" s="343"/>
      <c r="W44" s="341"/>
      <c r="X44" s="343"/>
      <c r="Y44" s="343"/>
      <c r="Z44"/>
      <c r="AA44"/>
    </row>
    <row r="45" spans="2:27" ht="16">
      <c r="B45" s="472"/>
      <c r="K45" s="3" t="s">
        <v>843</v>
      </c>
      <c r="L45" s="3"/>
      <c r="M45" s="692"/>
      <c r="N45" s="340"/>
      <c r="O45" s="341"/>
      <c r="P45" s="700"/>
      <c r="Q45" s="341"/>
      <c r="R45" s="341"/>
      <c r="S45" s="342"/>
      <c r="T45" s="700"/>
      <c r="U45" s="596"/>
      <c r="V45" s="343"/>
      <c r="W45" s="341"/>
      <c r="X45" s="343"/>
      <c r="Y45" s="343"/>
      <c r="Z45"/>
      <c r="AA45"/>
    </row>
    <row r="46" spans="2:27" ht="16">
      <c r="B46" s="472"/>
      <c r="L46" s="691" t="s">
        <v>843</v>
      </c>
      <c r="M46" s="692">
        <v>6343.85</v>
      </c>
      <c r="N46" s="340">
        <v>1</v>
      </c>
      <c r="O46" s="341">
        <v>19.8245</v>
      </c>
      <c r="P46" s="700">
        <v>125763.65432500001</v>
      </c>
      <c r="Q46" s="341">
        <v>125.997</v>
      </c>
      <c r="R46" s="341">
        <v>0</v>
      </c>
      <c r="S46" s="342">
        <v>0</v>
      </c>
      <c r="T46" s="700">
        <v>0</v>
      </c>
      <c r="U46" s="596"/>
      <c r="V46" s="343">
        <v>0</v>
      </c>
      <c r="W46" s="341">
        <v>0</v>
      </c>
      <c r="X46" s="343">
        <v>0</v>
      </c>
      <c r="Y46" s="343">
        <v>0</v>
      </c>
      <c r="Z46"/>
      <c r="AA46"/>
    </row>
    <row r="47" spans="2:27" ht="16">
      <c r="M47" s="692"/>
      <c r="N47" s="340"/>
      <c r="O47" s="341"/>
      <c r="P47" s="700"/>
      <c r="Q47" s="341"/>
      <c r="R47" s="341"/>
      <c r="S47" s="342"/>
      <c r="T47" s="700"/>
      <c r="U47" s="596"/>
      <c r="V47" s="343"/>
      <c r="W47" s="341"/>
      <c r="X47" s="343"/>
      <c r="Y47" s="343"/>
      <c r="Z47"/>
      <c r="AA47"/>
    </row>
    <row r="48" spans="2:27" ht="16">
      <c r="B48" s="472"/>
      <c r="F48" s="580" t="s">
        <v>892</v>
      </c>
      <c r="G48" s="580"/>
      <c r="H48" s="580"/>
      <c r="I48" s="580"/>
      <c r="J48" s="580"/>
      <c r="K48" s="580"/>
      <c r="L48" s="580"/>
      <c r="M48" s="705">
        <v>6343.85</v>
      </c>
      <c r="N48" s="664">
        <v>1</v>
      </c>
      <c r="O48" s="582">
        <v>19.8245</v>
      </c>
      <c r="P48" s="708">
        <v>125763.65432500001</v>
      </c>
      <c r="Q48" s="582">
        <v>125.997</v>
      </c>
      <c r="R48" s="582">
        <v>0</v>
      </c>
      <c r="S48" s="583">
        <v>0</v>
      </c>
      <c r="T48" s="708">
        <v>0</v>
      </c>
      <c r="U48" s="599"/>
      <c r="V48" s="581">
        <v>0</v>
      </c>
      <c r="W48" s="582">
        <v>0</v>
      </c>
      <c r="X48" s="581">
        <v>0</v>
      </c>
      <c r="Y48" s="581">
        <v>0</v>
      </c>
      <c r="Z48"/>
      <c r="AA48"/>
    </row>
    <row r="49" spans="2:27" ht="16">
      <c r="M49" s="692"/>
      <c r="N49" s="340"/>
      <c r="O49" s="341"/>
      <c r="P49" s="700"/>
      <c r="Q49" s="341"/>
      <c r="R49" s="341"/>
      <c r="S49" s="342"/>
      <c r="T49" s="700"/>
      <c r="U49" s="596"/>
      <c r="V49" s="343"/>
      <c r="W49" s="341"/>
      <c r="X49" s="343"/>
      <c r="Y49" s="343"/>
      <c r="Z49"/>
      <c r="AA49"/>
    </row>
    <row r="50" spans="2:27" ht="16">
      <c r="B50" s="472"/>
      <c r="F50" s="1" t="s">
        <v>826</v>
      </c>
      <c r="M50" s="692"/>
      <c r="N50" s="340"/>
      <c r="O50" s="341"/>
      <c r="P50" s="700"/>
      <c r="Q50" s="341"/>
      <c r="R50" s="341"/>
      <c r="S50" s="342"/>
      <c r="T50" s="700"/>
      <c r="U50" s="596"/>
      <c r="V50" s="343"/>
      <c r="W50" s="341"/>
      <c r="X50" s="343"/>
      <c r="Y50" s="343"/>
      <c r="Z50"/>
      <c r="AA50"/>
    </row>
    <row r="51" spans="2:27" ht="16">
      <c r="B51" s="472"/>
      <c r="G51" s="691">
        <v>-5</v>
      </c>
      <c r="H51" s="691"/>
      <c r="I51" s="691"/>
      <c r="J51" s="691"/>
      <c r="K51" s="691"/>
      <c r="L51" s="691"/>
      <c r="M51" s="692"/>
      <c r="N51" s="340"/>
      <c r="O51" s="341"/>
      <c r="P51" s="700"/>
      <c r="Q51" s="341"/>
      <c r="R51" s="341"/>
      <c r="S51" s="342"/>
      <c r="T51" s="700"/>
      <c r="U51" s="596"/>
      <c r="V51" s="343"/>
      <c r="W51" s="341"/>
      <c r="X51" s="343"/>
      <c r="Y51" s="343"/>
      <c r="Z51"/>
      <c r="AA51"/>
    </row>
    <row r="52" spans="2:27" ht="16">
      <c r="B52" s="472"/>
      <c r="H52" s="3" t="s">
        <v>268</v>
      </c>
      <c r="I52" s="3"/>
      <c r="J52" s="3"/>
      <c r="K52" s="3"/>
      <c r="L52" s="3"/>
      <c r="M52" s="692"/>
      <c r="N52" s="340"/>
      <c r="O52" s="341"/>
      <c r="P52" s="700"/>
      <c r="Q52" s="341"/>
      <c r="R52" s="341"/>
      <c r="S52" s="342"/>
      <c r="T52" s="700"/>
      <c r="U52" s="596"/>
      <c r="V52" s="343"/>
      <c r="W52" s="341"/>
      <c r="X52" s="343"/>
      <c r="Y52" s="343"/>
      <c r="Z52"/>
      <c r="AA52"/>
    </row>
    <row r="53" spans="2:27" ht="16">
      <c r="B53" s="472"/>
      <c r="I53" s="344">
        <v>44879</v>
      </c>
      <c r="J53" s="344"/>
      <c r="K53" s="344"/>
      <c r="L53" s="344"/>
      <c r="M53" s="692"/>
      <c r="N53" s="340"/>
      <c r="O53" s="341"/>
      <c r="P53" s="700"/>
      <c r="Q53" s="341"/>
      <c r="R53" s="341"/>
      <c r="S53" s="342"/>
      <c r="T53" s="700"/>
      <c r="U53" s="596"/>
      <c r="V53" s="343"/>
      <c r="W53" s="341"/>
      <c r="X53" s="343"/>
      <c r="Y53" s="343"/>
      <c r="Z53"/>
      <c r="AA53"/>
    </row>
    <row r="54" spans="2:27" ht="16">
      <c r="B54" s="472"/>
      <c r="J54" s="345" t="s">
        <v>843</v>
      </c>
      <c r="K54" s="345"/>
      <c r="L54" s="345"/>
      <c r="M54" s="692"/>
      <c r="N54" s="340"/>
      <c r="O54" s="341"/>
      <c r="P54" s="700"/>
      <c r="Q54" s="341"/>
      <c r="R54" s="341"/>
      <c r="S54" s="342"/>
      <c r="T54" s="700"/>
      <c r="U54" s="596"/>
      <c r="V54" s="343"/>
      <c r="W54" s="341"/>
      <c r="X54" s="343"/>
      <c r="Y54" s="343"/>
      <c r="Z54"/>
      <c r="AA54"/>
    </row>
    <row r="55" spans="2:27" ht="16">
      <c r="B55" s="472"/>
      <c r="K55" s="3" t="s">
        <v>843</v>
      </c>
      <c r="L55" s="3"/>
      <c r="M55" s="692"/>
      <c r="N55" s="340"/>
      <c r="O55" s="341"/>
      <c r="P55" s="700"/>
      <c r="Q55" s="341"/>
      <c r="R55" s="341"/>
      <c r="S55" s="342"/>
      <c r="T55" s="700"/>
      <c r="U55" s="596"/>
      <c r="V55" s="343"/>
      <c r="W55" s="341"/>
      <c r="X55" s="343"/>
      <c r="Y55" s="343"/>
      <c r="Z55"/>
    </row>
    <row r="56" spans="2:27" ht="16">
      <c r="B56" s="472"/>
      <c r="L56" s="691" t="s">
        <v>843</v>
      </c>
      <c r="M56" s="692">
        <v>1949.95</v>
      </c>
      <c r="N56" s="340">
        <v>1</v>
      </c>
      <c r="O56" s="341">
        <v>19.393999999999998</v>
      </c>
      <c r="P56" s="700">
        <v>37817.330299999994</v>
      </c>
      <c r="Q56" s="341">
        <v>125.997</v>
      </c>
      <c r="R56" s="341">
        <v>0</v>
      </c>
      <c r="S56" s="342">
        <v>0</v>
      </c>
      <c r="T56" s="700">
        <v>0</v>
      </c>
      <c r="U56" s="596"/>
      <c r="V56" s="343">
        <v>0</v>
      </c>
      <c r="W56" s="341">
        <v>0</v>
      </c>
      <c r="X56" s="343">
        <v>0</v>
      </c>
      <c r="Y56" s="343">
        <v>0</v>
      </c>
      <c r="Z56"/>
    </row>
    <row r="57" spans="2:27" ht="16">
      <c r="M57" s="692"/>
      <c r="N57" s="340"/>
      <c r="O57" s="341"/>
      <c r="P57" s="700"/>
      <c r="Q57" s="341"/>
      <c r="R57" s="341"/>
      <c r="S57" s="342"/>
      <c r="T57" s="700"/>
      <c r="U57" s="596"/>
      <c r="V57" s="343"/>
      <c r="W57" s="341"/>
      <c r="X57" s="343"/>
      <c r="Y57" s="343"/>
      <c r="Z57"/>
    </row>
    <row r="58" spans="2:27" ht="16">
      <c r="B58" s="472"/>
      <c r="F58" s="580" t="s">
        <v>893</v>
      </c>
      <c r="G58" s="580"/>
      <c r="H58" s="580"/>
      <c r="I58" s="580"/>
      <c r="J58" s="580"/>
      <c r="K58" s="580"/>
      <c r="L58" s="580"/>
      <c r="M58" s="705">
        <v>1949.95</v>
      </c>
      <c r="N58" s="664">
        <v>1</v>
      </c>
      <c r="O58" s="582">
        <v>19.393999999999998</v>
      </c>
      <c r="P58" s="708">
        <v>37817.330299999994</v>
      </c>
      <c r="Q58" s="582">
        <v>125.997</v>
      </c>
      <c r="R58" s="582">
        <v>0</v>
      </c>
      <c r="S58" s="583">
        <v>0</v>
      </c>
      <c r="T58" s="708">
        <v>0</v>
      </c>
      <c r="U58" s="599"/>
      <c r="V58" s="581">
        <v>0</v>
      </c>
      <c r="W58" s="582">
        <v>0</v>
      </c>
      <c r="X58" s="581">
        <v>0</v>
      </c>
      <c r="Y58" s="581">
        <v>0</v>
      </c>
      <c r="Z58"/>
    </row>
    <row r="59" spans="2:27" ht="16">
      <c r="M59" s="692"/>
      <c r="N59" s="340"/>
      <c r="O59" s="341"/>
      <c r="P59" s="700"/>
      <c r="Q59" s="341"/>
      <c r="R59" s="341"/>
      <c r="S59" s="342"/>
      <c r="T59" s="700"/>
      <c r="U59" s="596"/>
      <c r="V59" s="343"/>
      <c r="W59" s="341"/>
      <c r="X59" s="343"/>
      <c r="Y59" s="343"/>
      <c r="Z59"/>
    </row>
    <row r="60" spans="2:27" ht="16">
      <c r="B60" s="472"/>
      <c r="F60" s="1" t="s">
        <v>822</v>
      </c>
      <c r="M60" s="692"/>
      <c r="N60" s="340"/>
      <c r="O60" s="341"/>
      <c r="P60" s="700"/>
      <c r="Q60" s="341"/>
      <c r="R60" s="341"/>
      <c r="S60" s="342"/>
      <c r="T60" s="700"/>
      <c r="U60" s="596"/>
      <c r="V60" s="343"/>
      <c r="W60" s="341"/>
      <c r="X60" s="343"/>
      <c r="Y60" s="343"/>
      <c r="Z60"/>
    </row>
    <row r="61" spans="2:27" ht="16">
      <c r="B61" s="472"/>
      <c r="G61" s="691">
        <v>-7</v>
      </c>
      <c r="H61" s="691"/>
      <c r="I61" s="691"/>
      <c r="J61" s="691"/>
      <c r="K61" s="691"/>
      <c r="L61" s="691"/>
      <c r="M61" s="692"/>
      <c r="N61" s="340"/>
      <c r="O61" s="341"/>
      <c r="P61" s="700"/>
      <c r="Q61" s="341"/>
      <c r="R61" s="341"/>
      <c r="S61" s="342"/>
      <c r="T61" s="700"/>
      <c r="U61" s="596"/>
      <c r="V61" s="343"/>
      <c r="W61" s="341"/>
      <c r="X61" s="343"/>
      <c r="Y61" s="343"/>
      <c r="Z61"/>
    </row>
    <row r="62" spans="2:27" ht="16">
      <c r="B62" s="472"/>
      <c r="H62" s="3" t="s">
        <v>268</v>
      </c>
      <c r="I62" s="3"/>
      <c r="J62" s="3"/>
      <c r="K62" s="3"/>
      <c r="L62" s="3"/>
      <c r="M62" s="692"/>
      <c r="N62" s="340"/>
      <c r="O62" s="341"/>
      <c r="P62" s="700"/>
      <c r="Q62" s="341"/>
      <c r="R62" s="341"/>
      <c r="S62" s="342"/>
      <c r="T62" s="700"/>
      <c r="U62" s="596"/>
      <c r="V62" s="343"/>
      <c r="W62" s="341"/>
      <c r="X62" s="343"/>
      <c r="Y62" s="343"/>
      <c r="Z62"/>
    </row>
    <row r="63" spans="2:27" ht="16">
      <c r="B63" s="472"/>
      <c r="I63" s="344">
        <v>44823</v>
      </c>
      <c r="J63" s="344"/>
      <c r="K63" s="344"/>
      <c r="L63" s="344"/>
      <c r="M63" s="692"/>
      <c r="N63" s="340"/>
      <c r="O63" s="341"/>
      <c r="P63" s="700"/>
      <c r="Q63" s="341"/>
      <c r="R63" s="341"/>
      <c r="S63" s="342"/>
      <c r="T63" s="700"/>
      <c r="U63" s="596"/>
      <c r="V63" s="343"/>
      <c r="W63" s="341"/>
      <c r="X63" s="343"/>
      <c r="Y63" s="343"/>
      <c r="Z63"/>
    </row>
    <row r="64" spans="2:27" ht="16">
      <c r="B64" s="472"/>
      <c r="J64" s="345" t="s">
        <v>843</v>
      </c>
      <c r="K64" s="345"/>
      <c r="L64" s="345"/>
      <c r="M64" s="692"/>
      <c r="N64" s="340"/>
      <c r="O64" s="341"/>
      <c r="P64" s="700"/>
      <c r="Q64" s="341"/>
      <c r="R64" s="341"/>
      <c r="S64" s="342"/>
      <c r="T64" s="700"/>
      <c r="U64" s="596"/>
      <c r="V64" s="343"/>
      <c r="W64" s="341"/>
      <c r="X64" s="343"/>
      <c r="Y64" s="343"/>
      <c r="Z64"/>
    </row>
    <row r="65" spans="2:26" ht="16">
      <c r="B65" s="472"/>
      <c r="K65" s="3" t="s">
        <v>843</v>
      </c>
      <c r="L65" s="3"/>
      <c r="M65" s="692"/>
      <c r="N65" s="340"/>
      <c r="O65" s="341"/>
      <c r="P65" s="700"/>
      <c r="Q65" s="341"/>
      <c r="R65" s="341"/>
      <c r="S65" s="342"/>
      <c r="T65" s="700"/>
      <c r="U65" s="596"/>
      <c r="V65" s="343"/>
      <c r="W65" s="341"/>
      <c r="X65" s="343"/>
      <c r="Y65" s="343"/>
      <c r="Z65"/>
    </row>
    <row r="66" spans="2:26" ht="16">
      <c r="B66" s="472"/>
      <c r="L66" s="691" t="s">
        <v>843</v>
      </c>
      <c r="M66" s="692">
        <v>7202.83</v>
      </c>
      <c r="N66" s="340">
        <v>1</v>
      </c>
      <c r="O66" s="341">
        <v>19.976800000000001</v>
      </c>
      <c r="P66" s="700">
        <v>143889.49434400001</v>
      </c>
      <c r="Q66" s="341">
        <v>124.571</v>
      </c>
      <c r="R66" s="341">
        <v>0</v>
      </c>
      <c r="S66" s="342">
        <v>0</v>
      </c>
      <c r="T66" s="700">
        <v>0</v>
      </c>
      <c r="U66" s="596"/>
      <c r="V66" s="343">
        <v>0</v>
      </c>
      <c r="W66" s="341">
        <v>0</v>
      </c>
      <c r="X66" s="343">
        <v>0</v>
      </c>
      <c r="Y66" s="343">
        <v>0</v>
      </c>
      <c r="Z66"/>
    </row>
    <row r="67" spans="2:26" ht="16">
      <c r="M67" s="692"/>
      <c r="N67" s="340"/>
      <c r="O67" s="341"/>
      <c r="P67" s="700"/>
      <c r="Q67" s="341"/>
      <c r="R67" s="341"/>
      <c r="S67" s="342"/>
      <c r="T67" s="700"/>
      <c r="U67" s="596"/>
      <c r="V67" s="343"/>
      <c r="W67" s="341"/>
      <c r="X67" s="343"/>
      <c r="Y67" s="343"/>
      <c r="Z67"/>
    </row>
    <row r="68" spans="2:26" ht="16">
      <c r="B68" s="472"/>
      <c r="F68" s="580" t="s">
        <v>894</v>
      </c>
      <c r="G68" s="580"/>
      <c r="H68" s="580"/>
      <c r="I68" s="580"/>
      <c r="J68" s="580"/>
      <c r="K68" s="580"/>
      <c r="L68" s="580"/>
      <c r="M68" s="705">
        <v>7202.83</v>
      </c>
      <c r="N68" s="664">
        <v>1</v>
      </c>
      <c r="O68" s="582">
        <v>19.976800000000001</v>
      </c>
      <c r="P68" s="708">
        <v>143889.49434400001</v>
      </c>
      <c r="Q68" s="582">
        <v>124.571</v>
      </c>
      <c r="R68" s="582">
        <v>0</v>
      </c>
      <c r="S68" s="583">
        <v>0</v>
      </c>
      <c r="T68" s="708">
        <v>0</v>
      </c>
      <c r="U68" s="599"/>
      <c r="V68" s="581">
        <v>0</v>
      </c>
      <c r="W68" s="582">
        <v>0</v>
      </c>
      <c r="X68" s="581">
        <v>0</v>
      </c>
      <c r="Y68" s="581">
        <v>0</v>
      </c>
      <c r="Z68"/>
    </row>
    <row r="69" spans="2:26" ht="16">
      <c r="M69" s="692"/>
      <c r="N69" s="340"/>
      <c r="O69" s="341"/>
      <c r="P69" s="700"/>
      <c r="Q69" s="341"/>
      <c r="R69" s="341"/>
      <c r="S69" s="342"/>
      <c r="T69" s="700"/>
      <c r="U69" s="596"/>
      <c r="V69" s="343"/>
      <c r="W69" s="341"/>
      <c r="X69" s="343"/>
      <c r="Y69" s="343"/>
      <c r="Z69"/>
    </row>
    <row r="70" spans="2:26" ht="16">
      <c r="B70" s="472"/>
      <c r="F70" s="1" t="s">
        <v>837</v>
      </c>
      <c r="M70" s="692"/>
      <c r="N70" s="340"/>
      <c r="O70" s="341"/>
      <c r="P70" s="700"/>
      <c r="Q70" s="341"/>
      <c r="R70" s="341"/>
      <c r="S70" s="342"/>
      <c r="T70" s="700"/>
      <c r="U70" s="596"/>
      <c r="V70" s="343"/>
      <c r="W70" s="341"/>
      <c r="X70" s="343"/>
      <c r="Y70" s="343"/>
      <c r="Z70"/>
    </row>
    <row r="71" spans="2:26" ht="16">
      <c r="B71" s="472"/>
      <c r="G71" s="691">
        <v>-7</v>
      </c>
      <c r="H71" s="691"/>
      <c r="I71" s="691"/>
      <c r="J71" s="691"/>
      <c r="K71" s="691"/>
      <c r="L71" s="691"/>
      <c r="M71" s="692"/>
      <c r="N71" s="340"/>
      <c r="O71" s="341"/>
      <c r="P71" s="700"/>
      <c r="Q71" s="341"/>
      <c r="R71" s="341"/>
      <c r="S71" s="342"/>
      <c r="T71" s="700"/>
      <c r="U71" s="596"/>
      <c r="V71" s="343"/>
      <c r="W71" s="341"/>
      <c r="X71" s="343"/>
      <c r="Y71" s="343"/>
      <c r="Z71"/>
    </row>
    <row r="72" spans="2:26" ht="16">
      <c r="B72" s="472"/>
      <c r="H72" s="3" t="s">
        <v>268</v>
      </c>
      <c r="I72" s="3"/>
      <c r="J72" s="3"/>
      <c r="K72" s="3"/>
      <c r="L72" s="3"/>
      <c r="M72" s="692"/>
      <c r="N72" s="340"/>
      <c r="O72" s="341"/>
      <c r="P72" s="700"/>
      <c r="Q72" s="341"/>
      <c r="R72" s="341"/>
      <c r="S72" s="342"/>
      <c r="T72" s="700"/>
      <c r="U72" s="596"/>
      <c r="V72" s="343"/>
      <c r="W72" s="341"/>
      <c r="X72" s="343"/>
      <c r="Y72" s="343"/>
      <c r="Z72"/>
    </row>
    <row r="73" spans="2:26" ht="16">
      <c r="B73" s="472"/>
      <c r="I73" s="344">
        <v>44910</v>
      </c>
      <c r="J73" s="344"/>
      <c r="K73" s="344"/>
      <c r="L73" s="344"/>
      <c r="M73" s="692"/>
      <c r="N73" s="340"/>
      <c r="O73" s="341"/>
      <c r="P73" s="700"/>
      <c r="Q73" s="341"/>
      <c r="R73" s="341"/>
      <c r="S73" s="342"/>
      <c r="T73" s="700"/>
      <c r="U73" s="596"/>
      <c r="V73" s="343"/>
      <c r="W73" s="341"/>
      <c r="X73" s="343"/>
      <c r="Y73" s="343"/>
      <c r="Z73"/>
    </row>
    <row r="74" spans="2:26" ht="16">
      <c r="B74" s="472"/>
      <c r="J74" s="345" t="s">
        <v>843</v>
      </c>
      <c r="K74" s="345"/>
      <c r="L74" s="345"/>
      <c r="M74" s="692"/>
      <c r="N74" s="340"/>
      <c r="O74" s="341"/>
      <c r="P74" s="700"/>
      <c r="Q74" s="341"/>
      <c r="R74" s="341"/>
      <c r="S74" s="342"/>
      <c r="T74" s="700"/>
      <c r="U74" s="596"/>
      <c r="V74" s="343"/>
      <c r="W74" s="341"/>
      <c r="X74" s="343"/>
      <c r="Y74" s="343"/>
      <c r="Z74"/>
    </row>
    <row r="75" spans="2:26" ht="16">
      <c r="B75" s="472"/>
      <c r="K75" s="3" t="s">
        <v>843</v>
      </c>
      <c r="L75" s="3"/>
      <c r="M75" s="692"/>
      <c r="N75" s="340"/>
      <c r="O75" s="341"/>
      <c r="P75" s="700"/>
      <c r="Q75" s="341"/>
      <c r="R75" s="341"/>
      <c r="S75" s="342"/>
      <c r="T75" s="700"/>
      <c r="U75" s="596"/>
      <c r="V75" s="343"/>
      <c r="W75" s="341"/>
      <c r="X75" s="343"/>
      <c r="Y75" s="343"/>
      <c r="Z75"/>
    </row>
    <row r="76" spans="2:26" ht="16">
      <c r="B76" s="472"/>
      <c r="L76" s="691" t="s">
        <v>843</v>
      </c>
      <c r="M76" s="692">
        <v>4976.88</v>
      </c>
      <c r="N76" s="340">
        <v>1</v>
      </c>
      <c r="O76" s="341">
        <v>19.645800000000001</v>
      </c>
      <c r="P76" s="700">
        <v>97774.78910400001</v>
      </c>
      <c r="Q76" s="341">
        <v>126.47799999999999</v>
      </c>
      <c r="R76" s="341">
        <v>0</v>
      </c>
      <c r="S76" s="342">
        <v>0</v>
      </c>
      <c r="T76" s="700">
        <v>0</v>
      </c>
      <c r="U76" s="596"/>
      <c r="V76" s="343">
        <v>0</v>
      </c>
      <c r="W76" s="341">
        <v>0</v>
      </c>
      <c r="X76" s="343">
        <v>0</v>
      </c>
      <c r="Y76" s="343">
        <v>0</v>
      </c>
      <c r="Z76"/>
    </row>
    <row r="77" spans="2:26" ht="16">
      <c r="M77" s="692"/>
      <c r="N77" s="340"/>
      <c r="O77" s="341"/>
      <c r="P77" s="700"/>
      <c r="Q77" s="341"/>
      <c r="R77" s="341"/>
      <c r="S77" s="342"/>
      <c r="T77" s="700"/>
      <c r="U77" s="596"/>
      <c r="V77" s="343"/>
      <c r="W77" s="341"/>
      <c r="X77" s="343"/>
      <c r="Y77" s="343"/>
      <c r="Z77"/>
    </row>
    <row r="78" spans="2:26" ht="16">
      <c r="B78" s="472"/>
      <c r="F78" s="580" t="s">
        <v>895</v>
      </c>
      <c r="G78" s="580"/>
      <c r="H78" s="580"/>
      <c r="I78" s="580"/>
      <c r="J78" s="580"/>
      <c r="K78" s="580"/>
      <c r="L78" s="580"/>
      <c r="M78" s="705">
        <v>4976.88</v>
      </c>
      <c r="N78" s="664">
        <v>1</v>
      </c>
      <c r="O78" s="582">
        <v>19.645800000000001</v>
      </c>
      <c r="P78" s="708">
        <v>97774.78910400001</v>
      </c>
      <c r="Q78" s="582">
        <v>126.47799999999999</v>
      </c>
      <c r="R78" s="582">
        <v>0</v>
      </c>
      <c r="S78" s="583">
        <v>0</v>
      </c>
      <c r="T78" s="708">
        <v>0</v>
      </c>
      <c r="U78" s="599"/>
      <c r="V78" s="581">
        <v>0</v>
      </c>
      <c r="W78" s="582">
        <v>0</v>
      </c>
      <c r="X78" s="581">
        <v>0</v>
      </c>
      <c r="Y78" s="581">
        <v>0</v>
      </c>
      <c r="Z78"/>
    </row>
    <row r="79" spans="2:26" ht="16">
      <c r="M79" s="692"/>
      <c r="N79" s="340"/>
      <c r="O79" s="341"/>
      <c r="P79" s="700"/>
      <c r="Q79" s="341"/>
      <c r="R79" s="341"/>
      <c r="S79" s="342"/>
      <c r="T79" s="700"/>
      <c r="U79" s="596"/>
      <c r="V79" s="343"/>
      <c r="W79" s="341"/>
      <c r="X79" s="343"/>
      <c r="Y79" s="343"/>
      <c r="Z79"/>
    </row>
    <row r="80" spans="2:26" ht="16">
      <c r="B80" s="472"/>
      <c r="F80" s="1" t="s">
        <v>836</v>
      </c>
      <c r="M80" s="692"/>
      <c r="N80" s="340"/>
      <c r="O80" s="341"/>
      <c r="P80" s="700"/>
      <c r="Q80" s="341"/>
      <c r="R80" s="341"/>
      <c r="S80" s="342"/>
      <c r="T80" s="700"/>
      <c r="U80" s="596"/>
      <c r="V80" s="343"/>
      <c r="W80" s="341"/>
      <c r="X80" s="343"/>
      <c r="Y80" s="343"/>
      <c r="Z80"/>
    </row>
    <row r="81" spans="2:26" ht="16">
      <c r="B81" s="472"/>
      <c r="G81" s="691">
        <v>-7</v>
      </c>
      <c r="H81" s="691"/>
      <c r="I81" s="691"/>
      <c r="J81" s="691"/>
      <c r="K81" s="691"/>
      <c r="L81" s="691"/>
      <c r="M81" s="692"/>
      <c r="N81" s="340"/>
      <c r="O81" s="341"/>
      <c r="P81" s="700"/>
      <c r="Q81" s="341"/>
      <c r="R81" s="341"/>
      <c r="S81" s="342"/>
      <c r="T81" s="700"/>
      <c r="U81" s="596"/>
      <c r="V81" s="343"/>
      <c r="W81" s="341"/>
      <c r="X81" s="343"/>
      <c r="Y81" s="343"/>
      <c r="Z81"/>
    </row>
    <row r="82" spans="2:26" ht="16">
      <c r="B82" s="472"/>
      <c r="H82" s="3" t="s">
        <v>268</v>
      </c>
      <c r="I82" s="3"/>
      <c r="J82" s="3"/>
      <c r="K82" s="3"/>
      <c r="L82" s="3"/>
      <c r="M82" s="692"/>
      <c r="N82" s="340"/>
      <c r="O82" s="341"/>
      <c r="P82" s="700"/>
      <c r="Q82" s="341"/>
      <c r="R82" s="341"/>
      <c r="S82" s="342"/>
      <c r="T82" s="700"/>
      <c r="U82" s="596"/>
      <c r="V82" s="343"/>
      <c r="W82" s="341"/>
      <c r="X82" s="343"/>
      <c r="Y82" s="343"/>
      <c r="Z82"/>
    </row>
    <row r="83" spans="2:26" ht="16">
      <c r="B83" s="472"/>
      <c r="I83" s="344">
        <v>44903</v>
      </c>
      <c r="J83" s="344"/>
      <c r="K83" s="344"/>
      <c r="L83" s="344"/>
      <c r="M83" s="692"/>
      <c r="N83" s="340"/>
      <c r="O83" s="341"/>
      <c r="P83" s="700"/>
      <c r="Q83" s="341"/>
      <c r="R83" s="341"/>
      <c r="S83" s="342"/>
      <c r="T83" s="700"/>
      <c r="U83" s="596"/>
      <c r="V83" s="343"/>
      <c r="W83" s="341"/>
      <c r="X83" s="343"/>
      <c r="Y83" s="343"/>
      <c r="Z83"/>
    </row>
    <row r="84" spans="2:26" ht="16">
      <c r="B84" s="472"/>
      <c r="J84" s="345" t="s">
        <v>843</v>
      </c>
      <c r="K84" s="345"/>
      <c r="L84" s="345"/>
      <c r="M84" s="692"/>
      <c r="N84" s="340"/>
      <c r="O84" s="341"/>
      <c r="P84" s="700"/>
      <c r="Q84" s="341"/>
      <c r="R84" s="341"/>
      <c r="S84" s="342"/>
      <c r="T84" s="700"/>
      <c r="U84" s="596"/>
      <c r="V84" s="343"/>
      <c r="W84" s="341"/>
      <c r="X84" s="343"/>
      <c r="Y84" s="343"/>
      <c r="Z84"/>
    </row>
    <row r="85" spans="2:26" ht="16">
      <c r="B85" s="472"/>
      <c r="K85" s="3" t="s">
        <v>843</v>
      </c>
      <c r="L85" s="3"/>
      <c r="M85" s="692"/>
      <c r="N85" s="340"/>
      <c r="O85" s="341"/>
      <c r="P85" s="700"/>
      <c r="Q85" s="341"/>
      <c r="R85" s="341"/>
      <c r="S85" s="342"/>
      <c r="T85" s="700"/>
      <c r="U85" s="596"/>
      <c r="V85" s="343"/>
      <c r="W85" s="341"/>
      <c r="X85" s="343"/>
      <c r="Y85" s="343"/>
      <c r="Z85"/>
    </row>
    <row r="86" spans="2:26" ht="16">
      <c r="B86" s="472"/>
      <c r="L86" s="691" t="s">
        <v>843</v>
      </c>
      <c r="M86" s="692">
        <v>3317.92</v>
      </c>
      <c r="N86" s="340">
        <v>1</v>
      </c>
      <c r="O86" s="341">
        <v>19.803000000000001</v>
      </c>
      <c r="P86" s="700">
        <v>65704.76976000001</v>
      </c>
      <c r="Q86" s="341">
        <v>126.47799999999999</v>
      </c>
      <c r="R86" s="341">
        <v>0</v>
      </c>
      <c r="S86" s="342">
        <v>0</v>
      </c>
      <c r="T86" s="700">
        <v>0</v>
      </c>
      <c r="U86" s="596"/>
      <c r="V86" s="343">
        <v>0</v>
      </c>
      <c r="W86" s="341">
        <v>0</v>
      </c>
      <c r="X86" s="343">
        <v>0</v>
      </c>
      <c r="Y86" s="343">
        <v>0</v>
      </c>
      <c r="Z86"/>
    </row>
    <row r="87" spans="2:26" ht="16">
      <c r="M87" s="692"/>
      <c r="N87" s="340"/>
      <c r="O87" s="341"/>
      <c r="P87" s="700"/>
      <c r="Q87" s="341"/>
      <c r="R87" s="341"/>
      <c r="S87" s="342"/>
      <c r="T87" s="700"/>
      <c r="U87" s="596"/>
      <c r="V87" s="343"/>
      <c r="W87" s="341"/>
      <c r="X87" s="343"/>
      <c r="Y87" s="343"/>
      <c r="Z87"/>
    </row>
    <row r="88" spans="2:26" ht="16">
      <c r="B88" s="472"/>
      <c r="F88" s="580" t="s">
        <v>896</v>
      </c>
      <c r="G88" s="580"/>
      <c r="H88" s="580"/>
      <c r="I88" s="580"/>
      <c r="J88" s="580"/>
      <c r="K88" s="580"/>
      <c r="L88" s="580"/>
      <c r="M88" s="705">
        <v>3317.92</v>
      </c>
      <c r="N88" s="664">
        <v>1</v>
      </c>
      <c r="O88" s="582">
        <v>19.803000000000001</v>
      </c>
      <c r="P88" s="708">
        <v>65704.76976000001</v>
      </c>
      <c r="Q88" s="582">
        <v>126.47799999999999</v>
      </c>
      <c r="R88" s="582">
        <v>0</v>
      </c>
      <c r="S88" s="583">
        <v>0</v>
      </c>
      <c r="T88" s="708">
        <v>0</v>
      </c>
      <c r="U88" s="599"/>
      <c r="V88" s="581">
        <v>0</v>
      </c>
      <c r="W88" s="582">
        <v>0</v>
      </c>
      <c r="X88" s="581">
        <v>0</v>
      </c>
      <c r="Y88" s="581">
        <v>0</v>
      </c>
      <c r="Z88"/>
    </row>
    <row r="89" spans="2:26" ht="16">
      <c r="M89" s="692"/>
      <c r="N89" s="340"/>
      <c r="O89" s="341"/>
      <c r="P89" s="700"/>
      <c r="Q89" s="341"/>
      <c r="R89" s="341"/>
      <c r="S89" s="342"/>
      <c r="T89" s="700"/>
      <c r="U89" s="596"/>
      <c r="V89" s="343"/>
      <c r="W89" s="341"/>
      <c r="X89" s="343"/>
      <c r="Y89" s="343"/>
      <c r="Z89"/>
    </row>
    <row r="90" spans="2:26" ht="16">
      <c r="B90" s="472"/>
      <c r="F90" s="1" t="s">
        <v>829</v>
      </c>
      <c r="M90" s="692"/>
      <c r="N90" s="340"/>
      <c r="O90" s="341"/>
      <c r="P90" s="700"/>
      <c r="Q90" s="341"/>
      <c r="R90" s="341"/>
      <c r="S90" s="342"/>
      <c r="T90" s="700"/>
      <c r="U90" s="596"/>
      <c r="V90" s="343"/>
      <c r="W90" s="341"/>
      <c r="X90" s="343"/>
      <c r="Y90" s="343"/>
      <c r="Z90"/>
    </row>
    <row r="91" spans="2:26" ht="16">
      <c r="B91" s="472"/>
      <c r="G91" s="691">
        <v>-7</v>
      </c>
      <c r="H91" s="691"/>
      <c r="I91" s="691"/>
      <c r="J91" s="691"/>
      <c r="K91" s="691"/>
      <c r="L91" s="691"/>
      <c r="M91" s="692"/>
      <c r="N91" s="340"/>
      <c r="O91" s="341"/>
      <c r="P91" s="700"/>
      <c r="Q91" s="341"/>
      <c r="R91" s="341"/>
      <c r="S91" s="342"/>
      <c r="T91" s="700"/>
      <c r="U91" s="596"/>
      <c r="V91" s="343"/>
      <c r="W91" s="341"/>
      <c r="X91" s="343"/>
      <c r="Y91" s="343"/>
      <c r="Z91"/>
    </row>
    <row r="92" spans="2:26" ht="16">
      <c r="B92" s="472"/>
      <c r="H92" s="3" t="s">
        <v>268</v>
      </c>
      <c r="I92" s="3"/>
      <c r="J92" s="3"/>
      <c r="K92" s="3"/>
      <c r="L92" s="3"/>
      <c r="M92" s="692"/>
      <c r="N92" s="340"/>
      <c r="O92" s="341"/>
      <c r="P92" s="700"/>
      <c r="Q92" s="341"/>
      <c r="R92" s="341"/>
      <c r="S92" s="342"/>
      <c r="T92" s="700"/>
      <c r="U92" s="596"/>
      <c r="V92" s="343"/>
      <c r="W92" s="341"/>
      <c r="X92" s="343"/>
      <c r="Y92" s="343"/>
      <c r="Z92"/>
    </row>
    <row r="93" spans="2:26" ht="16">
      <c r="B93" s="472"/>
      <c r="I93" s="344">
        <v>44888</v>
      </c>
      <c r="J93" s="344"/>
      <c r="K93" s="344"/>
      <c r="L93" s="344"/>
      <c r="M93" s="692"/>
      <c r="N93" s="340"/>
      <c r="O93" s="341"/>
      <c r="P93" s="700"/>
      <c r="Q93" s="341"/>
      <c r="R93" s="341"/>
      <c r="S93" s="342"/>
      <c r="T93" s="700"/>
      <c r="U93" s="596"/>
      <c r="V93" s="343"/>
      <c r="W93" s="341"/>
      <c r="X93" s="343"/>
      <c r="Y93" s="343"/>
      <c r="Z93"/>
    </row>
    <row r="94" spans="2:26" ht="16">
      <c r="B94" s="472"/>
      <c r="J94" s="345" t="s">
        <v>843</v>
      </c>
      <c r="K94" s="345"/>
      <c r="L94" s="345"/>
      <c r="M94" s="692"/>
      <c r="N94" s="340"/>
      <c r="O94" s="341"/>
      <c r="P94" s="700"/>
      <c r="Q94" s="341"/>
      <c r="R94" s="341"/>
      <c r="S94" s="342"/>
      <c r="T94" s="700"/>
      <c r="U94" s="596"/>
      <c r="V94" s="343"/>
      <c r="W94" s="341"/>
      <c r="X94" s="343"/>
      <c r="Y94" s="343"/>
      <c r="Z94"/>
    </row>
    <row r="95" spans="2:26" ht="16">
      <c r="B95" s="472"/>
      <c r="K95" s="3" t="s">
        <v>843</v>
      </c>
      <c r="L95" s="3"/>
      <c r="M95" s="692"/>
      <c r="N95" s="340"/>
      <c r="O95" s="341"/>
      <c r="P95" s="700"/>
      <c r="Q95" s="341"/>
      <c r="R95" s="341"/>
      <c r="S95" s="342"/>
      <c r="T95" s="700"/>
      <c r="U95" s="596"/>
      <c r="V95" s="343"/>
      <c r="W95" s="341"/>
      <c r="X95" s="343"/>
      <c r="Y95" s="343"/>
      <c r="Z95"/>
    </row>
    <row r="96" spans="2:26" ht="16">
      <c r="B96" s="472"/>
      <c r="L96" s="691" t="s">
        <v>843</v>
      </c>
      <c r="M96" s="692">
        <v>2176.94</v>
      </c>
      <c r="N96" s="340">
        <v>1</v>
      </c>
      <c r="O96" s="341">
        <v>19.492999999999999</v>
      </c>
      <c r="P96" s="700">
        <v>42435.091419999997</v>
      </c>
      <c r="Q96" s="341">
        <v>125.997</v>
      </c>
      <c r="R96" s="341">
        <v>0</v>
      </c>
      <c r="S96" s="342">
        <v>0</v>
      </c>
      <c r="T96" s="700">
        <v>0</v>
      </c>
      <c r="U96" s="596"/>
      <c r="V96" s="343">
        <v>0</v>
      </c>
      <c r="W96" s="341">
        <v>0</v>
      </c>
      <c r="X96" s="343">
        <v>0</v>
      </c>
      <c r="Y96" s="343">
        <v>0</v>
      </c>
      <c r="Z96"/>
    </row>
    <row r="97" spans="2:26" ht="16">
      <c r="M97" s="692"/>
      <c r="N97" s="340"/>
      <c r="O97" s="341"/>
      <c r="P97" s="700"/>
      <c r="Q97" s="341"/>
      <c r="R97" s="341"/>
      <c r="S97" s="342"/>
      <c r="T97" s="700"/>
      <c r="U97" s="596"/>
      <c r="V97" s="343"/>
      <c r="W97" s="341"/>
      <c r="X97" s="343"/>
      <c r="Y97" s="343"/>
      <c r="Z97"/>
    </row>
    <row r="98" spans="2:26" ht="16">
      <c r="B98" s="472"/>
      <c r="F98" s="580" t="s">
        <v>897</v>
      </c>
      <c r="G98" s="580"/>
      <c r="H98" s="580"/>
      <c r="I98" s="580"/>
      <c r="J98" s="580"/>
      <c r="K98" s="580"/>
      <c r="L98" s="580"/>
      <c r="M98" s="705">
        <v>2176.94</v>
      </c>
      <c r="N98" s="664">
        <v>1</v>
      </c>
      <c r="O98" s="582">
        <v>19.492999999999999</v>
      </c>
      <c r="P98" s="708">
        <v>42435.091419999997</v>
      </c>
      <c r="Q98" s="582">
        <v>125.997</v>
      </c>
      <c r="R98" s="582">
        <v>0</v>
      </c>
      <c r="S98" s="583">
        <v>0</v>
      </c>
      <c r="T98" s="708">
        <v>0</v>
      </c>
      <c r="U98" s="599"/>
      <c r="V98" s="581">
        <v>0</v>
      </c>
      <c r="W98" s="582">
        <v>0</v>
      </c>
      <c r="X98" s="581">
        <v>0</v>
      </c>
      <c r="Y98" s="581">
        <v>0</v>
      </c>
      <c r="Z98"/>
    </row>
    <row r="99" spans="2:26" ht="16">
      <c r="M99" s="692"/>
      <c r="N99" s="340"/>
      <c r="O99" s="341"/>
      <c r="P99" s="700"/>
      <c r="Q99" s="341"/>
      <c r="R99" s="341"/>
      <c r="S99" s="342"/>
      <c r="T99" s="700"/>
      <c r="U99" s="596"/>
      <c r="V99" s="343"/>
      <c r="W99" s="341"/>
      <c r="X99" s="343"/>
      <c r="Y99" s="343"/>
      <c r="Z99"/>
    </row>
    <row r="100" spans="2:26" ht="16">
      <c r="B100" s="472"/>
      <c r="F100" s="1" t="s">
        <v>835</v>
      </c>
      <c r="M100" s="692"/>
      <c r="N100" s="340"/>
      <c r="O100" s="341"/>
      <c r="P100" s="700"/>
      <c r="Q100" s="341"/>
      <c r="R100" s="341"/>
      <c r="S100" s="342"/>
      <c r="T100" s="700"/>
      <c r="U100" s="596"/>
      <c r="V100" s="343"/>
      <c r="W100" s="341"/>
      <c r="X100" s="343"/>
      <c r="Y100" s="343"/>
      <c r="Z100"/>
    </row>
    <row r="101" spans="2:26" ht="16">
      <c r="B101" s="472"/>
      <c r="G101" s="691">
        <v>-7</v>
      </c>
      <c r="H101" s="691"/>
      <c r="I101" s="691"/>
      <c r="J101" s="691"/>
      <c r="K101" s="691"/>
      <c r="L101" s="691"/>
      <c r="M101" s="692"/>
      <c r="N101" s="340"/>
      <c r="O101" s="341"/>
      <c r="P101" s="700"/>
      <c r="Q101" s="341"/>
      <c r="R101" s="341"/>
      <c r="S101" s="342"/>
      <c r="T101" s="700"/>
      <c r="U101" s="596"/>
      <c r="V101" s="343"/>
      <c r="W101" s="341"/>
      <c r="X101" s="343"/>
      <c r="Y101" s="343"/>
      <c r="Z101"/>
    </row>
    <row r="102" spans="2:26" ht="16">
      <c r="B102" s="472"/>
      <c r="H102" s="3" t="s">
        <v>268</v>
      </c>
      <c r="I102" s="3"/>
      <c r="J102" s="3"/>
      <c r="K102" s="3"/>
      <c r="L102" s="3"/>
      <c r="M102" s="692"/>
      <c r="N102" s="340"/>
      <c r="O102" s="341"/>
      <c r="P102" s="700"/>
      <c r="Q102" s="341"/>
      <c r="R102" s="341"/>
      <c r="S102" s="342"/>
      <c r="T102" s="700"/>
      <c r="U102" s="596"/>
      <c r="V102" s="343"/>
      <c r="W102" s="341"/>
      <c r="X102" s="343"/>
      <c r="Y102" s="343"/>
      <c r="Z102"/>
    </row>
    <row r="103" spans="2:26" ht="16">
      <c r="B103" s="472"/>
      <c r="I103" s="344">
        <v>44897</v>
      </c>
      <c r="J103" s="344"/>
      <c r="K103" s="344"/>
      <c r="L103" s="344"/>
      <c r="M103" s="692"/>
      <c r="N103" s="340"/>
      <c r="O103" s="341"/>
      <c r="P103" s="700"/>
      <c r="Q103" s="341"/>
      <c r="R103" s="341"/>
      <c r="S103" s="342"/>
      <c r="T103" s="700"/>
      <c r="U103" s="596"/>
      <c r="V103" s="343"/>
      <c r="W103" s="341"/>
      <c r="X103" s="343"/>
      <c r="Y103" s="343"/>
      <c r="Z103"/>
    </row>
    <row r="104" spans="2:26" ht="16">
      <c r="B104" s="472"/>
      <c r="J104" s="345" t="s">
        <v>843</v>
      </c>
      <c r="K104" s="345"/>
      <c r="L104" s="345"/>
      <c r="M104" s="692"/>
      <c r="N104" s="340"/>
      <c r="O104" s="341"/>
      <c r="P104" s="700"/>
      <c r="Q104" s="341"/>
      <c r="R104" s="341"/>
      <c r="S104" s="342"/>
      <c r="T104" s="700"/>
      <c r="U104" s="596"/>
      <c r="V104" s="343"/>
      <c r="W104" s="341"/>
      <c r="X104" s="343"/>
      <c r="Y104" s="343"/>
      <c r="Z104"/>
    </row>
    <row r="105" spans="2:26" ht="16">
      <c r="B105" s="472"/>
      <c r="K105" s="3" t="s">
        <v>843</v>
      </c>
      <c r="L105" s="3"/>
      <c r="M105" s="692"/>
      <c r="N105" s="340"/>
      <c r="O105" s="341"/>
      <c r="P105" s="700"/>
      <c r="Q105" s="341"/>
      <c r="R105" s="341"/>
      <c r="S105" s="342"/>
      <c r="T105" s="700"/>
      <c r="U105" s="596"/>
      <c r="V105" s="343"/>
      <c r="W105" s="341"/>
      <c r="X105" s="343"/>
      <c r="Y105" s="343"/>
      <c r="Z105"/>
    </row>
    <row r="106" spans="2:26" ht="16">
      <c r="B106" s="472"/>
      <c r="L106" s="691" t="s">
        <v>843</v>
      </c>
      <c r="M106" s="692">
        <v>2246.8000000000002</v>
      </c>
      <c r="N106" s="340">
        <v>1</v>
      </c>
      <c r="O106" s="341">
        <v>19.3965</v>
      </c>
      <c r="P106" s="700">
        <v>43580.056199999999</v>
      </c>
      <c r="Q106" s="341">
        <v>126.47799999999999</v>
      </c>
      <c r="R106" s="341">
        <v>0</v>
      </c>
      <c r="S106" s="342">
        <v>0</v>
      </c>
      <c r="T106" s="700">
        <v>0</v>
      </c>
      <c r="U106" s="596"/>
      <c r="V106" s="343">
        <v>0</v>
      </c>
      <c r="W106" s="341">
        <v>0</v>
      </c>
      <c r="X106" s="343">
        <v>0</v>
      </c>
      <c r="Y106" s="343">
        <v>0</v>
      </c>
      <c r="Z106"/>
    </row>
    <row r="107" spans="2:26" ht="16">
      <c r="M107" s="692"/>
      <c r="N107" s="340"/>
      <c r="O107" s="341"/>
      <c r="P107" s="700"/>
      <c r="Q107" s="341"/>
      <c r="R107" s="341"/>
      <c r="S107" s="342"/>
      <c r="T107" s="700"/>
      <c r="U107" s="596"/>
      <c r="V107" s="343"/>
      <c r="W107" s="341"/>
      <c r="X107" s="343"/>
      <c r="Y107" s="343"/>
      <c r="Z107"/>
    </row>
    <row r="108" spans="2:26" ht="16">
      <c r="B108" s="472"/>
      <c r="F108" s="580" t="s">
        <v>898</v>
      </c>
      <c r="G108" s="580"/>
      <c r="H108" s="580"/>
      <c r="I108" s="580"/>
      <c r="J108" s="580"/>
      <c r="K108" s="580"/>
      <c r="L108" s="580"/>
      <c r="M108" s="705">
        <v>2246.8000000000002</v>
      </c>
      <c r="N108" s="664">
        <v>1</v>
      </c>
      <c r="O108" s="582">
        <v>19.3965</v>
      </c>
      <c r="P108" s="708">
        <v>43580.056199999999</v>
      </c>
      <c r="Q108" s="582">
        <v>126.47799999999999</v>
      </c>
      <c r="R108" s="582">
        <v>0</v>
      </c>
      <c r="S108" s="583">
        <v>0</v>
      </c>
      <c r="T108" s="708">
        <v>0</v>
      </c>
      <c r="U108" s="599"/>
      <c r="V108" s="581">
        <v>0</v>
      </c>
      <c r="W108" s="582">
        <v>0</v>
      </c>
      <c r="X108" s="581">
        <v>0</v>
      </c>
      <c r="Y108" s="581">
        <v>0</v>
      </c>
      <c r="Z108"/>
    </row>
    <row r="109" spans="2:26" ht="16">
      <c r="M109" s="692"/>
      <c r="N109" s="340"/>
      <c r="O109" s="341"/>
      <c r="P109" s="700"/>
      <c r="Q109" s="341"/>
      <c r="R109" s="341"/>
      <c r="S109" s="342"/>
      <c r="T109" s="700"/>
      <c r="U109" s="596"/>
      <c r="V109" s="343"/>
      <c r="W109" s="341"/>
      <c r="X109" s="343"/>
      <c r="Y109" s="343"/>
      <c r="Z109"/>
    </row>
    <row r="110" spans="2:26" ht="16">
      <c r="B110" s="472"/>
      <c r="E110" s="92" t="s">
        <v>857</v>
      </c>
      <c r="F110" s="92"/>
      <c r="G110" s="92"/>
      <c r="H110" s="92"/>
      <c r="I110" s="92"/>
      <c r="J110" s="92"/>
      <c r="K110" s="92"/>
      <c r="L110" s="92"/>
      <c r="M110" s="693">
        <v>35810.970000000008</v>
      </c>
      <c r="N110" s="661">
        <v>1</v>
      </c>
      <c r="O110" s="662">
        <v>19.73817</v>
      </c>
      <c r="P110" s="709">
        <v>710466.36452299997</v>
      </c>
      <c r="Q110" s="662">
        <v>125.95229999999999</v>
      </c>
      <c r="R110" s="662">
        <v>0</v>
      </c>
      <c r="S110" s="663">
        <v>0</v>
      </c>
      <c r="T110" s="709">
        <v>0</v>
      </c>
      <c r="U110" s="597"/>
      <c r="V110" s="346">
        <v>0</v>
      </c>
      <c r="W110" s="662">
        <v>0</v>
      </c>
      <c r="X110" s="346">
        <v>0</v>
      </c>
      <c r="Y110" s="346">
        <v>0</v>
      </c>
      <c r="Z110"/>
    </row>
    <row r="111" spans="2:26" ht="16">
      <c r="M111" s="692"/>
      <c r="N111" s="340"/>
      <c r="O111" s="341"/>
      <c r="P111" s="700"/>
      <c r="Q111" s="341"/>
      <c r="R111" s="341"/>
      <c r="S111" s="342"/>
      <c r="T111" s="700"/>
      <c r="U111" s="596"/>
      <c r="V111" s="343"/>
      <c r="W111" s="341"/>
      <c r="X111" s="343"/>
      <c r="Y111" s="343"/>
      <c r="Z111"/>
    </row>
    <row r="112" spans="2:26" ht="16">
      <c r="B112" s="472"/>
      <c r="D112" s="584" t="s">
        <v>840</v>
      </c>
      <c r="E112" s="584"/>
      <c r="F112" s="584"/>
      <c r="G112" s="584"/>
      <c r="H112" s="584"/>
      <c r="I112" s="584"/>
      <c r="J112" s="584"/>
      <c r="K112" s="584"/>
      <c r="L112" s="584"/>
      <c r="M112" s="696">
        <v>35810.970000000008</v>
      </c>
      <c r="N112" s="665">
        <v>1</v>
      </c>
      <c r="O112" s="666">
        <v>19.73817</v>
      </c>
      <c r="P112" s="710">
        <v>710466.36452299997</v>
      </c>
      <c r="Q112" s="666">
        <v>125.95229999999999</v>
      </c>
      <c r="R112" s="666">
        <v>0</v>
      </c>
      <c r="S112" s="667">
        <v>0</v>
      </c>
      <c r="T112" s="710">
        <v>0</v>
      </c>
      <c r="U112" s="598"/>
      <c r="V112" s="585">
        <v>0</v>
      </c>
      <c r="W112" s="666">
        <v>0</v>
      </c>
      <c r="X112" s="585">
        <v>0</v>
      </c>
      <c r="Y112" s="585">
        <v>0</v>
      </c>
      <c r="Z112"/>
    </row>
    <row r="113" spans="2:26" ht="16">
      <c r="M113" s="692"/>
      <c r="N113" s="340"/>
      <c r="O113" s="341"/>
      <c r="P113" s="700"/>
      <c r="Q113" s="341"/>
      <c r="R113" s="341"/>
      <c r="S113" s="342"/>
      <c r="T113" s="700"/>
      <c r="U113" s="596"/>
      <c r="V113" s="343"/>
      <c r="W113" s="341"/>
      <c r="X113" s="343"/>
      <c r="Y113" s="343"/>
      <c r="Z113"/>
    </row>
    <row r="114" spans="2:26" ht="16">
      <c r="B114" s="472"/>
      <c r="C114" s="575" t="s">
        <v>841</v>
      </c>
      <c r="D114" s="575"/>
      <c r="E114" s="575"/>
      <c r="F114" s="575"/>
      <c r="G114" s="575"/>
      <c r="H114" s="575"/>
      <c r="I114" s="575"/>
      <c r="J114" s="575"/>
      <c r="K114" s="575"/>
      <c r="L114" s="575"/>
      <c r="M114" s="697">
        <v>35810.970000000008</v>
      </c>
      <c r="N114" s="668">
        <v>1</v>
      </c>
      <c r="O114" s="669">
        <v>19.73817</v>
      </c>
      <c r="P114" s="703">
        <v>710466.36452299997</v>
      </c>
      <c r="Q114" s="669">
        <v>125.95229999999999</v>
      </c>
      <c r="R114" s="669">
        <v>0</v>
      </c>
      <c r="S114" s="670">
        <v>0</v>
      </c>
      <c r="T114" s="703">
        <v>0</v>
      </c>
      <c r="U114" s="595"/>
      <c r="V114" s="576">
        <v>0</v>
      </c>
      <c r="W114" s="669">
        <v>0</v>
      </c>
      <c r="X114" s="576">
        <v>0</v>
      </c>
      <c r="Y114" s="576">
        <v>0</v>
      </c>
      <c r="Z114"/>
    </row>
    <row r="115" spans="2:26" ht="16">
      <c r="M115" s="692"/>
      <c r="N115" s="340"/>
      <c r="O115" s="341"/>
      <c r="P115" s="700"/>
      <c r="Q115" s="341"/>
      <c r="R115" s="341"/>
      <c r="S115" s="342"/>
      <c r="T115" s="700"/>
      <c r="U115" s="596"/>
      <c r="V115" s="343"/>
      <c r="W115" s="341"/>
      <c r="X115" s="343"/>
      <c r="Y115" s="343"/>
      <c r="Z115"/>
    </row>
    <row r="116" spans="2:26" ht="16">
      <c r="B116" s="472" t="s">
        <v>776</v>
      </c>
      <c r="C116" s="472"/>
      <c r="D116" s="472"/>
      <c r="E116" s="472"/>
      <c r="F116" s="472"/>
      <c r="G116" s="472"/>
      <c r="H116" s="472"/>
      <c r="I116" s="472"/>
      <c r="J116" s="472"/>
      <c r="K116" s="472"/>
      <c r="L116" s="472"/>
      <c r="M116" s="692"/>
      <c r="N116" s="340"/>
      <c r="O116" s="341"/>
      <c r="P116" s="700"/>
      <c r="Q116" s="341"/>
      <c r="R116" s="341"/>
      <c r="S116" s="342"/>
      <c r="T116" s="700"/>
      <c r="U116" s="596"/>
      <c r="V116" s="343"/>
      <c r="W116" s="341"/>
      <c r="X116" s="343"/>
      <c r="Y116" s="343"/>
      <c r="Z116"/>
    </row>
    <row r="117" spans="2:26" ht="16">
      <c r="C117" s="67" t="s">
        <v>775</v>
      </c>
      <c r="D117" s="67"/>
      <c r="E117" s="67"/>
      <c r="F117" s="67"/>
      <c r="G117" s="67"/>
      <c r="H117" s="67"/>
      <c r="I117" s="67"/>
      <c r="J117" s="67"/>
      <c r="K117" s="67"/>
      <c r="L117" s="67"/>
      <c r="M117" s="692"/>
      <c r="N117" s="340"/>
      <c r="O117" s="341"/>
      <c r="P117" s="700"/>
      <c r="Q117" s="341"/>
      <c r="R117" s="341"/>
      <c r="S117" s="342"/>
      <c r="T117" s="700"/>
      <c r="U117" s="596"/>
      <c r="V117" s="343"/>
      <c r="W117" s="341"/>
      <c r="X117" s="343"/>
      <c r="Y117" s="343"/>
      <c r="Z117"/>
    </row>
    <row r="118" spans="2:26" ht="16">
      <c r="D118" s="1" t="s">
        <v>114</v>
      </c>
      <c r="M118" s="692"/>
      <c r="N118" s="340"/>
      <c r="O118" s="341"/>
      <c r="P118" s="700"/>
      <c r="Q118" s="341"/>
      <c r="R118" s="341"/>
      <c r="S118" s="342"/>
      <c r="T118" s="700"/>
      <c r="U118" s="596"/>
      <c r="V118" s="343"/>
      <c r="W118" s="341"/>
      <c r="X118" s="343"/>
      <c r="Y118" s="343"/>
      <c r="Z118"/>
    </row>
    <row r="119" spans="2:26" ht="16">
      <c r="E119" s="3" t="s">
        <v>851</v>
      </c>
      <c r="F119" s="3"/>
      <c r="G119" s="3"/>
      <c r="H119" s="3"/>
      <c r="I119" s="3"/>
      <c r="J119" s="3"/>
      <c r="K119" s="3"/>
      <c r="L119" s="3"/>
      <c r="M119" s="692"/>
      <c r="N119" s="340"/>
      <c r="O119" s="341"/>
      <c r="P119" s="700"/>
      <c r="Q119" s="341"/>
      <c r="R119" s="341"/>
      <c r="S119" s="342"/>
      <c r="T119" s="700"/>
      <c r="U119" s="596"/>
      <c r="V119" s="343"/>
      <c r="W119" s="341"/>
      <c r="X119" s="343"/>
      <c r="Y119" s="343"/>
      <c r="Z119"/>
    </row>
    <row r="120" spans="2:26" ht="16">
      <c r="F120" s="1" t="s">
        <v>772</v>
      </c>
      <c r="M120" s="692"/>
      <c r="N120" s="340"/>
      <c r="O120" s="341"/>
      <c r="P120" s="700"/>
      <c r="Q120" s="341"/>
      <c r="R120" s="341"/>
      <c r="S120" s="342"/>
      <c r="T120" s="700"/>
      <c r="U120" s="596"/>
      <c r="V120" s="343"/>
      <c r="W120" s="341"/>
      <c r="X120" s="343"/>
      <c r="Y120" s="343"/>
      <c r="Z120"/>
    </row>
    <row r="121" spans="2:26" ht="16">
      <c r="G121" s="691">
        <v>-4</v>
      </c>
      <c r="H121" s="691"/>
      <c r="I121" s="691"/>
      <c r="J121" s="691"/>
      <c r="K121" s="691"/>
      <c r="L121" s="691"/>
      <c r="M121" s="692"/>
      <c r="N121" s="340"/>
      <c r="O121" s="341"/>
      <c r="P121" s="700"/>
      <c r="Q121" s="341"/>
      <c r="R121" s="341"/>
      <c r="S121" s="342"/>
      <c r="T121" s="700"/>
      <c r="U121" s="596"/>
      <c r="V121" s="343"/>
      <c r="W121" s="341"/>
      <c r="X121" s="343"/>
      <c r="Y121" s="343"/>
      <c r="Z121"/>
    </row>
    <row r="122" spans="2:26" ht="16">
      <c r="H122" s="3" t="s">
        <v>268</v>
      </c>
      <c r="I122" s="3"/>
      <c r="J122" s="3"/>
      <c r="K122" s="3"/>
      <c r="L122" s="3"/>
      <c r="M122" s="692"/>
      <c r="N122" s="340"/>
      <c r="O122" s="341"/>
      <c r="P122" s="700"/>
      <c r="Q122" s="341"/>
      <c r="R122" s="341"/>
      <c r="S122" s="342"/>
      <c r="T122" s="700"/>
      <c r="U122" s="596"/>
      <c r="V122" s="343"/>
      <c r="W122" s="341"/>
      <c r="X122" s="343"/>
      <c r="Y122" s="343"/>
      <c r="Z122"/>
    </row>
    <row r="123" spans="2:26" ht="16">
      <c r="I123" s="344">
        <v>44735</v>
      </c>
      <c r="J123" s="344"/>
      <c r="K123" s="344"/>
      <c r="L123" s="344"/>
      <c r="M123" s="692"/>
      <c r="N123" s="340"/>
      <c r="O123" s="341"/>
      <c r="P123" s="700"/>
      <c r="Q123" s="341"/>
      <c r="R123" s="341"/>
      <c r="S123" s="342"/>
      <c r="T123" s="700"/>
      <c r="U123" s="596"/>
      <c r="V123" s="343"/>
      <c r="W123" s="341"/>
      <c r="X123" s="343"/>
      <c r="Y123" s="343"/>
      <c r="Z123"/>
    </row>
    <row r="124" spans="2:26" ht="16">
      <c r="J124" s="345">
        <v>44778</v>
      </c>
      <c r="K124" s="345"/>
      <c r="L124" s="345"/>
      <c r="M124" s="692"/>
      <c r="N124" s="340"/>
      <c r="O124" s="341"/>
      <c r="P124" s="700"/>
      <c r="Q124" s="341"/>
      <c r="R124" s="341"/>
      <c r="S124" s="342"/>
      <c r="T124" s="700"/>
      <c r="U124" s="596"/>
      <c r="V124" s="343"/>
      <c r="W124" s="341"/>
      <c r="X124" s="343"/>
      <c r="Y124" s="343"/>
      <c r="Z124"/>
    </row>
    <row r="125" spans="2:26" ht="16">
      <c r="K125" s="3" t="s">
        <v>267</v>
      </c>
      <c r="L125" s="3"/>
      <c r="M125" s="692"/>
      <c r="N125" s="340"/>
      <c r="O125" s="341"/>
      <c r="P125" s="700"/>
      <c r="Q125" s="341"/>
      <c r="R125" s="341"/>
      <c r="S125" s="342"/>
      <c r="T125" s="700"/>
      <c r="U125" s="596"/>
      <c r="V125" s="343"/>
      <c r="W125" s="341"/>
      <c r="X125" s="343"/>
      <c r="Y125" s="343"/>
      <c r="Z125"/>
    </row>
    <row r="126" spans="2:26" ht="16">
      <c r="L126" s="691">
        <v>4</v>
      </c>
      <c r="M126" s="692">
        <v>2275.94</v>
      </c>
      <c r="N126" s="340">
        <v>1</v>
      </c>
      <c r="O126" s="341">
        <v>20.196300000000001</v>
      </c>
      <c r="P126" s="700">
        <v>45965.567022000003</v>
      </c>
      <c r="Q126" s="341">
        <v>122.044</v>
      </c>
      <c r="R126" s="341">
        <v>123.803</v>
      </c>
      <c r="S126" s="342">
        <v>1.0144</v>
      </c>
      <c r="T126" s="700">
        <v>46627.471187116804</v>
      </c>
      <c r="U126" s="596">
        <v>-432</v>
      </c>
      <c r="V126" s="343">
        <v>1</v>
      </c>
      <c r="W126" s="341">
        <v>20.630500000000001</v>
      </c>
      <c r="X126" s="343">
        <v>-8912.3760000000002</v>
      </c>
      <c r="Y126" s="343">
        <v>37715.095187116807</v>
      </c>
      <c r="Z126"/>
    </row>
    <row r="127" spans="2:26" ht="16">
      <c r="M127" s="692"/>
      <c r="N127" s="340"/>
      <c r="O127" s="341"/>
      <c r="P127" s="700"/>
      <c r="Q127" s="341"/>
      <c r="R127" s="341"/>
      <c r="S127" s="342"/>
      <c r="T127" s="700"/>
      <c r="U127" s="596"/>
      <c r="V127" s="343"/>
      <c r="W127" s="341"/>
      <c r="X127" s="343"/>
      <c r="Y127" s="343"/>
      <c r="Z127"/>
    </row>
    <row r="128" spans="2:26" ht="16">
      <c r="F128" s="580" t="s">
        <v>899</v>
      </c>
      <c r="G128" s="580"/>
      <c r="H128" s="580"/>
      <c r="I128" s="580"/>
      <c r="J128" s="580"/>
      <c r="K128" s="580"/>
      <c r="L128" s="580"/>
      <c r="M128" s="705">
        <v>2275.94</v>
      </c>
      <c r="N128" s="664">
        <v>1</v>
      </c>
      <c r="O128" s="582">
        <v>20.196300000000001</v>
      </c>
      <c r="P128" s="708">
        <v>45965.567022000003</v>
      </c>
      <c r="Q128" s="582">
        <v>122.044</v>
      </c>
      <c r="R128" s="582">
        <v>123.803</v>
      </c>
      <c r="S128" s="583">
        <v>1.0144</v>
      </c>
      <c r="T128" s="708">
        <v>46627.471187116804</v>
      </c>
      <c r="U128" s="599">
        <v>-432</v>
      </c>
      <c r="V128" s="581">
        <v>1</v>
      </c>
      <c r="W128" s="582">
        <v>20.630500000000001</v>
      </c>
      <c r="X128" s="581">
        <v>-8912.3760000000002</v>
      </c>
      <c r="Y128" s="581">
        <v>37715.095187116807</v>
      </c>
      <c r="Z128"/>
    </row>
    <row r="129" spans="6:26" ht="16">
      <c r="M129" s="692"/>
      <c r="N129" s="340"/>
      <c r="O129" s="341"/>
      <c r="P129" s="700"/>
      <c r="Q129" s="341"/>
      <c r="R129" s="341"/>
      <c r="S129" s="342"/>
      <c r="T129" s="700"/>
      <c r="U129" s="596"/>
      <c r="V129" s="343"/>
      <c r="W129" s="341"/>
      <c r="X129" s="343"/>
      <c r="Y129" s="343"/>
      <c r="Z129"/>
    </row>
    <row r="130" spans="6:26" ht="16">
      <c r="F130" s="1" t="s">
        <v>771</v>
      </c>
      <c r="M130" s="692"/>
      <c r="N130" s="340"/>
      <c r="O130" s="341"/>
      <c r="P130" s="700"/>
      <c r="Q130" s="341"/>
      <c r="R130" s="341"/>
      <c r="S130" s="342"/>
      <c r="T130" s="700"/>
      <c r="U130" s="596"/>
      <c r="V130" s="343"/>
      <c r="W130" s="341"/>
      <c r="X130" s="343"/>
      <c r="Y130" s="343"/>
      <c r="Z130"/>
    </row>
    <row r="131" spans="6:26" ht="16">
      <c r="G131" s="691">
        <v>-2</v>
      </c>
      <c r="H131" s="691"/>
      <c r="I131" s="691"/>
      <c r="J131" s="691"/>
      <c r="K131" s="691"/>
      <c r="L131" s="691"/>
      <c r="M131" s="692"/>
      <c r="N131" s="340"/>
      <c r="O131" s="341"/>
      <c r="P131" s="700"/>
      <c r="Q131" s="341"/>
      <c r="R131" s="341"/>
      <c r="S131" s="342"/>
      <c r="T131" s="700"/>
      <c r="U131" s="596"/>
      <c r="V131" s="343"/>
      <c r="W131" s="341"/>
      <c r="X131" s="343"/>
      <c r="Y131" s="343"/>
      <c r="Z131"/>
    </row>
    <row r="132" spans="6:26" ht="16">
      <c r="H132" s="3" t="s">
        <v>268</v>
      </c>
      <c r="I132" s="3"/>
      <c r="J132" s="3"/>
      <c r="K132" s="3"/>
      <c r="L132" s="3"/>
      <c r="M132" s="692"/>
      <c r="N132" s="340"/>
      <c r="O132" s="341"/>
      <c r="P132" s="700"/>
      <c r="Q132" s="341"/>
      <c r="R132" s="341"/>
      <c r="S132" s="342"/>
      <c r="T132" s="700"/>
      <c r="U132" s="596"/>
      <c r="V132" s="343"/>
      <c r="W132" s="341"/>
      <c r="X132" s="343"/>
      <c r="Y132" s="343"/>
      <c r="Z132"/>
    </row>
    <row r="133" spans="6:26" ht="16">
      <c r="I133" s="344">
        <v>44733</v>
      </c>
      <c r="J133" s="344"/>
      <c r="K133" s="344"/>
      <c r="L133" s="344"/>
      <c r="M133" s="692"/>
      <c r="N133" s="340"/>
      <c r="O133" s="341"/>
      <c r="P133" s="700"/>
      <c r="Q133" s="341"/>
      <c r="R133" s="341"/>
      <c r="S133" s="342"/>
      <c r="T133" s="700"/>
      <c r="U133" s="596"/>
      <c r="V133" s="343"/>
      <c r="W133" s="341"/>
      <c r="X133" s="343"/>
      <c r="Y133" s="343"/>
      <c r="Z133"/>
    </row>
    <row r="134" spans="6:26" ht="16">
      <c r="J134" s="345">
        <v>44789</v>
      </c>
      <c r="K134" s="345"/>
      <c r="L134" s="345"/>
      <c r="M134" s="692"/>
      <c r="N134" s="340"/>
      <c r="O134" s="341"/>
      <c r="P134" s="700"/>
      <c r="Q134" s="341"/>
      <c r="R134" s="341"/>
      <c r="S134" s="342"/>
      <c r="T134" s="700"/>
      <c r="U134" s="596"/>
      <c r="V134" s="343"/>
      <c r="W134" s="341"/>
      <c r="X134" s="343"/>
      <c r="Y134" s="343"/>
      <c r="Z134"/>
    </row>
    <row r="135" spans="6:26" ht="16">
      <c r="K135" s="3" t="s">
        <v>267</v>
      </c>
      <c r="L135" s="3"/>
      <c r="M135" s="692"/>
      <c r="N135" s="340"/>
      <c r="O135" s="341"/>
      <c r="P135" s="700"/>
      <c r="Q135" s="341"/>
      <c r="R135" s="341"/>
      <c r="S135" s="342"/>
      <c r="T135" s="700"/>
      <c r="U135" s="596"/>
      <c r="V135" s="343"/>
      <c r="W135" s="341"/>
      <c r="X135" s="343"/>
      <c r="Y135" s="343"/>
      <c r="Z135"/>
    </row>
    <row r="136" spans="6:26" ht="16">
      <c r="L136" s="691">
        <v>2</v>
      </c>
      <c r="M136" s="692">
        <v>937.97</v>
      </c>
      <c r="N136" s="340">
        <v>1</v>
      </c>
      <c r="O136" s="341">
        <v>20.475999999999999</v>
      </c>
      <c r="P136" s="700">
        <v>19205.87372</v>
      </c>
      <c r="Q136" s="341">
        <v>122.044</v>
      </c>
      <c r="R136" s="341">
        <v>123.803</v>
      </c>
      <c r="S136" s="342">
        <v>1.0144</v>
      </c>
      <c r="T136" s="700">
        <v>19482.438301568</v>
      </c>
      <c r="U136" s="596">
        <v>-30</v>
      </c>
      <c r="V136" s="343">
        <v>1</v>
      </c>
      <c r="W136" s="341">
        <v>19.873999999999999</v>
      </c>
      <c r="X136" s="343">
        <v>-596.21999999999991</v>
      </c>
      <c r="Y136" s="343">
        <v>18886.218301567998</v>
      </c>
      <c r="Z136"/>
    </row>
    <row r="137" spans="6:26" ht="16">
      <c r="M137" s="692"/>
      <c r="N137" s="340"/>
      <c r="O137" s="341"/>
      <c r="P137" s="700"/>
      <c r="Q137" s="341"/>
      <c r="R137" s="341"/>
      <c r="S137" s="342"/>
      <c r="T137" s="700"/>
      <c r="U137" s="596"/>
      <c r="V137" s="343"/>
      <c r="W137" s="341"/>
      <c r="X137" s="343"/>
      <c r="Y137" s="343"/>
      <c r="Z137"/>
    </row>
    <row r="138" spans="6:26" ht="16">
      <c r="F138" s="580" t="s">
        <v>900</v>
      </c>
      <c r="G138" s="580"/>
      <c r="H138" s="580"/>
      <c r="I138" s="580"/>
      <c r="J138" s="580"/>
      <c r="K138" s="580"/>
      <c r="L138" s="580"/>
      <c r="M138" s="705">
        <v>937.97</v>
      </c>
      <c r="N138" s="664">
        <v>1</v>
      </c>
      <c r="O138" s="582">
        <v>20.475999999999999</v>
      </c>
      <c r="P138" s="708">
        <v>19205.87372</v>
      </c>
      <c r="Q138" s="582">
        <v>122.044</v>
      </c>
      <c r="R138" s="582">
        <v>123.803</v>
      </c>
      <c r="S138" s="583">
        <v>1.0144</v>
      </c>
      <c r="T138" s="708">
        <v>19482.438301568</v>
      </c>
      <c r="U138" s="599">
        <v>-30</v>
      </c>
      <c r="V138" s="581">
        <v>1</v>
      </c>
      <c r="W138" s="582">
        <v>19.873999999999999</v>
      </c>
      <c r="X138" s="581">
        <v>-596.21999999999991</v>
      </c>
      <c r="Y138" s="581">
        <v>18886.218301567998</v>
      </c>
      <c r="Z138"/>
    </row>
    <row r="139" spans="6:26" ht="16">
      <c r="M139" s="692"/>
      <c r="N139" s="340"/>
      <c r="O139" s="341"/>
      <c r="P139" s="700"/>
      <c r="Q139" s="341"/>
      <c r="R139" s="341"/>
      <c r="S139" s="342"/>
      <c r="T139" s="700"/>
      <c r="U139" s="596"/>
      <c r="V139" s="343"/>
      <c r="W139" s="341"/>
      <c r="X139" s="343"/>
      <c r="Y139" s="343"/>
      <c r="Z139"/>
    </row>
    <row r="140" spans="6:26" ht="16">
      <c r="F140" s="1" t="s">
        <v>770</v>
      </c>
      <c r="M140" s="692"/>
      <c r="N140" s="340"/>
      <c r="O140" s="341"/>
      <c r="P140" s="700"/>
      <c r="Q140" s="341"/>
      <c r="R140" s="341"/>
      <c r="S140" s="342"/>
      <c r="T140" s="700"/>
      <c r="U140" s="596"/>
      <c r="V140" s="343"/>
      <c r="W140" s="341"/>
      <c r="X140" s="343"/>
      <c r="Y140" s="343"/>
      <c r="Z140"/>
    </row>
    <row r="141" spans="6:26" ht="16">
      <c r="G141" s="691">
        <v>-7</v>
      </c>
      <c r="H141" s="691"/>
      <c r="I141" s="691"/>
      <c r="J141" s="691"/>
      <c r="K141" s="691"/>
      <c r="L141" s="691"/>
      <c r="M141" s="692"/>
      <c r="N141" s="340"/>
      <c r="O141" s="341"/>
      <c r="P141" s="700"/>
      <c r="Q141" s="341"/>
      <c r="R141" s="341"/>
      <c r="S141" s="342"/>
      <c r="T141" s="700"/>
      <c r="U141" s="596"/>
      <c r="V141" s="343"/>
      <c r="W141" s="341"/>
      <c r="X141" s="343"/>
      <c r="Y141" s="343"/>
      <c r="Z141"/>
    </row>
    <row r="142" spans="6:26" ht="16">
      <c r="H142" s="3" t="s">
        <v>268</v>
      </c>
      <c r="I142" s="3"/>
      <c r="J142" s="3"/>
      <c r="K142" s="3"/>
      <c r="L142" s="3"/>
      <c r="M142" s="692"/>
      <c r="N142" s="340"/>
      <c r="O142" s="341"/>
      <c r="P142" s="700"/>
      <c r="Q142" s="341"/>
      <c r="R142" s="341"/>
      <c r="S142" s="342"/>
      <c r="T142" s="700"/>
      <c r="U142" s="596"/>
      <c r="V142" s="343"/>
      <c r="W142" s="341"/>
      <c r="X142" s="343"/>
      <c r="Y142" s="343"/>
      <c r="Z142"/>
    </row>
    <row r="143" spans="6:26" ht="16">
      <c r="I143" s="344">
        <v>44728</v>
      </c>
      <c r="J143" s="344"/>
      <c r="K143" s="344"/>
      <c r="L143" s="344"/>
      <c r="M143" s="692"/>
      <c r="N143" s="340"/>
      <c r="O143" s="341"/>
      <c r="P143" s="700"/>
      <c r="Q143" s="341"/>
      <c r="R143" s="341"/>
      <c r="S143" s="342"/>
      <c r="T143" s="700"/>
      <c r="U143" s="596"/>
      <c r="V143" s="343"/>
      <c r="W143" s="341"/>
      <c r="X143" s="343"/>
      <c r="Y143" s="343"/>
      <c r="Z143"/>
    </row>
    <row r="144" spans="6:26" ht="16">
      <c r="J144" s="345">
        <v>44778</v>
      </c>
      <c r="K144" s="345"/>
      <c r="L144" s="345"/>
      <c r="M144" s="692"/>
      <c r="N144" s="340"/>
      <c r="O144" s="341"/>
      <c r="P144" s="700"/>
      <c r="Q144" s="341"/>
      <c r="R144" s="341"/>
      <c r="S144" s="342"/>
      <c r="T144" s="700"/>
      <c r="U144" s="596"/>
      <c r="V144" s="343"/>
      <c r="W144" s="341"/>
      <c r="X144" s="343"/>
      <c r="Y144" s="343"/>
      <c r="Z144"/>
    </row>
    <row r="145" spans="6:26" ht="16">
      <c r="K145" s="3" t="s">
        <v>267</v>
      </c>
      <c r="L145" s="3"/>
      <c r="M145" s="692"/>
      <c r="N145" s="340"/>
      <c r="O145" s="341"/>
      <c r="P145" s="700"/>
      <c r="Q145" s="341"/>
      <c r="R145" s="341"/>
      <c r="S145" s="342"/>
      <c r="T145" s="700"/>
      <c r="U145" s="596"/>
      <c r="V145" s="343"/>
      <c r="W145" s="341"/>
      <c r="X145" s="343"/>
      <c r="Y145" s="343"/>
      <c r="Z145"/>
    </row>
    <row r="146" spans="6:26" ht="16">
      <c r="L146" s="691">
        <v>7</v>
      </c>
      <c r="M146" s="692">
        <v>8676.23</v>
      </c>
      <c r="N146" s="340">
        <v>1</v>
      </c>
      <c r="O146" s="341">
        <v>20.658300000000001</v>
      </c>
      <c r="P146" s="700">
        <v>179236.162209</v>
      </c>
      <c r="Q146" s="341">
        <v>122.044</v>
      </c>
      <c r="R146" s="341">
        <v>123.803</v>
      </c>
      <c r="S146" s="342">
        <v>1.0144</v>
      </c>
      <c r="T146" s="700">
        <v>181817.16294480959</v>
      </c>
      <c r="U146" s="596">
        <v>-1321.88</v>
      </c>
      <c r="V146" s="343">
        <v>1</v>
      </c>
      <c r="W146" s="341">
        <v>20.630500000000001</v>
      </c>
      <c r="X146" s="343">
        <v>-27271.045340000004</v>
      </c>
      <c r="Y146" s="343">
        <v>154546.11760480958</v>
      </c>
      <c r="Z146"/>
    </row>
    <row r="147" spans="6:26" ht="16">
      <c r="M147" s="692"/>
      <c r="N147" s="340"/>
      <c r="O147" s="341"/>
      <c r="P147" s="700"/>
      <c r="Q147" s="341"/>
      <c r="R147" s="341"/>
      <c r="S147" s="342"/>
      <c r="T147" s="700"/>
      <c r="U147" s="596"/>
      <c r="V147" s="343"/>
      <c r="W147" s="341"/>
      <c r="X147" s="343"/>
      <c r="Y147" s="343"/>
      <c r="Z147"/>
    </row>
    <row r="148" spans="6:26" ht="16">
      <c r="F148" s="580" t="s">
        <v>901</v>
      </c>
      <c r="G148" s="580"/>
      <c r="H148" s="580"/>
      <c r="I148" s="580"/>
      <c r="J148" s="580"/>
      <c r="K148" s="580"/>
      <c r="L148" s="580"/>
      <c r="M148" s="705">
        <v>8676.23</v>
      </c>
      <c r="N148" s="664">
        <v>1</v>
      </c>
      <c r="O148" s="582">
        <v>20.658300000000001</v>
      </c>
      <c r="P148" s="708">
        <v>179236.162209</v>
      </c>
      <c r="Q148" s="582">
        <v>122.044</v>
      </c>
      <c r="R148" s="582">
        <v>123.803</v>
      </c>
      <c r="S148" s="583">
        <v>1.0144</v>
      </c>
      <c r="T148" s="708">
        <v>181817.16294480959</v>
      </c>
      <c r="U148" s="599">
        <v>-1321.88</v>
      </c>
      <c r="V148" s="581">
        <v>1</v>
      </c>
      <c r="W148" s="582">
        <v>20.630500000000001</v>
      </c>
      <c r="X148" s="581">
        <v>-27271.045340000004</v>
      </c>
      <c r="Y148" s="581">
        <v>154546.11760480958</v>
      </c>
      <c r="Z148"/>
    </row>
    <row r="149" spans="6:26" ht="16">
      <c r="M149" s="692"/>
      <c r="N149" s="340"/>
      <c r="O149" s="341"/>
      <c r="P149" s="700"/>
      <c r="Q149" s="341"/>
      <c r="R149" s="341"/>
      <c r="S149" s="342"/>
      <c r="T149" s="700"/>
      <c r="U149" s="596"/>
      <c r="V149" s="343"/>
      <c r="W149" s="341"/>
      <c r="X149" s="343"/>
      <c r="Y149" s="343"/>
      <c r="Z149"/>
    </row>
    <row r="150" spans="6:26" ht="16">
      <c r="F150" s="1" t="s">
        <v>821</v>
      </c>
      <c r="M150" s="692"/>
      <c r="N150" s="340"/>
      <c r="O150" s="341"/>
      <c r="P150" s="700"/>
      <c r="Q150" s="341"/>
      <c r="R150" s="341"/>
      <c r="S150" s="342"/>
      <c r="T150" s="700"/>
      <c r="U150" s="596"/>
      <c r="V150" s="343"/>
      <c r="W150" s="341"/>
      <c r="X150" s="343"/>
      <c r="Y150" s="343"/>
      <c r="Z150"/>
    </row>
    <row r="151" spans="6:26" ht="16">
      <c r="G151" s="691">
        <v>-7</v>
      </c>
      <c r="H151" s="691"/>
      <c r="I151" s="691"/>
      <c r="J151" s="691"/>
      <c r="K151" s="691"/>
      <c r="L151" s="691"/>
      <c r="M151" s="692"/>
      <c r="N151" s="340"/>
      <c r="O151" s="341"/>
      <c r="P151" s="700"/>
      <c r="Q151" s="341"/>
      <c r="R151" s="341"/>
      <c r="S151" s="342"/>
      <c r="T151" s="700"/>
      <c r="U151" s="596"/>
      <c r="V151" s="343"/>
      <c r="W151" s="341"/>
      <c r="X151" s="343"/>
      <c r="Y151" s="343"/>
      <c r="Z151"/>
    </row>
    <row r="152" spans="6:26" ht="16">
      <c r="H152" s="3" t="s">
        <v>268</v>
      </c>
      <c r="I152" s="3"/>
      <c r="J152" s="3"/>
      <c r="K152" s="3"/>
      <c r="L152" s="3"/>
      <c r="M152" s="692"/>
      <c r="N152" s="340"/>
      <c r="O152" s="341"/>
      <c r="P152" s="700"/>
      <c r="Q152" s="341"/>
      <c r="R152" s="341"/>
      <c r="S152" s="342"/>
      <c r="T152" s="700"/>
      <c r="U152" s="596"/>
      <c r="V152" s="343"/>
      <c r="W152" s="341"/>
      <c r="X152" s="343"/>
      <c r="Y152" s="343"/>
      <c r="Z152"/>
    </row>
    <row r="153" spans="6:26" ht="16">
      <c r="I153" s="344">
        <v>44823</v>
      </c>
      <c r="J153" s="344"/>
      <c r="K153" s="344"/>
      <c r="L153" s="344"/>
      <c r="M153" s="692"/>
      <c r="N153" s="340"/>
      <c r="O153" s="341"/>
      <c r="P153" s="700"/>
      <c r="Q153" s="341"/>
      <c r="R153" s="341"/>
      <c r="S153" s="342"/>
      <c r="T153" s="700"/>
      <c r="U153" s="596"/>
      <c r="V153" s="343"/>
      <c r="W153" s="341"/>
      <c r="X153" s="343"/>
      <c r="Y153" s="343"/>
      <c r="Z153"/>
    </row>
    <row r="154" spans="6:26" ht="16">
      <c r="J154" s="345">
        <v>44903</v>
      </c>
      <c r="K154" s="345"/>
      <c r="L154" s="345"/>
      <c r="M154" s="692"/>
      <c r="N154" s="340"/>
      <c r="O154" s="341"/>
      <c r="P154" s="700"/>
      <c r="Q154" s="341"/>
      <c r="R154" s="341"/>
      <c r="S154" s="342"/>
      <c r="T154" s="700"/>
      <c r="U154" s="596"/>
      <c r="V154" s="343"/>
      <c r="W154" s="341"/>
      <c r="X154" s="343"/>
      <c r="Y154" s="343"/>
      <c r="Z154"/>
    </row>
    <row r="155" spans="6:26" ht="16">
      <c r="K155" s="3" t="s">
        <v>267</v>
      </c>
      <c r="L155" s="3"/>
      <c r="M155" s="692"/>
      <c r="N155" s="340"/>
      <c r="O155" s="341"/>
      <c r="P155" s="700"/>
      <c r="Q155" s="341"/>
      <c r="R155" s="341"/>
      <c r="S155" s="342"/>
      <c r="T155" s="700"/>
      <c r="U155" s="596"/>
      <c r="V155" s="343"/>
      <c r="W155" s="341"/>
      <c r="X155" s="343"/>
      <c r="Y155" s="343"/>
      <c r="Z155"/>
    </row>
    <row r="156" spans="6:26" ht="16">
      <c r="L156" s="691">
        <v>7</v>
      </c>
      <c r="M156" s="692">
        <v>3149.92</v>
      </c>
      <c r="N156" s="340">
        <v>1</v>
      </c>
      <c r="O156" s="341">
        <v>19.976800000000001</v>
      </c>
      <c r="P156" s="700">
        <v>62925.321856000002</v>
      </c>
      <c r="Q156" s="341">
        <v>124.571</v>
      </c>
      <c r="R156" s="341">
        <v>126.47799999999999</v>
      </c>
      <c r="S156" s="342">
        <v>1.0153000000000001</v>
      </c>
      <c r="T156" s="700">
        <v>63888.079280396807</v>
      </c>
      <c r="U156" s="596">
        <v>-70</v>
      </c>
      <c r="V156" s="343">
        <v>1</v>
      </c>
      <c r="W156" s="341">
        <v>19.803000000000001</v>
      </c>
      <c r="X156" s="343">
        <v>-1386.21</v>
      </c>
      <c r="Y156" s="343">
        <v>62501.869280396808</v>
      </c>
      <c r="Z156"/>
    </row>
    <row r="157" spans="6:26" ht="16">
      <c r="M157" s="692"/>
      <c r="N157" s="340"/>
      <c r="O157" s="341"/>
      <c r="P157" s="700"/>
      <c r="Q157" s="341"/>
      <c r="R157" s="341"/>
      <c r="S157" s="342"/>
      <c r="T157" s="700"/>
      <c r="U157" s="596"/>
      <c r="V157" s="343"/>
      <c r="W157" s="341"/>
      <c r="X157" s="343"/>
      <c r="Y157" s="343"/>
      <c r="Z157"/>
    </row>
    <row r="158" spans="6:26" ht="16">
      <c r="F158" s="580" t="s">
        <v>902</v>
      </c>
      <c r="G158" s="580"/>
      <c r="H158" s="580"/>
      <c r="I158" s="580"/>
      <c r="J158" s="580"/>
      <c r="K158" s="580"/>
      <c r="L158" s="580"/>
      <c r="M158" s="705">
        <v>3149.92</v>
      </c>
      <c r="N158" s="664">
        <v>1</v>
      </c>
      <c r="O158" s="582">
        <v>19.976800000000001</v>
      </c>
      <c r="P158" s="708">
        <v>62925.321856000002</v>
      </c>
      <c r="Q158" s="582">
        <v>124.571</v>
      </c>
      <c r="R158" s="582">
        <v>126.47799999999999</v>
      </c>
      <c r="S158" s="583">
        <v>1.0153000000000001</v>
      </c>
      <c r="T158" s="708">
        <v>63888.079280396807</v>
      </c>
      <c r="U158" s="599">
        <v>-70</v>
      </c>
      <c r="V158" s="581">
        <v>1</v>
      </c>
      <c r="W158" s="582">
        <v>19.803000000000001</v>
      </c>
      <c r="X158" s="581">
        <v>-1386.21</v>
      </c>
      <c r="Y158" s="581">
        <v>62501.869280396808</v>
      </c>
      <c r="Z158"/>
    </row>
    <row r="159" spans="6:26" ht="16">
      <c r="M159" s="692"/>
      <c r="N159" s="340"/>
      <c r="O159" s="341"/>
      <c r="P159" s="700"/>
      <c r="Q159" s="341"/>
      <c r="R159" s="341"/>
      <c r="S159" s="342"/>
      <c r="T159" s="700"/>
      <c r="U159" s="596"/>
      <c r="V159" s="343"/>
      <c r="W159" s="341"/>
      <c r="X159" s="343"/>
      <c r="Y159" s="343"/>
      <c r="Z159"/>
    </row>
    <row r="160" spans="6:26" ht="16">
      <c r="F160" s="1" t="s">
        <v>777</v>
      </c>
      <c r="M160" s="692"/>
      <c r="N160" s="340"/>
      <c r="O160" s="341"/>
      <c r="P160" s="700"/>
      <c r="Q160" s="341"/>
      <c r="R160" s="341"/>
      <c r="S160" s="342"/>
      <c r="T160" s="700"/>
      <c r="U160" s="596"/>
      <c r="V160" s="343"/>
      <c r="W160" s="341"/>
      <c r="X160" s="343"/>
      <c r="Y160" s="343"/>
      <c r="Z160"/>
    </row>
    <row r="161" spans="6:26" ht="16">
      <c r="G161" s="691">
        <v>-4</v>
      </c>
      <c r="H161" s="691"/>
      <c r="I161" s="691"/>
      <c r="J161" s="691"/>
      <c r="K161" s="691"/>
      <c r="L161" s="691"/>
      <c r="M161" s="692"/>
      <c r="N161" s="340"/>
      <c r="O161" s="341"/>
      <c r="P161" s="700"/>
      <c r="Q161" s="341"/>
      <c r="R161" s="341"/>
      <c r="S161" s="342"/>
      <c r="T161" s="700"/>
      <c r="U161" s="596"/>
      <c r="V161" s="343"/>
      <c r="W161" s="341"/>
      <c r="X161" s="343"/>
      <c r="Y161" s="343"/>
      <c r="Z161"/>
    </row>
    <row r="162" spans="6:26" ht="16">
      <c r="H162" s="3" t="s">
        <v>268</v>
      </c>
      <c r="I162" s="3"/>
      <c r="J162" s="3"/>
      <c r="K162" s="3"/>
      <c r="L162" s="3"/>
      <c r="M162" s="692"/>
      <c r="N162" s="340"/>
      <c r="O162" s="341"/>
      <c r="P162" s="700"/>
      <c r="Q162" s="341"/>
      <c r="R162" s="341"/>
      <c r="S162" s="342"/>
      <c r="T162" s="700"/>
      <c r="U162" s="596"/>
      <c r="V162" s="343"/>
      <c r="W162" s="341"/>
      <c r="X162" s="343"/>
      <c r="Y162" s="343"/>
      <c r="Z162"/>
    </row>
    <row r="163" spans="6:26" ht="16">
      <c r="I163" s="344">
        <v>44754</v>
      </c>
      <c r="J163" s="344"/>
      <c r="K163" s="344"/>
      <c r="L163" s="344"/>
      <c r="M163" s="692"/>
      <c r="N163" s="340"/>
      <c r="O163" s="341"/>
      <c r="P163" s="700"/>
      <c r="Q163" s="341"/>
      <c r="R163" s="341"/>
      <c r="S163" s="342"/>
      <c r="T163" s="700"/>
      <c r="U163" s="596"/>
      <c r="V163" s="343"/>
      <c r="W163" s="341"/>
      <c r="X163" s="343"/>
      <c r="Y163" s="343"/>
      <c r="Z163"/>
    </row>
    <row r="164" spans="6:26" ht="16">
      <c r="J164" s="345">
        <v>44832</v>
      </c>
      <c r="K164" s="345"/>
      <c r="L164" s="345"/>
      <c r="M164" s="692"/>
      <c r="N164" s="340"/>
      <c r="O164" s="341"/>
      <c r="P164" s="700"/>
      <c r="Q164" s="341"/>
      <c r="R164" s="341"/>
      <c r="S164" s="342"/>
      <c r="T164" s="700"/>
      <c r="U164" s="596"/>
      <c r="V164" s="343"/>
      <c r="W164" s="341"/>
      <c r="X164" s="343"/>
      <c r="Y164" s="343"/>
      <c r="Z164"/>
    </row>
    <row r="165" spans="6:26" ht="16">
      <c r="K165" s="3" t="s">
        <v>267</v>
      </c>
      <c r="L165" s="3"/>
      <c r="M165" s="692"/>
      <c r="N165" s="340"/>
      <c r="O165" s="341"/>
      <c r="P165" s="700"/>
      <c r="Q165" s="341"/>
      <c r="R165" s="341"/>
      <c r="S165" s="342"/>
      <c r="T165" s="700"/>
      <c r="U165" s="596"/>
      <c r="V165" s="343"/>
      <c r="W165" s="341"/>
      <c r="X165" s="343"/>
      <c r="Y165" s="343"/>
      <c r="Z165"/>
    </row>
    <row r="166" spans="6:26" ht="16">
      <c r="L166" s="691">
        <v>4</v>
      </c>
      <c r="M166" s="692">
        <v>1885.59</v>
      </c>
      <c r="N166" s="340">
        <v>1</v>
      </c>
      <c r="O166" s="341">
        <v>20.442299999999999</v>
      </c>
      <c r="P166" s="700">
        <v>38545.796456999997</v>
      </c>
      <c r="Q166" s="341">
        <v>122.94799999999999</v>
      </c>
      <c r="R166" s="341">
        <v>124.571</v>
      </c>
      <c r="S166" s="342">
        <v>1.0132000000000001</v>
      </c>
      <c r="T166" s="700">
        <v>39054.600970232401</v>
      </c>
      <c r="U166" s="596">
        <v>-16</v>
      </c>
      <c r="V166" s="343">
        <v>1</v>
      </c>
      <c r="W166" s="341">
        <v>20.351700000000001</v>
      </c>
      <c r="X166" s="343">
        <v>-325.62720000000002</v>
      </c>
      <c r="Y166" s="343">
        <v>38728.973770232398</v>
      </c>
      <c r="Z166"/>
    </row>
    <row r="167" spans="6:26" ht="16">
      <c r="M167" s="692"/>
      <c r="N167" s="340"/>
      <c r="O167" s="341"/>
      <c r="P167" s="700"/>
      <c r="Q167" s="341"/>
      <c r="R167" s="341"/>
      <c r="S167" s="342"/>
      <c r="T167" s="700"/>
      <c r="U167" s="596"/>
      <c r="V167" s="343"/>
      <c r="W167" s="341"/>
      <c r="X167" s="343"/>
      <c r="Y167" s="343"/>
      <c r="Z167"/>
    </row>
    <row r="168" spans="6:26" ht="16">
      <c r="F168" s="580" t="s">
        <v>903</v>
      </c>
      <c r="G168" s="580"/>
      <c r="H168" s="580"/>
      <c r="I168" s="580"/>
      <c r="J168" s="580"/>
      <c r="K168" s="580"/>
      <c r="L168" s="580"/>
      <c r="M168" s="705">
        <v>1885.59</v>
      </c>
      <c r="N168" s="664">
        <v>1</v>
      </c>
      <c r="O168" s="582">
        <v>20.442299999999999</v>
      </c>
      <c r="P168" s="708">
        <v>38545.796456999997</v>
      </c>
      <c r="Q168" s="582">
        <v>122.94799999999999</v>
      </c>
      <c r="R168" s="582">
        <v>124.571</v>
      </c>
      <c r="S168" s="583">
        <v>1.0132000000000001</v>
      </c>
      <c r="T168" s="708">
        <v>39054.600970232401</v>
      </c>
      <c r="U168" s="599">
        <v>-16</v>
      </c>
      <c r="V168" s="581">
        <v>1</v>
      </c>
      <c r="W168" s="582">
        <v>20.351700000000001</v>
      </c>
      <c r="X168" s="581">
        <v>-325.62720000000002</v>
      </c>
      <c r="Y168" s="581">
        <v>38728.973770232398</v>
      </c>
      <c r="Z168"/>
    </row>
    <row r="169" spans="6:26" ht="16">
      <c r="M169" s="692"/>
      <c r="N169" s="340"/>
      <c r="O169" s="341"/>
      <c r="P169" s="700"/>
      <c r="Q169" s="341"/>
      <c r="R169" s="341"/>
      <c r="S169" s="342"/>
      <c r="T169" s="700"/>
      <c r="U169" s="596"/>
      <c r="V169" s="343"/>
      <c r="W169" s="341"/>
      <c r="X169" s="343"/>
      <c r="Y169" s="343"/>
      <c r="Z169"/>
    </row>
    <row r="170" spans="6:26" ht="16">
      <c r="F170" s="1" t="s">
        <v>778</v>
      </c>
      <c r="M170" s="692"/>
      <c r="N170" s="340"/>
      <c r="O170" s="341"/>
      <c r="P170" s="700"/>
      <c r="Q170" s="341"/>
      <c r="R170" s="341"/>
      <c r="S170" s="342"/>
      <c r="T170" s="700"/>
      <c r="U170" s="596"/>
      <c r="V170" s="343"/>
      <c r="W170" s="341"/>
      <c r="X170" s="343"/>
      <c r="Y170" s="343"/>
      <c r="Z170"/>
    </row>
    <row r="171" spans="6:26" ht="16">
      <c r="G171" s="691">
        <v>-2</v>
      </c>
      <c r="H171" s="691"/>
      <c r="I171" s="691"/>
      <c r="J171" s="691"/>
      <c r="K171" s="691"/>
      <c r="L171" s="691"/>
      <c r="M171" s="692"/>
      <c r="N171" s="340"/>
      <c r="O171" s="341"/>
      <c r="P171" s="700"/>
      <c r="Q171" s="341"/>
      <c r="R171" s="341"/>
      <c r="S171" s="342"/>
      <c r="T171" s="700"/>
      <c r="U171" s="596"/>
      <c r="V171" s="343"/>
      <c r="W171" s="341"/>
      <c r="X171" s="343"/>
      <c r="Y171" s="343"/>
      <c r="Z171"/>
    </row>
    <row r="172" spans="6:26" ht="16">
      <c r="H172" s="3" t="s">
        <v>268</v>
      </c>
      <c r="I172" s="3"/>
      <c r="J172" s="3"/>
      <c r="K172" s="3"/>
      <c r="L172" s="3"/>
      <c r="M172" s="692"/>
      <c r="N172" s="340"/>
      <c r="O172" s="341"/>
      <c r="P172" s="700"/>
      <c r="Q172" s="341"/>
      <c r="R172" s="341"/>
      <c r="S172" s="342"/>
      <c r="T172" s="700"/>
      <c r="U172" s="596"/>
      <c r="V172" s="343"/>
      <c r="W172" s="341"/>
      <c r="X172" s="343"/>
      <c r="Y172" s="343"/>
      <c r="Z172"/>
    </row>
    <row r="173" spans="6:26" ht="16">
      <c r="I173" s="344">
        <v>44759</v>
      </c>
      <c r="J173" s="344"/>
      <c r="K173" s="344"/>
      <c r="L173" s="344"/>
      <c r="M173" s="692"/>
      <c r="N173" s="340"/>
      <c r="O173" s="341"/>
      <c r="P173" s="700"/>
      <c r="Q173" s="341"/>
      <c r="R173" s="341"/>
      <c r="S173" s="342"/>
      <c r="T173" s="700"/>
      <c r="U173" s="596"/>
      <c r="V173" s="343"/>
      <c r="W173" s="341"/>
      <c r="X173" s="343"/>
      <c r="Y173" s="343"/>
      <c r="Z173"/>
    </row>
    <row r="174" spans="6:26" ht="16">
      <c r="J174" s="345">
        <v>44868</v>
      </c>
      <c r="K174" s="345"/>
      <c r="L174" s="345"/>
      <c r="M174" s="692"/>
      <c r="N174" s="340"/>
      <c r="O174" s="341"/>
      <c r="P174" s="700"/>
      <c r="Q174" s="341"/>
      <c r="R174" s="341"/>
      <c r="S174" s="342"/>
      <c r="T174" s="700"/>
      <c r="U174" s="596"/>
      <c r="V174" s="343"/>
      <c r="W174" s="341"/>
      <c r="X174" s="343"/>
      <c r="Y174" s="343"/>
      <c r="Z174"/>
    </row>
    <row r="175" spans="6:26" ht="16">
      <c r="K175" s="3" t="s">
        <v>267</v>
      </c>
      <c r="L175" s="3"/>
      <c r="M175" s="692"/>
      <c r="N175" s="340"/>
      <c r="O175" s="341"/>
      <c r="P175" s="700"/>
      <c r="Q175" s="341"/>
      <c r="R175" s="341"/>
      <c r="S175" s="342"/>
      <c r="T175" s="700"/>
      <c r="U175" s="596"/>
      <c r="V175" s="343"/>
      <c r="W175" s="341"/>
      <c r="X175" s="343"/>
      <c r="Y175" s="343"/>
      <c r="Z175"/>
    </row>
    <row r="176" spans="6:26" ht="16">
      <c r="L176" s="691">
        <v>2</v>
      </c>
      <c r="M176" s="692">
        <v>2049.21</v>
      </c>
      <c r="N176" s="340">
        <v>1</v>
      </c>
      <c r="O176" s="341">
        <v>20.941500000000001</v>
      </c>
      <c r="P176" s="700">
        <v>42913.531215000003</v>
      </c>
      <c r="Q176" s="341">
        <v>122.94799999999999</v>
      </c>
      <c r="R176" s="341">
        <v>125.997</v>
      </c>
      <c r="S176" s="342">
        <v>1.0246999999999999</v>
      </c>
      <c r="T176" s="700">
        <v>43973.495436010504</v>
      </c>
      <c r="U176" s="596">
        <v>-120</v>
      </c>
      <c r="V176" s="343">
        <v>1</v>
      </c>
      <c r="W176" s="341">
        <v>19.8245</v>
      </c>
      <c r="X176" s="343">
        <v>-2378.94</v>
      </c>
      <c r="Y176" s="343">
        <v>41594.555436010502</v>
      </c>
      <c r="Z176"/>
    </row>
    <row r="177" spans="6:26" ht="16">
      <c r="M177" s="692"/>
      <c r="N177" s="340"/>
      <c r="O177" s="341"/>
      <c r="P177" s="700"/>
      <c r="Q177" s="341"/>
      <c r="R177" s="341"/>
      <c r="S177" s="342"/>
      <c r="T177" s="700"/>
      <c r="U177" s="596"/>
      <c r="V177" s="343"/>
      <c r="W177" s="341"/>
      <c r="X177" s="343"/>
      <c r="Y177" s="343"/>
      <c r="Z177"/>
    </row>
    <row r="178" spans="6:26" ht="16">
      <c r="F178" s="580" t="s">
        <v>904</v>
      </c>
      <c r="G178" s="580"/>
      <c r="H178" s="580"/>
      <c r="I178" s="580"/>
      <c r="J178" s="580"/>
      <c r="K178" s="580"/>
      <c r="L178" s="580"/>
      <c r="M178" s="705">
        <v>2049.21</v>
      </c>
      <c r="N178" s="664">
        <v>1</v>
      </c>
      <c r="O178" s="582">
        <v>20.941500000000001</v>
      </c>
      <c r="P178" s="708">
        <v>42913.531215000003</v>
      </c>
      <c r="Q178" s="582">
        <v>122.94799999999999</v>
      </c>
      <c r="R178" s="582">
        <v>125.997</v>
      </c>
      <c r="S178" s="583">
        <v>1.0246999999999999</v>
      </c>
      <c r="T178" s="708">
        <v>43973.495436010504</v>
      </c>
      <c r="U178" s="599">
        <v>-120</v>
      </c>
      <c r="V178" s="581">
        <v>1</v>
      </c>
      <c r="W178" s="582">
        <v>19.8245</v>
      </c>
      <c r="X178" s="581">
        <v>-2378.94</v>
      </c>
      <c r="Y178" s="581">
        <v>41594.555436010502</v>
      </c>
      <c r="Z178"/>
    </row>
    <row r="179" spans="6:26" ht="16">
      <c r="M179" s="692"/>
      <c r="N179" s="340"/>
      <c r="O179" s="341"/>
      <c r="P179" s="700"/>
      <c r="Q179" s="341"/>
      <c r="R179" s="341"/>
      <c r="S179" s="342"/>
      <c r="T179" s="700"/>
      <c r="U179" s="596"/>
      <c r="V179" s="343"/>
      <c r="W179" s="341"/>
      <c r="X179" s="343"/>
      <c r="Y179" s="343"/>
      <c r="Z179"/>
    </row>
    <row r="180" spans="6:26" ht="16">
      <c r="F180" s="1" t="s">
        <v>779</v>
      </c>
      <c r="M180" s="692"/>
      <c r="N180" s="340"/>
      <c r="O180" s="341"/>
      <c r="P180" s="700"/>
      <c r="Q180" s="341"/>
      <c r="R180" s="341"/>
      <c r="S180" s="342"/>
      <c r="T180" s="700"/>
      <c r="U180" s="596"/>
      <c r="V180" s="343"/>
      <c r="W180" s="341"/>
      <c r="X180" s="343"/>
      <c r="Y180" s="343"/>
      <c r="Z180"/>
    </row>
    <row r="181" spans="6:26" ht="16">
      <c r="G181" s="691">
        <v>-8</v>
      </c>
      <c r="H181" s="691"/>
      <c r="I181" s="691"/>
      <c r="J181" s="691"/>
      <c r="K181" s="691"/>
      <c r="L181" s="691"/>
      <c r="M181" s="692"/>
      <c r="N181" s="340"/>
      <c r="O181" s="341"/>
      <c r="P181" s="700"/>
      <c r="Q181" s="341"/>
      <c r="R181" s="341"/>
      <c r="S181" s="342"/>
      <c r="T181" s="700"/>
      <c r="U181" s="596"/>
      <c r="V181" s="343"/>
      <c r="W181" s="341"/>
      <c r="X181" s="343"/>
      <c r="Y181" s="343"/>
      <c r="Z181"/>
    </row>
    <row r="182" spans="6:26" ht="16">
      <c r="H182" s="3" t="s">
        <v>268</v>
      </c>
      <c r="I182" s="3"/>
      <c r="J182" s="3"/>
      <c r="K182" s="3"/>
      <c r="L182" s="3"/>
      <c r="M182" s="692"/>
      <c r="N182" s="340"/>
      <c r="O182" s="341"/>
      <c r="P182" s="700"/>
      <c r="Q182" s="341"/>
      <c r="R182" s="341"/>
      <c r="S182" s="342"/>
      <c r="T182" s="700"/>
      <c r="U182" s="596"/>
      <c r="V182" s="343"/>
      <c r="W182" s="341"/>
      <c r="X182" s="343"/>
      <c r="Y182" s="343"/>
      <c r="Z182"/>
    </row>
    <row r="183" spans="6:26" ht="16">
      <c r="I183" s="344">
        <v>44759</v>
      </c>
      <c r="J183" s="344"/>
      <c r="K183" s="344"/>
      <c r="L183" s="344"/>
      <c r="M183" s="692"/>
      <c r="N183" s="340"/>
      <c r="O183" s="341"/>
      <c r="P183" s="700"/>
      <c r="Q183" s="341"/>
      <c r="R183" s="341"/>
      <c r="S183" s="342"/>
      <c r="T183" s="700"/>
      <c r="U183" s="596"/>
      <c r="V183" s="343"/>
      <c r="W183" s="341"/>
      <c r="X183" s="343"/>
      <c r="Y183" s="343"/>
      <c r="Z183"/>
    </row>
    <row r="184" spans="6:26" ht="16">
      <c r="J184" s="345">
        <v>44879</v>
      </c>
      <c r="K184" s="345"/>
      <c r="L184" s="345"/>
      <c r="M184" s="692"/>
      <c r="N184" s="340"/>
      <c r="O184" s="341"/>
      <c r="P184" s="700"/>
      <c r="Q184" s="341"/>
      <c r="R184" s="341"/>
      <c r="S184" s="342"/>
      <c r="T184" s="700"/>
      <c r="U184" s="596"/>
      <c r="V184" s="343"/>
      <c r="W184" s="341"/>
      <c r="X184" s="343"/>
      <c r="Y184" s="343"/>
      <c r="Z184"/>
    </row>
    <row r="185" spans="6:26" ht="16">
      <c r="K185" s="3" t="s">
        <v>267</v>
      </c>
      <c r="L185" s="3"/>
      <c r="M185" s="692"/>
      <c r="N185" s="340"/>
      <c r="O185" s="341"/>
      <c r="P185" s="700"/>
      <c r="Q185" s="341"/>
      <c r="R185" s="341"/>
      <c r="S185" s="342"/>
      <c r="T185" s="700"/>
      <c r="U185" s="596"/>
      <c r="V185" s="343"/>
      <c r="W185" s="341"/>
      <c r="X185" s="343"/>
      <c r="Y185" s="343"/>
      <c r="Z185"/>
    </row>
    <row r="186" spans="6:26" ht="16">
      <c r="L186" s="691">
        <v>8</v>
      </c>
      <c r="M186" s="692">
        <v>9143.7900000000009</v>
      </c>
      <c r="N186" s="340">
        <v>1</v>
      </c>
      <c r="O186" s="341">
        <v>20.941500000000001</v>
      </c>
      <c r="P186" s="700">
        <v>191484.67828500003</v>
      </c>
      <c r="Q186" s="341">
        <v>122.94799999999999</v>
      </c>
      <c r="R186" s="341">
        <v>125.997</v>
      </c>
      <c r="S186" s="342">
        <v>1.0246999999999999</v>
      </c>
      <c r="T186" s="700">
        <v>196214.34983863952</v>
      </c>
      <c r="U186" s="596">
        <v>-24</v>
      </c>
      <c r="V186" s="343">
        <v>1</v>
      </c>
      <c r="W186" s="341">
        <v>19.393999999999998</v>
      </c>
      <c r="X186" s="343">
        <v>-465.45599999999996</v>
      </c>
      <c r="Y186" s="343">
        <v>195748.89383863952</v>
      </c>
      <c r="Z186"/>
    </row>
    <row r="187" spans="6:26" ht="16">
      <c r="M187" s="692"/>
      <c r="N187" s="340"/>
      <c r="O187" s="341"/>
      <c r="P187" s="700"/>
      <c r="Q187" s="341"/>
      <c r="R187" s="341"/>
      <c r="S187" s="342"/>
      <c r="T187" s="700"/>
      <c r="U187" s="596"/>
      <c r="V187" s="343"/>
      <c r="W187" s="341"/>
      <c r="X187" s="343"/>
      <c r="Y187" s="343"/>
      <c r="Z187"/>
    </row>
    <row r="188" spans="6:26" ht="16">
      <c r="F188" s="580" t="s">
        <v>905</v>
      </c>
      <c r="G188" s="580"/>
      <c r="H188" s="580"/>
      <c r="I188" s="580"/>
      <c r="J188" s="580"/>
      <c r="K188" s="580"/>
      <c r="L188" s="580"/>
      <c r="M188" s="705">
        <v>9143.7900000000009</v>
      </c>
      <c r="N188" s="664">
        <v>1</v>
      </c>
      <c r="O188" s="582">
        <v>20.941500000000001</v>
      </c>
      <c r="P188" s="708">
        <v>191484.67828500003</v>
      </c>
      <c r="Q188" s="582">
        <v>122.94799999999999</v>
      </c>
      <c r="R188" s="582">
        <v>125.997</v>
      </c>
      <c r="S188" s="583">
        <v>1.0246999999999999</v>
      </c>
      <c r="T188" s="708">
        <v>196214.34983863952</v>
      </c>
      <c r="U188" s="599">
        <v>-24</v>
      </c>
      <c r="V188" s="581">
        <v>1</v>
      </c>
      <c r="W188" s="582">
        <v>19.393999999999998</v>
      </c>
      <c r="X188" s="581">
        <v>-465.45599999999996</v>
      </c>
      <c r="Y188" s="581">
        <v>195748.89383863952</v>
      </c>
      <c r="Z188"/>
    </row>
    <row r="189" spans="6:26" ht="16">
      <c r="M189" s="692"/>
      <c r="N189" s="340"/>
      <c r="O189" s="341"/>
      <c r="P189" s="700"/>
      <c r="Q189" s="341"/>
      <c r="R189" s="341"/>
      <c r="S189" s="342"/>
      <c r="T189" s="700"/>
      <c r="U189" s="596"/>
      <c r="V189" s="343"/>
      <c r="W189" s="341"/>
      <c r="X189" s="343"/>
      <c r="Y189" s="343"/>
      <c r="Z189"/>
    </row>
    <row r="190" spans="6:26" ht="16">
      <c r="F190" s="1" t="s">
        <v>812</v>
      </c>
      <c r="M190" s="692"/>
      <c r="N190" s="340"/>
      <c r="O190" s="341"/>
      <c r="P190" s="700"/>
      <c r="Q190" s="341"/>
      <c r="R190" s="341"/>
      <c r="S190" s="342"/>
      <c r="T190" s="700"/>
      <c r="U190" s="596"/>
      <c r="V190" s="343"/>
      <c r="W190" s="341"/>
      <c r="X190" s="343"/>
      <c r="Y190" s="343"/>
      <c r="Z190"/>
    </row>
    <row r="191" spans="6:26" ht="16">
      <c r="G191" s="691">
        <v>-7</v>
      </c>
      <c r="H191" s="691"/>
      <c r="I191" s="691"/>
      <c r="J191" s="691"/>
      <c r="K191" s="691"/>
      <c r="L191" s="691"/>
      <c r="M191" s="692"/>
      <c r="N191" s="340"/>
      <c r="O191" s="341"/>
      <c r="P191" s="700"/>
      <c r="Q191" s="341"/>
      <c r="R191" s="341"/>
      <c r="S191" s="342"/>
      <c r="T191" s="700"/>
      <c r="U191" s="596"/>
      <c r="V191" s="343"/>
      <c r="W191" s="341"/>
      <c r="X191" s="343"/>
      <c r="Y191" s="343"/>
      <c r="Z191"/>
    </row>
    <row r="192" spans="6:26" ht="16">
      <c r="H192" s="3" t="s">
        <v>268</v>
      </c>
      <c r="I192" s="3"/>
      <c r="J192" s="3"/>
      <c r="K192" s="3"/>
      <c r="L192" s="3"/>
      <c r="M192" s="692"/>
      <c r="N192" s="340"/>
      <c r="O192" s="341"/>
      <c r="P192" s="700"/>
      <c r="Q192" s="341"/>
      <c r="R192" s="341"/>
      <c r="S192" s="342"/>
      <c r="T192" s="700"/>
      <c r="U192" s="596"/>
      <c r="V192" s="343"/>
      <c r="W192" s="341"/>
      <c r="X192" s="343"/>
      <c r="Y192" s="343"/>
      <c r="Z192"/>
    </row>
    <row r="193" spans="6:26" ht="16">
      <c r="I193" s="344">
        <v>44853</v>
      </c>
      <c r="J193" s="344"/>
      <c r="K193" s="344"/>
      <c r="L193" s="344"/>
      <c r="M193" s="692"/>
      <c r="N193" s="340"/>
      <c r="O193" s="341"/>
      <c r="P193" s="700"/>
      <c r="Q193" s="341"/>
      <c r="R193" s="341"/>
      <c r="S193" s="342"/>
      <c r="T193" s="700"/>
      <c r="U193" s="596"/>
      <c r="V193" s="343"/>
      <c r="W193" s="341"/>
      <c r="X193" s="343"/>
      <c r="Y193" s="343"/>
      <c r="Z193"/>
    </row>
    <row r="194" spans="6:26" ht="16">
      <c r="J194" s="345">
        <v>44888</v>
      </c>
      <c r="K194" s="345"/>
      <c r="L194" s="345"/>
      <c r="M194" s="692"/>
      <c r="N194" s="340"/>
      <c r="O194" s="341"/>
      <c r="P194" s="700"/>
      <c r="Q194" s="341"/>
      <c r="R194" s="341"/>
      <c r="S194" s="342"/>
      <c r="T194" s="700"/>
      <c r="U194" s="596"/>
      <c r="V194" s="343"/>
      <c r="W194" s="341"/>
      <c r="X194" s="343"/>
      <c r="Y194" s="343"/>
      <c r="Z194"/>
    </row>
    <row r="195" spans="6:26" ht="16">
      <c r="K195" s="3" t="s">
        <v>267</v>
      </c>
      <c r="L195" s="3"/>
      <c r="M195" s="692"/>
      <c r="N195" s="340"/>
      <c r="O195" s="341"/>
      <c r="P195" s="700"/>
      <c r="Q195" s="341"/>
      <c r="R195" s="341"/>
      <c r="S195" s="342"/>
      <c r="T195" s="700"/>
      <c r="U195" s="596"/>
      <c r="V195" s="343"/>
      <c r="W195" s="341"/>
      <c r="X195" s="343"/>
      <c r="Y195" s="343"/>
      <c r="Z195"/>
    </row>
    <row r="196" spans="6:26" ht="16">
      <c r="L196" s="691">
        <v>7</v>
      </c>
      <c r="M196" s="692">
        <v>4171.8999999999996</v>
      </c>
      <c r="N196" s="340">
        <v>1</v>
      </c>
      <c r="O196" s="341">
        <v>19.991299999999999</v>
      </c>
      <c r="P196" s="700">
        <v>83401.704469999982</v>
      </c>
      <c r="Q196" s="341">
        <v>125.276</v>
      </c>
      <c r="R196" s="341">
        <v>125.997</v>
      </c>
      <c r="S196" s="342">
        <v>1.0057</v>
      </c>
      <c r="T196" s="700">
        <v>83877.094185478985</v>
      </c>
      <c r="U196" s="596">
        <v>-35</v>
      </c>
      <c r="V196" s="343">
        <v>1</v>
      </c>
      <c r="W196" s="341">
        <v>19.492999999999999</v>
      </c>
      <c r="X196" s="343">
        <v>-682.255</v>
      </c>
      <c r="Y196" s="343">
        <v>83194.839185478981</v>
      </c>
      <c r="Z196"/>
    </row>
    <row r="197" spans="6:26" ht="16">
      <c r="M197" s="692"/>
      <c r="N197" s="340"/>
      <c r="O197" s="341"/>
      <c r="P197" s="700"/>
      <c r="Q197" s="341"/>
      <c r="R197" s="341"/>
      <c r="S197" s="342"/>
      <c r="T197" s="700"/>
      <c r="U197" s="596"/>
      <c r="V197" s="343"/>
      <c r="W197" s="341"/>
      <c r="X197" s="343"/>
      <c r="Y197" s="343"/>
      <c r="Z197"/>
    </row>
    <row r="198" spans="6:26" ht="16">
      <c r="F198" s="580" t="s">
        <v>906</v>
      </c>
      <c r="G198" s="580"/>
      <c r="H198" s="580"/>
      <c r="I198" s="580"/>
      <c r="J198" s="580"/>
      <c r="K198" s="580"/>
      <c r="L198" s="580"/>
      <c r="M198" s="705">
        <v>4171.8999999999996</v>
      </c>
      <c r="N198" s="664">
        <v>1</v>
      </c>
      <c r="O198" s="582">
        <v>19.991299999999999</v>
      </c>
      <c r="P198" s="708">
        <v>83401.704469999982</v>
      </c>
      <c r="Q198" s="582">
        <v>125.276</v>
      </c>
      <c r="R198" s="582">
        <v>125.997</v>
      </c>
      <c r="S198" s="583">
        <v>1.0057</v>
      </c>
      <c r="T198" s="708">
        <v>83877.094185478985</v>
      </c>
      <c r="U198" s="599">
        <v>-35</v>
      </c>
      <c r="V198" s="581">
        <v>1</v>
      </c>
      <c r="W198" s="582">
        <v>19.492999999999999</v>
      </c>
      <c r="X198" s="581">
        <v>-682.255</v>
      </c>
      <c r="Y198" s="581">
        <v>83194.839185478981</v>
      </c>
      <c r="Z198"/>
    </row>
    <row r="199" spans="6:26" ht="16">
      <c r="M199" s="692"/>
      <c r="N199" s="340"/>
      <c r="O199" s="341"/>
      <c r="P199" s="700"/>
      <c r="Q199" s="341"/>
      <c r="R199" s="341"/>
      <c r="S199" s="342"/>
      <c r="T199" s="700"/>
      <c r="U199" s="596"/>
      <c r="V199" s="343"/>
      <c r="W199" s="341"/>
      <c r="X199" s="343"/>
      <c r="Y199" s="343"/>
      <c r="Z199"/>
    </row>
    <row r="200" spans="6:26" ht="16">
      <c r="F200" s="1" t="s">
        <v>813</v>
      </c>
      <c r="M200" s="692"/>
      <c r="N200" s="340"/>
      <c r="O200" s="341"/>
      <c r="P200" s="700"/>
      <c r="Q200" s="341"/>
      <c r="R200" s="341"/>
      <c r="S200" s="342"/>
      <c r="T200" s="700"/>
      <c r="U200" s="596"/>
      <c r="V200" s="343"/>
      <c r="W200" s="341"/>
      <c r="X200" s="343"/>
      <c r="Y200" s="343"/>
      <c r="Z200"/>
    </row>
    <row r="201" spans="6:26" ht="16">
      <c r="G201" s="691">
        <v>-4</v>
      </c>
      <c r="H201" s="691"/>
      <c r="I201" s="691"/>
      <c r="J201" s="691"/>
      <c r="K201" s="691"/>
      <c r="L201" s="691"/>
      <c r="M201" s="692"/>
      <c r="N201" s="340"/>
      <c r="O201" s="341"/>
      <c r="P201" s="700"/>
      <c r="Q201" s="341"/>
      <c r="R201" s="341"/>
      <c r="S201" s="342"/>
      <c r="T201" s="700"/>
      <c r="U201" s="596"/>
      <c r="V201" s="343"/>
      <c r="W201" s="341"/>
      <c r="X201" s="343"/>
      <c r="Y201" s="343"/>
      <c r="Z201"/>
    </row>
    <row r="202" spans="6:26" ht="16">
      <c r="H202" s="3" t="s">
        <v>268</v>
      </c>
      <c r="I202" s="3"/>
      <c r="J202" s="3"/>
      <c r="K202" s="3"/>
      <c r="L202" s="3"/>
      <c r="M202" s="692"/>
      <c r="N202" s="340"/>
      <c r="O202" s="341"/>
      <c r="P202" s="700"/>
      <c r="Q202" s="341"/>
      <c r="R202" s="341"/>
      <c r="S202" s="342"/>
      <c r="T202" s="700"/>
      <c r="U202" s="596"/>
      <c r="V202" s="343"/>
      <c r="W202" s="341"/>
      <c r="X202" s="343"/>
      <c r="Y202" s="343"/>
      <c r="Z202"/>
    </row>
    <row r="203" spans="6:26" ht="16">
      <c r="I203" s="344">
        <v>44853</v>
      </c>
      <c r="J203" s="344"/>
      <c r="K203" s="344"/>
      <c r="L203" s="344"/>
      <c r="M203" s="692"/>
      <c r="N203" s="340"/>
      <c r="O203" s="341"/>
      <c r="P203" s="700"/>
      <c r="Q203" s="341"/>
      <c r="R203" s="341"/>
      <c r="S203" s="342"/>
      <c r="T203" s="700"/>
      <c r="U203" s="596"/>
      <c r="V203" s="343"/>
      <c r="W203" s="341"/>
      <c r="X203" s="343"/>
      <c r="Y203" s="343"/>
      <c r="Z203"/>
    </row>
    <row r="204" spans="6:26" ht="16">
      <c r="J204" s="345">
        <v>44888</v>
      </c>
      <c r="K204" s="345"/>
      <c r="L204" s="345"/>
      <c r="M204" s="692"/>
      <c r="N204" s="340"/>
      <c r="O204" s="341"/>
      <c r="P204" s="700"/>
      <c r="Q204" s="341"/>
      <c r="R204" s="341"/>
      <c r="S204" s="342"/>
      <c r="T204" s="700"/>
      <c r="U204" s="596"/>
      <c r="V204" s="343"/>
      <c r="W204" s="341"/>
      <c r="X204" s="343"/>
      <c r="Y204" s="343"/>
      <c r="Z204"/>
    </row>
    <row r="205" spans="6:26" ht="16">
      <c r="K205" s="3" t="s">
        <v>267</v>
      </c>
      <c r="L205" s="3"/>
      <c r="M205" s="692"/>
      <c r="N205" s="340"/>
      <c r="O205" s="341"/>
      <c r="P205" s="700"/>
      <c r="Q205" s="341"/>
      <c r="R205" s="341"/>
      <c r="S205" s="342"/>
      <c r="T205" s="700"/>
      <c r="U205" s="596"/>
      <c r="V205" s="343"/>
      <c r="W205" s="341"/>
      <c r="X205" s="343"/>
      <c r="Y205" s="343"/>
      <c r="Z205"/>
    </row>
    <row r="206" spans="6:26" ht="16">
      <c r="L206" s="691">
        <v>4</v>
      </c>
      <c r="M206" s="692">
        <v>2882.13</v>
      </c>
      <c r="N206" s="340">
        <v>1</v>
      </c>
      <c r="O206" s="341">
        <v>19.991299999999999</v>
      </c>
      <c r="P206" s="700">
        <v>57617.525469</v>
      </c>
      <c r="Q206" s="341">
        <v>125.276</v>
      </c>
      <c r="R206" s="341">
        <v>125.997</v>
      </c>
      <c r="S206" s="342">
        <v>1.0057</v>
      </c>
      <c r="T206" s="700">
        <v>57945.945364173305</v>
      </c>
      <c r="U206" s="596">
        <v>-24</v>
      </c>
      <c r="V206" s="343">
        <v>1</v>
      </c>
      <c r="W206" s="341">
        <v>19.492999999999999</v>
      </c>
      <c r="X206" s="343">
        <v>-467.83199999999999</v>
      </c>
      <c r="Y206" s="343">
        <v>57478.113364173303</v>
      </c>
      <c r="Z206"/>
    </row>
    <row r="207" spans="6:26" ht="16">
      <c r="M207" s="692"/>
      <c r="N207" s="340"/>
      <c r="O207" s="341"/>
      <c r="P207" s="700"/>
      <c r="Q207" s="341"/>
      <c r="R207" s="341"/>
      <c r="S207" s="342"/>
      <c r="T207" s="700"/>
      <c r="U207" s="596"/>
      <c r="V207" s="343"/>
      <c r="W207" s="341"/>
      <c r="X207" s="343"/>
      <c r="Y207" s="343"/>
      <c r="Z207"/>
    </row>
    <row r="208" spans="6:26" ht="16">
      <c r="F208" s="580" t="s">
        <v>907</v>
      </c>
      <c r="G208" s="580"/>
      <c r="H208" s="580"/>
      <c r="I208" s="580"/>
      <c r="J208" s="580"/>
      <c r="K208" s="580"/>
      <c r="L208" s="580"/>
      <c r="M208" s="705">
        <v>2882.13</v>
      </c>
      <c r="N208" s="664">
        <v>1</v>
      </c>
      <c r="O208" s="582">
        <v>19.991299999999999</v>
      </c>
      <c r="P208" s="708">
        <v>57617.525469</v>
      </c>
      <c r="Q208" s="582">
        <v>125.276</v>
      </c>
      <c r="R208" s="582">
        <v>125.997</v>
      </c>
      <c r="S208" s="583">
        <v>1.0057</v>
      </c>
      <c r="T208" s="708">
        <v>57945.945364173305</v>
      </c>
      <c r="U208" s="599">
        <v>-24</v>
      </c>
      <c r="V208" s="581">
        <v>1</v>
      </c>
      <c r="W208" s="582">
        <v>19.492999999999999</v>
      </c>
      <c r="X208" s="581">
        <v>-467.83199999999999</v>
      </c>
      <c r="Y208" s="581">
        <v>57478.113364173303</v>
      </c>
      <c r="Z208"/>
    </row>
    <row r="209" spans="6:26" ht="16">
      <c r="M209" s="692"/>
      <c r="N209" s="340"/>
      <c r="O209" s="341"/>
      <c r="P209" s="700"/>
      <c r="Q209" s="341"/>
      <c r="R209" s="341"/>
      <c r="S209" s="342"/>
      <c r="T209" s="700"/>
      <c r="U209" s="596"/>
      <c r="V209" s="343"/>
      <c r="W209" s="341"/>
      <c r="X209" s="343"/>
      <c r="Y209" s="343"/>
      <c r="Z209"/>
    </row>
    <row r="210" spans="6:26" ht="16">
      <c r="F210" s="1" t="s">
        <v>773</v>
      </c>
      <c r="M210" s="692"/>
      <c r="N210" s="340"/>
      <c r="O210" s="341"/>
      <c r="P210" s="700"/>
      <c r="Q210" s="341"/>
      <c r="R210" s="341"/>
      <c r="S210" s="342"/>
      <c r="T210" s="700"/>
      <c r="U210" s="596"/>
      <c r="V210" s="343"/>
      <c r="W210" s="341"/>
      <c r="X210" s="343"/>
      <c r="Y210" s="343"/>
      <c r="Z210"/>
    </row>
    <row r="211" spans="6:26" ht="16">
      <c r="G211" s="691">
        <v>-5</v>
      </c>
      <c r="H211" s="691"/>
      <c r="I211" s="691"/>
      <c r="J211" s="691"/>
      <c r="K211" s="691"/>
      <c r="L211" s="691"/>
      <c r="M211" s="692"/>
      <c r="N211" s="340"/>
      <c r="O211" s="341"/>
      <c r="P211" s="700"/>
      <c r="Q211" s="341"/>
      <c r="R211" s="341"/>
      <c r="S211" s="342"/>
      <c r="T211" s="700"/>
      <c r="U211" s="596"/>
      <c r="V211" s="343"/>
      <c r="W211" s="341"/>
      <c r="X211" s="343"/>
      <c r="Y211" s="343"/>
      <c r="Z211"/>
    </row>
    <row r="212" spans="6:26" ht="16">
      <c r="H212" s="3" t="s">
        <v>268</v>
      </c>
      <c r="I212" s="3"/>
      <c r="J212" s="3"/>
      <c r="K212" s="3"/>
      <c r="L212" s="3"/>
      <c r="M212" s="692"/>
      <c r="N212" s="340"/>
      <c r="O212" s="341"/>
      <c r="P212" s="700"/>
      <c r="Q212" s="341"/>
      <c r="R212" s="341"/>
      <c r="S212" s="342"/>
      <c r="T212" s="700"/>
      <c r="U212" s="596"/>
      <c r="V212" s="343"/>
      <c r="W212" s="341"/>
      <c r="X212" s="343"/>
      <c r="Y212" s="343"/>
      <c r="Z212"/>
    </row>
    <row r="213" spans="6:26" ht="16">
      <c r="I213" s="344">
        <v>44741</v>
      </c>
      <c r="J213" s="344"/>
      <c r="K213" s="344"/>
      <c r="L213" s="344"/>
      <c r="M213" s="692"/>
      <c r="N213" s="340"/>
      <c r="O213" s="341"/>
      <c r="P213" s="700"/>
      <c r="Q213" s="341"/>
      <c r="R213" s="341"/>
      <c r="S213" s="342"/>
      <c r="T213" s="700"/>
      <c r="U213" s="596"/>
      <c r="V213" s="343"/>
      <c r="W213" s="341"/>
      <c r="X213" s="343"/>
      <c r="Y213" s="343"/>
      <c r="Z213"/>
    </row>
    <row r="214" spans="6:26" ht="16">
      <c r="J214" s="345">
        <v>44853</v>
      </c>
      <c r="K214" s="345"/>
      <c r="L214" s="345"/>
      <c r="M214" s="692"/>
      <c r="N214" s="340"/>
      <c r="O214" s="341"/>
      <c r="P214" s="700"/>
      <c r="Q214" s="341"/>
      <c r="R214" s="341"/>
      <c r="S214" s="342"/>
      <c r="T214" s="700"/>
      <c r="U214" s="596"/>
      <c r="V214" s="343"/>
      <c r="W214" s="341"/>
      <c r="X214" s="343"/>
      <c r="Y214" s="343"/>
      <c r="Z214"/>
    </row>
    <row r="215" spans="6:26" ht="16">
      <c r="K215" s="3" t="s">
        <v>267</v>
      </c>
      <c r="L215" s="3"/>
      <c r="M215" s="692"/>
      <c r="N215" s="340"/>
      <c r="O215" s="341"/>
      <c r="P215" s="700"/>
      <c r="Q215" s="341"/>
      <c r="R215" s="341"/>
      <c r="S215" s="342"/>
      <c r="T215" s="700"/>
      <c r="U215" s="596"/>
      <c r="V215" s="343"/>
      <c r="W215" s="341"/>
      <c r="X215" s="343"/>
      <c r="Y215" s="343"/>
      <c r="Z215"/>
    </row>
    <row r="216" spans="6:26" ht="16">
      <c r="L216" s="691">
        <v>5</v>
      </c>
      <c r="M216" s="692">
        <v>5659.87</v>
      </c>
      <c r="N216" s="340">
        <v>1</v>
      </c>
      <c r="O216" s="341">
        <v>19.8797</v>
      </c>
      <c r="P216" s="700">
        <v>112516.517639</v>
      </c>
      <c r="Q216" s="341">
        <v>122.044</v>
      </c>
      <c r="R216" s="341">
        <v>125.276</v>
      </c>
      <c r="S216" s="342">
        <v>1.0264</v>
      </c>
      <c r="T216" s="700">
        <v>115486.95370466959</v>
      </c>
      <c r="U216" s="596">
        <v>-125</v>
      </c>
      <c r="V216" s="343">
        <v>1</v>
      </c>
      <c r="W216" s="341">
        <v>19.991299999999999</v>
      </c>
      <c r="X216" s="343">
        <v>-2498.9124999999999</v>
      </c>
      <c r="Y216" s="343">
        <v>112988.04120466959</v>
      </c>
      <c r="Z216"/>
    </row>
    <row r="217" spans="6:26" ht="16">
      <c r="M217" s="692"/>
      <c r="N217" s="340"/>
      <c r="O217" s="341"/>
      <c r="P217" s="700"/>
      <c r="Q217" s="341"/>
      <c r="R217" s="341"/>
      <c r="S217" s="342"/>
      <c r="T217" s="700"/>
      <c r="U217" s="596"/>
      <c r="V217" s="343"/>
      <c r="W217" s="341"/>
      <c r="X217" s="343"/>
      <c r="Y217" s="343"/>
      <c r="Z217"/>
    </row>
    <row r="218" spans="6:26" ht="23" customHeight="1">
      <c r="F218" s="580" t="s">
        <v>908</v>
      </c>
      <c r="G218" s="580"/>
      <c r="H218" s="580"/>
      <c r="I218" s="580"/>
      <c r="J218" s="580"/>
      <c r="K218" s="580"/>
      <c r="L218" s="580"/>
      <c r="M218" s="705">
        <v>5659.87</v>
      </c>
      <c r="N218" s="664">
        <v>1</v>
      </c>
      <c r="O218" s="582">
        <v>19.8797</v>
      </c>
      <c r="P218" s="708">
        <v>112516.517639</v>
      </c>
      <c r="Q218" s="582">
        <v>122.044</v>
      </c>
      <c r="R218" s="582">
        <v>125.276</v>
      </c>
      <c r="S218" s="583">
        <v>1.0264</v>
      </c>
      <c r="T218" s="708">
        <v>115486.95370466959</v>
      </c>
      <c r="U218" s="599">
        <v>-125</v>
      </c>
      <c r="V218" s="581">
        <v>1</v>
      </c>
      <c r="W218" s="582">
        <v>19.991299999999999</v>
      </c>
      <c r="X218" s="581">
        <v>-2498.9124999999999</v>
      </c>
      <c r="Y218" s="581">
        <v>112988.04120466959</v>
      </c>
    </row>
    <row r="219" spans="6:26" ht="23" customHeight="1">
      <c r="M219" s="692"/>
      <c r="N219" s="340"/>
      <c r="O219" s="341"/>
      <c r="P219" s="700"/>
      <c r="Q219" s="341"/>
      <c r="R219" s="341"/>
      <c r="S219" s="342"/>
      <c r="T219" s="700"/>
      <c r="U219" s="596"/>
      <c r="V219" s="343"/>
      <c r="W219" s="341"/>
      <c r="X219" s="343"/>
      <c r="Y219" s="343"/>
    </row>
    <row r="220" spans="6:26" ht="23" customHeight="1">
      <c r="F220" s="1" t="s">
        <v>783</v>
      </c>
      <c r="M220" s="692"/>
      <c r="N220" s="340"/>
      <c r="O220" s="341"/>
      <c r="P220" s="700"/>
      <c r="Q220" s="341"/>
      <c r="R220" s="341"/>
      <c r="S220" s="342"/>
      <c r="T220" s="700"/>
      <c r="U220" s="596"/>
      <c r="V220" s="343"/>
      <c r="W220" s="341"/>
      <c r="X220" s="343"/>
      <c r="Y220" s="343"/>
    </row>
    <row r="221" spans="6:26" ht="23" customHeight="1">
      <c r="G221" s="691">
        <v>-2</v>
      </c>
      <c r="H221" s="691"/>
      <c r="I221" s="691"/>
      <c r="J221" s="691"/>
      <c r="K221" s="691"/>
      <c r="L221" s="691"/>
      <c r="M221" s="692"/>
      <c r="N221" s="340"/>
      <c r="O221" s="341"/>
      <c r="P221" s="700"/>
      <c r="Q221" s="341"/>
      <c r="R221" s="341"/>
      <c r="S221" s="342"/>
      <c r="T221" s="700"/>
      <c r="U221" s="596"/>
      <c r="V221" s="343"/>
      <c r="W221" s="341"/>
      <c r="X221" s="343"/>
      <c r="Y221" s="343"/>
    </row>
    <row r="222" spans="6:26" ht="23" customHeight="1">
      <c r="H222" s="3" t="s">
        <v>268</v>
      </c>
      <c r="I222" s="3"/>
      <c r="J222" s="3"/>
      <c r="K222" s="3"/>
      <c r="L222" s="3"/>
      <c r="M222" s="692"/>
      <c r="N222" s="340"/>
      <c r="O222" s="341"/>
      <c r="P222" s="700"/>
      <c r="Q222" s="341"/>
      <c r="R222" s="341"/>
      <c r="S222" s="342"/>
      <c r="T222" s="700"/>
      <c r="U222" s="596"/>
      <c r="V222" s="343"/>
      <c r="W222" s="341"/>
      <c r="X222" s="343"/>
      <c r="Y222" s="343"/>
    </row>
    <row r="223" spans="6:26" ht="23" customHeight="1">
      <c r="I223" s="344">
        <v>44778</v>
      </c>
      <c r="J223" s="344"/>
      <c r="K223" s="344"/>
      <c r="L223" s="344"/>
      <c r="M223" s="692"/>
      <c r="N223" s="340"/>
      <c r="O223" s="341"/>
      <c r="P223" s="700"/>
      <c r="Q223" s="341"/>
      <c r="R223" s="341"/>
      <c r="S223" s="342"/>
      <c r="T223" s="700"/>
      <c r="U223" s="596"/>
      <c r="V223" s="343"/>
      <c r="W223" s="341"/>
      <c r="X223" s="343"/>
      <c r="Y223" s="343"/>
    </row>
    <row r="224" spans="6:26" ht="23" customHeight="1">
      <c r="J224" s="345">
        <v>44879</v>
      </c>
      <c r="K224" s="345"/>
      <c r="L224" s="345"/>
      <c r="M224" s="692"/>
      <c r="N224" s="340"/>
      <c r="O224" s="341"/>
      <c r="P224" s="700"/>
      <c r="Q224" s="341"/>
      <c r="R224" s="341"/>
      <c r="S224" s="342"/>
      <c r="T224" s="700"/>
      <c r="U224" s="596"/>
      <c r="V224" s="343"/>
      <c r="W224" s="341"/>
      <c r="X224" s="343"/>
      <c r="Y224" s="343"/>
    </row>
    <row r="225" spans="6:25" ht="23" customHeight="1">
      <c r="K225" s="3" t="s">
        <v>267</v>
      </c>
      <c r="L225" s="3"/>
      <c r="M225" s="692"/>
      <c r="N225" s="340"/>
      <c r="O225" s="341"/>
      <c r="P225" s="700"/>
      <c r="Q225" s="341"/>
      <c r="R225" s="341"/>
      <c r="S225" s="342"/>
      <c r="T225" s="700"/>
      <c r="U225" s="596"/>
      <c r="V225" s="343"/>
      <c r="W225" s="341"/>
      <c r="X225" s="343"/>
      <c r="Y225" s="343"/>
    </row>
    <row r="226" spans="6:25" ht="23" customHeight="1">
      <c r="L226" s="691">
        <v>2</v>
      </c>
      <c r="M226" s="692">
        <v>1019.97</v>
      </c>
      <c r="N226" s="340">
        <v>1</v>
      </c>
      <c r="O226" s="341">
        <v>20.630500000000001</v>
      </c>
      <c r="P226" s="700">
        <v>21042.491085000001</v>
      </c>
      <c r="Q226" s="341">
        <v>123.803</v>
      </c>
      <c r="R226" s="341">
        <v>125.997</v>
      </c>
      <c r="S226" s="342">
        <v>1.0177</v>
      </c>
      <c r="T226" s="700">
        <v>21414.943177204503</v>
      </c>
      <c r="U226" s="596">
        <v>-8.8000000000000007</v>
      </c>
      <c r="V226" s="343">
        <v>1</v>
      </c>
      <c r="W226" s="341">
        <v>19.393999999999998</v>
      </c>
      <c r="X226" s="343">
        <v>-170.66720000000001</v>
      </c>
      <c r="Y226" s="343">
        <v>21244.275977204503</v>
      </c>
    </row>
    <row r="227" spans="6:25" ht="23" customHeight="1">
      <c r="M227" s="692"/>
      <c r="N227" s="340"/>
      <c r="O227" s="341"/>
      <c r="P227" s="700"/>
      <c r="Q227" s="341"/>
      <c r="R227" s="341"/>
      <c r="S227" s="342"/>
      <c r="T227" s="700"/>
      <c r="U227" s="596"/>
      <c r="V227" s="343"/>
      <c r="W227" s="341"/>
      <c r="X227" s="343"/>
      <c r="Y227" s="343"/>
    </row>
    <row r="228" spans="6:25" ht="23" customHeight="1">
      <c r="F228" s="580" t="s">
        <v>909</v>
      </c>
      <c r="G228" s="580"/>
      <c r="H228" s="580"/>
      <c r="I228" s="580"/>
      <c r="J228" s="580"/>
      <c r="K228" s="580"/>
      <c r="L228" s="580"/>
      <c r="M228" s="705">
        <v>1019.97</v>
      </c>
      <c r="N228" s="664">
        <v>1</v>
      </c>
      <c r="O228" s="582">
        <v>20.630500000000001</v>
      </c>
      <c r="P228" s="708">
        <v>21042.491085000001</v>
      </c>
      <c r="Q228" s="582">
        <v>123.803</v>
      </c>
      <c r="R228" s="582">
        <v>125.997</v>
      </c>
      <c r="S228" s="583">
        <v>1.0177</v>
      </c>
      <c r="T228" s="708">
        <v>21414.943177204503</v>
      </c>
      <c r="U228" s="599">
        <v>-8.8000000000000007</v>
      </c>
      <c r="V228" s="581">
        <v>1</v>
      </c>
      <c r="W228" s="582">
        <v>19.393999999999998</v>
      </c>
      <c r="X228" s="581">
        <v>-170.66720000000001</v>
      </c>
      <c r="Y228" s="581">
        <v>21244.275977204503</v>
      </c>
    </row>
    <row r="229" spans="6:25" ht="23" customHeight="1">
      <c r="M229" s="692"/>
      <c r="N229" s="340"/>
      <c r="O229" s="341"/>
      <c r="P229" s="700"/>
      <c r="Q229" s="341"/>
      <c r="R229" s="341"/>
      <c r="S229" s="342"/>
      <c r="T229" s="700"/>
      <c r="U229" s="596"/>
      <c r="V229" s="343"/>
      <c r="W229" s="341"/>
      <c r="X229" s="343"/>
      <c r="Y229" s="343"/>
    </row>
    <row r="230" spans="6:25" ht="23" customHeight="1">
      <c r="F230" s="1" t="s">
        <v>814</v>
      </c>
      <c r="M230" s="692"/>
      <c r="N230" s="340"/>
      <c r="O230" s="341"/>
      <c r="P230" s="700"/>
      <c r="Q230" s="341"/>
      <c r="R230" s="341"/>
      <c r="S230" s="342"/>
      <c r="T230" s="700"/>
      <c r="U230" s="596"/>
      <c r="V230" s="343"/>
      <c r="W230" s="341"/>
      <c r="X230" s="343"/>
      <c r="Y230" s="343"/>
    </row>
    <row r="231" spans="6:25" ht="23" customHeight="1">
      <c r="G231" s="691">
        <v>-7</v>
      </c>
      <c r="H231" s="691"/>
      <c r="I231" s="691"/>
      <c r="J231" s="691"/>
      <c r="K231" s="691"/>
      <c r="L231" s="691"/>
      <c r="M231" s="692"/>
      <c r="N231" s="340"/>
      <c r="O231" s="341"/>
      <c r="P231" s="700"/>
      <c r="Q231" s="341"/>
      <c r="R231" s="341"/>
      <c r="S231" s="342"/>
      <c r="T231" s="700"/>
      <c r="U231" s="596"/>
      <c r="V231" s="343"/>
      <c r="W231" s="341"/>
      <c r="X231" s="343"/>
      <c r="Y231" s="343"/>
    </row>
    <row r="232" spans="6:25" ht="23" customHeight="1">
      <c r="H232" s="3" t="s">
        <v>268</v>
      </c>
      <c r="I232" s="3"/>
      <c r="J232" s="3"/>
      <c r="K232" s="3"/>
      <c r="L232" s="3"/>
      <c r="M232" s="692"/>
      <c r="N232" s="340"/>
      <c r="O232" s="341"/>
      <c r="P232" s="700"/>
      <c r="Q232" s="341"/>
      <c r="R232" s="341"/>
      <c r="S232" s="342"/>
      <c r="T232" s="700"/>
      <c r="U232" s="596"/>
      <c r="V232" s="343"/>
      <c r="W232" s="341"/>
      <c r="X232" s="343"/>
      <c r="Y232" s="343"/>
    </row>
    <row r="233" spans="6:25" ht="23" customHeight="1">
      <c r="I233" s="344">
        <v>44861</v>
      </c>
      <c r="J233" s="344"/>
      <c r="K233" s="344"/>
      <c r="L233" s="344"/>
      <c r="M233" s="692"/>
      <c r="N233" s="340"/>
      <c r="O233" s="341"/>
      <c r="P233" s="700"/>
      <c r="Q233" s="341"/>
      <c r="R233" s="341"/>
      <c r="S233" s="342"/>
      <c r="T233" s="700"/>
      <c r="U233" s="596"/>
      <c r="V233" s="343"/>
      <c r="W233" s="341"/>
      <c r="X233" s="343"/>
      <c r="Y233" s="343"/>
    </row>
    <row r="234" spans="6:25" ht="23" customHeight="1">
      <c r="J234" s="345">
        <v>44897</v>
      </c>
      <c r="K234" s="345"/>
      <c r="L234" s="345"/>
      <c r="M234" s="692"/>
      <c r="N234" s="340"/>
      <c r="O234" s="341"/>
      <c r="P234" s="700"/>
      <c r="Q234" s="341"/>
      <c r="R234" s="341"/>
      <c r="S234" s="342"/>
      <c r="T234" s="700"/>
      <c r="U234" s="596"/>
      <c r="V234" s="343"/>
      <c r="W234" s="341"/>
      <c r="X234" s="343"/>
      <c r="Y234" s="343"/>
    </row>
    <row r="235" spans="6:25" ht="23" customHeight="1">
      <c r="K235" s="3" t="s">
        <v>267</v>
      </c>
      <c r="L235" s="3"/>
      <c r="M235" s="692"/>
      <c r="N235" s="340"/>
      <c r="O235" s="341"/>
      <c r="P235" s="700"/>
      <c r="Q235" s="341"/>
      <c r="R235" s="341"/>
      <c r="S235" s="342"/>
      <c r="T235" s="700"/>
      <c r="U235" s="596"/>
      <c r="V235" s="343"/>
      <c r="W235" s="341"/>
      <c r="X235" s="343"/>
      <c r="Y235" s="343"/>
    </row>
    <row r="236" spans="6:25" ht="23" customHeight="1">
      <c r="L236" s="691">
        <v>7</v>
      </c>
      <c r="M236" s="692">
        <v>3036.25</v>
      </c>
      <c r="N236" s="340">
        <v>1</v>
      </c>
      <c r="O236" s="341">
        <v>19.871200000000002</v>
      </c>
      <c r="P236" s="700">
        <v>60333.931000000004</v>
      </c>
      <c r="Q236" s="341">
        <v>125.276</v>
      </c>
      <c r="R236" s="341">
        <v>126.47799999999999</v>
      </c>
      <c r="S236" s="342">
        <v>1.0095000000000001</v>
      </c>
      <c r="T236" s="700">
        <v>60907.103344500007</v>
      </c>
      <c r="U236" s="596">
        <v>-35</v>
      </c>
      <c r="V236" s="343">
        <v>1</v>
      </c>
      <c r="W236" s="341">
        <v>19.3965</v>
      </c>
      <c r="X236" s="343">
        <v>-678.87749999999994</v>
      </c>
      <c r="Y236" s="343">
        <v>60228.225844500004</v>
      </c>
    </row>
    <row r="237" spans="6:25" ht="23" customHeight="1">
      <c r="M237" s="692"/>
      <c r="N237" s="340"/>
      <c r="O237" s="341"/>
      <c r="P237" s="700"/>
      <c r="Q237" s="341"/>
      <c r="R237" s="341"/>
      <c r="S237" s="342"/>
      <c r="T237" s="700"/>
      <c r="U237" s="596"/>
      <c r="V237" s="343"/>
      <c r="W237" s="341"/>
      <c r="X237" s="343"/>
      <c r="Y237" s="343"/>
    </row>
    <row r="238" spans="6:25" ht="23" customHeight="1">
      <c r="F238" s="580" t="s">
        <v>910</v>
      </c>
      <c r="G238" s="580"/>
      <c r="H238" s="580"/>
      <c r="I238" s="580"/>
      <c r="J238" s="580"/>
      <c r="K238" s="580"/>
      <c r="L238" s="580"/>
      <c r="M238" s="705">
        <v>3036.25</v>
      </c>
      <c r="N238" s="664">
        <v>1</v>
      </c>
      <c r="O238" s="582">
        <v>19.871200000000002</v>
      </c>
      <c r="P238" s="708">
        <v>60333.931000000004</v>
      </c>
      <c r="Q238" s="582">
        <v>125.276</v>
      </c>
      <c r="R238" s="582">
        <v>126.47799999999999</v>
      </c>
      <c r="S238" s="583">
        <v>1.0095000000000001</v>
      </c>
      <c r="T238" s="708">
        <v>60907.103344500007</v>
      </c>
      <c r="U238" s="599">
        <v>-35</v>
      </c>
      <c r="V238" s="581">
        <v>1</v>
      </c>
      <c r="W238" s="582">
        <v>19.3965</v>
      </c>
      <c r="X238" s="581">
        <v>-678.87749999999994</v>
      </c>
      <c r="Y238" s="581">
        <v>60228.225844500004</v>
      </c>
    </row>
    <row r="239" spans="6:25" ht="23" customHeight="1">
      <c r="M239" s="692"/>
      <c r="N239" s="340"/>
      <c r="O239" s="341"/>
      <c r="P239" s="700"/>
      <c r="Q239" s="341"/>
      <c r="R239" s="341"/>
      <c r="S239" s="342"/>
      <c r="T239" s="700"/>
      <c r="U239" s="596"/>
      <c r="V239" s="343"/>
      <c r="W239" s="341"/>
      <c r="X239" s="343"/>
      <c r="Y239" s="343"/>
    </row>
    <row r="240" spans="6:25" ht="23" customHeight="1">
      <c r="F240" s="1" t="s">
        <v>767</v>
      </c>
      <c r="M240" s="692"/>
      <c r="N240" s="340"/>
      <c r="O240" s="341"/>
      <c r="P240" s="700"/>
      <c r="Q240" s="341"/>
      <c r="R240" s="341"/>
      <c r="S240" s="342"/>
      <c r="T240" s="700"/>
      <c r="U240" s="596"/>
      <c r="V240" s="343"/>
      <c r="W240" s="341"/>
      <c r="X240" s="343"/>
      <c r="Y240" s="343"/>
    </row>
    <row r="241" spans="6:25" ht="23" customHeight="1">
      <c r="G241" s="691">
        <v>-6</v>
      </c>
      <c r="H241" s="691"/>
      <c r="I241" s="691"/>
      <c r="J241" s="691"/>
      <c r="K241" s="691"/>
      <c r="L241" s="691"/>
      <c r="M241" s="692"/>
      <c r="N241" s="340"/>
      <c r="O241" s="341"/>
      <c r="P241" s="700"/>
      <c r="Q241" s="341"/>
      <c r="R241" s="341"/>
      <c r="S241" s="342"/>
      <c r="T241" s="700"/>
      <c r="U241" s="596"/>
      <c r="V241" s="343"/>
      <c r="W241" s="341"/>
      <c r="X241" s="343"/>
      <c r="Y241" s="343"/>
    </row>
    <row r="242" spans="6:25" ht="23" customHeight="1">
      <c r="H242" s="3" t="s">
        <v>268</v>
      </c>
      <c r="I242" s="3"/>
      <c r="J242" s="3"/>
      <c r="K242" s="3"/>
      <c r="L242" s="3"/>
      <c r="M242" s="692"/>
      <c r="N242" s="340"/>
      <c r="O242" s="341"/>
      <c r="P242" s="700"/>
      <c r="Q242" s="341"/>
      <c r="R242" s="341"/>
      <c r="S242" s="342"/>
      <c r="T242" s="700"/>
      <c r="U242" s="596"/>
      <c r="V242" s="343"/>
      <c r="W242" s="341"/>
      <c r="X242" s="343"/>
      <c r="Y242" s="343"/>
    </row>
    <row r="243" spans="6:25" ht="23" customHeight="1">
      <c r="I243" s="344">
        <v>44707</v>
      </c>
      <c r="J243" s="344"/>
      <c r="K243" s="344"/>
      <c r="L243" s="344"/>
      <c r="M243" s="692"/>
      <c r="N243" s="340"/>
      <c r="O243" s="341"/>
      <c r="P243" s="700"/>
      <c r="Q243" s="341"/>
      <c r="R243" s="341"/>
      <c r="S243" s="342"/>
      <c r="T243" s="700"/>
      <c r="U243" s="596"/>
      <c r="V243" s="343"/>
      <c r="W243" s="341"/>
      <c r="X243" s="343"/>
      <c r="Y243" s="343"/>
    </row>
    <row r="244" spans="6:25" ht="23" customHeight="1">
      <c r="J244" s="345">
        <v>44832</v>
      </c>
      <c r="K244" s="345"/>
      <c r="L244" s="345"/>
      <c r="M244" s="692"/>
      <c r="N244" s="340"/>
      <c r="O244" s="341"/>
      <c r="P244" s="700"/>
      <c r="Q244" s="341"/>
      <c r="R244" s="341"/>
      <c r="S244" s="342"/>
      <c r="T244" s="700"/>
      <c r="U244" s="596"/>
      <c r="V244" s="343"/>
      <c r="W244" s="341"/>
      <c r="X244" s="343"/>
      <c r="Y244" s="343"/>
    </row>
    <row r="245" spans="6:25" ht="23" customHeight="1">
      <c r="K245" s="3" t="s">
        <v>267</v>
      </c>
      <c r="L245" s="3"/>
      <c r="M245" s="692"/>
      <c r="N245" s="340"/>
      <c r="O245" s="341"/>
      <c r="P245" s="700"/>
      <c r="Q245" s="341"/>
      <c r="R245" s="341"/>
      <c r="S245" s="342"/>
      <c r="T245" s="700"/>
      <c r="U245" s="596"/>
      <c r="V245" s="343"/>
      <c r="W245" s="341"/>
      <c r="X245" s="343"/>
      <c r="Y245" s="343"/>
    </row>
    <row r="246" spans="6:25" ht="23" customHeight="1">
      <c r="L246" s="691">
        <v>6</v>
      </c>
      <c r="M246" s="692">
        <v>5843.86</v>
      </c>
      <c r="N246" s="340">
        <v>1</v>
      </c>
      <c r="O246" s="341">
        <v>19.887</v>
      </c>
      <c r="P246" s="700">
        <v>116216.84381999999</v>
      </c>
      <c r="Q246" s="341">
        <v>121.02200000000001</v>
      </c>
      <c r="R246" s="341">
        <v>124.571</v>
      </c>
      <c r="S246" s="342">
        <v>1.0293000000000001</v>
      </c>
      <c r="T246" s="700">
        <v>119621.99734392601</v>
      </c>
      <c r="U246" s="596">
        <v>-856.98</v>
      </c>
      <c r="V246" s="343">
        <v>1</v>
      </c>
      <c r="W246" s="341">
        <v>20.351700000000001</v>
      </c>
      <c r="X246" s="343">
        <v>-17440.999866000002</v>
      </c>
      <c r="Y246" s="343">
        <v>102180.99747792599</v>
      </c>
    </row>
    <row r="247" spans="6:25" ht="23" customHeight="1">
      <c r="M247" s="692"/>
      <c r="N247" s="340"/>
      <c r="O247" s="341"/>
      <c r="P247" s="700"/>
      <c r="Q247" s="341"/>
      <c r="R247" s="341"/>
      <c r="S247" s="342"/>
      <c r="T247" s="700"/>
      <c r="U247" s="596"/>
      <c r="V247" s="343"/>
      <c r="W247" s="341"/>
      <c r="X247" s="343"/>
      <c r="Y247" s="343"/>
    </row>
    <row r="248" spans="6:25" ht="23" customHeight="1">
      <c r="F248" s="580" t="s">
        <v>911</v>
      </c>
      <c r="G248" s="580"/>
      <c r="H248" s="580"/>
      <c r="I248" s="580"/>
      <c r="J248" s="580"/>
      <c r="K248" s="580"/>
      <c r="L248" s="580"/>
      <c r="M248" s="705">
        <v>5843.86</v>
      </c>
      <c r="N248" s="664">
        <v>1</v>
      </c>
      <c r="O248" s="582">
        <v>19.887</v>
      </c>
      <c r="P248" s="708">
        <v>116216.84381999999</v>
      </c>
      <c r="Q248" s="582">
        <v>121.02200000000001</v>
      </c>
      <c r="R248" s="582">
        <v>124.571</v>
      </c>
      <c r="S248" s="583">
        <v>1.0293000000000001</v>
      </c>
      <c r="T248" s="708">
        <v>119621.99734392601</v>
      </c>
      <c r="U248" s="599">
        <v>-856.98</v>
      </c>
      <c r="V248" s="581">
        <v>1</v>
      </c>
      <c r="W248" s="582">
        <v>20.351700000000001</v>
      </c>
      <c r="X248" s="581">
        <v>-17440.999866000002</v>
      </c>
      <c r="Y248" s="581">
        <v>102180.99747792599</v>
      </c>
    </row>
    <row r="249" spans="6:25" ht="23" customHeight="1">
      <c r="M249" s="692"/>
      <c r="N249" s="340"/>
      <c r="O249" s="341"/>
      <c r="P249" s="700"/>
      <c r="Q249" s="341"/>
      <c r="R249" s="341"/>
      <c r="S249" s="342"/>
      <c r="T249" s="700"/>
      <c r="U249" s="596"/>
      <c r="V249" s="343"/>
      <c r="W249" s="341"/>
      <c r="X249" s="343"/>
      <c r="Y249" s="343"/>
    </row>
    <row r="250" spans="6:25" ht="23" customHeight="1">
      <c r="F250" s="1" t="s">
        <v>811</v>
      </c>
      <c r="M250" s="692"/>
      <c r="N250" s="340"/>
      <c r="O250" s="341"/>
      <c r="P250" s="700"/>
      <c r="Q250" s="341"/>
      <c r="R250" s="341"/>
      <c r="S250" s="342"/>
      <c r="T250" s="700"/>
      <c r="U250" s="596"/>
      <c r="V250" s="343"/>
      <c r="W250" s="341"/>
      <c r="X250" s="343"/>
      <c r="Y250" s="343"/>
    </row>
    <row r="251" spans="6:25" ht="23" customHeight="1">
      <c r="G251" s="691">
        <v>-5</v>
      </c>
      <c r="H251" s="691"/>
      <c r="I251" s="691"/>
      <c r="J251" s="691"/>
      <c r="K251" s="691"/>
      <c r="L251" s="691"/>
      <c r="M251" s="692"/>
      <c r="N251" s="340"/>
      <c r="O251" s="341"/>
      <c r="P251" s="700"/>
      <c r="Q251" s="341"/>
      <c r="R251" s="341"/>
      <c r="S251" s="342"/>
      <c r="T251" s="700"/>
      <c r="U251" s="596"/>
      <c r="V251" s="343"/>
      <c r="W251" s="341"/>
      <c r="X251" s="343"/>
      <c r="Y251" s="343"/>
    </row>
    <row r="252" spans="6:25" ht="23" customHeight="1">
      <c r="H252" s="3" t="s">
        <v>268</v>
      </c>
      <c r="I252" s="3"/>
      <c r="J252" s="3"/>
      <c r="K252" s="3"/>
      <c r="L252" s="3"/>
      <c r="M252" s="692"/>
      <c r="N252" s="340"/>
      <c r="O252" s="341"/>
      <c r="P252" s="700"/>
      <c r="Q252" s="341"/>
      <c r="R252" s="341"/>
      <c r="S252" s="342"/>
      <c r="T252" s="700"/>
      <c r="U252" s="596"/>
      <c r="V252" s="343"/>
      <c r="W252" s="341"/>
      <c r="X252" s="343"/>
      <c r="Y252" s="343"/>
    </row>
    <row r="253" spans="6:25" ht="23" customHeight="1">
      <c r="I253" s="344">
        <v>44838</v>
      </c>
      <c r="J253" s="344"/>
      <c r="K253" s="344"/>
      <c r="L253" s="344"/>
      <c r="M253" s="692"/>
      <c r="N253" s="340"/>
      <c r="O253" s="341"/>
      <c r="P253" s="700"/>
      <c r="Q253" s="341"/>
      <c r="R253" s="341"/>
      <c r="S253" s="342"/>
      <c r="T253" s="700"/>
      <c r="U253" s="596"/>
      <c r="V253" s="343"/>
      <c r="W253" s="341"/>
      <c r="X253" s="343"/>
      <c r="Y253" s="343"/>
    </row>
    <row r="254" spans="6:25" ht="23" customHeight="1">
      <c r="J254" s="345">
        <v>44868</v>
      </c>
      <c r="K254" s="345"/>
      <c r="L254" s="345"/>
      <c r="M254" s="692"/>
      <c r="N254" s="340"/>
      <c r="O254" s="341"/>
      <c r="P254" s="700"/>
      <c r="Q254" s="341"/>
      <c r="R254" s="341"/>
      <c r="S254" s="342"/>
      <c r="T254" s="700"/>
      <c r="U254" s="596"/>
      <c r="V254" s="343"/>
      <c r="W254" s="341"/>
      <c r="X254" s="343"/>
      <c r="Y254" s="343"/>
    </row>
    <row r="255" spans="6:25" ht="23" customHeight="1">
      <c r="K255" s="3" t="s">
        <v>267</v>
      </c>
      <c r="L255" s="3"/>
      <c r="M255" s="692"/>
      <c r="N255" s="340"/>
      <c r="O255" s="341"/>
      <c r="P255" s="700"/>
      <c r="Q255" s="341"/>
      <c r="R255" s="341"/>
      <c r="S255" s="342"/>
      <c r="T255" s="700"/>
      <c r="U255" s="596"/>
      <c r="V255" s="343"/>
      <c r="W255" s="341"/>
      <c r="X255" s="343"/>
      <c r="Y255" s="343"/>
    </row>
    <row r="256" spans="6:25" ht="23" customHeight="1">
      <c r="L256" s="691">
        <v>5</v>
      </c>
      <c r="M256" s="692">
        <v>2774.93</v>
      </c>
      <c r="N256" s="340">
        <v>1</v>
      </c>
      <c r="O256" s="341">
        <v>20.092500000000001</v>
      </c>
      <c r="P256" s="700">
        <v>55755.281024999997</v>
      </c>
      <c r="Q256" s="341">
        <v>125.276</v>
      </c>
      <c r="R256" s="341">
        <v>125.997</v>
      </c>
      <c r="S256" s="342">
        <v>1.0057</v>
      </c>
      <c r="T256" s="700">
        <v>56073.0861268425</v>
      </c>
      <c r="U256" s="596">
        <v>-85</v>
      </c>
      <c r="V256" s="343">
        <v>1</v>
      </c>
      <c r="W256" s="341">
        <v>19.8245</v>
      </c>
      <c r="X256" s="343">
        <v>-1685.0825</v>
      </c>
      <c r="Y256" s="343">
        <v>54388.003626842503</v>
      </c>
    </row>
    <row r="257" spans="6:25" ht="23" customHeight="1">
      <c r="M257" s="692"/>
      <c r="N257" s="340"/>
      <c r="O257" s="341"/>
      <c r="P257" s="700"/>
      <c r="Q257" s="341"/>
      <c r="R257" s="341"/>
      <c r="S257" s="342"/>
      <c r="T257" s="700"/>
      <c r="U257" s="596"/>
      <c r="V257" s="343"/>
      <c r="W257" s="341"/>
      <c r="X257" s="343"/>
      <c r="Y257" s="343"/>
    </row>
    <row r="258" spans="6:25" ht="23" customHeight="1">
      <c r="F258" s="580" t="s">
        <v>912</v>
      </c>
      <c r="G258" s="580"/>
      <c r="H258" s="580"/>
      <c r="I258" s="580"/>
      <c r="J258" s="580"/>
      <c r="K258" s="580"/>
      <c r="L258" s="580"/>
      <c r="M258" s="705">
        <v>2774.93</v>
      </c>
      <c r="N258" s="664">
        <v>1</v>
      </c>
      <c r="O258" s="582">
        <v>20.092500000000001</v>
      </c>
      <c r="P258" s="708">
        <v>55755.281024999997</v>
      </c>
      <c r="Q258" s="582">
        <v>125.276</v>
      </c>
      <c r="R258" s="582">
        <v>125.997</v>
      </c>
      <c r="S258" s="583">
        <v>1.0057</v>
      </c>
      <c r="T258" s="708">
        <v>56073.0861268425</v>
      </c>
      <c r="U258" s="599">
        <v>-85</v>
      </c>
      <c r="V258" s="581">
        <v>1</v>
      </c>
      <c r="W258" s="582">
        <v>19.8245</v>
      </c>
      <c r="X258" s="581">
        <v>-1685.0825</v>
      </c>
      <c r="Y258" s="581">
        <v>54388.003626842503</v>
      </c>
    </row>
    <row r="259" spans="6:25" ht="23" customHeight="1">
      <c r="M259" s="692"/>
      <c r="N259" s="340"/>
      <c r="O259" s="341"/>
      <c r="P259" s="700"/>
      <c r="Q259" s="341"/>
      <c r="R259" s="341"/>
      <c r="S259" s="342"/>
      <c r="T259" s="700"/>
      <c r="U259" s="596"/>
      <c r="V259" s="343"/>
      <c r="W259" s="341"/>
      <c r="X259" s="343"/>
      <c r="Y259" s="343"/>
    </row>
    <row r="260" spans="6:25" ht="23" customHeight="1">
      <c r="F260" s="1" t="s">
        <v>820</v>
      </c>
      <c r="M260" s="692"/>
      <c r="N260" s="340"/>
      <c r="O260" s="341"/>
      <c r="P260" s="700"/>
      <c r="Q260" s="341"/>
      <c r="R260" s="341"/>
      <c r="S260" s="342"/>
      <c r="T260" s="700"/>
      <c r="U260" s="596"/>
      <c r="V260" s="343"/>
      <c r="W260" s="341"/>
      <c r="X260" s="343"/>
      <c r="Y260" s="343"/>
    </row>
    <row r="261" spans="6:25" ht="23" customHeight="1">
      <c r="G261" s="691">
        <v>-7</v>
      </c>
      <c r="H261" s="691"/>
      <c r="I261" s="691"/>
      <c r="J261" s="691"/>
      <c r="K261" s="691"/>
      <c r="L261" s="691"/>
      <c r="M261" s="692"/>
      <c r="N261" s="340"/>
      <c r="O261" s="341"/>
      <c r="P261" s="700"/>
      <c r="Q261" s="341"/>
      <c r="R261" s="341"/>
      <c r="S261" s="342"/>
      <c r="T261" s="700"/>
      <c r="U261" s="596"/>
      <c r="V261" s="343"/>
      <c r="W261" s="341"/>
      <c r="X261" s="343"/>
      <c r="Y261" s="343"/>
    </row>
    <row r="262" spans="6:25" ht="23" customHeight="1">
      <c r="H262" s="3" t="s">
        <v>268</v>
      </c>
      <c r="I262" s="3"/>
      <c r="J262" s="3"/>
      <c r="K262" s="3"/>
      <c r="L262" s="3"/>
      <c r="M262" s="692"/>
      <c r="N262" s="340"/>
      <c r="O262" s="341"/>
      <c r="P262" s="700"/>
      <c r="Q262" s="341"/>
      <c r="R262" s="341"/>
      <c r="S262" s="342"/>
      <c r="T262" s="700"/>
      <c r="U262" s="596"/>
      <c r="V262" s="343"/>
      <c r="W262" s="341"/>
      <c r="X262" s="343"/>
      <c r="Y262" s="343"/>
    </row>
    <row r="263" spans="6:25" ht="23" customHeight="1">
      <c r="I263" s="344">
        <v>44819</v>
      </c>
      <c r="J263" s="344"/>
      <c r="K263" s="344"/>
      <c r="L263" s="344"/>
      <c r="M263" s="692"/>
      <c r="N263" s="340"/>
      <c r="O263" s="341"/>
      <c r="P263" s="700"/>
      <c r="Q263" s="341"/>
      <c r="R263" s="341"/>
      <c r="S263" s="342"/>
      <c r="T263" s="700"/>
      <c r="U263" s="596"/>
      <c r="V263" s="343"/>
      <c r="W263" s="341"/>
      <c r="X263" s="343"/>
      <c r="Y263" s="343"/>
    </row>
    <row r="264" spans="6:25" ht="23" customHeight="1">
      <c r="J264" s="345">
        <v>44910</v>
      </c>
      <c r="K264" s="345"/>
      <c r="L264" s="345"/>
      <c r="M264" s="692"/>
      <c r="N264" s="340"/>
      <c r="O264" s="341"/>
      <c r="P264" s="700"/>
      <c r="Q264" s="341"/>
      <c r="R264" s="341"/>
      <c r="S264" s="342"/>
      <c r="T264" s="700"/>
      <c r="U264" s="596"/>
      <c r="V264" s="343"/>
      <c r="W264" s="341"/>
      <c r="X264" s="343"/>
      <c r="Y264" s="343"/>
    </row>
    <row r="265" spans="6:25" ht="23" customHeight="1">
      <c r="K265" s="3" t="s">
        <v>267</v>
      </c>
      <c r="L265" s="3"/>
      <c r="M265" s="692"/>
      <c r="N265" s="340"/>
      <c r="O265" s="341"/>
      <c r="P265" s="700"/>
      <c r="Q265" s="341"/>
      <c r="R265" s="341"/>
      <c r="S265" s="342"/>
      <c r="T265" s="700"/>
      <c r="U265" s="596"/>
      <c r="V265" s="343"/>
      <c r="W265" s="341"/>
      <c r="X265" s="343"/>
      <c r="Y265" s="343"/>
    </row>
    <row r="266" spans="6:25" ht="23" customHeight="1">
      <c r="L266" s="691">
        <v>7</v>
      </c>
      <c r="M266" s="692">
        <v>6291.45</v>
      </c>
      <c r="N266" s="340">
        <v>1</v>
      </c>
      <c r="O266" s="341">
        <v>20.055</v>
      </c>
      <c r="P266" s="700">
        <v>126175.02975</v>
      </c>
      <c r="Q266" s="341">
        <v>124.571</v>
      </c>
      <c r="R266" s="341">
        <v>126.47799999999999</v>
      </c>
      <c r="S266" s="342">
        <v>1.0153000000000001</v>
      </c>
      <c r="T266" s="700">
        <v>128105.50770517501</v>
      </c>
      <c r="U266" s="596">
        <v>-42</v>
      </c>
      <c r="V266" s="343">
        <v>1</v>
      </c>
      <c r="W266" s="341">
        <v>19.645800000000001</v>
      </c>
      <c r="X266" s="343">
        <v>-825.12360000000001</v>
      </c>
      <c r="Y266" s="343">
        <v>127280.38410517502</v>
      </c>
    </row>
    <row r="267" spans="6:25" ht="23" customHeight="1">
      <c r="M267" s="692"/>
      <c r="N267" s="340"/>
      <c r="O267" s="341"/>
      <c r="P267" s="700"/>
      <c r="Q267" s="341"/>
      <c r="R267" s="341"/>
      <c r="S267" s="342"/>
      <c r="T267" s="700"/>
      <c r="U267" s="596"/>
      <c r="V267" s="343"/>
      <c r="W267" s="341"/>
      <c r="X267" s="343"/>
      <c r="Y267" s="343"/>
    </row>
    <row r="268" spans="6:25" ht="23" customHeight="1">
      <c r="F268" s="580" t="s">
        <v>913</v>
      </c>
      <c r="G268" s="580"/>
      <c r="H268" s="580"/>
      <c r="I268" s="580"/>
      <c r="J268" s="580"/>
      <c r="K268" s="580"/>
      <c r="L268" s="580"/>
      <c r="M268" s="705">
        <v>6291.45</v>
      </c>
      <c r="N268" s="664">
        <v>1</v>
      </c>
      <c r="O268" s="582">
        <v>20.055</v>
      </c>
      <c r="P268" s="708">
        <v>126175.02975</v>
      </c>
      <c r="Q268" s="582">
        <v>124.571</v>
      </c>
      <c r="R268" s="582">
        <v>126.47799999999999</v>
      </c>
      <c r="S268" s="583">
        <v>1.0153000000000001</v>
      </c>
      <c r="T268" s="708">
        <v>128105.50770517501</v>
      </c>
      <c r="U268" s="599">
        <v>-42</v>
      </c>
      <c r="V268" s="581">
        <v>1</v>
      </c>
      <c r="W268" s="582">
        <v>19.645800000000001</v>
      </c>
      <c r="X268" s="581">
        <v>-825.12360000000001</v>
      </c>
      <c r="Y268" s="581">
        <v>127280.38410517502</v>
      </c>
    </row>
    <row r="269" spans="6:25" ht="23" customHeight="1">
      <c r="M269" s="692"/>
      <c r="N269" s="340"/>
      <c r="O269" s="341"/>
      <c r="P269" s="700"/>
      <c r="Q269" s="341"/>
      <c r="R269" s="341"/>
      <c r="S269" s="342"/>
      <c r="T269" s="700"/>
      <c r="U269" s="596"/>
      <c r="V269" s="343"/>
      <c r="W269" s="341"/>
      <c r="X269" s="343"/>
      <c r="Y269" s="343"/>
    </row>
    <row r="270" spans="6:25" ht="23" customHeight="1">
      <c r="F270" s="1" t="s">
        <v>768</v>
      </c>
      <c r="M270" s="692"/>
      <c r="N270" s="340"/>
      <c r="O270" s="341"/>
      <c r="P270" s="700"/>
      <c r="Q270" s="341"/>
      <c r="R270" s="341"/>
      <c r="S270" s="342"/>
      <c r="T270" s="700"/>
      <c r="U270" s="596"/>
      <c r="V270" s="343"/>
      <c r="W270" s="341"/>
      <c r="X270" s="343"/>
      <c r="Y270" s="343"/>
    </row>
    <row r="271" spans="6:25" ht="23" customHeight="1">
      <c r="G271" s="691">
        <v>-7</v>
      </c>
      <c r="H271" s="691"/>
      <c r="I271" s="691"/>
      <c r="J271" s="691"/>
      <c r="K271" s="691"/>
      <c r="L271" s="691"/>
      <c r="M271" s="692"/>
      <c r="N271" s="340"/>
      <c r="O271" s="341"/>
      <c r="P271" s="700"/>
      <c r="Q271" s="341"/>
      <c r="R271" s="341"/>
      <c r="S271" s="342"/>
      <c r="T271" s="700"/>
      <c r="U271" s="596"/>
      <c r="V271" s="343"/>
      <c r="W271" s="341"/>
      <c r="X271" s="343"/>
      <c r="Y271" s="343"/>
    </row>
    <row r="272" spans="6:25" ht="23" customHeight="1">
      <c r="H272" s="3" t="s">
        <v>268</v>
      </c>
      <c r="I272" s="3"/>
      <c r="J272" s="3"/>
      <c r="K272" s="3"/>
      <c r="L272" s="3"/>
      <c r="M272" s="692"/>
      <c r="N272" s="340"/>
      <c r="O272" s="341"/>
      <c r="P272" s="700"/>
      <c r="Q272" s="341"/>
      <c r="R272" s="341"/>
      <c r="S272" s="342"/>
      <c r="T272" s="700"/>
      <c r="U272" s="596"/>
      <c r="V272" s="343"/>
      <c r="W272" s="341"/>
      <c r="X272" s="343"/>
      <c r="Y272" s="343"/>
    </row>
    <row r="273" spans="6:25" ht="23" customHeight="1">
      <c r="I273" s="344">
        <v>44707</v>
      </c>
      <c r="J273" s="344"/>
      <c r="K273" s="344"/>
      <c r="L273" s="344"/>
      <c r="M273" s="692"/>
      <c r="N273" s="340"/>
      <c r="O273" s="341"/>
      <c r="P273" s="700"/>
      <c r="Q273" s="341"/>
      <c r="R273" s="341"/>
      <c r="S273" s="342"/>
      <c r="T273" s="700"/>
      <c r="U273" s="596"/>
      <c r="V273" s="343"/>
      <c r="W273" s="341"/>
      <c r="X273" s="343"/>
      <c r="Y273" s="343"/>
    </row>
    <row r="274" spans="6:25" ht="23" customHeight="1">
      <c r="J274" s="345">
        <v>44819</v>
      </c>
      <c r="K274" s="345"/>
      <c r="L274" s="345"/>
      <c r="M274" s="692"/>
      <c r="N274" s="340"/>
      <c r="O274" s="341"/>
      <c r="P274" s="700"/>
      <c r="Q274" s="341"/>
      <c r="R274" s="341"/>
      <c r="S274" s="342"/>
      <c r="T274" s="700"/>
      <c r="U274" s="596"/>
      <c r="V274" s="343"/>
      <c r="W274" s="341"/>
      <c r="X274" s="343"/>
      <c r="Y274" s="343"/>
    </row>
    <row r="275" spans="6:25" ht="23" customHeight="1">
      <c r="K275" s="3" t="s">
        <v>267</v>
      </c>
      <c r="L275" s="3"/>
      <c r="M275" s="692"/>
      <c r="N275" s="340"/>
      <c r="O275" s="341"/>
      <c r="P275" s="700"/>
      <c r="Q275" s="341"/>
      <c r="R275" s="341"/>
      <c r="S275" s="342"/>
      <c r="T275" s="700"/>
      <c r="U275" s="596"/>
      <c r="V275" s="343"/>
      <c r="W275" s="341"/>
      <c r="X275" s="343"/>
      <c r="Y275" s="343"/>
    </row>
    <row r="276" spans="6:25" ht="23" customHeight="1">
      <c r="L276" s="691">
        <v>7</v>
      </c>
      <c r="M276" s="692">
        <v>6791.38</v>
      </c>
      <c r="N276" s="340">
        <v>1</v>
      </c>
      <c r="O276" s="341">
        <v>19.887</v>
      </c>
      <c r="P276" s="700">
        <v>135060.17406000002</v>
      </c>
      <c r="Q276" s="341">
        <v>121.02200000000001</v>
      </c>
      <c r="R276" s="341">
        <v>124.571</v>
      </c>
      <c r="S276" s="342">
        <v>1.0293000000000001</v>
      </c>
      <c r="T276" s="700">
        <v>139017.43715995803</v>
      </c>
      <c r="U276" s="596">
        <v>-42</v>
      </c>
      <c r="V276" s="343">
        <v>1</v>
      </c>
      <c r="W276" s="341">
        <v>20.055</v>
      </c>
      <c r="X276" s="343">
        <v>-842.31</v>
      </c>
      <c r="Y276" s="343">
        <v>138175.12715995804</v>
      </c>
    </row>
    <row r="277" spans="6:25" ht="23" customHeight="1">
      <c r="M277" s="692"/>
      <c r="N277" s="340"/>
      <c r="O277" s="341"/>
      <c r="P277" s="700"/>
      <c r="Q277" s="341"/>
      <c r="R277" s="341"/>
      <c r="S277" s="342"/>
      <c r="T277" s="700"/>
      <c r="U277" s="596"/>
      <c r="V277" s="343"/>
      <c r="W277" s="341"/>
      <c r="X277" s="343"/>
      <c r="Y277" s="343"/>
    </row>
    <row r="278" spans="6:25" ht="23" customHeight="1">
      <c r="F278" s="580" t="s">
        <v>914</v>
      </c>
      <c r="G278" s="580"/>
      <c r="H278" s="580"/>
      <c r="I278" s="580"/>
      <c r="J278" s="580"/>
      <c r="K278" s="580"/>
      <c r="L278" s="580"/>
      <c r="M278" s="705">
        <v>6791.38</v>
      </c>
      <c r="N278" s="664">
        <v>1</v>
      </c>
      <c r="O278" s="582">
        <v>19.887</v>
      </c>
      <c r="P278" s="708">
        <v>135060.17406000002</v>
      </c>
      <c r="Q278" s="582">
        <v>121.02200000000001</v>
      </c>
      <c r="R278" s="582">
        <v>124.571</v>
      </c>
      <c r="S278" s="583">
        <v>1.0293000000000001</v>
      </c>
      <c r="T278" s="708">
        <v>139017.43715995803</v>
      </c>
      <c r="U278" s="599">
        <v>-42</v>
      </c>
      <c r="V278" s="581">
        <v>1</v>
      </c>
      <c r="W278" s="582">
        <v>20.055</v>
      </c>
      <c r="X278" s="581">
        <v>-842.31</v>
      </c>
      <c r="Y278" s="581">
        <v>138175.12715995804</v>
      </c>
    </row>
    <row r="279" spans="6:25" ht="23" customHeight="1">
      <c r="M279" s="692"/>
      <c r="N279" s="340"/>
      <c r="O279" s="341"/>
      <c r="P279" s="700"/>
      <c r="Q279" s="341"/>
      <c r="R279" s="341"/>
      <c r="S279" s="342"/>
      <c r="T279" s="700"/>
      <c r="U279" s="596"/>
      <c r="V279" s="343"/>
      <c r="W279" s="341"/>
      <c r="X279" s="343"/>
      <c r="Y279" s="343"/>
    </row>
    <row r="280" spans="6:25" ht="23" customHeight="1">
      <c r="F280" s="1" t="s">
        <v>827</v>
      </c>
      <c r="M280" s="692"/>
      <c r="N280" s="340"/>
      <c r="O280" s="341"/>
      <c r="P280" s="700"/>
      <c r="Q280" s="341"/>
      <c r="R280" s="341"/>
      <c r="S280" s="342"/>
      <c r="T280" s="700"/>
      <c r="U280" s="596"/>
      <c r="V280" s="343"/>
      <c r="W280" s="341"/>
      <c r="X280" s="343"/>
      <c r="Y280" s="343"/>
    </row>
    <row r="281" spans="6:25" ht="23" customHeight="1">
      <c r="G281" s="691">
        <v>-6</v>
      </c>
      <c r="H281" s="691"/>
      <c r="I281" s="691"/>
      <c r="J281" s="691"/>
      <c r="K281" s="691"/>
      <c r="L281" s="691"/>
      <c r="M281" s="692"/>
      <c r="N281" s="340"/>
      <c r="O281" s="341"/>
      <c r="P281" s="700"/>
      <c r="Q281" s="341"/>
      <c r="R281" s="341"/>
      <c r="S281" s="342"/>
      <c r="T281" s="700"/>
      <c r="U281" s="596"/>
      <c r="V281" s="343"/>
      <c r="W281" s="341"/>
      <c r="X281" s="343"/>
      <c r="Y281" s="343"/>
    </row>
    <row r="282" spans="6:25" ht="23" customHeight="1">
      <c r="H282" s="3" t="s">
        <v>268</v>
      </c>
      <c r="I282" s="3"/>
      <c r="J282" s="3"/>
      <c r="K282" s="3"/>
      <c r="L282" s="3"/>
      <c r="M282" s="692"/>
      <c r="N282" s="340"/>
      <c r="O282" s="341"/>
      <c r="P282" s="700"/>
      <c r="Q282" s="341"/>
      <c r="R282" s="341"/>
      <c r="S282" s="342"/>
      <c r="T282" s="700"/>
      <c r="U282" s="596"/>
      <c r="V282" s="343"/>
      <c r="W282" s="341"/>
      <c r="X282" s="343"/>
      <c r="Y282" s="343"/>
    </row>
    <row r="283" spans="6:25" ht="23" customHeight="1">
      <c r="I283" s="344">
        <v>44879</v>
      </c>
      <c r="J283" s="344"/>
      <c r="K283" s="344"/>
      <c r="L283" s="344"/>
      <c r="M283" s="692"/>
      <c r="N283" s="340"/>
      <c r="O283" s="341"/>
      <c r="P283" s="700"/>
      <c r="Q283" s="341"/>
      <c r="R283" s="341"/>
      <c r="S283" s="342"/>
      <c r="T283" s="700"/>
      <c r="U283" s="596"/>
      <c r="V283" s="343"/>
      <c r="W283" s="341"/>
      <c r="X283" s="343"/>
      <c r="Y283" s="343"/>
    </row>
    <row r="284" spans="6:25" ht="23" customHeight="1">
      <c r="J284" s="345">
        <v>44917</v>
      </c>
      <c r="K284" s="345"/>
      <c r="L284" s="345"/>
      <c r="M284" s="692"/>
      <c r="N284" s="340"/>
      <c r="O284" s="341"/>
      <c r="P284" s="700"/>
      <c r="Q284" s="341"/>
      <c r="R284" s="341"/>
      <c r="S284" s="342"/>
      <c r="T284" s="700"/>
      <c r="U284" s="596"/>
      <c r="V284" s="343"/>
      <c r="W284" s="341"/>
      <c r="X284" s="343"/>
      <c r="Y284" s="343"/>
    </row>
    <row r="285" spans="6:25" ht="23" customHeight="1">
      <c r="K285" s="3" t="s">
        <v>267</v>
      </c>
      <c r="L285" s="3"/>
      <c r="M285" s="692"/>
      <c r="N285" s="340"/>
      <c r="O285" s="341"/>
      <c r="P285" s="700"/>
      <c r="Q285" s="341"/>
      <c r="R285" s="341"/>
      <c r="S285" s="342"/>
      <c r="T285" s="700"/>
      <c r="U285" s="596"/>
      <c r="V285" s="343"/>
      <c r="W285" s="341"/>
      <c r="X285" s="343"/>
      <c r="Y285" s="343"/>
    </row>
    <row r="286" spans="6:25" ht="23" customHeight="1">
      <c r="L286" s="691">
        <v>6</v>
      </c>
      <c r="M286" s="692">
        <v>1493.96</v>
      </c>
      <c r="N286" s="340">
        <v>1</v>
      </c>
      <c r="O286" s="341">
        <v>19.393999999999998</v>
      </c>
      <c r="P286" s="700">
        <v>28973.860239999998</v>
      </c>
      <c r="Q286" s="341">
        <v>125.997</v>
      </c>
      <c r="R286" s="341">
        <v>126.47799999999999</v>
      </c>
      <c r="S286" s="342">
        <v>1.0038</v>
      </c>
      <c r="T286" s="700">
        <v>29083.960908911999</v>
      </c>
      <c r="U286" s="596">
        <v>-54</v>
      </c>
      <c r="V286" s="343">
        <v>1</v>
      </c>
      <c r="W286" s="341">
        <v>19.748200000000001</v>
      </c>
      <c r="X286" s="343">
        <v>-1066.4028000000001</v>
      </c>
      <c r="Y286" s="343">
        <v>28017.558108911999</v>
      </c>
    </row>
    <row r="287" spans="6:25" ht="23" customHeight="1">
      <c r="M287" s="692"/>
      <c r="N287" s="340"/>
      <c r="O287" s="341"/>
      <c r="P287" s="700"/>
      <c r="Q287" s="341"/>
      <c r="R287" s="341"/>
      <c r="S287" s="342"/>
      <c r="T287" s="700"/>
      <c r="U287" s="596"/>
      <c r="V287" s="343"/>
      <c r="W287" s="341"/>
      <c r="X287" s="343"/>
      <c r="Y287" s="343"/>
    </row>
    <row r="288" spans="6:25" ht="23" customHeight="1">
      <c r="F288" s="580" t="s">
        <v>915</v>
      </c>
      <c r="G288" s="580"/>
      <c r="H288" s="580"/>
      <c r="I288" s="580"/>
      <c r="J288" s="580"/>
      <c r="K288" s="580"/>
      <c r="L288" s="580"/>
      <c r="M288" s="705">
        <v>1493.96</v>
      </c>
      <c r="N288" s="664">
        <v>1</v>
      </c>
      <c r="O288" s="582">
        <v>19.393999999999998</v>
      </c>
      <c r="P288" s="708">
        <v>28973.860239999998</v>
      </c>
      <c r="Q288" s="582">
        <v>125.997</v>
      </c>
      <c r="R288" s="582">
        <v>126.47799999999999</v>
      </c>
      <c r="S288" s="583">
        <v>1.0038</v>
      </c>
      <c r="T288" s="708">
        <v>29083.960908911999</v>
      </c>
      <c r="U288" s="599">
        <v>-54</v>
      </c>
      <c r="V288" s="581">
        <v>1</v>
      </c>
      <c r="W288" s="582">
        <v>19.748200000000001</v>
      </c>
      <c r="X288" s="581">
        <v>-1066.4028000000001</v>
      </c>
      <c r="Y288" s="581">
        <v>28017.558108911999</v>
      </c>
    </row>
    <row r="289" spans="6:25" ht="23" customHeight="1">
      <c r="M289" s="692"/>
      <c r="N289" s="340"/>
      <c r="O289" s="341"/>
      <c r="P289" s="700"/>
      <c r="Q289" s="341"/>
      <c r="R289" s="341"/>
      <c r="S289" s="342"/>
      <c r="T289" s="700"/>
      <c r="U289" s="596"/>
      <c r="V289" s="343"/>
      <c r="W289" s="341"/>
      <c r="X289" s="343"/>
      <c r="Y289" s="343"/>
    </row>
    <row r="290" spans="6:25" ht="23" customHeight="1">
      <c r="F290" s="1" t="s">
        <v>815</v>
      </c>
      <c r="M290" s="692"/>
      <c r="N290" s="340"/>
      <c r="O290" s="341"/>
      <c r="P290" s="700"/>
      <c r="Q290" s="341"/>
      <c r="R290" s="341"/>
      <c r="S290" s="342"/>
      <c r="T290" s="700"/>
      <c r="U290" s="596"/>
      <c r="V290" s="343"/>
      <c r="W290" s="341"/>
      <c r="X290" s="343"/>
      <c r="Y290" s="343"/>
    </row>
    <row r="291" spans="6:25" ht="23" customHeight="1">
      <c r="G291" s="691">
        <v>-7</v>
      </c>
      <c r="H291" s="691"/>
      <c r="I291" s="691"/>
      <c r="J291" s="691"/>
      <c r="K291" s="691"/>
      <c r="L291" s="691"/>
      <c r="M291" s="692"/>
      <c r="N291" s="340"/>
      <c r="O291" s="341"/>
      <c r="P291" s="700"/>
      <c r="Q291" s="341"/>
      <c r="R291" s="341"/>
      <c r="S291" s="342"/>
      <c r="T291" s="700"/>
      <c r="U291" s="596"/>
      <c r="V291" s="343"/>
      <c r="W291" s="341"/>
      <c r="X291" s="343"/>
      <c r="Y291" s="343"/>
    </row>
    <row r="292" spans="6:25" ht="23" customHeight="1">
      <c r="H292" s="3" t="s">
        <v>268</v>
      </c>
      <c r="I292" s="3"/>
      <c r="J292" s="3"/>
      <c r="K292" s="3"/>
      <c r="L292" s="3"/>
      <c r="M292" s="692"/>
      <c r="N292" s="340"/>
      <c r="O292" s="341"/>
      <c r="P292" s="700"/>
      <c r="Q292" s="341"/>
      <c r="R292" s="341"/>
      <c r="S292" s="342"/>
      <c r="T292" s="700"/>
      <c r="U292" s="596"/>
      <c r="V292" s="343"/>
      <c r="W292" s="341"/>
      <c r="X292" s="343"/>
      <c r="Y292" s="343"/>
    </row>
    <row r="293" spans="6:25" ht="23" customHeight="1">
      <c r="I293" s="344">
        <v>44819</v>
      </c>
      <c r="J293" s="344"/>
      <c r="K293" s="344"/>
      <c r="L293" s="344"/>
      <c r="M293" s="692"/>
      <c r="N293" s="340"/>
      <c r="O293" s="341"/>
      <c r="P293" s="700"/>
      <c r="Q293" s="341"/>
      <c r="R293" s="341"/>
      <c r="S293" s="342"/>
      <c r="T293" s="700"/>
      <c r="U293" s="596"/>
      <c r="V293" s="343"/>
      <c r="W293" s="341"/>
      <c r="X293" s="343"/>
      <c r="Y293" s="343"/>
    </row>
    <row r="294" spans="6:25" ht="23" customHeight="1">
      <c r="J294" s="345">
        <v>44861</v>
      </c>
      <c r="K294" s="345"/>
      <c r="L294" s="345"/>
      <c r="M294" s="692"/>
      <c r="N294" s="340"/>
      <c r="O294" s="341"/>
      <c r="P294" s="700"/>
      <c r="Q294" s="341"/>
      <c r="R294" s="341"/>
      <c r="S294" s="342"/>
      <c r="T294" s="700"/>
      <c r="U294" s="596"/>
      <c r="V294" s="343"/>
      <c r="W294" s="341"/>
      <c r="X294" s="343"/>
      <c r="Y294" s="343"/>
    </row>
    <row r="295" spans="6:25" ht="23" customHeight="1">
      <c r="K295" s="3" t="s">
        <v>267</v>
      </c>
      <c r="L295" s="3"/>
      <c r="M295" s="692"/>
      <c r="N295" s="340"/>
      <c r="O295" s="341"/>
      <c r="P295" s="700"/>
      <c r="Q295" s="341"/>
      <c r="R295" s="341"/>
      <c r="S295" s="342"/>
      <c r="T295" s="700"/>
      <c r="U295" s="596"/>
      <c r="V295" s="343"/>
      <c r="W295" s="341"/>
      <c r="X295" s="343"/>
      <c r="Y295" s="343"/>
    </row>
    <row r="296" spans="6:25" ht="23" customHeight="1">
      <c r="L296" s="691">
        <v>7</v>
      </c>
      <c r="M296" s="692">
        <v>4061.02</v>
      </c>
      <c r="N296" s="340">
        <v>1</v>
      </c>
      <c r="O296" s="341">
        <v>20.055</v>
      </c>
      <c r="P296" s="700">
        <v>81443.756099999999</v>
      </c>
      <c r="Q296" s="341">
        <v>124.571</v>
      </c>
      <c r="R296" s="341">
        <v>125.276</v>
      </c>
      <c r="S296" s="342">
        <v>1.0056</v>
      </c>
      <c r="T296" s="700">
        <v>81899.84113416</v>
      </c>
      <c r="U296" s="596">
        <v>-98</v>
      </c>
      <c r="V296" s="343">
        <v>1</v>
      </c>
      <c r="W296" s="341">
        <v>19.871200000000002</v>
      </c>
      <c r="X296" s="343">
        <v>-1947.3776000000003</v>
      </c>
      <c r="Y296" s="343">
        <v>79952.463534159993</v>
      </c>
    </row>
    <row r="297" spans="6:25" ht="23" customHeight="1">
      <c r="M297" s="692"/>
      <c r="N297" s="340"/>
      <c r="O297" s="341"/>
      <c r="P297" s="700"/>
      <c r="Q297" s="341"/>
      <c r="R297" s="341"/>
      <c r="S297" s="342"/>
      <c r="T297" s="700"/>
      <c r="U297" s="596"/>
      <c r="V297" s="343"/>
      <c r="W297" s="341"/>
      <c r="X297" s="343"/>
      <c r="Y297" s="343"/>
    </row>
    <row r="298" spans="6:25" ht="23" customHeight="1">
      <c r="F298" s="580" t="s">
        <v>916</v>
      </c>
      <c r="G298" s="580"/>
      <c r="H298" s="580"/>
      <c r="I298" s="580"/>
      <c r="J298" s="580"/>
      <c r="K298" s="580"/>
      <c r="L298" s="580"/>
      <c r="M298" s="705">
        <v>4061.02</v>
      </c>
      <c r="N298" s="664">
        <v>1</v>
      </c>
      <c r="O298" s="582">
        <v>20.055</v>
      </c>
      <c r="P298" s="708">
        <v>81443.756099999999</v>
      </c>
      <c r="Q298" s="582">
        <v>124.571</v>
      </c>
      <c r="R298" s="582">
        <v>125.276</v>
      </c>
      <c r="S298" s="583">
        <v>1.0056</v>
      </c>
      <c r="T298" s="708">
        <v>81899.84113416</v>
      </c>
      <c r="U298" s="599">
        <v>-98</v>
      </c>
      <c r="V298" s="581">
        <v>1</v>
      </c>
      <c r="W298" s="582">
        <v>19.871200000000002</v>
      </c>
      <c r="X298" s="581">
        <v>-1947.3776000000003</v>
      </c>
      <c r="Y298" s="581">
        <v>79952.463534159993</v>
      </c>
    </row>
    <row r="299" spans="6:25" ht="23" customHeight="1">
      <c r="M299" s="692"/>
      <c r="N299" s="340"/>
      <c r="O299" s="341"/>
      <c r="P299" s="700"/>
      <c r="Q299" s="341"/>
      <c r="R299" s="341"/>
      <c r="S299" s="342"/>
      <c r="T299" s="700"/>
      <c r="U299" s="596"/>
      <c r="V299" s="343"/>
      <c r="W299" s="341"/>
      <c r="X299" s="343"/>
      <c r="Y299" s="343"/>
    </row>
    <row r="300" spans="6:25" ht="23" customHeight="1">
      <c r="F300" s="1" t="s">
        <v>765</v>
      </c>
      <c r="M300" s="692"/>
      <c r="N300" s="340"/>
      <c r="O300" s="341"/>
      <c r="P300" s="700"/>
      <c r="Q300" s="341"/>
      <c r="R300" s="341"/>
      <c r="S300" s="342"/>
      <c r="T300" s="700"/>
      <c r="U300" s="596"/>
      <c r="V300" s="343"/>
      <c r="W300" s="341"/>
      <c r="X300" s="343"/>
      <c r="Y300" s="343"/>
    </row>
    <row r="301" spans="6:25" ht="23" customHeight="1">
      <c r="G301" s="691">
        <v>-7</v>
      </c>
      <c r="H301" s="691"/>
      <c r="I301" s="691"/>
      <c r="J301" s="691"/>
      <c r="K301" s="691"/>
      <c r="L301" s="691"/>
      <c r="M301" s="692"/>
      <c r="N301" s="340"/>
      <c r="O301" s="341"/>
      <c r="P301" s="700"/>
      <c r="Q301" s="341"/>
      <c r="R301" s="341"/>
      <c r="S301" s="342"/>
      <c r="T301" s="700"/>
      <c r="U301" s="596"/>
      <c r="V301" s="343"/>
      <c r="W301" s="341"/>
      <c r="X301" s="343"/>
      <c r="Y301" s="343"/>
    </row>
    <row r="302" spans="6:25" ht="23" customHeight="1">
      <c r="H302" s="3" t="s">
        <v>268</v>
      </c>
      <c r="I302" s="3"/>
      <c r="J302" s="3"/>
      <c r="K302" s="3"/>
      <c r="L302" s="3"/>
      <c r="M302" s="692"/>
      <c r="N302" s="340"/>
      <c r="O302" s="341"/>
      <c r="P302" s="700"/>
      <c r="Q302" s="341"/>
      <c r="R302" s="341"/>
      <c r="S302" s="342"/>
      <c r="T302" s="700"/>
      <c r="U302" s="596"/>
      <c r="V302" s="343"/>
      <c r="W302" s="341"/>
      <c r="X302" s="343"/>
      <c r="Y302" s="343"/>
    </row>
    <row r="303" spans="6:25" ht="23" customHeight="1">
      <c r="I303" s="344">
        <v>44697</v>
      </c>
      <c r="J303" s="344"/>
      <c r="K303" s="344"/>
      <c r="L303" s="344"/>
      <c r="M303" s="692"/>
      <c r="N303" s="340"/>
      <c r="O303" s="341"/>
      <c r="P303" s="700"/>
      <c r="Q303" s="341"/>
      <c r="R303" s="341"/>
      <c r="S303" s="342"/>
      <c r="T303" s="700"/>
      <c r="U303" s="596"/>
      <c r="V303" s="343"/>
      <c r="W303" s="341"/>
      <c r="X303" s="343"/>
      <c r="Y303" s="343"/>
    </row>
    <row r="304" spans="6:25" ht="23" customHeight="1">
      <c r="J304" s="345">
        <v>44789</v>
      </c>
      <c r="K304" s="345"/>
      <c r="L304" s="345"/>
      <c r="M304" s="692"/>
      <c r="N304" s="340"/>
      <c r="O304" s="341"/>
      <c r="P304" s="700"/>
      <c r="Q304" s="341"/>
      <c r="R304" s="341"/>
      <c r="S304" s="342"/>
      <c r="T304" s="700"/>
      <c r="U304" s="596"/>
      <c r="V304" s="343"/>
      <c r="W304" s="341"/>
      <c r="X304" s="343"/>
      <c r="Y304" s="343"/>
    </row>
    <row r="305" spans="6:25" ht="23" customHeight="1">
      <c r="K305" s="3" t="s">
        <v>267</v>
      </c>
      <c r="L305" s="3"/>
      <c r="M305" s="692"/>
      <c r="N305" s="340"/>
      <c r="O305" s="341"/>
      <c r="P305" s="700"/>
      <c r="Q305" s="341"/>
      <c r="R305" s="341"/>
      <c r="S305" s="342"/>
      <c r="T305" s="700"/>
      <c r="U305" s="596"/>
      <c r="V305" s="343"/>
      <c r="W305" s="341"/>
      <c r="X305" s="343"/>
      <c r="Y305" s="343"/>
    </row>
    <row r="306" spans="6:25" ht="23" customHeight="1">
      <c r="L306" s="691">
        <v>7</v>
      </c>
      <c r="M306" s="692">
        <v>7344.58</v>
      </c>
      <c r="N306" s="340">
        <v>1</v>
      </c>
      <c r="O306" s="341">
        <v>20.32</v>
      </c>
      <c r="P306" s="700">
        <v>149241.86559999999</v>
      </c>
      <c r="Q306" s="341">
        <v>121.02200000000001</v>
      </c>
      <c r="R306" s="341">
        <v>123.803</v>
      </c>
      <c r="S306" s="342">
        <v>1.0228999999999999</v>
      </c>
      <c r="T306" s="700">
        <v>152659.50432223998</v>
      </c>
      <c r="U306" s="596">
        <v>-21</v>
      </c>
      <c r="V306" s="343">
        <v>1</v>
      </c>
      <c r="W306" s="341">
        <v>19.873999999999999</v>
      </c>
      <c r="X306" s="343">
        <v>-417.35399999999998</v>
      </c>
      <c r="Y306" s="343">
        <v>152242.15032223999</v>
      </c>
    </row>
    <row r="307" spans="6:25" ht="23" customHeight="1">
      <c r="M307" s="692"/>
      <c r="N307" s="340"/>
      <c r="O307" s="341"/>
      <c r="P307" s="700"/>
      <c r="Q307" s="341"/>
      <c r="R307" s="341"/>
      <c r="S307" s="342"/>
      <c r="T307" s="700"/>
      <c r="U307" s="596"/>
      <c r="V307" s="343"/>
      <c r="W307" s="341"/>
      <c r="X307" s="343"/>
      <c r="Y307" s="343"/>
    </row>
    <row r="308" spans="6:25" ht="23" customHeight="1">
      <c r="F308" s="580" t="s">
        <v>917</v>
      </c>
      <c r="G308" s="580"/>
      <c r="H308" s="580"/>
      <c r="I308" s="580"/>
      <c r="J308" s="580"/>
      <c r="K308" s="580"/>
      <c r="L308" s="580"/>
      <c r="M308" s="705">
        <v>7344.58</v>
      </c>
      <c r="N308" s="664">
        <v>1</v>
      </c>
      <c r="O308" s="582">
        <v>20.32</v>
      </c>
      <c r="P308" s="708">
        <v>149241.86559999999</v>
      </c>
      <c r="Q308" s="582">
        <v>121.02200000000001</v>
      </c>
      <c r="R308" s="582">
        <v>123.803</v>
      </c>
      <c r="S308" s="583">
        <v>1.0228999999999999</v>
      </c>
      <c r="T308" s="708">
        <v>152659.50432223998</v>
      </c>
      <c r="U308" s="599">
        <v>-21</v>
      </c>
      <c r="V308" s="581">
        <v>1</v>
      </c>
      <c r="W308" s="582">
        <v>19.873999999999999</v>
      </c>
      <c r="X308" s="581">
        <v>-417.35399999999998</v>
      </c>
      <c r="Y308" s="581">
        <v>152242.15032223999</v>
      </c>
    </row>
    <row r="309" spans="6:25" ht="23" customHeight="1">
      <c r="M309" s="692"/>
      <c r="N309" s="340"/>
      <c r="O309" s="341"/>
      <c r="P309" s="700"/>
      <c r="Q309" s="341"/>
      <c r="R309" s="341"/>
      <c r="S309" s="342"/>
      <c r="T309" s="700"/>
      <c r="U309" s="596"/>
      <c r="V309" s="343"/>
      <c r="W309" s="341"/>
      <c r="X309" s="343"/>
      <c r="Y309" s="343"/>
    </row>
    <row r="310" spans="6:25" ht="23" customHeight="1">
      <c r="F310" s="1" t="s">
        <v>828</v>
      </c>
      <c r="M310" s="692"/>
      <c r="N310" s="340"/>
      <c r="O310" s="341"/>
      <c r="P310" s="700"/>
      <c r="Q310" s="341"/>
      <c r="R310" s="341"/>
      <c r="S310" s="342"/>
      <c r="T310" s="700"/>
      <c r="U310" s="596"/>
      <c r="V310" s="343"/>
      <c r="W310" s="341"/>
      <c r="X310" s="343"/>
      <c r="Y310" s="343"/>
    </row>
    <row r="311" spans="6:25" ht="23" customHeight="1">
      <c r="G311" s="691">
        <v>-3</v>
      </c>
      <c r="H311" s="691"/>
      <c r="I311" s="691"/>
      <c r="J311" s="691"/>
      <c r="K311" s="691"/>
      <c r="L311" s="691"/>
      <c r="M311" s="692"/>
      <c r="N311" s="340"/>
      <c r="O311" s="341"/>
      <c r="P311" s="700"/>
      <c r="Q311" s="341"/>
      <c r="R311" s="341"/>
      <c r="S311" s="342"/>
      <c r="T311" s="700"/>
      <c r="U311" s="596"/>
      <c r="V311" s="343"/>
      <c r="W311" s="341"/>
      <c r="X311" s="343"/>
      <c r="Y311" s="343"/>
    </row>
    <row r="312" spans="6:25" ht="23" customHeight="1">
      <c r="H312" s="3" t="s">
        <v>268</v>
      </c>
      <c r="I312" s="3"/>
      <c r="J312" s="3"/>
      <c r="K312" s="3"/>
      <c r="L312" s="3"/>
      <c r="M312" s="692"/>
      <c r="N312" s="340"/>
      <c r="O312" s="341"/>
      <c r="P312" s="700"/>
      <c r="Q312" s="341"/>
      <c r="R312" s="341"/>
      <c r="S312" s="342"/>
      <c r="T312" s="700"/>
      <c r="U312" s="596"/>
      <c r="V312" s="343"/>
      <c r="W312" s="341"/>
      <c r="X312" s="343"/>
      <c r="Y312" s="343"/>
    </row>
    <row r="313" spans="6:25" ht="23" customHeight="1">
      <c r="I313" s="344">
        <v>44888</v>
      </c>
      <c r="J313" s="344"/>
      <c r="K313" s="344"/>
      <c r="L313" s="344"/>
      <c r="M313" s="692"/>
      <c r="N313" s="340"/>
      <c r="O313" s="341"/>
      <c r="P313" s="700"/>
      <c r="Q313" s="341"/>
      <c r="R313" s="341"/>
      <c r="S313" s="342"/>
      <c r="T313" s="700"/>
      <c r="U313" s="596"/>
      <c r="V313" s="343"/>
      <c r="W313" s="341"/>
      <c r="X313" s="343"/>
      <c r="Y313" s="343"/>
    </row>
    <row r="314" spans="6:25" ht="23" customHeight="1">
      <c r="J314" s="345">
        <v>44917</v>
      </c>
      <c r="K314" s="345"/>
      <c r="L314" s="345"/>
      <c r="M314" s="692"/>
      <c r="N314" s="340"/>
      <c r="O314" s="341"/>
      <c r="P314" s="700"/>
      <c r="Q314" s="341"/>
      <c r="R314" s="341"/>
      <c r="S314" s="342"/>
      <c r="T314" s="700"/>
      <c r="U314" s="596"/>
      <c r="V314" s="343"/>
      <c r="W314" s="341"/>
      <c r="X314" s="343"/>
      <c r="Y314" s="343"/>
    </row>
    <row r="315" spans="6:25" ht="23" customHeight="1">
      <c r="K315" s="3" t="s">
        <v>267</v>
      </c>
      <c r="L315" s="3"/>
      <c r="M315" s="692"/>
      <c r="N315" s="340"/>
      <c r="O315" s="341"/>
      <c r="P315" s="700"/>
      <c r="Q315" s="341"/>
      <c r="R315" s="341"/>
      <c r="S315" s="342"/>
      <c r="T315" s="700"/>
      <c r="U315" s="596"/>
      <c r="V315" s="343"/>
      <c r="W315" s="341"/>
      <c r="X315" s="343"/>
      <c r="Y315" s="343"/>
    </row>
    <row r="316" spans="6:25" ht="23" customHeight="1">
      <c r="L316" s="691">
        <v>3</v>
      </c>
      <c r="M316" s="692">
        <v>506.98</v>
      </c>
      <c r="N316" s="340">
        <v>1</v>
      </c>
      <c r="O316" s="341">
        <v>19.492999999999999</v>
      </c>
      <c r="P316" s="700">
        <v>9882.5611399999998</v>
      </c>
      <c r="Q316" s="341">
        <v>125.997</v>
      </c>
      <c r="R316" s="341">
        <v>126.47799999999999</v>
      </c>
      <c r="S316" s="342">
        <v>1.0038</v>
      </c>
      <c r="T316" s="700">
        <v>9920.1148723320002</v>
      </c>
      <c r="U316" s="596">
        <v>-102</v>
      </c>
      <c r="V316" s="343">
        <v>1</v>
      </c>
      <c r="W316" s="341">
        <v>19.748200000000001</v>
      </c>
      <c r="X316" s="343">
        <v>-2014.3164000000002</v>
      </c>
      <c r="Y316" s="343">
        <v>7905.7984723320005</v>
      </c>
    </row>
    <row r="317" spans="6:25" ht="23" customHeight="1">
      <c r="M317" s="692"/>
      <c r="N317" s="340"/>
      <c r="O317" s="341"/>
      <c r="P317" s="700"/>
      <c r="Q317" s="341"/>
      <c r="R317" s="341"/>
      <c r="S317" s="342"/>
      <c r="T317" s="700"/>
      <c r="U317" s="596"/>
      <c r="V317" s="343"/>
      <c r="W317" s="341"/>
      <c r="X317" s="343"/>
      <c r="Y317" s="343"/>
    </row>
    <row r="318" spans="6:25" ht="23" customHeight="1">
      <c r="F318" s="580" t="s">
        <v>918</v>
      </c>
      <c r="G318" s="580"/>
      <c r="H318" s="580"/>
      <c r="I318" s="580"/>
      <c r="J318" s="580"/>
      <c r="K318" s="580"/>
      <c r="L318" s="580"/>
      <c r="M318" s="705">
        <v>506.98</v>
      </c>
      <c r="N318" s="664">
        <v>1</v>
      </c>
      <c r="O318" s="582">
        <v>19.492999999999999</v>
      </c>
      <c r="P318" s="708">
        <v>9882.5611399999998</v>
      </c>
      <c r="Q318" s="582">
        <v>125.997</v>
      </c>
      <c r="R318" s="582">
        <v>126.47799999999999</v>
      </c>
      <c r="S318" s="583">
        <v>1.0038</v>
      </c>
      <c r="T318" s="708">
        <v>9920.1148723320002</v>
      </c>
      <c r="U318" s="599">
        <v>-102</v>
      </c>
      <c r="V318" s="581">
        <v>1</v>
      </c>
      <c r="W318" s="582">
        <v>19.748200000000001</v>
      </c>
      <c r="X318" s="581">
        <v>-2014.3164000000002</v>
      </c>
      <c r="Y318" s="581">
        <v>7905.7984723320005</v>
      </c>
    </row>
    <row r="319" spans="6:25" ht="23" customHeight="1">
      <c r="M319" s="692"/>
      <c r="N319" s="340"/>
      <c r="O319" s="341"/>
      <c r="P319" s="700"/>
      <c r="Q319" s="341"/>
      <c r="R319" s="341"/>
      <c r="S319" s="342"/>
      <c r="T319" s="700"/>
      <c r="U319" s="596"/>
      <c r="V319" s="343"/>
      <c r="W319" s="341"/>
      <c r="X319" s="343"/>
      <c r="Y319" s="343"/>
    </row>
    <row r="320" spans="6:25" ht="23" customHeight="1">
      <c r="F320" s="1" t="s">
        <v>784</v>
      </c>
      <c r="M320" s="692"/>
      <c r="N320" s="340"/>
      <c r="O320" s="341"/>
      <c r="P320" s="700"/>
      <c r="Q320" s="341"/>
      <c r="R320" s="341"/>
      <c r="S320" s="342"/>
      <c r="T320" s="700"/>
      <c r="U320" s="596"/>
      <c r="V320" s="343"/>
      <c r="W320" s="341"/>
      <c r="X320" s="343"/>
      <c r="Y320" s="343"/>
    </row>
    <row r="321" spans="6:25" ht="23" customHeight="1">
      <c r="G321" s="691">
        <v>-7</v>
      </c>
      <c r="H321" s="691"/>
      <c r="I321" s="691"/>
      <c r="J321" s="691"/>
      <c r="K321" s="691"/>
      <c r="L321" s="691"/>
      <c r="M321" s="692"/>
      <c r="N321" s="340"/>
      <c r="O321" s="341"/>
      <c r="P321" s="700"/>
      <c r="Q321" s="341"/>
      <c r="R321" s="341"/>
      <c r="S321" s="342"/>
      <c r="T321" s="700"/>
      <c r="U321" s="596"/>
      <c r="V321" s="343"/>
      <c r="W321" s="341"/>
      <c r="X321" s="343"/>
      <c r="Y321" s="343"/>
    </row>
    <row r="322" spans="6:25" ht="23" customHeight="1">
      <c r="H322" s="3" t="s">
        <v>268</v>
      </c>
      <c r="I322" s="3"/>
      <c r="J322" s="3"/>
      <c r="K322" s="3"/>
      <c r="L322" s="3"/>
      <c r="M322" s="692"/>
      <c r="N322" s="340"/>
      <c r="O322" s="341"/>
      <c r="P322" s="700"/>
      <c r="Q322" s="341"/>
      <c r="R322" s="341"/>
      <c r="S322" s="342"/>
      <c r="T322" s="700"/>
      <c r="U322" s="596"/>
      <c r="V322" s="343"/>
      <c r="W322" s="341"/>
      <c r="X322" s="343"/>
      <c r="Y322" s="343"/>
    </row>
    <row r="323" spans="6:25" ht="23" customHeight="1">
      <c r="I323" s="344">
        <v>44778</v>
      </c>
      <c r="J323" s="344"/>
      <c r="K323" s="344"/>
      <c r="L323" s="344"/>
      <c r="M323" s="692"/>
      <c r="N323" s="340"/>
      <c r="O323" s="341"/>
      <c r="P323" s="700"/>
      <c r="Q323" s="341"/>
      <c r="R323" s="341"/>
      <c r="S323" s="342"/>
      <c r="T323" s="700"/>
      <c r="U323" s="596"/>
      <c r="V323" s="343"/>
      <c r="W323" s="341"/>
      <c r="X323" s="343"/>
      <c r="Y323" s="343"/>
    </row>
    <row r="324" spans="6:25" ht="23" customHeight="1">
      <c r="J324" s="345">
        <v>44853</v>
      </c>
      <c r="K324" s="345"/>
      <c r="L324" s="345"/>
      <c r="M324" s="692"/>
      <c r="N324" s="340"/>
      <c r="O324" s="341"/>
      <c r="P324" s="700"/>
      <c r="Q324" s="341"/>
      <c r="R324" s="341"/>
      <c r="S324" s="342"/>
      <c r="T324" s="700"/>
      <c r="U324" s="596"/>
      <c r="V324" s="343"/>
      <c r="W324" s="341"/>
      <c r="X324" s="343"/>
      <c r="Y324" s="343"/>
    </row>
    <row r="325" spans="6:25" ht="23" customHeight="1">
      <c r="K325" s="3" t="s">
        <v>267</v>
      </c>
      <c r="L325" s="3"/>
      <c r="M325" s="692"/>
      <c r="N325" s="340"/>
      <c r="O325" s="341"/>
      <c r="P325" s="700"/>
      <c r="Q325" s="341"/>
      <c r="R325" s="341"/>
      <c r="S325" s="342"/>
      <c r="T325" s="700"/>
      <c r="U325" s="596"/>
      <c r="V325" s="343"/>
      <c r="W325" s="341"/>
      <c r="X325" s="343"/>
      <c r="Y325" s="343"/>
    </row>
    <row r="326" spans="6:25" ht="23" customHeight="1">
      <c r="L326" s="691">
        <v>7</v>
      </c>
      <c r="M326" s="692">
        <v>4171.8999999999996</v>
      </c>
      <c r="N326" s="340">
        <v>1</v>
      </c>
      <c r="O326" s="341">
        <v>20.630500000000001</v>
      </c>
      <c r="P326" s="700">
        <v>86068.382949999999</v>
      </c>
      <c r="Q326" s="341">
        <v>123.803</v>
      </c>
      <c r="R326" s="341">
        <v>125.276</v>
      </c>
      <c r="S326" s="342">
        <v>1.0118</v>
      </c>
      <c r="T326" s="700">
        <v>87083.989868810007</v>
      </c>
      <c r="U326" s="596">
        <v>-5866</v>
      </c>
      <c r="V326" s="343">
        <v>1</v>
      </c>
      <c r="W326" s="341">
        <v>19.991299999999999</v>
      </c>
      <c r="X326" s="343">
        <v>-117268.96579999999</v>
      </c>
      <c r="Y326" s="343">
        <v>-30184.975931189983</v>
      </c>
    </row>
    <row r="327" spans="6:25" ht="23" customHeight="1">
      <c r="M327" s="692"/>
      <c r="N327" s="340"/>
      <c r="O327" s="341"/>
      <c r="P327" s="700"/>
      <c r="Q327" s="341"/>
      <c r="R327" s="341"/>
      <c r="S327" s="342"/>
      <c r="T327" s="700"/>
      <c r="U327" s="596"/>
      <c r="V327" s="343"/>
      <c r="W327" s="341"/>
      <c r="X327" s="343"/>
      <c r="Y327" s="343"/>
    </row>
    <row r="328" spans="6:25" ht="23" customHeight="1">
      <c r="F328" s="580" t="s">
        <v>919</v>
      </c>
      <c r="G328" s="580"/>
      <c r="H328" s="580"/>
      <c r="I328" s="580"/>
      <c r="J328" s="580"/>
      <c r="K328" s="580"/>
      <c r="L328" s="580"/>
      <c r="M328" s="705">
        <v>4171.8999999999996</v>
      </c>
      <c r="N328" s="664">
        <v>1</v>
      </c>
      <c r="O328" s="582">
        <v>20.630500000000001</v>
      </c>
      <c r="P328" s="708">
        <v>86068.382949999999</v>
      </c>
      <c r="Q328" s="582">
        <v>123.803</v>
      </c>
      <c r="R328" s="582">
        <v>125.276</v>
      </c>
      <c r="S328" s="583">
        <v>1.0118</v>
      </c>
      <c r="T328" s="708">
        <v>87083.989868810007</v>
      </c>
      <c r="U328" s="599">
        <v>-5866</v>
      </c>
      <c r="V328" s="581">
        <v>1</v>
      </c>
      <c r="W328" s="582">
        <v>19.991299999999999</v>
      </c>
      <c r="X328" s="581">
        <v>-117268.96579999999</v>
      </c>
      <c r="Y328" s="581">
        <v>-30184.975931189983</v>
      </c>
    </row>
    <row r="329" spans="6:25" ht="23" customHeight="1">
      <c r="M329" s="692"/>
      <c r="N329" s="340"/>
      <c r="O329" s="341"/>
      <c r="P329" s="700"/>
      <c r="Q329" s="341"/>
      <c r="R329" s="341"/>
      <c r="S329" s="342"/>
      <c r="T329" s="700"/>
      <c r="U329" s="596"/>
      <c r="V329" s="343"/>
      <c r="W329" s="341"/>
      <c r="X329" s="343"/>
      <c r="Y329" s="343"/>
    </row>
    <row r="330" spans="6:25" ht="23" customHeight="1">
      <c r="F330" s="1" t="s">
        <v>766</v>
      </c>
      <c r="M330" s="692"/>
      <c r="N330" s="340"/>
      <c r="O330" s="341"/>
      <c r="P330" s="700"/>
      <c r="Q330" s="341"/>
      <c r="R330" s="341"/>
      <c r="S330" s="342"/>
      <c r="T330" s="700"/>
      <c r="U330" s="596"/>
      <c r="V330" s="343"/>
      <c r="W330" s="341"/>
      <c r="X330" s="343"/>
      <c r="Y330" s="343"/>
    </row>
    <row r="331" spans="6:25" ht="23" customHeight="1">
      <c r="G331" s="691">
        <v>-6</v>
      </c>
      <c r="H331" s="691"/>
      <c r="I331" s="691"/>
      <c r="J331" s="691"/>
      <c r="K331" s="691"/>
      <c r="L331" s="691"/>
      <c r="M331" s="692"/>
      <c r="N331" s="340"/>
      <c r="O331" s="341"/>
      <c r="P331" s="700"/>
      <c r="Q331" s="341"/>
      <c r="R331" s="341"/>
      <c r="S331" s="342"/>
      <c r="T331" s="700"/>
      <c r="U331" s="596"/>
      <c r="V331" s="343"/>
      <c r="W331" s="341"/>
      <c r="X331" s="343"/>
      <c r="Y331" s="343"/>
    </row>
    <row r="332" spans="6:25" ht="23" customHeight="1">
      <c r="H332" s="3" t="s">
        <v>268</v>
      </c>
      <c r="I332" s="3"/>
      <c r="J332" s="3"/>
      <c r="K332" s="3"/>
      <c r="L332" s="3"/>
      <c r="M332" s="692"/>
      <c r="N332" s="340"/>
      <c r="O332" s="341"/>
      <c r="P332" s="700"/>
      <c r="Q332" s="341"/>
      <c r="R332" s="341"/>
      <c r="S332" s="342"/>
      <c r="T332" s="700"/>
      <c r="U332" s="596"/>
      <c r="V332" s="343"/>
      <c r="W332" s="341"/>
      <c r="X332" s="343"/>
      <c r="Y332" s="343"/>
    </row>
    <row r="333" spans="6:25" ht="23" customHeight="1">
      <c r="I333" s="344">
        <v>44697</v>
      </c>
      <c r="J333" s="344"/>
      <c r="K333" s="344"/>
      <c r="L333" s="344"/>
      <c r="M333" s="692"/>
      <c r="N333" s="340"/>
      <c r="O333" s="341"/>
      <c r="P333" s="700"/>
      <c r="Q333" s="341"/>
      <c r="R333" s="341"/>
      <c r="S333" s="342"/>
      <c r="T333" s="700"/>
      <c r="U333" s="596"/>
      <c r="V333" s="343"/>
      <c r="W333" s="341"/>
      <c r="X333" s="343"/>
      <c r="Y333" s="343"/>
    </row>
    <row r="334" spans="6:25" ht="23" customHeight="1">
      <c r="J334" s="345">
        <v>44756</v>
      </c>
      <c r="K334" s="345"/>
      <c r="L334" s="345"/>
      <c r="M334" s="692"/>
      <c r="N334" s="340"/>
      <c r="O334" s="341"/>
      <c r="P334" s="700"/>
      <c r="Q334" s="341"/>
      <c r="R334" s="341"/>
      <c r="S334" s="342"/>
      <c r="T334" s="700"/>
      <c r="U334" s="596"/>
      <c r="V334" s="343"/>
      <c r="W334" s="341"/>
      <c r="X334" s="343"/>
      <c r="Y334" s="343"/>
    </row>
    <row r="335" spans="6:25" ht="23" customHeight="1">
      <c r="K335" s="3" t="s">
        <v>267</v>
      </c>
      <c r="L335" s="3"/>
      <c r="M335" s="692"/>
      <c r="N335" s="340"/>
      <c r="O335" s="341"/>
      <c r="P335" s="700"/>
      <c r="Q335" s="341"/>
      <c r="R335" s="341"/>
      <c r="S335" s="342"/>
      <c r="T335" s="700"/>
      <c r="U335" s="596"/>
      <c r="V335" s="343"/>
      <c r="W335" s="341"/>
      <c r="X335" s="343"/>
      <c r="Y335" s="343"/>
    </row>
    <row r="336" spans="6:25" ht="23" customHeight="1">
      <c r="L336" s="691">
        <v>6</v>
      </c>
      <c r="M336" s="692">
        <v>5322.95</v>
      </c>
      <c r="N336" s="340">
        <v>1</v>
      </c>
      <c r="O336" s="341">
        <v>20.32</v>
      </c>
      <c r="P336" s="700">
        <v>108162.344</v>
      </c>
      <c r="Q336" s="341">
        <v>121.02200000000001</v>
      </c>
      <c r="R336" s="341">
        <v>122.94799999999999</v>
      </c>
      <c r="S336" s="342">
        <v>1.0159</v>
      </c>
      <c r="T336" s="700">
        <v>109882.1252696</v>
      </c>
      <c r="U336" s="596">
        <v>-2322</v>
      </c>
      <c r="V336" s="343">
        <v>1</v>
      </c>
      <c r="W336" s="341">
        <v>20.7882</v>
      </c>
      <c r="X336" s="343">
        <v>-48270.200400000002</v>
      </c>
      <c r="Y336" s="343">
        <v>61611.924869600014</v>
      </c>
    </row>
    <row r="337" spans="6:25" ht="23" customHeight="1">
      <c r="M337" s="692"/>
      <c r="N337" s="340"/>
      <c r="O337" s="341"/>
      <c r="P337" s="700"/>
      <c r="Q337" s="341"/>
      <c r="R337" s="341"/>
      <c r="S337" s="342"/>
      <c r="T337" s="700"/>
      <c r="U337" s="596"/>
      <c r="V337" s="343"/>
      <c r="W337" s="341"/>
      <c r="X337" s="343"/>
      <c r="Y337" s="343"/>
    </row>
    <row r="338" spans="6:25" ht="23" customHeight="1">
      <c r="F338" s="580" t="s">
        <v>920</v>
      </c>
      <c r="G338" s="580"/>
      <c r="H338" s="580"/>
      <c r="I338" s="580"/>
      <c r="J338" s="580"/>
      <c r="K338" s="580"/>
      <c r="L338" s="580"/>
      <c r="M338" s="705">
        <v>5322.95</v>
      </c>
      <c r="N338" s="664">
        <v>1</v>
      </c>
      <c r="O338" s="582">
        <v>20.32</v>
      </c>
      <c r="P338" s="708">
        <v>108162.344</v>
      </c>
      <c r="Q338" s="582">
        <v>121.02200000000001</v>
      </c>
      <c r="R338" s="582">
        <v>122.94799999999999</v>
      </c>
      <c r="S338" s="583">
        <v>1.0159</v>
      </c>
      <c r="T338" s="708">
        <v>109882.1252696</v>
      </c>
      <c r="U338" s="599">
        <v>-2322</v>
      </c>
      <c r="V338" s="581">
        <v>1</v>
      </c>
      <c r="W338" s="582">
        <v>20.7882</v>
      </c>
      <c r="X338" s="581">
        <v>-48270.200400000002</v>
      </c>
      <c r="Y338" s="581">
        <v>61611.924869600014</v>
      </c>
    </row>
    <row r="339" spans="6:25" ht="23" customHeight="1">
      <c r="M339" s="692"/>
      <c r="N339" s="340"/>
      <c r="O339" s="341"/>
      <c r="P339" s="700"/>
      <c r="Q339" s="341"/>
      <c r="R339" s="341"/>
      <c r="S339" s="342"/>
      <c r="T339" s="700"/>
      <c r="U339" s="596"/>
      <c r="V339" s="343"/>
      <c r="W339" s="341"/>
      <c r="X339" s="343"/>
      <c r="Y339" s="343"/>
    </row>
    <row r="340" spans="6:25" ht="23" customHeight="1">
      <c r="F340" s="1" t="s">
        <v>780</v>
      </c>
      <c r="M340" s="692"/>
      <c r="N340" s="340"/>
      <c r="O340" s="341"/>
      <c r="P340" s="700"/>
      <c r="Q340" s="341"/>
      <c r="R340" s="341"/>
      <c r="S340" s="342"/>
      <c r="T340" s="700"/>
      <c r="U340" s="596"/>
      <c r="V340" s="343"/>
      <c r="W340" s="341"/>
      <c r="X340" s="343"/>
      <c r="Y340" s="343"/>
    </row>
    <row r="341" spans="6:25" ht="23" customHeight="1">
      <c r="G341" s="691">
        <v>-5</v>
      </c>
      <c r="H341" s="691"/>
      <c r="I341" s="691"/>
      <c r="J341" s="691"/>
      <c r="K341" s="691"/>
      <c r="L341" s="691"/>
      <c r="M341" s="692"/>
      <c r="N341" s="340"/>
      <c r="O341" s="341"/>
      <c r="P341" s="700"/>
      <c r="Q341" s="341"/>
      <c r="R341" s="341"/>
      <c r="S341" s="342"/>
      <c r="T341" s="700"/>
      <c r="U341" s="596"/>
      <c r="V341" s="343"/>
      <c r="W341" s="341"/>
      <c r="X341" s="343"/>
      <c r="Y341" s="343"/>
    </row>
    <row r="342" spans="6:25" ht="23" customHeight="1">
      <c r="H342" s="3" t="s">
        <v>268</v>
      </c>
      <c r="I342" s="3"/>
      <c r="J342" s="3"/>
      <c r="K342" s="3"/>
      <c r="L342" s="3"/>
      <c r="M342" s="692"/>
      <c r="N342" s="340"/>
      <c r="O342" s="341"/>
      <c r="P342" s="700"/>
      <c r="Q342" s="341"/>
      <c r="R342" s="341"/>
      <c r="S342" s="342"/>
      <c r="T342" s="700"/>
      <c r="U342" s="596"/>
      <c r="V342" s="343"/>
      <c r="W342" s="341"/>
      <c r="X342" s="343"/>
      <c r="Y342" s="343"/>
    </row>
    <row r="343" spans="6:25" ht="23" customHeight="1">
      <c r="I343" s="344">
        <v>44768</v>
      </c>
      <c r="J343" s="344"/>
      <c r="K343" s="344"/>
      <c r="L343" s="344"/>
      <c r="M343" s="692"/>
      <c r="N343" s="340"/>
      <c r="O343" s="341"/>
      <c r="P343" s="700"/>
      <c r="Q343" s="341"/>
      <c r="R343" s="341"/>
      <c r="S343" s="342"/>
      <c r="T343" s="700"/>
      <c r="U343" s="596"/>
      <c r="V343" s="343"/>
      <c r="W343" s="341"/>
      <c r="X343" s="343"/>
      <c r="Y343" s="343"/>
    </row>
    <row r="344" spans="6:25" ht="23" customHeight="1">
      <c r="J344" s="345">
        <v>44798</v>
      </c>
      <c r="K344" s="345"/>
      <c r="L344" s="345"/>
      <c r="M344" s="692"/>
      <c r="N344" s="340"/>
      <c r="O344" s="341"/>
      <c r="P344" s="700"/>
      <c r="Q344" s="341"/>
      <c r="R344" s="341"/>
      <c r="S344" s="342"/>
      <c r="T344" s="700"/>
      <c r="U344" s="596"/>
      <c r="V344" s="343"/>
      <c r="W344" s="341"/>
      <c r="X344" s="343"/>
      <c r="Y344" s="343"/>
    </row>
    <row r="345" spans="6:25" ht="23" customHeight="1">
      <c r="K345" s="3" t="s">
        <v>267</v>
      </c>
      <c r="L345" s="3"/>
      <c r="M345" s="692"/>
      <c r="N345" s="340"/>
      <c r="O345" s="341"/>
      <c r="P345" s="700"/>
      <c r="Q345" s="341"/>
      <c r="R345" s="341"/>
      <c r="S345" s="342"/>
      <c r="T345" s="700"/>
      <c r="U345" s="596"/>
      <c r="V345" s="343"/>
      <c r="W345" s="341"/>
      <c r="X345" s="343"/>
      <c r="Y345" s="343"/>
    </row>
    <row r="346" spans="6:25" ht="23" customHeight="1">
      <c r="L346" s="691">
        <v>5</v>
      </c>
      <c r="M346" s="692">
        <v>3004.93</v>
      </c>
      <c r="N346" s="340">
        <v>1</v>
      </c>
      <c r="O346" s="341">
        <v>20.515000000000001</v>
      </c>
      <c r="P346" s="700">
        <v>61646.13895</v>
      </c>
      <c r="Q346" s="341">
        <v>122.94799999999999</v>
      </c>
      <c r="R346" s="341">
        <v>123.803</v>
      </c>
      <c r="S346" s="342">
        <v>1.0068999999999999</v>
      </c>
      <c r="T346" s="700">
        <v>62071.497308754995</v>
      </c>
      <c r="U346" s="596">
        <v>-10</v>
      </c>
      <c r="V346" s="343">
        <v>1</v>
      </c>
      <c r="W346" s="341">
        <v>19.998200000000001</v>
      </c>
      <c r="X346" s="343">
        <v>-199.982</v>
      </c>
      <c r="Y346" s="343">
        <v>61871.515308754992</v>
      </c>
    </row>
    <row r="347" spans="6:25" ht="23" customHeight="1">
      <c r="M347" s="692"/>
      <c r="N347" s="340"/>
      <c r="O347" s="341"/>
      <c r="P347" s="700"/>
      <c r="Q347" s="341"/>
      <c r="R347" s="341"/>
      <c r="S347" s="342"/>
      <c r="T347" s="700"/>
      <c r="U347" s="596"/>
      <c r="V347" s="343"/>
      <c r="W347" s="341"/>
      <c r="X347" s="343"/>
      <c r="Y347" s="343"/>
    </row>
    <row r="348" spans="6:25" ht="23" customHeight="1">
      <c r="F348" s="580" t="s">
        <v>921</v>
      </c>
      <c r="G348" s="580"/>
      <c r="H348" s="580"/>
      <c r="I348" s="580"/>
      <c r="J348" s="580"/>
      <c r="K348" s="580"/>
      <c r="L348" s="580"/>
      <c r="M348" s="705">
        <v>3004.93</v>
      </c>
      <c r="N348" s="664">
        <v>1</v>
      </c>
      <c r="O348" s="582">
        <v>20.515000000000001</v>
      </c>
      <c r="P348" s="708">
        <v>61646.13895</v>
      </c>
      <c r="Q348" s="582">
        <v>122.94799999999999</v>
      </c>
      <c r="R348" s="582">
        <v>123.803</v>
      </c>
      <c r="S348" s="583">
        <v>1.0068999999999999</v>
      </c>
      <c r="T348" s="708">
        <v>62071.497308754995</v>
      </c>
      <c r="U348" s="599">
        <v>-10</v>
      </c>
      <c r="V348" s="581">
        <v>1</v>
      </c>
      <c r="W348" s="582">
        <v>19.998200000000001</v>
      </c>
      <c r="X348" s="581">
        <v>-199.982</v>
      </c>
      <c r="Y348" s="581">
        <v>61871.515308754992</v>
      </c>
    </row>
    <row r="349" spans="6:25" ht="23" customHeight="1">
      <c r="M349" s="692"/>
      <c r="N349" s="340"/>
      <c r="O349" s="341"/>
      <c r="P349" s="700"/>
      <c r="Q349" s="341"/>
      <c r="R349" s="341"/>
      <c r="S349" s="342"/>
      <c r="T349" s="700"/>
      <c r="U349" s="596"/>
      <c r="V349" s="343"/>
      <c r="W349" s="341"/>
      <c r="X349" s="343"/>
      <c r="Y349" s="343"/>
    </row>
    <row r="350" spans="6:25" ht="23" customHeight="1">
      <c r="F350" s="1" t="s">
        <v>755</v>
      </c>
      <c r="M350" s="692"/>
      <c r="N350" s="340"/>
      <c r="O350" s="341"/>
      <c r="P350" s="700"/>
      <c r="Q350" s="341"/>
      <c r="R350" s="341"/>
      <c r="S350" s="342"/>
      <c r="T350" s="700"/>
      <c r="U350" s="596"/>
      <c r="V350" s="343"/>
      <c r="W350" s="341"/>
      <c r="X350" s="343"/>
      <c r="Y350" s="343"/>
    </row>
    <row r="351" spans="6:25" ht="23" customHeight="1">
      <c r="G351" s="691">
        <v>-7</v>
      </c>
      <c r="H351" s="691"/>
      <c r="I351" s="691"/>
      <c r="J351" s="691"/>
      <c r="K351" s="691"/>
      <c r="L351" s="691"/>
      <c r="M351" s="692"/>
      <c r="N351" s="340"/>
      <c r="O351" s="341"/>
      <c r="P351" s="700"/>
      <c r="Q351" s="341"/>
      <c r="R351" s="341"/>
      <c r="S351" s="342"/>
      <c r="T351" s="700"/>
      <c r="U351" s="596"/>
      <c r="V351" s="343"/>
      <c r="W351" s="341"/>
      <c r="X351" s="343"/>
      <c r="Y351" s="343"/>
    </row>
    <row r="352" spans="6:25" ht="23" customHeight="1">
      <c r="H352" s="3" t="s">
        <v>268</v>
      </c>
      <c r="I352" s="3"/>
      <c r="J352" s="3"/>
      <c r="K352" s="3"/>
      <c r="L352" s="3"/>
      <c r="M352" s="692"/>
      <c r="N352" s="340"/>
      <c r="O352" s="341"/>
      <c r="P352" s="700"/>
      <c r="Q352" s="341"/>
      <c r="R352" s="341"/>
      <c r="S352" s="342"/>
      <c r="T352" s="700"/>
      <c r="U352" s="596"/>
      <c r="V352" s="343"/>
      <c r="W352" s="341"/>
      <c r="X352" s="343"/>
      <c r="Y352" s="343"/>
    </row>
    <row r="353" spans="6:25" ht="23" customHeight="1">
      <c r="I353" s="344">
        <v>44609</v>
      </c>
      <c r="J353" s="344"/>
      <c r="K353" s="344"/>
      <c r="L353" s="344"/>
      <c r="M353" s="692"/>
      <c r="N353" s="340"/>
      <c r="O353" s="341"/>
      <c r="P353" s="700"/>
      <c r="Q353" s="341"/>
      <c r="R353" s="341"/>
      <c r="S353" s="342"/>
      <c r="T353" s="700"/>
      <c r="U353" s="596"/>
      <c r="V353" s="343"/>
      <c r="W353" s="341"/>
      <c r="X353" s="343"/>
      <c r="Y353" s="343"/>
    </row>
    <row r="354" spans="6:25" ht="23" customHeight="1">
      <c r="J354" s="345">
        <v>44728</v>
      </c>
      <c r="K354" s="345"/>
      <c r="L354" s="345"/>
      <c r="M354" s="692"/>
      <c r="N354" s="340"/>
      <c r="O354" s="341"/>
      <c r="P354" s="700"/>
      <c r="Q354" s="341"/>
      <c r="R354" s="341"/>
      <c r="S354" s="342"/>
      <c r="T354" s="700"/>
      <c r="U354" s="596"/>
      <c r="V354" s="343"/>
      <c r="W354" s="341"/>
      <c r="X354" s="343"/>
      <c r="Y354" s="343"/>
    </row>
    <row r="355" spans="6:25" ht="23" customHeight="1">
      <c r="K355" s="3" t="s">
        <v>267</v>
      </c>
      <c r="L355" s="3"/>
      <c r="M355" s="692"/>
      <c r="N355" s="340"/>
      <c r="O355" s="341"/>
      <c r="P355" s="700"/>
      <c r="Q355" s="341"/>
      <c r="R355" s="341"/>
      <c r="S355" s="342"/>
      <c r="T355" s="700"/>
      <c r="U355" s="596"/>
      <c r="V355" s="343"/>
      <c r="W355" s="341"/>
      <c r="X355" s="343"/>
      <c r="Y355" s="343"/>
    </row>
    <row r="356" spans="6:25" ht="23" customHeight="1">
      <c r="L356" s="691">
        <v>7</v>
      </c>
      <c r="M356" s="692">
        <v>5383.74</v>
      </c>
      <c r="N356" s="340">
        <v>1</v>
      </c>
      <c r="O356" s="341">
        <v>20.3992</v>
      </c>
      <c r="P356" s="700">
        <v>109823.989008</v>
      </c>
      <c r="Q356" s="341">
        <v>118.98099999999999</v>
      </c>
      <c r="R356" s="341">
        <v>122.044</v>
      </c>
      <c r="S356" s="342">
        <v>1.0257000000000001</v>
      </c>
      <c r="T356" s="700">
        <v>112646.46552550561</v>
      </c>
      <c r="U356" s="596">
        <v>-9971.15</v>
      </c>
      <c r="V356" s="343">
        <v>1</v>
      </c>
      <c r="W356" s="341">
        <v>20.658300000000001</v>
      </c>
      <c r="X356" s="343">
        <v>-205987.008045</v>
      </c>
      <c r="Y356" s="343">
        <v>-93340.542519494382</v>
      </c>
    </row>
    <row r="357" spans="6:25" ht="23" customHeight="1">
      <c r="M357" s="692"/>
      <c r="N357" s="340"/>
      <c r="O357" s="341"/>
      <c r="P357" s="700"/>
      <c r="Q357" s="341"/>
      <c r="R357" s="341"/>
      <c r="S357" s="342"/>
      <c r="T357" s="700"/>
      <c r="U357" s="596"/>
      <c r="V357" s="343"/>
      <c r="W357" s="341"/>
      <c r="X357" s="343"/>
      <c r="Y357" s="343"/>
    </row>
    <row r="358" spans="6:25" ht="23" customHeight="1">
      <c r="F358" s="580" t="s">
        <v>922</v>
      </c>
      <c r="G358" s="580"/>
      <c r="H358" s="580"/>
      <c r="I358" s="580"/>
      <c r="J358" s="580"/>
      <c r="K358" s="580"/>
      <c r="L358" s="580"/>
      <c r="M358" s="705">
        <v>5383.74</v>
      </c>
      <c r="N358" s="664">
        <v>1</v>
      </c>
      <c r="O358" s="582">
        <v>20.3992</v>
      </c>
      <c r="P358" s="708">
        <v>109823.989008</v>
      </c>
      <c r="Q358" s="582">
        <v>118.98099999999999</v>
      </c>
      <c r="R358" s="582">
        <v>122.044</v>
      </c>
      <c r="S358" s="583">
        <v>1.0257000000000001</v>
      </c>
      <c r="T358" s="708">
        <v>112646.46552550561</v>
      </c>
      <c r="U358" s="599">
        <v>-9971.15</v>
      </c>
      <c r="V358" s="581">
        <v>1</v>
      </c>
      <c r="W358" s="582">
        <v>20.658300000000001</v>
      </c>
      <c r="X358" s="581">
        <v>-205987.008045</v>
      </c>
      <c r="Y358" s="581">
        <v>-93340.542519494382</v>
      </c>
    </row>
    <row r="359" spans="6:25" ht="23" customHeight="1">
      <c r="M359" s="692"/>
      <c r="N359" s="340"/>
      <c r="O359" s="341"/>
      <c r="P359" s="700"/>
      <c r="Q359" s="341"/>
      <c r="R359" s="341"/>
      <c r="S359" s="342"/>
      <c r="T359" s="700"/>
      <c r="U359" s="596"/>
      <c r="V359" s="343"/>
      <c r="W359" s="341"/>
      <c r="X359" s="343"/>
      <c r="Y359" s="343"/>
    </row>
    <row r="360" spans="6:25" ht="23" customHeight="1">
      <c r="F360" s="1" t="s">
        <v>786</v>
      </c>
      <c r="M360" s="692"/>
      <c r="N360" s="340"/>
      <c r="O360" s="341"/>
      <c r="P360" s="700"/>
      <c r="Q360" s="341"/>
      <c r="R360" s="341"/>
      <c r="S360" s="342"/>
      <c r="T360" s="700"/>
      <c r="U360" s="596"/>
      <c r="V360" s="343"/>
      <c r="W360" s="341"/>
      <c r="X360" s="343"/>
      <c r="Y360" s="343"/>
    </row>
    <row r="361" spans="6:25" ht="23" customHeight="1">
      <c r="G361" s="691">
        <v>-2</v>
      </c>
      <c r="H361" s="691"/>
      <c r="I361" s="691"/>
      <c r="J361" s="691"/>
      <c r="K361" s="691"/>
      <c r="L361" s="691"/>
      <c r="M361" s="692"/>
      <c r="N361" s="340"/>
      <c r="O361" s="341"/>
      <c r="P361" s="700"/>
      <c r="Q361" s="341"/>
      <c r="R361" s="341"/>
      <c r="S361" s="342"/>
      <c r="T361" s="700"/>
      <c r="U361" s="596"/>
      <c r="V361" s="343"/>
      <c r="W361" s="341"/>
      <c r="X361" s="343"/>
      <c r="Y361" s="343"/>
    </row>
    <row r="362" spans="6:25" ht="23" customHeight="1">
      <c r="H362" s="3" t="s">
        <v>268</v>
      </c>
      <c r="I362" s="3"/>
      <c r="J362" s="3"/>
      <c r="K362" s="3"/>
      <c r="L362" s="3"/>
      <c r="M362" s="692"/>
      <c r="N362" s="340"/>
      <c r="O362" s="341"/>
      <c r="P362" s="700"/>
      <c r="Q362" s="341"/>
      <c r="R362" s="341"/>
      <c r="S362" s="342"/>
      <c r="T362" s="700"/>
      <c r="U362" s="596"/>
      <c r="V362" s="343"/>
      <c r="W362" s="341"/>
      <c r="X362" s="343"/>
      <c r="Y362" s="343"/>
    </row>
    <row r="363" spans="6:25" ht="23" customHeight="1">
      <c r="I363" s="344">
        <v>44789</v>
      </c>
      <c r="J363" s="344"/>
      <c r="K363" s="344"/>
      <c r="L363" s="344"/>
      <c r="M363" s="692"/>
      <c r="N363" s="340"/>
      <c r="O363" s="341"/>
      <c r="P363" s="700"/>
      <c r="Q363" s="341"/>
      <c r="R363" s="341"/>
      <c r="S363" s="342"/>
      <c r="T363" s="700"/>
      <c r="U363" s="596"/>
      <c r="V363" s="343"/>
      <c r="W363" s="341"/>
      <c r="X363" s="343"/>
      <c r="Y363" s="343"/>
    </row>
    <row r="364" spans="6:25" ht="23" customHeight="1">
      <c r="J364" s="345">
        <v>44879</v>
      </c>
      <c r="K364" s="345"/>
      <c r="L364" s="345"/>
      <c r="M364" s="692"/>
      <c r="N364" s="340"/>
      <c r="O364" s="341"/>
      <c r="P364" s="700"/>
      <c r="Q364" s="341"/>
      <c r="R364" s="341"/>
      <c r="S364" s="342"/>
      <c r="T364" s="700"/>
      <c r="U364" s="596"/>
      <c r="V364" s="343"/>
      <c r="W364" s="341"/>
      <c r="X364" s="343"/>
      <c r="Y364" s="343"/>
    </row>
    <row r="365" spans="6:25" ht="23" customHeight="1">
      <c r="K365" s="3" t="s">
        <v>267</v>
      </c>
      <c r="L365" s="3"/>
      <c r="M365" s="692"/>
      <c r="N365" s="340"/>
      <c r="O365" s="341"/>
      <c r="P365" s="700"/>
      <c r="Q365" s="341"/>
      <c r="R365" s="341"/>
      <c r="S365" s="342"/>
      <c r="T365" s="700"/>
      <c r="U365" s="596"/>
      <c r="V365" s="343"/>
      <c r="W365" s="341"/>
      <c r="X365" s="343"/>
      <c r="Y365" s="343"/>
    </row>
    <row r="366" spans="6:25" ht="23" customHeight="1">
      <c r="L366" s="691">
        <v>2</v>
      </c>
      <c r="M366" s="692">
        <v>971.97</v>
      </c>
      <c r="N366" s="340">
        <v>1</v>
      </c>
      <c r="O366" s="341">
        <v>19.873999999999999</v>
      </c>
      <c r="P366" s="700">
        <v>19316.931779999999</v>
      </c>
      <c r="Q366" s="341">
        <v>123.803</v>
      </c>
      <c r="R366" s="341">
        <v>125.997</v>
      </c>
      <c r="S366" s="342">
        <v>1.0177</v>
      </c>
      <c r="T366" s="700">
        <v>19658.841472505999</v>
      </c>
      <c r="U366" s="596">
        <v>-48</v>
      </c>
      <c r="V366" s="343">
        <v>1</v>
      </c>
      <c r="W366" s="341">
        <v>19.393999999999998</v>
      </c>
      <c r="X366" s="343">
        <v>-930.91199999999992</v>
      </c>
      <c r="Y366" s="343">
        <v>18727.929472505999</v>
      </c>
    </row>
    <row r="367" spans="6:25" ht="23" customHeight="1">
      <c r="M367" s="692"/>
      <c r="N367" s="340"/>
      <c r="O367" s="341"/>
      <c r="P367" s="700"/>
      <c r="Q367" s="341"/>
      <c r="R367" s="341"/>
      <c r="S367" s="342"/>
      <c r="T367" s="700"/>
      <c r="U367" s="596"/>
      <c r="V367" s="343"/>
      <c r="W367" s="341"/>
      <c r="X367" s="343"/>
      <c r="Y367" s="343"/>
    </row>
    <row r="368" spans="6:25" ht="23" customHeight="1">
      <c r="F368" s="580" t="s">
        <v>923</v>
      </c>
      <c r="G368" s="580"/>
      <c r="H368" s="580"/>
      <c r="I368" s="580"/>
      <c r="J368" s="580"/>
      <c r="K368" s="580"/>
      <c r="L368" s="580"/>
      <c r="M368" s="705">
        <v>971.97</v>
      </c>
      <c r="N368" s="664">
        <v>1</v>
      </c>
      <c r="O368" s="582">
        <v>19.873999999999999</v>
      </c>
      <c r="P368" s="708">
        <v>19316.931779999999</v>
      </c>
      <c r="Q368" s="582">
        <v>123.803</v>
      </c>
      <c r="R368" s="582">
        <v>125.997</v>
      </c>
      <c r="S368" s="583">
        <v>1.0177</v>
      </c>
      <c r="T368" s="708">
        <v>19658.841472505999</v>
      </c>
      <c r="U368" s="599">
        <v>-48</v>
      </c>
      <c r="V368" s="581">
        <v>1</v>
      </c>
      <c r="W368" s="582">
        <v>19.393999999999998</v>
      </c>
      <c r="X368" s="581">
        <v>-930.91199999999992</v>
      </c>
      <c r="Y368" s="581">
        <v>18727.929472505999</v>
      </c>
    </row>
    <row r="369" spans="6:25" ht="23" customHeight="1">
      <c r="M369" s="692"/>
      <c r="N369" s="340"/>
      <c r="O369" s="341"/>
      <c r="P369" s="700"/>
      <c r="Q369" s="341"/>
      <c r="R369" s="341"/>
      <c r="S369" s="342"/>
      <c r="T369" s="700"/>
      <c r="U369" s="596"/>
      <c r="V369" s="343"/>
      <c r="W369" s="341"/>
      <c r="X369" s="343"/>
      <c r="Y369" s="343"/>
    </row>
    <row r="370" spans="6:25" ht="23" customHeight="1">
      <c r="F370" s="1" t="s">
        <v>757</v>
      </c>
      <c r="M370" s="692"/>
      <c r="N370" s="340"/>
      <c r="O370" s="341"/>
      <c r="P370" s="700"/>
      <c r="Q370" s="341"/>
      <c r="R370" s="341"/>
      <c r="S370" s="342"/>
      <c r="T370" s="700"/>
      <c r="U370" s="596"/>
      <c r="V370" s="343"/>
      <c r="W370" s="341"/>
      <c r="X370" s="343"/>
      <c r="Y370" s="343"/>
    </row>
    <row r="371" spans="6:25" ht="23" customHeight="1">
      <c r="G371" s="691">
        <v>-6</v>
      </c>
      <c r="H371" s="691"/>
      <c r="I371" s="691"/>
      <c r="J371" s="691"/>
      <c r="K371" s="691"/>
      <c r="L371" s="691"/>
      <c r="M371" s="692"/>
      <c r="N371" s="340"/>
      <c r="O371" s="341"/>
      <c r="P371" s="700"/>
      <c r="Q371" s="341"/>
      <c r="R371" s="341"/>
      <c r="S371" s="342"/>
      <c r="T371" s="700"/>
      <c r="U371" s="596"/>
      <c r="V371" s="343"/>
      <c r="W371" s="341"/>
      <c r="X371" s="343"/>
      <c r="Y371" s="343"/>
    </row>
    <row r="372" spans="6:25" ht="23" customHeight="1">
      <c r="H372" s="3" t="s">
        <v>268</v>
      </c>
      <c r="I372" s="3"/>
      <c r="J372" s="3"/>
      <c r="K372" s="3"/>
      <c r="L372" s="3"/>
      <c r="M372" s="692"/>
      <c r="N372" s="340"/>
      <c r="O372" s="341"/>
      <c r="P372" s="700"/>
      <c r="Q372" s="341"/>
      <c r="R372" s="341"/>
      <c r="S372" s="342"/>
      <c r="T372" s="700"/>
      <c r="U372" s="596"/>
      <c r="V372" s="343"/>
      <c r="W372" s="341"/>
      <c r="X372" s="343"/>
      <c r="Y372" s="343"/>
    </row>
    <row r="373" spans="6:25" ht="23" customHeight="1">
      <c r="I373" s="344">
        <v>44623</v>
      </c>
      <c r="J373" s="344"/>
      <c r="K373" s="344"/>
      <c r="L373" s="344"/>
      <c r="M373" s="692"/>
      <c r="N373" s="340"/>
      <c r="O373" s="341"/>
      <c r="P373" s="700"/>
      <c r="Q373" s="341"/>
      <c r="R373" s="341"/>
      <c r="S373" s="342"/>
      <c r="T373" s="700"/>
      <c r="U373" s="596"/>
      <c r="V373" s="343"/>
      <c r="W373" s="341"/>
      <c r="X373" s="343"/>
      <c r="Y373" s="343"/>
    </row>
    <row r="374" spans="6:25" ht="23" customHeight="1">
      <c r="J374" s="345">
        <v>44728</v>
      </c>
      <c r="K374" s="345"/>
      <c r="L374" s="345"/>
      <c r="M374" s="692"/>
      <c r="N374" s="340"/>
      <c r="O374" s="341"/>
      <c r="P374" s="700"/>
      <c r="Q374" s="341"/>
      <c r="R374" s="341"/>
      <c r="S374" s="342"/>
      <c r="T374" s="700"/>
      <c r="U374" s="596"/>
      <c r="V374" s="343"/>
      <c r="W374" s="341"/>
      <c r="X374" s="343"/>
      <c r="Y374" s="343"/>
    </row>
    <row r="375" spans="6:25" ht="23" customHeight="1">
      <c r="K375" s="3" t="s">
        <v>267</v>
      </c>
      <c r="L375" s="3"/>
      <c r="M375" s="692"/>
      <c r="N375" s="340"/>
      <c r="O375" s="341"/>
      <c r="P375" s="700"/>
      <c r="Q375" s="341"/>
      <c r="R375" s="341"/>
      <c r="S375" s="342"/>
      <c r="T375" s="700"/>
      <c r="U375" s="596"/>
      <c r="V375" s="343"/>
      <c r="W375" s="341"/>
      <c r="X375" s="343"/>
      <c r="Y375" s="343"/>
    </row>
    <row r="376" spans="6:25" ht="23" customHeight="1">
      <c r="L376" s="691">
        <v>6</v>
      </c>
      <c r="M376" s="692">
        <v>5399.97</v>
      </c>
      <c r="N376" s="340">
        <v>1</v>
      </c>
      <c r="O376" s="341">
        <v>20.527200000000001</v>
      </c>
      <c r="P376" s="700">
        <v>110846.26418400001</v>
      </c>
      <c r="Q376" s="341">
        <v>120.15900000000001</v>
      </c>
      <c r="R376" s="341">
        <v>122.044</v>
      </c>
      <c r="S376" s="342">
        <v>1.0156000000000001</v>
      </c>
      <c r="T376" s="700">
        <v>112575.46590527042</v>
      </c>
      <c r="U376" s="596">
        <v>-11412</v>
      </c>
      <c r="V376" s="343">
        <v>1</v>
      </c>
      <c r="W376" s="341">
        <v>20.658300000000001</v>
      </c>
      <c r="X376" s="343">
        <v>-235752.5196</v>
      </c>
      <c r="Y376" s="343">
        <v>-123177.05369472958</v>
      </c>
    </row>
    <row r="377" spans="6:25" ht="23" customHeight="1">
      <c r="M377" s="692"/>
      <c r="N377" s="340"/>
      <c r="O377" s="341"/>
      <c r="P377" s="700"/>
      <c r="Q377" s="341"/>
      <c r="R377" s="341"/>
      <c r="S377" s="342"/>
      <c r="T377" s="700"/>
      <c r="U377" s="596"/>
      <c r="V377" s="343"/>
      <c r="W377" s="341"/>
      <c r="X377" s="343"/>
      <c r="Y377" s="343"/>
    </row>
    <row r="378" spans="6:25" ht="23" customHeight="1">
      <c r="F378" s="580" t="s">
        <v>924</v>
      </c>
      <c r="G378" s="580"/>
      <c r="H378" s="580"/>
      <c r="I378" s="580"/>
      <c r="J378" s="580"/>
      <c r="K378" s="580"/>
      <c r="L378" s="580"/>
      <c r="M378" s="705">
        <v>5399.97</v>
      </c>
      <c r="N378" s="664">
        <v>1</v>
      </c>
      <c r="O378" s="582">
        <v>20.527200000000001</v>
      </c>
      <c r="P378" s="708">
        <v>110846.26418400001</v>
      </c>
      <c r="Q378" s="582">
        <v>120.15900000000001</v>
      </c>
      <c r="R378" s="582">
        <v>122.044</v>
      </c>
      <c r="S378" s="583">
        <v>1.0156000000000001</v>
      </c>
      <c r="T378" s="708">
        <v>112575.46590527042</v>
      </c>
      <c r="U378" s="599">
        <v>-11412</v>
      </c>
      <c r="V378" s="581">
        <v>1</v>
      </c>
      <c r="W378" s="582">
        <v>20.658300000000001</v>
      </c>
      <c r="X378" s="581">
        <v>-235752.5196</v>
      </c>
      <c r="Y378" s="581">
        <v>-123177.05369472958</v>
      </c>
    </row>
    <row r="379" spans="6:25" ht="23" customHeight="1">
      <c r="M379" s="692"/>
      <c r="N379" s="340"/>
      <c r="O379" s="341"/>
      <c r="P379" s="700"/>
      <c r="Q379" s="341"/>
      <c r="R379" s="341"/>
      <c r="S379" s="342"/>
      <c r="T379" s="700"/>
      <c r="U379" s="596"/>
      <c r="V379" s="343"/>
      <c r="W379" s="341"/>
      <c r="X379" s="343"/>
      <c r="Y379" s="343"/>
    </row>
    <row r="380" spans="6:25" ht="23" customHeight="1">
      <c r="F380" s="1" t="s">
        <v>769</v>
      </c>
      <c r="M380" s="692"/>
      <c r="N380" s="340"/>
      <c r="O380" s="341"/>
      <c r="P380" s="700"/>
      <c r="Q380" s="341"/>
      <c r="R380" s="341"/>
      <c r="S380" s="342"/>
      <c r="T380" s="700"/>
      <c r="U380" s="596"/>
      <c r="V380" s="343"/>
      <c r="W380" s="341"/>
      <c r="X380" s="343"/>
      <c r="Y380" s="343"/>
    </row>
    <row r="381" spans="6:25" ht="23" customHeight="1">
      <c r="G381" s="691">
        <v>-5</v>
      </c>
      <c r="H381" s="691"/>
      <c r="I381" s="691"/>
      <c r="J381" s="691"/>
      <c r="K381" s="691"/>
      <c r="L381" s="691"/>
      <c r="M381" s="692"/>
      <c r="N381" s="340"/>
      <c r="O381" s="341"/>
      <c r="P381" s="700"/>
      <c r="Q381" s="341"/>
      <c r="R381" s="341"/>
      <c r="S381" s="342"/>
      <c r="T381" s="700"/>
      <c r="U381" s="596"/>
      <c r="V381" s="343"/>
      <c r="W381" s="341"/>
      <c r="X381" s="343"/>
      <c r="Y381" s="343"/>
    </row>
    <row r="382" spans="6:25" ht="23" customHeight="1">
      <c r="H382" s="3" t="s">
        <v>268</v>
      </c>
      <c r="I382" s="3"/>
      <c r="J382" s="3"/>
      <c r="K382" s="3"/>
      <c r="L382" s="3"/>
      <c r="M382" s="692"/>
      <c r="N382" s="340"/>
      <c r="O382" s="341"/>
      <c r="P382" s="700"/>
      <c r="Q382" s="341"/>
      <c r="R382" s="341"/>
      <c r="S382" s="342"/>
      <c r="T382" s="700"/>
      <c r="U382" s="596"/>
      <c r="V382" s="343"/>
      <c r="W382" s="341"/>
      <c r="X382" s="343"/>
      <c r="Y382" s="343"/>
    </row>
    <row r="383" spans="6:25" ht="23" customHeight="1">
      <c r="I383" s="344">
        <v>44721</v>
      </c>
      <c r="J383" s="344"/>
      <c r="K383" s="344"/>
      <c r="L383" s="344"/>
      <c r="M383" s="692"/>
      <c r="N383" s="340"/>
      <c r="O383" s="341"/>
      <c r="P383" s="700"/>
      <c r="Q383" s="341"/>
      <c r="R383" s="341"/>
      <c r="S383" s="342"/>
      <c r="T383" s="700"/>
      <c r="U383" s="596"/>
      <c r="V383" s="343"/>
      <c r="W383" s="341"/>
      <c r="X383" s="343"/>
      <c r="Y383" s="343"/>
    </row>
    <row r="384" spans="6:25" ht="23" customHeight="1">
      <c r="J384" s="345">
        <v>44768</v>
      </c>
      <c r="K384" s="345"/>
      <c r="L384" s="345"/>
      <c r="M384" s="692"/>
      <c r="N384" s="340"/>
      <c r="O384" s="341"/>
      <c r="P384" s="700"/>
      <c r="Q384" s="341"/>
      <c r="R384" s="341"/>
      <c r="S384" s="342"/>
      <c r="T384" s="700"/>
      <c r="U384" s="596"/>
      <c r="V384" s="343"/>
      <c r="W384" s="341"/>
      <c r="X384" s="343"/>
      <c r="Y384" s="343"/>
    </row>
    <row r="385" spans="6:25" ht="23" customHeight="1">
      <c r="K385" s="3" t="s">
        <v>267</v>
      </c>
      <c r="L385" s="3"/>
      <c r="M385" s="692"/>
      <c r="N385" s="340"/>
      <c r="O385" s="341"/>
      <c r="P385" s="700"/>
      <c r="Q385" s="341"/>
      <c r="R385" s="341"/>
      <c r="S385" s="342"/>
      <c r="T385" s="700"/>
      <c r="U385" s="596"/>
      <c r="V385" s="343"/>
      <c r="W385" s="341"/>
      <c r="X385" s="343"/>
      <c r="Y385" s="343"/>
    </row>
    <row r="386" spans="6:25" ht="23" customHeight="1">
      <c r="L386" s="691">
        <v>5</v>
      </c>
      <c r="M386" s="692">
        <v>3271.87</v>
      </c>
      <c r="N386" s="340">
        <v>1</v>
      </c>
      <c r="O386" s="341">
        <v>19.599799999999998</v>
      </c>
      <c r="P386" s="700">
        <v>64127.997625999989</v>
      </c>
      <c r="Q386" s="341">
        <v>122.044</v>
      </c>
      <c r="R386" s="341">
        <v>122.94799999999999</v>
      </c>
      <c r="S386" s="342">
        <v>1.0074000000000001</v>
      </c>
      <c r="T386" s="700">
        <v>64602.544808432394</v>
      </c>
      <c r="U386" s="596">
        <v>-1250</v>
      </c>
      <c r="V386" s="343">
        <v>1</v>
      </c>
      <c r="W386" s="341">
        <v>20.515000000000001</v>
      </c>
      <c r="X386" s="343">
        <v>-25643.75</v>
      </c>
      <c r="Y386" s="343">
        <v>38958.794808432394</v>
      </c>
    </row>
    <row r="387" spans="6:25" ht="23" customHeight="1">
      <c r="M387" s="692"/>
      <c r="N387" s="340"/>
      <c r="O387" s="341"/>
      <c r="P387" s="700"/>
      <c r="Q387" s="341"/>
      <c r="R387" s="341"/>
      <c r="S387" s="342"/>
      <c r="T387" s="700"/>
      <c r="U387" s="596"/>
      <c r="V387" s="343"/>
      <c r="W387" s="341"/>
      <c r="X387" s="343"/>
      <c r="Y387" s="343"/>
    </row>
    <row r="388" spans="6:25" ht="23" customHeight="1">
      <c r="F388" s="580" t="s">
        <v>925</v>
      </c>
      <c r="G388" s="580"/>
      <c r="H388" s="580"/>
      <c r="I388" s="580"/>
      <c r="J388" s="580"/>
      <c r="K388" s="580"/>
      <c r="L388" s="580"/>
      <c r="M388" s="705">
        <v>3271.87</v>
      </c>
      <c r="N388" s="664">
        <v>1</v>
      </c>
      <c r="O388" s="582">
        <v>19.599799999999998</v>
      </c>
      <c r="P388" s="708">
        <v>64127.997625999989</v>
      </c>
      <c r="Q388" s="582">
        <v>122.044</v>
      </c>
      <c r="R388" s="582">
        <v>122.94799999999999</v>
      </c>
      <c r="S388" s="583">
        <v>1.0074000000000001</v>
      </c>
      <c r="T388" s="708">
        <v>64602.544808432394</v>
      </c>
      <c r="U388" s="599">
        <v>-1250</v>
      </c>
      <c r="V388" s="581">
        <v>1</v>
      </c>
      <c r="W388" s="582">
        <v>20.515000000000001</v>
      </c>
      <c r="X388" s="581">
        <v>-25643.75</v>
      </c>
      <c r="Y388" s="581">
        <v>38958.794808432394</v>
      </c>
    </row>
    <row r="389" spans="6:25" ht="23" customHeight="1">
      <c r="M389" s="692"/>
      <c r="N389" s="340"/>
      <c r="O389" s="341"/>
      <c r="P389" s="700"/>
      <c r="Q389" s="341"/>
      <c r="R389" s="341"/>
      <c r="S389" s="342"/>
      <c r="T389" s="700"/>
      <c r="U389" s="596"/>
      <c r="V389" s="343"/>
      <c r="W389" s="341"/>
      <c r="X389" s="343"/>
      <c r="Y389" s="343"/>
    </row>
    <row r="390" spans="6:25" ht="23" customHeight="1">
      <c r="F390" s="1" t="s">
        <v>756</v>
      </c>
      <c r="M390" s="692"/>
      <c r="N390" s="340"/>
      <c r="O390" s="341"/>
      <c r="P390" s="700"/>
      <c r="Q390" s="341"/>
      <c r="R390" s="341"/>
      <c r="S390" s="342"/>
      <c r="T390" s="700"/>
      <c r="U390" s="596"/>
      <c r="V390" s="343"/>
      <c r="W390" s="341"/>
      <c r="X390" s="343"/>
      <c r="Y390" s="343"/>
    </row>
    <row r="391" spans="6:25" ht="23" customHeight="1">
      <c r="G391" s="691">
        <v>-6</v>
      </c>
      <c r="H391" s="691"/>
      <c r="I391" s="691"/>
      <c r="J391" s="691"/>
      <c r="K391" s="691"/>
      <c r="L391" s="691"/>
      <c r="M391" s="692"/>
      <c r="N391" s="340"/>
      <c r="O391" s="341"/>
      <c r="P391" s="700"/>
      <c r="Q391" s="341"/>
      <c r="R391" s="341"/>
      <c r="S391" s="342"/>
      <c r="T391" s="700"/>
      <c r="U391" s="596"/>
      <c r="V391" s="343"/>
      <c r="W391" s="341"/>
      <c r="X391" s="343"/>
      <c r="Y391" s="343"/>
    </row>
    <row r="392" spans="6:25" ht="23" customHeight="1">
      <c r="H392" s="3" t="s">
        <v>268</v>
      </c>
      <c r="I392" s="3"/>
      <c r="J392" s="3"/>
      <c r="K392" s="3"/>
      <c r="L392" s="3"/>
      <c r="M392" s="692"/>
      <c r="N392" s="340"/>
      <c r="O392" s="341"/>
      <c r="P392" s="700"/>
      <c r="Q392" s="341"/>
      <c r="R392" s="341"/>
      <c r="S392" s="342"/>
      <c r="T392" s="700"/>
      <c r="U392" s="596"/>
      <c r="V392" s="343"/>
      <c r="W392" s="341"/>
      <c r="X392" s="343"/>
      <c r="Y392" s="343"/>
    </row>
    <row r="393" spans="6:25" ht="23" customHeight="1">
      <c r="I393" s="344">
        <v>44609</v>
      </c>
      <c r="J393" s="344"/>
      <c r="K393" s="344"/>
      <c r="L393" s="344"/>
      <c r="M393" s="692"/>
      <c r="N393" s="340"/>
      <c r="O393" s="341"/>
      <c r="P393" s="700"/>
      <c r="Q393" s="341"/>
      <c r="R393" s="341"/>
      <c r="S393" s="342"/>
      <c r="T393" s="700"/>
      <c r="U393" s="596"/>
      <c r="V393" s="343"/>
      <c r="W393" s="341"/>
      <c r="X393" s="343"/>
      <c r="Y393" s="343"/>
    </row>
    <row r="394" spans="6:25" ht="23" customHeight="1">
      <c r="J394" s="345">
        <v>44697</v>
      </c>
      <c r="K394" s="345"/>
      <c r="L394" s="345"/>
      <c r="M394" s="692"/>
      <c r="N394" s="340"/>
      <c r="O394" s="341"/>
      <c r="P394" s="700"/>
      <c r="Q394" s="341"/>
      <c r="R394" s="341"/>
      <c r="S394" s="342"/>
      <c r="T394" s="700"/>
      <c r="U394" s="596"/>
      <c r="V394" s="343"/>
      <c r="W394" s="341"/>
      <c r="X394" s="343"/>
      <c r="Y394" s="343"/>
    </row>
    <row r="395" spans="6:25" ht="23" customHeight="1">
      <c r="K395" s="3" t="s">
        <v>267</v>
      </c>
      <c r="L395" s="3"/>
      <c r="M395" s="692"/>
      <c r="N395" s="340"/>
      <c r="O395" s="341"/>
      <c r="P395" s="700"/>
      <c r="Q395" s="341"/>
      <c r="R395" s="341"/>
      <c r="S395" s="342"/>
      <c r="T395" s="700"/>
      <c r="U395" s="596"/>
      <c r="V395" s="343"/>
      <c r="W395" s="341"/>
      <c r="X395" s="343"/>
      <c r="Y395" s="343"/>
    </row>
    <row r="396" spans="6:25" ht="23" customHeight="1">
      <c r="L396" s="691">
        <v>6</v>
      </c>
      <c r="M396" s="692">
        <v>4231.1099999999997</v>
      </c>
      <c r="N396" s="340">
        <v>1</v>
      </c>
      <c r="O396" s="341">
        <v>20.3992</v>
      </c>
      <c r="P396" s="700">
        <v>86311.259112</v>
      </c>
      <c r="Q396" s="341">
        <v>118.98099999999999</v>
      </c>
      <c r="R396" s="341">
        <v>121.02200000000001</v>
      </c>
      <c r="S396" s="342">
        <v>1.0170999999999999</v>
      </c>
      <c r="T396" s="700">
        <v>87787.181642815194</v>
      </c>
      <c r="U396" s="596">
        <v>-1054.56</v>
      </c>
      <c r="V396" s="343">
        <v>1</v>
      </c>
      <c r="W396" s="341">
        <v>20.32</v>
      </c>
      <c r="X396" s="343">
        <v>-21428.659199999998</v>
      </c>
      <c r="Y396" s="343">
        <v>66358.5224428152</v>
      </c>
    </row>
    <row r="397" spans="6:25" ht="23" customHeight="1">
      <c r="M397" s="692"/>
      <c r="N397" s="340"/>
      <c r="O397" s="341"/>
      <c r="P397" s="700"/>
      <c r="Q397" s="341"/>
      <c r="R397" s="341"/>
      <c r="S397" s="342"/>
      <c r="T397" s="700"/>
      <c r="U397" s="596"/>
      <c r="V397" s="343"/>
      <c r="W397" s="341"/>
      <c r="X397" s="343"/>
      <c r="Y397" s="343"/>
    </row>
    <row r="398" spans="6:25" ht="23" customHeight="1">
      <c r="F398" s="580" t="s">
        <v>926</v>
      </c>
      <c r="G398" s="580"/>
      <c r="H398" s="580"/>
      <c r="I398" s="580"/>
      <c r="J398" s="580"/>
      <c r="K398" s="580"/>
      <c r="L398" s="580"/>
      <c r="M398" s="705">
        <v>4231.1099999999997</v>
      </c>
      <c r="N398" s="664">
        <v>1</v>
      </c>
      <c r="O398" s="582">
        <v>20.3992</v>
      </c>
      <c r="P398" s="708">
        <v>86311.259112</v>
      </c>
      <c r="Q398" s="582">
        <v>118.98099999999999</v>
      </c>
      <c r="R398" s="582">
        <v>121.02200000000001</v>
      </c>
      <c r="S398" s="583">
        <v>1.0170999999999999</v>
      </c>
      <c r="T398" s="708">
        <v>87787.181642815194</v>
      </c>
      <c r="U398" s="599">
        <v>-1054.56</v>
      </c>
      <c r="V398" s="581">
        <v>1</v>
      </c>
      <c r="W398" s="582">
        <v>20.32</v>
      </c>
      <c r="X398" s="581">
        <v>-21428.659199999998</v>
      </c>
      <c r="Y398" s="581">
        <v>66358.5224428152</v>
      </c>
    </row>
    <row r="399" spans="6:25" ht="23" customHeight="1">
      <c r="M399" s="692"/>
      <c r="N399" s="340"/>
      <c r="O399" s="341"/>
      <c r="P399" s="700"/>
      <c r="Q399" s="341"/>
      <c r="R399" s="341"/>
      <c r="S399" s="342"/>
      <c r="T399" s="700"/>
      <c r="U399" s="596"/>
      <c r="V399" s="343"/>
      <c r="W399" s="341"/>
      <c r="X399" s="343"/>
      <c r="Y399" s="343"/>
    </row>
    <row r="400" spans="6:25" ht="23" customHeight="1">
      <c r="F400" s="1" t="s">
        <v>763</v>
      </c>
      <c r="M400" s="692"/>
      <c r="N400" s="340"/>
      <c r="O400" s="341"/>
      <c r="P400" s="700"/>
      <c r="Q400" s="341"/>
      <c r="R400" s="341"/>
      <c r="S400" s="342"/>
      <c r="T400" s="700"/>
      <c r="U400" s="596"/>
      <c r="V400" s="343"/>
      <c r="W400" s="341"/>
      <c r="X400" s="343"/>
      <c r="Y400" s="343"/>
    </row>
    <row r="401" spans="6:25" ht="23" customHeight="1">
      <c r="G401" s="691">
        <v>-7</v>
      </c>
      <c r="H401" s="691"/>
      <c r="I401" s="691"/>
      <c r="J401" s="691"/>
      <c r="K401" s="691"/>
      <c r="L401" s="691"/>
      <c r="M401" s="692"/>
      <c r="N401" s="340"/>
      <c r="O401" s="341"/>
      <c r="P401" s="700"/>
      <c r="Q401" s="341"/>
      <c r="R401" s="341"/>
      <c r="S401" s="342"/>
      <c r="T401" s="700"/>
      <c r="U401" s="596"/>
      <c r="V401" s="343"/>
      <c r="W401" s="341"/>
      <c r="X401" s="343"/>
      <c r="Y401" s="343"/>
    </row>
    <row r="402" spans="6:25" ht="23" customHeight="1">
      <c r="H402" s="3" t="s">
        <v>268</v>
      </c>
      <c r="I402" s="3"/>
      <c r="J402" s="3"/>
      <c r="K402" s="3"/>
      <c r="L402" s="3"/>
      <c r="M402" s="692"/>
      <c r="N402" s="340"/>
      <c r="O402" s="341"/>
      <c r="P402" s="700"/>
      <c r="Q402" s="341"/>
      <c r="R402" s="341"/>
      <c r="S402" s="342"/>
      <c r="T402" s="700"/>
      <c r="U402" s="596"/>
      <c r="V402" s="343"/>
      <c r="W402" s="341"/>
      <c r="X402" s="343"/>
      <c r="Y402" s="343"/>
    </row>
    <row r="403" spans="6:25" ht="23" customHeight="1">
      <c r="I403" s="344">
        <v>44686</v>
      </c>
      <c r="J403" s="344"/>
      <c r="K403" s="344"/>
      <c r="L403" s="344"/>
      <c r="M403" s="692"/>
      <c r="N403" s="340"/>
      <c r="O403" s="341"/>
      <c r="P403" s="700"/>
      <c r="Q403" s="341"/>
      <c r="R403" s="341"/>
      <c r="S403" s="342"/>
      <c r="T403" s="700"/>
      <c r="U403" s="596"/>
      <c r="V403" s="343"/>
      <c r="W403" s="341"/>
      <c r="X403" s="343"/>
      <c r="Y403" s="343"/>
    </row>
    <row r="404" spans="6:25" ht="23" customHeight="1">
      <c r="J404" s="345">
        <v>44785</v>
      </c>
      <c r="K404" s="345"/>
      <c r="L404" s="345"/>
      <c r="M404" s="692"/>
      <c r="N404" s="340"/>
      <c r="O404" s="341"/>
      <c r="P404" s="700"/>
      <c r="Q404" s="341"/>
      <c r="R404" s="341"/>
      <c r="S404" s="342"/>
      <c r="T404" s="700"/>
      <c r="U404" s="596"/>
      <c r="V404" s="343"/>
      <c r="W404" s="341"/>
      <c r="X404" s="343"/>
      <c r="Y404" s="343"/>
    </row>
    <row r="405" spans="6:25" ht="23" customHeight="1">
      <c r="K405" s="3" t="s">
        <v>267</v>
      </c>
      <c r="L405" s="3"/>
      <c r="M405" s="692"/>
      <c r="N405" s="340"/>
      <c r="O405" s="341"/>
      <c r="P405" s="700"/>
      <c r="Q405" s="341"/>
      <c r="R405" s="341"/>
      <c r="S405" s="342"/>
      <c r="T405" s="700"/>
      <c r="U405" s="596"/>
      <c r="V405" s="343"/>
      <c r="W405" s="341"/>
      <c r="X405" s="343"/>
      <c r="Y405" s="343"/>
    </row>
    <row r="406" spans="6:25" ht="23" customHeight="1">
      <c r="L406" s="691">
        <v>7</v>
      </c>
      <c r="M406" s="692">
        <v>10366.94</v>
      </c>
      <c r="N406" s="340">
        <v>1</v>
      </c>
      <c r="O406" s="341">
        <v>20.335000000000001</v>
      </c>
      <c r="P406" s="700">
        <v>210811.72490000003</v>
      </c>
      <c r="Q406" s="341">
        <v>121.02200000000001</v>
      </c>
      <c r="R406" s="341">
        <v>123.803</v>
      </c>
      <c r="S406" s="342">
        <v>1.0228999999999999</v>
      </c>
      <c r="T406" s="700">
        <v>215639.31340021003</v>
      </c>
      <c r="U406" s="596">
        <v>-56</v>
      </c>
      <c r="V406" s="343">
        <v>1</v>
      </c>
      <c r="W406" s="341">
        <v>19.956199999999999</v>
      </c>
      <c r="X406" s="343">
        <v>-1117.5472</v>
      </c>
      <c r="Y406" s="343">
        <v>214521.76620021003</v>
      </c>
    </row>
    <row r="407" spans="6:25" ht="23" customHeight="1">
      <c r="M407" s="692"/>
      <c r="N407" s="340"/>
      <c r="O407" s="341"/>
      <c r="P407" s="700"/>
      <c r="Q407" s="341"/>
      <c r="R407" s="341"/>
      <c r="S407" s="342"/>
      <c r="T407" s="700"/>
      <c r="U407" s="596"/>
      <c r="V407" s="343"/>
      <c r="W407" s="341"/>
      <c r="X407" s="343"/>
      <c r="Y407" s="343"/>
    </row>
    <row r="408" spans="6:25" ht="23" customHeight="1">
      <c r="F408" s="580" t="s">
        <v>927</v>
      </c>
      <c r="G408" s="580"/>
      <c r="H408" s="580"/>
      <c r="I408" s="580"/>
      <c r="J408" s="580"/>
      <c r="K408" s="580"/>
      <c r="L408" s="580"/>
      <c r="M408" s="705">
        <v>10366.94</v>
      </c>
      <c r="N408" s="664">
        <v>1</v>
      </c>
      <c r="O408" s="582">
        <v>20.335000000000001</v>
      </c>
      <c r="P408" s="708">
        <v>210811.72490000003</v>
      </c>
      <c r="Q408" s="582">
        <v>121.02200000000001</v>
      </c>
      <c r="R408" s="582">
        <v>123.803</v>
      </c>
      <c r="S408" s="583">
        <v>1.0228999999999999</v>
      </c>
      <c r="T408" s="708">
        <v>215639.31340021003</v>
      </c>
      <c r="U408" s="599">
        <v>-56</v>
      </c>
      <c r="V408" s="581">
        <v>1</v>
      </c>
      <c r="W408" s="582">
        <v>19.956199999999999</v>
      </c>
      <c r="X408" s="581">
        <v>-1117.5472</v>
      </c>
      <c r="Y408" s="581">
        <v>214521.76620021003</v>
      </c>
    </row>
    <row r="409" spans="6:25" ht="23" customHeight="1">
      <c r="M409" s="692"/>
      <c r="N409" s="340"/>
      <c r="O409" s="341"/>
      <c r="P409" s="700"/>
      <c r="Q409" s="341"/>
      <c r="R409" s="341"/>
      <c r="S409" s="342"/>
      <c r="T409" s="700"/>
      <c r="U409" s="596"/>
      <c r="V409" s="343"/>
      <c r="W409" s="341"/>
      <c r="X409" s="343"/>
      <c r="Y409" s="343"/>
    </row>
    <row r="410" spans="6:25" ht="23" customHeight="1">
      <c r="F410" s="1" t="s">
        <v>788</v>
      </c>
      <c r="M410" s="692"/>
      <c r="N410" s="340"/>
      <c r="O410" s="341"/>
      <c r="P410" s="700"/>
      <c r="Q410" s="341"/>
      <c r="R410" s="341"/>
      <c r="S410" s="342"/>
      <c r="T410" s="700"/>
      <c r="U410" s="596"/>
      <c r="V410" s="343"/>
      <c r="W410" s="341"/>
      <c r="X410" s="343"/>
      <c r="Y410" s="343"/>
    </row>
    <row r="411" spans="6:25" ht="23" customHeight="1">
      <c r="G411" s="691">
        <v>-5</v>
      </c>
      <c r="H411" s="691"/>
      <c r="I411" s="691"/>
      <c r="J411" s="691"/>
      <c r="K411" s="691"/>
      <c r="L411" s="691"/>
      <c r="M411" s="692"/>
      <c r="N411" s="340"/>
      <c r="O411" s="341"/>
      <c r="P411" s="700"/>
      <c r="Q411" s="341"/>
      <c r="R411" s="341"/>
      <c r="S411" s="342"/>
      <c r="T411" s="700"/>
      <c r="U411" s="596"/>
      <c r="V411" s="343"/>
      <c r="W411" s="341"/>
      <c r="X411" s="343"/>
      <c r="Y411" s="343"/>
    </row>
    <row r="412" spans="6:25" ht="23" customHeight="1">
      <c r="H412" s="3" t="s">
        <v>268</v>
      </c>
      <c r="I412" s="3"/>
      <c r="J412" s="3"/>
      <c r="K412" s="3"/>
      <c r="L412" s="3"/>
      <c r="M412" s="692"/>
      <c r="N412" s="340"/>
      <c r="O412" s="341"/>
      <c r="P412" s="700"/>
      <c r="Q412" s="341"/>
      <c r="R412" s="341"/>
      <c r="S412" s="342"/>
      <c r="T412" s="700"/>
      <c r="U412" s="596"/>
      <c r="V412" s="343"/>
      <c r="W412" s="341"/>
      <c r="X412" s="343"/>
      <c r="Y412" s="343"/>
    </row>
    <row r="413" spans="6:25" ht="23" customHeight="1">
      <c r="I413" s="344">
        <v>44798</v>
      </c>
      <c r="J413" s="344"/>
      <c r="K413" s="344"/>
      <c r="L413" s="344"/>
      <c r="M413" s="692"/>
      <c r="N413" s="340"/>
      <c r="O413" s="341"/>
      <c r="P413" s="700"/>
      <c r="Q413" s="341"/>
      <c r="R413" s="341"/>
      <c r="S413" s="342"/>
      <c r="T413" s="700"/>
      <c r="U413" s="596"/>
      <c r="V413" s="343"/>
      <c r="W413" s="341"/>
      <c r="X413" s="343"/>
      <c r="Y413" s="343"/>
    </row>
    <row r="414" spans="6:25" ht="23" customHeight="1">
      <c r="J414" s="345">
        <v>44838</v>
      </c>
      <c r="K414" s="345"/>
      <c r="L414" s="345"/>
      <c r="M414" s="692"/>
      <c r="N414" s="340"/>
      <c r="O414" s="341"/>
      <c r="P414" s="700"/>
      <c r="Q414" s="341"/>
      <c r="R414" s="341"/>
      <c r="S414" s="342"/>
      <c r="T414" s="700"/>
      <c r="U414" s="596"/>
      <c r="V414" s="343"/>
      <c r="W414" s="341"/>
      <c r="X414" s="343"/>
      <c r="Y414" s="343"/>
    </row>
    <row r="415" spans="6:25" ht="23" customHeight="1">
      <c r="K415" s="3" t="s">
        <v>267</v>
      </c>
      <c r="L415" s="3"/>
      <c r="M415" s="692"/>
      <c r="N415" s="340"/>
      <c r="O415" s="341"/>
      <c r="P415" s="700"/>
      <c r="Q415" s="341"/>
      <c r="R415" s="341"/>
      <c r="S415" s="342"/>
      <c r="T415" s="700"/>
      <c r="U415" s="596"/>
      <c r="V415" s="343"/>
      <c r="W415" s="341"/>
      <c r="X415" s="343"/>
      <c r="Y415" s="343"/>
    </row>
    <row r="416" spans="6:25" ht="23" customHeight="1">
      <c r="L416" s="691">
        <v>5</v>
      </c>
      <c r="M416" s="692">
        <v>2229.94</v>
      </c>
      <c r="N416" s="340">
        <v>1</v>
      </c>
      <c r="O416" s="341">
        <v>19.998200000000001</v>
      </c>
      <c r="P416" s="700">
        <v>44594.786108</v>
      </c>
      <c r="Q416" s="341">
        <v>123.803</v>
      </c>
      <c r="R416" s="341">
        <v>125.276</v>
      </c>
      <c r="S416" s="342">
        <v>1.0118</v>
      </c>
      <c r="T416" s="700">
        <v>45121.004584074399</v>
      </c>
      <c r="U416" s="596">
        <v>-6700.8</v>
      </c>
      <c r="V416" s="343">
        <v>1</v>
      </c>
      <c r="W416" s="341">
        <v>20.092500000000001</v>
      </c>
      <c r="X416" s="343">
        <v>-134635.82400000002</v>
      </c>
      <c r="Y416" s="343">
        <v>-89514.819415925624</v>
      </c>
    </row>
    <row r="417" spans="6:25" ht="23" customHeight="1">
      <c r="M417" s="692"/>
      <c r="N417" s="340"/>
      <c r="O417" s="341"/>
      <c r="P417" s="700"/>
      <c r="Q417" s="341"/>
      <c r="R417" s="341"/>
      <c r="S417" s="342"/>
      <c r="T417" s="700"/>
      <c r="U417" s="596"/>
      <c r="V417" s="343"/>
      <c r="W417" s="341"/>
      <c r="X417" s="343"/>
      <c r="Y417" s="343"/>
    </row>
    <row r="418" spans="6:25" ht="23" customHeight="1">
      <c r="F418" s="580" t="s">
        <v>928</v>
      </c>
      <c r="G418" s="580"/>
      <c r="H418" s="580"/>
      <c r="I418" s="580"/>
      <c r="J418" s="580"/>
      <c r="K418" s="580"/>
      <c r="L418" s="580"/>
      <c r="M418" s="705">
        <v>2229.94</v>
      </c>
      <c r="N418" s="664">
        <v>1</v>
      </c>
      <c r="O418" s="582">
        <v>19.998200000000001</v>
      </c>
      <c r="P418" s="708">
        <v>44594.786108</v>
      </c>
      <c r="Q418" s="582">
        <v>123.803</v>
      </c>
      <c r="R418" s="582">
        <v>125.276</v>
      </c>
      <c r="S418" s="583">
        <v>1.0118</v>
      </c>
      <c r="T418" s="708">
        <v>45121.004584074399</v>
      </c>
      <c r="U418" s="599">
        <v>-6700.8</v>
      </c>
      <c r="V418" s="581">
        <v>1</v>
      </c>
      <c r="W418" s="582">
        <v>20.092500000000001</v>
      </c>
      <c r="X418" s="581">
        <v>-134635.82400000002</v>
      </c>
      <c r="Y418" s="581">
        <v>-89514.819415925624</v>
      </c>
    </row>
    <row r="419" spans="6:25" ht="23" customHeight="1">
      <c r="M419" s="692"/>
      <c r="N419" s="340"/>
      <c r="O419" s="341"/>
      <c r="P419" s="700"/>
      <c r="Q419" s="341"/>
      <c r="R419" s="341"/>
      <c r="S419" s="342"/>
      <c r="T419" s="700"/>
      <c r="U419" s="596"/>
      <c r="V419" s="343"/>
      <c r="W419" s="341"/>
      <c r="X419" s="343"/>
      <c r="Y419" s="343"/>
    </row>
    <row r="420" spans="6:25" ht="23" customHeight="1">
      <c r="F420" s="1" t="s">
        <v>750</v>
      </c>
      <c r="M420" s="692"/>
      <c r="N420" s="340"/>
      <c r="O420" s="341"/>
      <c r="P420" s="700"/>
      <c r="Q420" s="341"/>
      <c r="R420" s="341"/>
      <c r="S420" s="342"/>
      <c r="T420" s="700"/>
      <c r="U420" s="596"/>
      <c r="V420" s="343"/>
      <c r="W420" s="341"/>
      <c r="X420" s="343"/>
      <c r="Y420" s="343"/>
    </row>
    <row r="421" spans="6:25" ht="23" customHeight="1">
      <c r="G421" s="691">
        <v>-7</v>
      </c>
      <c r="H421" s="691"/>
      <c r="I421" s="691"/>
      <c r="J421" s="691"/>
      <c r="K421" s="691"/>
      <c r="L421" s="691"/>
      <c r="M421" s="692"/>
      <c r="N421" s="340"/>
      <c r="O421" s="341"/>
      <c r="P421" s="700"/>
      <c r="Q421" s="341"/>
      <c r="R421" s="341"/>
      <c r="S421" s="342"/>
      <c r="T421" s="700"/>
      <c r="U421" s="596"/>
      <c r="V421" s="343"/>
      <c r="W421" s="341"/>
      <c r="X421" s="343"/>
      <c r="Y421" s="343"/>
    </row>
    <row r="422" spans="6:25" ht="23" customHeight="1">
      <c r="H422" s="3" t="s">
        <v>268</v>
      </c>
      <c r="I422" s="3"/>
      <c r="J422" s="3"/>
      <c r="K422" s="3"/>
      <c r="L422" s="3"/>
      <c r="M422" s="692"/>
      <c r="N422" s="340"/>
      <c r="O422" s="341"/>
      <c r="P422" s="700"/>
      <c r="Q422" s="341"/>
      <c r="R422" s="341"/>
      <c r="S422" s="342"/>
      <c r="T422" s="700"/>
      <c r="U422" s="596"/>
      <c r="V422" s="343"/>
      <c r="W422" s="341"/>
      <c r="X422" s="343"/>
      <c r="Y422" s="343"/>
    </row>
    <row r="423" spans="6:25" ht="23" customHeight="1">
      <c r="I423" s="344">
        <v>44476</v>
      </c>
      <c r="J423" s="344"/>
      <c r="K423" s="344"/>
      <c r="L423" s="344"/>
      <c r="M423" s="692"/>
      <c r="N423" s="340"/>
      <c r="O423" s="341"/>
      <c r="P423" s="700"/>
      <c r="Q423" s="341"/>
      <c r="R423" s="341"/>
      <c r="S423" s="342"/>
      <c r="T423" s="700"/>
      <c r="U423" s="596"/>
      <c r="V423" s="343"/>
      <c r="W423" s="341"/>
      <c r="X423" s="343"/>
      <c r="Y423" s="343"/>
    </row>
    <row r="424" spans="6:25" ht="23" customHeight="1">
      <c r="J424" s="345">
        <v>44566</v>
      </c>
      <c r="K424" s="345"/>
      <c r="L424" s="345"/>
      <c r="M424" s="692"/>
      <c r="N424" s="340"/>
      <c r="O424" s="341"/>
      <c r="P424" s="700"/>
      <c r="Q424" s="341"/>
      <c r="R424" s="341"/>
      <c r="S424" s="342"/>
      <c r="T424" s="700"/>
      <c r="U424" s="596"/>
      <c r="V424" s="343"/>
      <c r="W424" s="341"/>
      <c r="X424" s="343"/>
      <c r="Y424" s="343"/>
    </row>
    <row r="425" spans="6:25" ht="23" customHeight="1">
      <c r="K425" s="3" t="s">
        <v>267</v>
      </c>
      <c r="L425" s="3"/>
      <c r="M425" s="692"/>
      <c r="N425" s="340"/>
      <c r="O425" s="341"/>
      <c r="P425" s="700"/>
      <c r="Q425" s="341"/>
      <c r="R425" s="341"/>
      <c r="S425" s="342"/>
      <c r="T425" s="700"/>
      <c r="U425" s="596"/>
      <c r="V425" s="343"/>
      <c r="W425" s="341"/>
      <c r="X425" s="343"/>
      <c r="Y425" s="343"/>
    </row>
    <row r="426" spans="6:25" ht="23" customHeight="1">
      <c r="L426" s="691">
        <v>7</v>
      </c>
      <c r="M426" s="692">
        <v>4502.09</v>
      </c>
      <c r="N426" s="340">
        <v>1</v>
      </c>
      <c r="O426" s="341">
        <v>20.581800000000001</v>
      </c>
      <c r="P426" s="700">
        <v>92661.115962000011</v>
      </c>
      <c r="Q426" s="341">
        <v>115.56100000000001</v>
      </c>
      <c r="R426" s="341">
        <v>118.002</v>
      </c>
      <c r="S426" s="342">
        <v>1.0210999999999999</v>
      </c>
      <c r="T426" s="700">
        <v>94616.265508798198</v>
      </c>
      <c r="U426" s="596">
        <v>-84</v>
      </c>
      <c r="V426" s="343">
        <v>1</v>
      </c>
      <c r="W426" s="341">
        <v>20.588999999999999</v>
      </c>
      <c r="X426" s="343">
        <v>-1729.4759999999999</v>
      </c>
      <c r="Y426" s="343">
        <v>92886.789508798203</v>
      </c>
    </row>
    <row r="427" spans="6:25" ht="23" customHeight="1">
      <c r="M427" s="692"/>
      <c r="N427" s="340"/>
      <c r="O427" s="341"/>
      <c r="P427" s="700"/>
      <c r="Q427" s="341"/>
      <c r="R427" s="341"/>
      <c r="S427" s="342"/>
      <c r="T427" s="700"/>
      <c r="U427" s="596"/>
      <c r="V427" s="343"/>
      <c r="W427" s="341"/>
      <c r="X427" s="343"/>
      <c r="Y427" s="343"/>
    </row>
    <row r="428" spans="6:25" ht="23" customHeight="1">
      <c r="F428" s="580" t="s">
        <v>929</v>
      </c>
      <c r="G428" s="580"/>
      <c r="H428" s="580"/>
      <c r="I428" s="580"/>
      <c r="J428" s="580"/>
      <c r="K428" s="580"/>
      <c r="L428" s="580"/>
      <c r="M428" s="705">
        <v>4502.09</v>
      </c>
      <c r="N428" s="664">
        <v>1</v>
      </c>
      <c r="O428" s="582">
        <v>20.581800000000001</v>
      </c>
      <c r="P428" s="708">
        <v>92661.115962000011</v>
      </c>
      <c r="Q428" s="582">
        <v>115.56100000000001</v>
      </c>
      <c r="R428" s="582">
        <v>118.002</v>
      </c>
      <c r="S428" s="583">
        <v>1.0210999999999999</v>
      </c>
      <c r="T428" s="708">
        <v>94616.265508798198</v>
      </c>
      <c r="U428" s="599">
        <v>-84</v>
      </c>
      <c r="V428" s="581">
        <v>1</v>
      </c>
      <c r="W428" s="582">
        <v>20.588999999999999</v>
      </c>
      <c r="X428" s="581">
        <v>-1729.4759999999999</v>
      </c>
      <c r="Y428" s="581">
        <v>92886.789508798203</v>
      </c>
    </row>
    <row r="429" spans="6:25" ht="23" customHeight="1">
      <c r="M429" s="692"/>
      <c r="N429" s="340"/>
      <c r="O429" s="341"/>
      <c r="P429" s="700"/>
      <c r="Q429" s="341"/>
      <c r="R429" s="341"/>
      <c r="S429" s="342"/>
      <c r="T429" s="700"/>
      <c r="U429" s="596"/>
      <c r="V429" s="343"/>
      <c r="W429" s="341"/>
      <c r="X429" s="343"/>
      <c r="Y429" s="343"/>
    </row>
    <row r="430" spans="6:25" ht="23" customHeight="1">
      <c r="F430" s="1" t="s">
        <v>785</v>
      </c>
      <c r="M430" s="692"/>
      <c r="N430" s="340"/>
      <c r="O430" s="341"/>
      <c r="P430" s="700"/>
      <c r="Q430" s="341"/>
      <c r="R430" s="341"/>
      <c r="S430" s="342"/>
      <c r="T430" s="700"/>
      <c r="U430" s="596"/>
      <c r="V430" s="343"/>
      <c r="W430" s="341"/>
      <c r="X430" s="343"/>
      <c r="Y430" s="343"/>
    </row>
    <row r="431" spans="6:25" ht="23" customHeight="1">
      <c r="G431" s="691">
        <v>-6</v>
      </c>
      <c r="H431" s="691"/>
      <c r="I431" s="691"/>
      <c r="J431" s="691"/>
      <c r="K431" s="691"/>
      <c r="L431" s="691"/>
      <c r="M431" s="692"/>
      <c r="N431" s="340"/>
      <c r="O431" s="341"/>
      <c r="P431" s="700"/>
      <c r="Q431" s="341"/>
      <c r="R431" s="341"/>
      <c r="S431" s="342"/>
      <c r="T431" s="700"/>
      <c r="U431" s="596"/>
      <c r="V431" s="343"/>
      <c r="W431" s="341"/>
      <c r="X431" s="343"/>
      <c r="Y431" s="343"/>
    </row>
    <row r="432" spans="6:25" ht="23" customHeight="1">
      <c r="H432" s="3" t="s">
        <v>268</v>
      </c>
      <c r="I432" s="3"/>
      <c r="J432" s="3"/>
      <c r="K432" s="3"/>
      <c r="L432" s="3"/>
      <c r="M432" s="692"/>
      <c r="N432" s="340"/>
      <c r="O432" s="341"/>
      <c r="P432" s="700"/>
      <c r="Q432" s="341"/>
      <c r="R432" s="341"/>
      <c r="S432" s="342"/>
      <c r="T432" s="700"/>
      <c r="U432" s="596"/>
      <c r="V432" s="343"/>
      <c r="W432" s="341"/>
      <c r="X432" s="343"/>
      <c r="Y432" s="343"/>
    </row>
    <row r="433" spans="6:25" ht="23" customHeight="1">
      <c r="I433" s="344">
        <v>44785</v>
      </c>
      <c r="J433" s="344"/>
      <c r="K433" s="344"/>
      <c r="L433" s="344"/>
      <c r="M433" s="692"/>
      <c r="N433" s="340"/>
      <c r="O433" s="341"/>
      <c r="P433" s="700"/>
      <c r="Q433" s="341"/>
      <c r="R433" s="341"/>
      <c r="S433" s="342"/>
      <c r="T433" s="700"/>
      <c r="U433" s="596"/>
      <c r="V433" s="343"/>
      <c r="W433" s="341"/>
      <c r="X433" s="343"/>
      <c r="Y433" s="343"/>
    </row>
    <row r="434" spans="6:25" ht="23" customHeight="1">
      <c r="J434" s="345">
        <v>44823</v>
      </c>
      <c r="K434" s="345"/>
      <c r="L434" s="345"/>
      <c r="M434" s="692"/>
      <c r="N434" s="340"/>
      <c r="O434" s="341"/>
      <c r="P434" s="700"/>
      <c r="Q434" s="341"/>
      <c r="R434" s="341"/>
      <c r="S434" s="342"/>
      <c r="T434" s="700"/>
      <c r="U434" s="596"/>
      <c r="V434" s="343"/>
      <c r="W434" s="341"/>
      <c r="X434" s="343"/>
      <c r="Y434" s="343"/>
    </row>
    <row r="435" spans="6:25" ht="23" customHeight="1">
      <c r="K435" s="3" t="s">
        <v>267</v>
      </c>
      <c r="L435" s="3"/>
      <c r="M435" s="692"/>
      <c r="N435" s="340"/>
      <c r="O435" s="341"/>
      <c r="P435" s="700"/>
      <c r="Q435" s="341"/>
      <c r="R435" s="341"/>
      <c r="S435" s="342"/>
      <c r="T435" s="700"/>
      <c r="U435" s="596"/>
      <c r="V435" s="343"/>
      <c r="W435" s="341"/>
      <c r="X435" s="343"/>
      <c r="Y435" s="343"/>
    </row>
    <row r="436" spans="6:25" ht="23" customHeight="1">
      <c r="L436" s="691">
        <v>6</v>
      </c>
      <c r="M436" s="692">
        <v>2231.94</v>
      </c>
      <c r="N436" s="340">
        <v>1</v>
      </c>
      <c r="O436" s="341">
        <v>19.956199999999999</v>
      </c>
      <c r="P436" s="700">
        <v>44541.041028</v>
      </c>
      <c r="Q436" s="341">
        <v>123.803</v>
      </c>
      <c r="R436" s="341">
        <v>124.571</v>
      </c>
      <c r="S436" s="342">
        <v>1.0062</v>
      </c>
      <c r="T436" s="700">
        <v>44817.195482373601</v>
      </c>
      <c r="U436" s="596">
        <v>-8592</v>
      </c>
      <c r="V436" s="343">
        <v>1</v>
      </c>
      <c r="W436" s="341">
        <v>19.976800000000001</v>
      </c>
      <c r="X436" s="343">
        <v>-171640.66560000001</v>
      </c>
      <c r="Y436" s="343">
        <v>-126823.47011762641</v>
      </c>
    </row>
    <row r="437" spans="6:25" ht="23" customHeight="1">
      <c r="M437" s="692"/>
      <c r="N437" s="340"/>
      <c r="O437" s="341"/>
      <c r="P437" s="700"/>
      <c r="Q437" s="341"/>
      <c r="R437" s="341"/>
      <c r="S437" s="342"/>
      <c r="T437" s="700"/>
      <c r="U437" s="596"/>
      <c r="V437" s="343"/>
      <c r="W437" s="341"/>
      <c r="X437" s="343"/>
      <c r="Y437" s="343"/>
    </row>
    <row r="438" spans="6:25" ht="23" customHeight="1">
      <c r="F438" s="580" t="s">
        <v>930</v>
      </c>
      <c r="G438" s="580"/>
      <c r="H438" s="580"/>
      <c r="I438" s="580"/>
      <c r="J438" s="580"/>
      <c r="K438" s="580"/>
      <c r="L438" s="580"/>
      <c r="M438" s="705">
        <v>2231.94</v>
      </c>
      <c r="N438" s="664">
        <v>1</v>
      </c>
      <c r="O438" s="582">
        <v>19.956199999999999</v>
      </c>
      <c r="P438" s="708">
        <v>44541.041028</v>
      </c>
      <c r="Q438" s="582">
        <v>123.803</v>
      </c>
      <c r="R438" s="582">
        <v>124.571</v>
      </c>
      <c r="S438" s="583">
        <v>1.0062</v>
      </c>
      <c r="T438" s="708">
        <v>44817.195482373601</v>
      </c>
      <c r="U438" s="599">
        <v>-8592</v>
      </c>
      <c r="V438" s="581">
        <v>1</v>
      </c>
      <c r="W438" s="582">
        <v>19.976800000000001</v>
      </c>
      <c r="X438" s="581">
        <v>-171640.66560000001</v>
      </c>
      <c r="Y438" s="581">
        <v>-126823.47011762641</v>
      </c>
    </row>
    <row r="439" spans="6:25" ht="23" customHeight="1">
      <c r="M439" s="692"/>
      <c r="N439" s="340"/>
      <c r="O439" s="341"/>
      <c r="P439" s="700"/>
      <c r="Q439" s="341"/>
      <c r="R439" s="341"/>
      <c r="S439" s="342"/>
      <c r="T439" s="700"/>
      <c r="U439" s="596"/>
      <c r="V439" s="343"/>
      <c r="W439" s="341"/>
      <c r="X439" s="343"/>
      <c r="Y439" s="343"/>
    </row>
    <row r="440" spans="6:25" ht="23" customHeight="1">
      <c r="F440" s="1" t="s">
        <v>764</v>
      </c>
      <c r="M440" s="692"/>
      <c r="N440" s="340"/>
      <c r="O440" s="341"/>
      <c r="P440" s="700"/>
      <c r="Q440" s="341"/>
      <c r="R440" s="341"/>
      <c r="S440" s="342"/>
      <c r="T440" s="700"/>
      <c r="U440" s="596"/>
      <c r="V440" s="343"/>
      <c r="W440" s="341"/>
      <c r="X440" s="343"/>
      <c r="Y440" s="343"/>
    </row>
    <row r="441" spans="6:25" ht="23" customHeight="1">
      <c r="G441" s="691">
        <v>-5</v>
      </c>
      <c r="H441" s="691"/>
      <c r="I441" s="691"/>
      <c r="J441" s="691"/>
      <c r="K441" s="691"/>
      <c r="L441" s="691"/>
      <c r="M441" s="692"/>
      <c r="N441" s="340"/>
      <c r="O441" s="341"/>
      <c r="P441" s="700"/>
      <c r="Q441" s="341"/>
      <c r="R441" s="341"/>
      <c r="S441" s="342"/>
      <c r="T441" s="700"/>
      <c r="U441" s="596"/>
      <c r="V441" s="343"/>
      <c r="W441" s="341"/>
      <c r="X441" s="343"/>
      <c r="Y441" s="343"/>
    </row>
    <row r="442" spans="6:25" ht="23" customHeight="1">
      <c r="H442" s="3" t="s">
        <v>268</v>
      </c>
      <c r="I442" s="3"/>
      <c r="J442" s="3"/>
      <c r="K442" s="3"/>
      <c r="L442" s="3"/>
      <c r="M442" s="692"/>
      <c r="N442" s="340"/>
      <c r="O442" s="341"/>
      <c r="P442" s="700"/>
      <c r="Q442" s="341"/>
      <c r="R442" s="341"/>
      <c r="S442" s="342"/>
      <c r="T442" s="700"/>
      <c r="U442" s="596"/>
      <c r="V442" s="343"/>
      <c r="W442" s="341"/>
      <c r="X442" s="343"/>
      <c r="Y442" s="343"/>
    </row>
    <row r="443" spans="6:25" ht="23" customHeight="1">
      <c r="I443" s="344">
        <v>44686</v>
      </c>
      <c r="J443" s="344"/>
      <c r="K443" s="344"/>
      <c r="L443" s="344"/>
      <c r="M443" s="692"/>
      <c r="N443" s="340"/>
      <c r="O443" s="341"/>
      <c r="P443" s="700"/>
      <c r="Q443" s="341"/>
      <c r="R443" s="341"/>
      <c r="S443" s="342"/>
      <c r="T443" s="700"/>
      <c r="U443" s="596"/>
      <c r="V443" s="343"/>
      <c r="W443" s="341"/>
      <c r="X443" s="343"/>
      <c r="Y443" s="343"/>
    </row>
    <row r="444" spans="6:25" ht="23" customHeight="1">
      <c r="J444" s="345">
        <v>44721</v>
      </c>
      <c r="K444" s="345"/>
      <c r="L444" s="345"/>
      <c r="M444" s="692"/>
      <c r="N444" s="340"/>
      <c r="O444" s="341"/>
      <c r="P444" s="700"/>
      <c r="Q444" s="341"/>
      <c r="R444" s="341"/>
      <c r="S444" s="342"/>
      <c r="T444" s="700"/>
      <c r="U444" s="596"/>
      <c r="V444" s="343"/>
      <c r="W444" s="341"/>
      <c r="X444" s="343"/>
      <c r="Y444" s="343"/>
    </row>
    <row r="445" spans="6:25" ht="23" customHeight="1">
      <c r="K445" s="3" t="s">
        <v>267</v>
      </c>
      <c r="L445" s="3"/>
      <c r="M445" s="692"/>
      <c r="N445" s="340"/>
      <c r="O445" s="341"/>
      <c r="P445" s="700"/>
      <c r="Q445" s="341"/>
      <c r="R445" s="341"/>
      <c r="S445" s="342"/>
      <c r="T445" s="700"/>
      <c r="U445" s="596"/>
      <c r="V445" s="343"/>
      <c r="W445" s="341"/>
      <c r="X445" s="343"/>
      <c r="Y445" s="343"/>
    </row>
    <row r="446" spans="6:25" ht="23" customHeight="1">
      <c r="L446" s="691">
        <v>5</v>
      </c>
      <c r="M446" s="692">
        <v>4599.97</v>
      </c>
      <c r="N446" s="340">
        <v>1</v>
      </c>
      <c r="O446" s="341">
        <v>20.335000000000001</v>
      </c>
      <c r="P446" s="700">
        <v>93540.389950000012</v>
      </c>
      <c r="Q446" s="341">
        <v>121.02200000000001</v>
      </c>
      <c r="R446" s="341">
        <v>122.044</v>
      </c>
      <c r="S446" s="342">
        <v>1.0084</v>
      </c>
      <c r="T446" s="700">
        <v>94326.129225580007</v>
      </c>
      <c r="U446" s="596">
        <v>-240</v>
      </c>
      <c r="V446" s="343">
        <v>1</v>
      </c>
      <c r="W446" s="341">
        <v>19.599799999999998</v>
      </c>
      <c r="X446" s="343">
        <v>-4703.9519999999993</v>
      </c>
      <c r="Y446" s="343">
        <v>89622.177225580002</v>
      </c>
    </row>
    <row r="447" spans="6:25" ht="23" customHeight="1">
      <c r="M447" s="692"/>
      <c r="N447" s="340"/>
      <c r="O447" s="341"/>
      <c r="P447" s="700"/>
      <c r="Q447" s="341"/>
      <c r="R447" s="341"/>
      <c r="S447" s="342"/>
      <c r="T447" s="700"/>
      <c r="U447" s="596"/>
      <c r="V447" s="343"/>
      <c r="W447" s="341"/>
      <c r="X447" s="343"/>
      <c r="Y447" s="343"/>
    </row>
    <row r="448" spans="6:25" ht="23" customHeight="1">
      <c r="F448" s="580" t="s">
        <v>931</v>
      </c>
      <c r="G448" s="580"/>
      <c r="H448" s="580"/>
      <c r="I448" s="580"/>
      <c r="J448" s="580"/>
      <c r="K448" s="580"/>
      <c r="L448" s="580"/>
      <c r="M448" s="705">
        <v>4599.97</v>
      </c>
      <c r="N448" s="664">
        <v>1</v>
      </c>
      <c r="O448" s="582">
        <v>20.335000000000001</v>
      </c>
      <c r="P448" s="708">
        <v>93540.389950000012</v>
      </c>
      <c r="Q448" s="582">
        <v>121.02200000000001</v>
      </c>
      <c r="R448" s="582">
        <v>122.044</v>
      </c>
      <c r="S448" s="583">
        <v>1.0084</v>
      </c>
      <c r="T448" s="708">
        <v>94326.129225580007</v>
      </c>
      <c r="U448" s="599">
        <v>-240</v>
      </c>
      <c r="V448" s="581">
        <v>1</v>
      </c>
      <c r="W448" s="582">
        <v>19.599799999999998</v>
      </c>
      <c r="X448" s="581">
        <v>-4703.9519999999993</v>
      </c>
      <c r="Y448" s="581">
        <v>89622.177225580002</v>
      </c>
    </row>
    <row r="449" spans="6:25" ht="23" customHeight="1">
      <c r="M449" s="692"/>
      <c r="N449" s="340"/>
      <c r="O449" s="341"/>
      <c r="P449" s="700"/>
      <c r="Q449" s="341"/>
      <c r="R449" s="341"/>
      <c r="S449" s="342"/>
      <c r="T449" s="700"/>
      <c r="U449" s="596"/>
      <c r="V449" s="343"/>
      <c r="W449" s="341"/>
      <c r="X449" s="343"/>
      <c r="Y449" s="343"/>
    </row>
    <row r="450" spans="6:25" ht="23" customHeight="1">
      <c r="F450" s="1" t="s">
        <v>787</v>
      </c>
      <c r="M450" s="692"/>
      <c r="N450" s="340"/>
      <c r="O450" s="341"/>
      <c r="P450" s="700"/>
      <c r="Q450" s="341"/>
      <c r="R450" s="341"/>
      <c r="S450" s="342"/>
      <c r="T450" s="700"/>
      <c r="U450" s="596"/>
      <c r="V450" s="343"/>
      <c r="W450" s="341"/>
      <c r="X450" s="343"/>
      <c r="Y450" s="343"/>
    </row>
    <row r="451" spans="6:25" ht="23" customHeight="1">
      <c r="G451" s="691">
        <v>-6</v>
      </c>
      <c r="H451" s="691"/>
      <c r="I451" s="691"/>
      <c r="J451" s="691"/>
      <c r="K451" s="691"/>
      <c r="L451" s="691"/>
      <c r="M451" s="692"/>
      <c r="N451" s="340"/>
      <c r="O451" s="341"/>
      <c r="P451" s="700"/>
      <c r="Q451" s="341"/>
      <c r="R451" s="341"/>
      <c r="S451" s="342"/>
      <c r="T451" s="700"/>
      <c r="U451" s="596"/>
      <c r="V451" s="343"/>
      <c r="W451" s="341"/>
      <c r="X451" s="343"/>
      <c r="Y451" s="343"/>
    </row>
    <row r="452" spans="6:25" ht="23" customHeight="1">
      <c r="H452" s="3" t="s">
        <v>268</v>
      </c>
      <c r="I452" s="3"/>
      <c r="J452" s="3"/>
      <c r="K452" s="3"/>
      <c r="L452" s="3"/>
      <c r="M452" s="692"/>
      <c r="N452" s="340"/>
      <c r="O452" s="341"/>
      <c r="P452" s="700"/>
      <c r="Q452" s="341"/>
      <c r="R452" s="341"/>
      <c r="S452" s="342"/>
      <c r="T452" s="700"/>
      <c r="U452" s="596"/>
      <c r="V452" s="343"/>
      <c r="W452" s="341"/>
      <c r="X452" s="343"/>
      <c r="Y452" s="343"/>
    </row>
    <row r="453" spans="6:25" ht="23" customHeight="1">
      <c r="I453" s="344">
        <v>44789</v>
      </c>
      <c r="J453" s="344"/>
      <c r="K453" s="344"/>
      <c r="L453" s="344"/>
      <c r="M453" s="692"/>
      <c r="N453" s="340"/>
      <c r="O453" s="341"/>
      <c r="P453" s="700"/>
      <c r="Q453" s="341"/>
      <c r="R453" s="341"/>
      <c r="S453" s="342"/>
      <c r="T453" s="700"/>
      <c r="U453" s="596"/>
      <c r="V453" s="343"/>
      <c r="W453" s="341"/>
      <c r="X453" s="343"/>
      <c r="Y453" s="343"/>
    </row>
    <row r="454" spans="6:25" ht="23" customHeight="1">
      <c r="J454" s="345">
        <v>44819</v>
      </c>
      <c r="K454" s="345"/>
      <c r="L454" s="345"/>
      <c r="M454" s="692"/>
      <c r="N454" s="340"/>
      <c r="O454" s="341"/>
      <c r="P454" s="700"/>
      <c r="Q454" s="341"/>
      <c r="R454" s="341"/>
      <c r="S454" s="342"/>
      <c r="T454" s="700"/>
      <c r="U454" s="596"/>
      <c r="V454" s="343"/>
      <c r="W454" s="341"/>
      <c r="X454" s="343"/>
      <c r="Y454" s="343"/>
    </row>
    <row r="455" spans="6:25" ht="23" customHeight="1">
      <c r="K455" s="3" t="s">
        <v>267</v>
      </c>
      <c r="L455" s="3"/>
      <c r="M455" s="692"/>
      <c r="N455" s="340"/>
      <c r="O455" s="341"/>
      <c r="P455" s="700"/>
      <c r="Q455" s="341"/>
      <c r="R455" s="341"/>
      <c r="S455" s="342"/>
      <c r="T455" s="700"/>
      <c r="U455" s="596"/>
      <c r="V455" s="343"/>
      <c r="W455" s="341"/>
      <c r="X455" s="343"/>
      <c r="Y455" s="343"/>
    </row>
    <row r="456" spans="6:25" ht="23" customHeight="1">
      <c r="L456" s="691">
        <v>6</v>
      </c>
      <c r="M456" s="692">
        <v>1349.96</v>
      </c>
      <c r="N456" s="340">
        <v>1</v>
      </c>
      <c r="O456" s="341">
        <v>19.873999999999999</v>
      </c>
      <c r="P456" s="700">
        <v>26829.105039999999</v>
      </c>
      <c r="Q456" s="341">
        <v>123.803</v>
      </c>
      <c r="R456" s="341">
        <v>124.571</v>
      </c>
      <c r="S456" s="342">
        <v>1.0062</v>
      </c>
      <c r="T456" s="700">
        <v>26995.445491248</v>
      </c>
      <c r="U456" s="596">
        <v>-8584.08</v>
      </c>
      <c r="V456" s="343">
        <v>1</v>
      </c>
      <c r="W456" s="341">
        <v>20.055</v>
      </c>
      <c r="X456" s="343">
        <v>-172153.72440000001</v>
      </c>
      <c r="Y456" s="343">
        <v>-145158.27890875202</v>
      </c>
    </row>
    <row r="457" spans="6:25" ht="23" customHeight="1">
      <c r="M457" s="692"/>
      <c r="N457" s="340"/>
      <c r="O457" s="341"/>
      <c r="P457" s="700"/>
      <c r="Q457" s="341"/>
      <c r="R457" s="341"/>
      <c r="S457" s="342"/>
      <c r="T457" s="700"/>
      <c r="U457" s="596"/>
      <c r="V457" s="343"/>
      <c r="W457" s="341"/>
      <c r="X457" s="343"/>
      <c r="Y457" s="343"/>
    </row>
    <row r="458" spans="6:25" ht="23" customHeight="1">
      <c r="F458" s="580" t="s">
        <v>932</v>
      </c>
      <c r="G458" s="580"/>
      <c r="H458" s="580"/>
      <c r="I458" s="580"/>
      <c r="J458" s="580"/>
      <c r="K458" s="580"/>
      <c r="L458" s="580"/>
      <c r="M458" s="705">
        <v>1349.96</v>
      </c>
      <c r="N458" s="664">
        <v>1</v>
      </c>
      <c r="O458" s="582">
        <v>19.873999999999999</v>
      </c>
      <c r="P458" s="708">
        <v>26829.105039999999</v>
      </c>
      <c r="Q458" s="582">
        <v>123.803</v>
      </c>
      <c r="R458" s="582">
        <v>124.571</v>
      </c>
      <c r="S458" s="583">
        <v>1.0062</v>
      </c>
      <c r="T458" s="708">
        <v>26995.445491248</v>
      </c>
      <c r="U458" s="599">
        <v>-8584.08</v>
      </c>
      <c r="V458" s="581">
        <v>1</v>
      </c>
      <c r="W458" s="582">
        <v>20.055</v>
      </c>
      <c r="X458" s="581">
        <v>-172153.72440000001</v>
      </c>
      <c r="Y458" s="581">
        <v>-145158.27890875202</v>
      </c>
    </row>
    <row r="459" spans="6:25" ht="23" customHeight="1">
      <c r="M459" s="692"/>
      <c r="N459" s="340"/>
      <c r="O459" s="341"/>
      <c r="P459" s="700"/>
      <c r="Q459" s="341"/>
      <c r="R459" s="341"/>
      <c r="S459" s="342"/>
      <c r="T459" s="700"/>
      <c r="U459" s="596"/>
      <c r="V459" s="343"/>
      <c r="W459" s="341"/>
      <c r="X459" s="343"/>
      <c r="Y459" s="343"/>
    </row>
    <row r="460" spans="6:25" ht="23" customHeight="1">
      <c r="F460" s="1" t="s">
        <v>741</v>
      </c>
      <c r="M460" s="692"/>
      <c r="N460" s="340"/>
      <c r="O460" s="341"/>
      <c r="P460" s="700"/>
      <c r="Q460" s="341"/>
      <c r="R460" s="341"/>
      <c r="S460" s="342"/>
      <c r="T460" s="700"/>
      <c r="U460" s="596"/>
      <c r="V460" s="343"/>
      <c r="W460" s="341"/>
      <c r="X460" s="343"/>
      <c r="Y460" s="343"/>
    </row>
    <row r="461" spans="6:25" ht="23" customHeight="1">
      <c r="G461" s="691">
        <v>-6</v>
      </c>
      <c r="H461" s="691"/>
      <c r="I461" s="691"/>
      <c r="J461" s="691"/>
      <c r="K461" s="691"/>
      <c r="L461" s="691"/>
      <c r="M461" s="692"/>
      <c r="N461" s="340"/>
      <c r="O461" s="341"/>
      <c r="P461" s="700"/>
      <c r="Q461" s="341"/>
      <c r="R461" s="341"/>
      <c r="S461" s="342"/>
      <c r="T461" s="700"/>
      <c r="U461" s="596"/>
      <c r="V461" s="343"/>
      <c r="W461" s="341"/>
      <c r="X461" s="343"/>
      <c r="Y461" s="343"/>
    </row>
    <row r="462" spans="6:25" ht="23" customHeight="1">
      <c r="H462" s="3" t="s">
        <v>268</v>
      </c>
      <c r="I462" s="3"/>
      <c r="J462" s="3"/>
      <c r="K462" s="3"/>
      <c r="L462" s="3"/>
      <c r="M462" s="692"/>
      <c r="N462" s="340"/>
      <c r="O462" s="341"/>
      <c r="P462" s="700"/>
      <c r="Q462" s="341"/>
      <c r="R462" s="341"/>
      <c r="S462" s="342"/>
      <c r="T462" s="700"/>
      <c r="U462" s="596"/>
      <c r="V462" s="343"/>
      <c r="W462" s="341"/>
      <c r="X462" s="343"/>
      <c r="Y462" s="343"/>
    </row>
    <row r="463" spans="6:25" ht="23" customHeight="1">
      <c r="I463" s="344">
        <v>44551</v>
      </c>
      <c r="J463" s="344"/>
      <c r="K463" s="344"/>
      <c r="L463" s="344"/>
      <c r="M463" s="692"/>
      <c r="N463" s="340"/>
      <c r="O463" s="341"/>
      <c r="P463" s="700"/>
      <c r="Q463" s="341"/>
      <c r="R463" s="341"/>
      <c r="S463" s="342"/>
      <c r="T463" s="700"/>
      <c r="U463" s="596"/>
      <c r="V463" s="343"/>
      <c r="W463" s="341"/>
      <c r="X463" s="343"/>
      <c r="Y463" s="343"/>
    </row>
    <row r="464" spans="6:25" ht="23" customHeight="1">
      <c r="J464" s="345">
        <v>44637</v>
      </c>
      <c r="K464" s="345"/>
      <c r="L464" s="345"/>
      <c r="M464" s="692"/>
      <c r="N464" s="340"/>
      <c r="O464" s="341"/>
      <c r="P464" s="700"/>
      <c r="Q464" s="341"/>
      <c r="R464" s="341"/>
      <c r="S464" s="342"/>
      <c r="T464" s="700"/>
      <c r="U464" s="596"/>
      <c r="V464" s="343"/>
      <c r="W464" s="341"/>
      <c r="X464" s="343"/>
      <c r="Y464" s="343"/>
    </row>
    <row r="465" spans="6:25" ht="23" customHeight="1">
      <c r="K465" s="3" t="s">
        <v>267</v>
      </c>
      <c r="L465" s="3"/>
      <c r="M465" s="692"/>
      <c r="N465" s="340"/>
      <c r="O465" s="341"/>
      <c r="P465" s="700"/>
      <c r="Q465" s="341"/>
      <c r="R465" s="341"/>
      <c r="S465" s="342"/>
      <c r="T465" s="700"/>
      <c r="U465" s="596"/>
      <c r="V465" s="343"/>
      <c r="W465" s="341"/>
      <c r="X465" s="343"/>
      <c r="Y465" s="343"/>
    </row>
    <row r="466" spans="6:25" ht="23" customHeight="1">
      <c r="L466" s="691">
        <v>6</v>
      </c>
      <c r="M466" s="692">
        <v>3851.98</v>
      </c>
      <c r="N466" s="340">
        <v>1</v>
      </c>
      <c r="O466" s="341">
        <v>20.733699999999999</v>
      </c>
      <c r="P466" s="700">
        <v>79865.79772599999</v>
      </c>
      <c r="Q466" s="341">
        <v>117.30800000000001</v>
      </c>
      <c r="R466" s="341">
        <v>118.98099999999999</v>
      </c>
      <c r="S466" s="342">
        <v>1.0142</v>
      </c>
      <c r="T466" s="700">
        <v>80999.892053709191</v>
      </c>
      <c r="U466" s="596">
        <v>-47.34</v>
      </c>
      <c r="V466" s="343">
        <v>1</v>
      </c>
      <c r="W466" s="341">
        <v>20.874300000000002</v>
      </c>
      <c r="X466" s="343">
        <v>-988.18936200000019</v>
      </c>
      <c r="Y466" s="343">
        <v>80011.702691709186</v>
      </c>
    </row>
    <row r="467" spans="6:25" ht="23" customHeight="1">
      <c r="M467" s="692"/>
      <c r="N467" s="340"/>
      <c r="O467" s="341"/>
      <c r="P467" s="700"/>
      <c r="Q467" s="341"/>
      <c r="R467" s="341"/>
      <c r="S467" s="342"/>
      <c r="T467" s="700"/>
      <c r="U467" s="596"/>
      <c r="V467" s="343"/>
      <c r="W467" s="341"/>
      <c r="X467" s="343"/>
      <c r="Y467" s="343"/>
    </row>
    <row r="468" spans="6:25" ht="23" customHeight="1">
      <c r="F468" s="580" t="s">
        <v>933</v>
      </c>
      <c r="G468" s="580"/>
      <c r="H468" s="580"/>
      <c r="I468" s="580"/>
      <c r="J468" s="580"/>
      <c r="K468" s="580"/>
      <c r="L468" s="580"/>
      <c r="M468" s="705">
        <v>3851.98</v>
      </c>
      <c r="N468" s="664">
        <v>1</v>
      </c>
      <c r="O468" s="582">
        <v>20.733699999999999</v>
      </c>
      <c r="P468" s="708">
        <v>79865.79772599999</v>
      </c>
      <c r="Q468" s="582">
        <v>117.30800000000001</v>
      </c>
      <c r="R468" s="582">
        <v>118.98099999999999</v>
      </c>
      <c r="S468" s="583">
        <v>1.0142</v>
      </c>
      <c r="T468" s="708">
        <v>80999.892053709191</v>
      </c>
      <c r="U468" s="599">
        <v>-47.34</v>
      </c>
      <c r="V468" s="581">
        <v>1</v>
      </c>
      <c r="W468" s="582">
        <v>20.874300000000002</v>
      </c>
      <c r="X468" s="581">
        <v>-988.18936200000019</v>
      </c>
      <c r="Y468" s="581">
        <v>80011.702691709186</v>
      </c>
    </row>
    <row r="469" spans="6:25" ht="23" customHeight="1">
      <c r="M469" s="692"/>
      <c r="N469" s="340"/>
      <c r="O469" s="341"/>
      <c r="P469" s="700"/>
      <c r="Q469" s="341"/>
      <c r="R469" s="341"/>
      <c r="S469" s="342"/>
      <c r="T469" s="700"/>
      <c r="U469" s="596"/>
      <c r="V469" s="343"/>
      <c r="W469" s="341"/>
      <c r="X469" s="343"/>
      <c r="Y469" s="343"/>
    </row>
    <row r="470" spans="6:25" ht="23" customHeight="1">
      <c r="F470" s="1" t="s">
        <v>758</v>
      </c>
      <c r="M470" s="692"/>
      <c r="N470" s="340"/>
      <c r="O470" s="341"/>
      <c r="P470" s="700"/>
      <c r="Q470" s="341"/>
      <c r="R470" s="341"/>
      <c r="S470" s="342"/>
      <c r="T470" s="700"/>
      <c r="U470" s="596"/>
      <c r="V470" s="343"/>
      <c r="W470" s="341"/>
      <c r="X470" s="343"/>
      <c r="Y470" s="343"/>
    </row>
    <row r="471" spans="6:25" ht="23" customHeight="1">
      <c r="G471" s="691">
        <v>-6</v>
      </c>
      <c r="H471" s="691"/>
      <c r="I471" s="691"/>
      <c r="J471" s="691"/>
      <c r="K471" s="691"/>
      <c r="L471" s="691"/>
      <c r="M471" s="692"/>
      <c r="N471" s="340"/>
      <c r="O471" s="341"/>
      <c r="P471" s="700"/>
      <c r="Q471" s="341"/>
      <c r="R471" s="341"/>
      <c r="S471" s="342"/>
      <c r="T471" s="700"/>
      <c r="U471" s="596"/>
      <c r="V471" s="343"/>
      <c r="W471" s="341"/>
      <c r="X471" s="343"/>
      <c r="Y471" s="343"/>
    </row>
    <row r="472" spans="6:25" ht="23" customHeight="1">
      <c r="H472" s="3" t="s">
        <v>268</v>
      </c>
      <c r="I472" s="3"/>
      <c r="J472" s="3"/>
      <c r="K472" s="3"/>
      <c r="L472" s="3"/>
      <c r="M472" s="692"/>
      <c r="N472" s="340"/>
      <c r="O472" s="341"/>
      <c r="P472" s="700"/>
      <c r="Q472" s="341"/>
      <c r="R472" s="341"/>
      <c r="S472" s="342"/>
      <c r="T472" s="700"/>
      <c r="U472" s="596"/>
      <c r="V472" s="343"/>
      <c r="W472" s="341"/>
      <c r="X472" s="343"/>
      <c r="Y472" s="343"/>
    </row>
    <row r="473" spans="6:25" ht="23" customHeight="1">
      <c r="I473" s="344">
        <v>44637</v>
      </c>
      <c r="J473" s="344"/>
      <c r="K473" s="344"/>
      <c r="L473" s="344"/>
      <c r="M473" s="692"/>
      <c r="N473" s="340"/>
      <c r="O473" s="341"/>
      <c r="P473" s="700"/>
      <c r="Q473" s="341"/>
      <c r="R473" s="341"/>
      <c r="S473" s="342"/>
      <c r="T473" s="700"/>
      <c r="U473" s="596"/>
      <c r="V473" s="343"/>
      <c r="W473" s="341"/>
      <c r="X473" s="343"/>
      <c r="Y473" s="343"/>
    </row>
    <row r="474" spans="6:25" ht="23" customHeight="1">
      <c r="J474" s="345">
        <v>44672</v>
      </c>
      <c r="K474" s="345"/>
      <c r="L474" s="345"/>
      <c r="M474" s="692"/>
      <c r="N474" s="340"/>
      <c r="O474" s="341"/>
      <c r="P474" s="700"/>
      <c r="Q474" s="341"/>
      <c r="R474" s="341"/>
      <c r="S474" s="342"/>
      <c r="T474" s="700"/>
      <c r="U474" s="596"/>
      <c r="V474" s="343"/>
      <c r="W474" s="341"/>
      <c r="X474" s="343"/>
      <c r="Y474" s="343"/>
    </row>
    <row r="475" spans="6:25" ht="23" customHeight="1">
      <c r="K475" s="3" t="s">
        <v>267</v>
      </c>
      <c r="L475" s="3"/>
      <c r="M475" s="692"/>
      <c r="N475" s="340"/>
      <c r="O475" s="341"/>
      <c r="P475" s="700"/>
      <c r="Q475" s="341"/>
      <c r="R475" s="341"/>
      <c r="S475" s="342"/>
      <c r="T475" s="700"/>
      <c r="U475" s="596"/>
      <c r="V475" s="343"/>
      <c r="W475" s="341"/>
      <c r="X475" s="343"/>
      <c r="Y475" s="343"/>
    </row>
    <row r="476" spans="6:25" ht="23" customHeight="1">
      <c r="L476" s="691">
        <v>6</v>
      </c>
      <c r="M476" s="692">
        <v>4470.45</v>
      </c>
      <c r="N476" s="340">
        <v>1</v>
      </c>
      <c r="O476" s="341">
        <v>20.874300000000002</v>
      </c>
      <c r="P476" s="700">
        <v>93317.514435000005</v>
      </c>
      <c r="Q476" s="341">
        <v>120.15900000000001</v>
      </c>
      <c r="R476" s="341">
        <v>120.809</v>
      </c>
      <c r="S476" s="342">
        <v>1.0054000000000001</v>
      </c>
      <c r="T476" s="700">
        <v>93821.429012949011</v>
      </c>
      <c r="U476" s="596">
        <v>-162</v>
      </c>
      <c r="V476" s="343">
        <v>1</v>
      </c>
      <c r="W476" s="341">
        <v>20.044699999999999</v>
      </c>
      <c r="X476" s="343">
        <v>-3247.2413999999999</v>
      </c>
      <c r="Y476" s="343">
        <v>90574.187612949012</v>
      </c>
    </row>
    <row r="477" spans="6:25" ht="23" customHeight="1">
      <c r="M477" s="692"/>
      <c r="N477" s="340"/>
      <c r="O477" s="341"/>
      <c r="P477" s="700"/>
      <c r="Q477" s="341"/>
      <c r="R477" s="341"/>
      <c r="S477" s="342"/>
      <c r="T477" s="700"/>
      <c r="U477" s="596"/>
      <c r="V477" s="343"/>
      <c r="W477" s="341"/>
      <c r="X477" s="343"/>
      <c r="Y477" s="343"/>
    </row>
    <row r="478" spans="6:25" ht="23" customHeight="1">
      <c r="F478" s="580" t="s">
        <v>934</v>
      </c>
      <c r="G478" s="580"/>
      <c r="H478" s="580"/>
      <c r="I478" s="580"/>
      <c r="J478" s="580"/>
      <c r="K478" s="580"/>
      <c r="L478" s="580"/>
      <c r="M478" s="705">
        <v>4470.45</v>
      </c>
      <c r="N478" s="664">
        <v>1</v>
      </c>
      <c r="O478" s="582">
        <v>20.874300000000002</v>
      </c>
      <c r="P478" s="708">
        <v>93317.514435000005</v>
      </c>
      <c r="Q478" s="582">
        <v>120.15900000000001</v>
      </c>
      <c r="R478" s="582">
        <v>120.809</v>
      </c>
      <c r="S478" s="583">
        <v>1.0054000000000001</v>
      </c>
      <c r="T478" s="708">
        <v>93821.429012949011</v>
      </c>
      <c r="U478" s="599">
        <v>-162</v>
      </c>
      <c r="V478" s="581">
        <v>1</v>
      </c>
      <c r="W478" s="582">
        <v>20.044699999999999</v>
      </c>
      <c r="X478" s="581">
        <v>-3247.2413999999999</v>
      </c>
      <c r="Y478" s="581">
        <v>90574.187612949012</v>
      </c>
    </row>
    <row r="479" spans="6:25" ht="23" customHeight="1">
      <c r="M479" s="692"/>
      <c r="N479" s="340"/>
      <c r="O479" s="341"/>
      <c r="P479" s="700"/>
      <c r="Q479" s="341"/>
      <c r="R479" s="341"/>
      <c r="S479" s="342"/>
      <c r="T479" s="700"/>
      <c r="U479" s="596"/>
      <c r="V479" s="343"/>
      <c r="W479" s="341"/>
      <c r="X479" s="343"/>
      <c r="Y479" s="343"/>
    </row>
    <row r="480" spans="6:25" ht="23" customHeight="1">
      <c r="F480" s="1" t="s">
        <v>761</v>
      </c>
      <c r="M480" s="692"/>
      <c r="N480" s="340"/>
      <c r="O480" s="341"/>
      <c r="P480" s="700"/>
      <c r="Q480" s="341"/>
      <c r="R480" s="341"/>
      <c r="S480" s="342"/>
      <c r="T480" s="700"/>
      <c r="U480" s="596"/>
      <c r="V480" s="343"/>
      <c r="W480" s="341"/>
      <c r="X480" s="343"/>
      <c r="Y480" s="343"/>
    </row>
    <row r="481" spans="7:25" ht="23" customHeight="1">
      <c r="G481" s="691">
        <v>-2</v>
      </c>
      <c r="H481" s="691"/>
      <c r="I481" s="691"/>
      <c r="J481" s="691"/>
      <c r="K481" s="691"/>
      <c r="L481" s="691"/>
      <c r="M481" s="692"/>
      <c r="N481" s="340"/>
      <c r="O481" s="341"/>
      <c r="P481" s="700"/>
      <c r="Q481" s="341"/>
      <c r="R481" s="341"/>
      <c r="S481" s="342"/>
      <c r="T481" s="700"/>
      <c r="U481" s="596"/>
      <c r="V481" s="343"/>
      <c r="W481" s="341"/>
      <c r="X481" s="343"/>
      <c r="Y481" s="343"/>
    </row>
    <row r="482" spans="7:25" ht="23" customHeight="1">
      <c r="H482" s="3" t="s">
        <v>268</v>
      </c>
      <c r="I482" s="3"/>
      <c r="J482" s="3"/>
      <c r="K482" s="3"/>
      <c r="L482" s="3"/>
      <c r="M482" s="692"/>
      <c r="N482" s="340"/>
      <c r="O482" s="341"/>
      <c r="P482" s="700"/>
      <c r="Q482" s="341"/>
      <c r="R482" s="341"/>
      <c r="S482" s="342"/>
      <c r="T482" s="700"/>
      <c r="U482" s="596"/>
      <c r="V482" s="343"/>
      <c r="W482" s="341"/>
      <c r="X482" s="343"/>
      <c r="Y482" s="343"/>
    </row>
    <row r="483" spans="7:25" ht="23" customHeight="1">
      <c r="I483" s="344">
        <v>44663</v>
      </c>
      <c r="J483" s="344"/>
      <c r="K483" s="344"/>
      <c r="L483" s="344"/>
      <c r="M483" s="692"/>
      <c r="N483" s="340"/>
      <c r="O483" s="341"/>
      <c r="P483" s="700"/>
      <c r="Q483" s="341"/>
      <c r="R483" s="341"/>
      <c r="S483" s="342"/>
      <c r="T483" s="700"/>
      <c r="U483" s="596"/>
      <c r="V483" s="343"/>
      <c r="W483" s="341"/>
      <c r="X483" s="343"/>
      <c r="Y483" s="343"/>
    </row>
    <row r="484" spans="7:25" ht="23" customHeight="1">
      <c r="J484" s="345">
        <v>44756</v>
      </c>
      <c r="K484" s="345"/>
      <c r="L484" s="345"/>
      <c r="M484" s="692"/>
      <c r="N484" s="340"/>
      <c r="O484" s="341"/>
      <c r="P484" s="700"/>
      <c r="Q484" s="341"/>
      <c r="R484" s="341"/>
      <c r="S484" s="342"/>
      <c r="T484" s="700"/>
      <c r="U484" s="596"/>
      <c r="V484" s="343"/>
      <c r="W484" s="341"/>
      <c r="X484" s="343"/>
      <c r="Y484" s="343"/>
    </row>
    <row r="485" spans="7:25" ht="23" customHeight="1">
      <c r="K485" s="3" t="s">
        <v>267</v>
      </c>
      <c r="L485" s="3"/>
      <c r="M485" s="692"/>
      <c r="N485" s="340"/>
      <c r="O485" s="341"/>
      <c r="P485" s="700"/>
      <c r="Q485" s="341"/>
      <c r="R485" s="341"/>
      <c r="S485" s="342"/>
      <c r="T485" s="700"/>
      <c r="U485" s="596"/>
      <c r="V485" s="343"/>
      <c r="W485" s="341"/>
      <c r="X485" s="343"/>
      <c r="Y485" s="343"/>
    </row>
    <row r="486" spans="7:25" ht="23" customHeight="1">
      <c r="L486" s="691">
        <v>2</v>
      </c>
      <c r="M486" s="692">
        <v>2022.1485714285716</v>
      </c>
      <c r="N486" s="340">
        <v>1</v>
      </c>
      <c r="O486" s="341">
        <v>20.12</v>
      </c>
      <c r="P486" s="700">
        <v>40685.629257142864</v>
      </c>
      <c r="Q486" s="341">
        <v>120.809</v>
      </c>
      <c r="R486" s="341">
        <v>122.94799999999999</v>
      </c>
      <c r="S486" s="342">
        <v>1.0177</v>
      </c>
      <c r="T486" s="700">
        <v>41405.764894994296</v>
      </c>
      <c r="U486" s="596">
        <v>-7920</v>
      </c>
      <c r="V486" s="343">
        <v>1</v>
      </c>
      <c r="W486" s="341">
        <v>20.7882</v>
      </c>
      <c r="X486" s="343">
        <v>-164642.54399999999</v>
      </c>
      <c r="Y486" s="343">
        <v>-123236.7791050057</v>
      </c>
    </row>
    <row r="487" spans="7:25" ht="23" customHeight="1">
      <c r="M487" s="692"/>
      <c r="N487" s="340"/>
      <c r="O487" s="341"/>
      <c r="P487" s="700"/>
      <c r="Q487" s="341"/>
      <c r="R487" s="341"/>
      <c r="S487" s="342"/>
      <c r="T487" s="700"/>
      <c r="U487" s="596"/>
      <c r="V487" s="343"/>
      <c r="W487" s="341"/>
      <c r="X487" s="343"/>
      <c r="Y487" s="343"/>
    </row>
    <row r="488" spans="7:25" ht="23" customHeight="1">
      <c r="J488" s="345">
        <v>44750</v>
      </c>
      <c r="K488" s="345"/>
      <c r="L488" s="345"/>
      <c r="M488" s="692"/>
      <c r="N488" s="340"/>
      <c r="O488" s="341"/>
      <c r="P488" s="700"/>
      <c r="Q488" s="341"/>
      <c r="R488" s="341"/>
      <c r="S488" s="342"/>
      <c r="T488" s="700"/>
      <c r="U488" s="596"/>
      <c r="V488" s="343"/>
      <c r="W488" s="341"/>
      <c r="X488" s="343"/>
      <c r="Y488" s="343"/>
    </row>
    <row r="489" spans="7:25" ht="23" customHeight="1">
      <c r="K489" s="3" t="s">
        <v>266</v>
      </c>
      <c r="L489" s="3"/>
      <c r="M489" s="692"/>
      <c r="N489" s="340"/>
      <c r="O489" s="341"/>
      <c r="P489" s="700"/>
      <c r="Q489" s="341"/>
      <c r="R489" s="341"/>
      <c r="S489" s="342"/>
      <c r="T489" s="700"/>
      <c r="U489" s="596"/>
      <c r="V489" s="343"/>
      <c r="W489" s="341"/>
      <c r="X489" s="343"/>
      <c r="Y489" s="343"/>
    </row>
    <row r="490" spans="7:25" ht="23" customHeight="1">
      <c r="L490" s="691">
        <v>2</v>
      </c>
      <c r="M490" s="692">
        <v>2022.1485714285716</v>
      </c>
      <c r="N490" s="340">
        <v>1</v>
      </c>
      <c r="O490" s="341">
        <v>20.12</v>
      </c>
      <c r="P490" s="700">
        <v>40685.629257142864</v>
      </c>
      <c r="Q490" s="341">
        <v>120.809</v>
      </c>
      <c r="R490" s="341">
        <v>122.94799999999999</v>
      </c>
      <c r="S490" s="342">
        <v>1.0177</v>
      </c>
      <c r="T490" s="700">
        <v>41405.764894994296</v>
      </c>
      <c r="U490" s="596">
        <v>0</v>
      </c>
      <c r="V490" s="343">
        <v>0</v>
      </c>
      <c r="W490" s="341">
        <v>20.722799999999999</v>
      </c>
      <c r="X490" s="343">
        <v>0</v>
      </c>
      <c r="Y490" s="343">
        <v>41405.764894994296</v>
      </c>
    </row>
    <row r="491" spans="7:25" ht="23" customHeight="1">
      <c r="M491" s="692"/>
      <c r="N491" s="340"/>
      <c r="O491" s="341"/>
      <c r="P491" s="700"/>
      <c r="Q491" s="341"/>
      <c r="R491" s="341"/>
      <c r="S491" s="342"/>
      <c r="T491" s="700"/>
      <c r="U491" s="596"/>
      <c r="V491" s="343"/>
      <c r="W491" s="341"/>
      <c r="X491" s="343"/>
      <c r="Y491" s="343"/>
    </row>
    <row r="492" spans="7:25" ht="23" customHeight="1">
      <c r="G492" s="691">
        <v>-3</v>
      </c>
      <c r="H492" s="691"/>
      <c r="I492" s="691"/>
      <c r="J492" s="691"/>
      <c r="K492" s="691"/>
      <c r="L492" s="691"/>
      <c r="M492" s="692"/>
      <c r="N492" s="340"/>
      <c r="O492" s="341"/>
      <c r="P492" s="700"/>
      <c r="Q492" s="341"/>
      <c r="R492" s="341"/>
      <c r="S492" s="342"/>
      <c r="T492" s="700"/>
      <c r="U492" s="596"/>
      <c r="V492" s="343"/>
      <c r="W492" s="341"/>
      <c r="X492" s="343"/>
      <c r="Y492" s="343"/>
    </row>
    <row r="493" spans="7:25" ht="23" customHeight="1">
      <c r="H493" s="3" t="s">
        <v>268</v>
      </c>
      <c r="I493" s="3"/>
      <c r="J493" s="3"/>
      <c r="K493" s="3"/>
      <c r="L493" s="3"/>
      <c r="M493" s="692"/>
      <c r="N493" s="340"/>
      <c r="O493" s="341"/>
      <c r="P493" s="700"/>
      <c r="Q493" s="341"/>
      <c r="R493" s="341"/>
      <c r="S493" s="342"/>
      <c r="T493" s="700"/>
      <c r="U493" s="596"/>
      <c r="V493" s="343"/>
      <c r="W493" s="341"/>
      <c r="X493" s="343"/>
      <c r="Y493" s="343"/>
    </row>
    <row r="494" spans="7:25" ht="23" customHeight="1">
      <c r="I494" s="344">
        <v>44663</v>
      </c>
      <c r="J494" s="344"/>
      <c r="K494" s="344"/>
      <c r="L494" s="344"/>
      <c r="M494" s="692"/>
      <c r="N494" s="340"/>
      <c r="O494" s="341"/>
      <c r="P494" s="700"/>
      <c r="Q494" s="341"/>
      <c r="R494" s="341"/>
      <c r="S494" s="342"/>
      <c r="T494" s="700"/>
      <c r="U494" s="596"/>
      <c r="V494" s="343"/>
      <c r="W494" s="341"/>
      <c r="X494" s="343"/>
      <c r="Y494" s="343"/>
    </row>
    <row r="495" spans="7:25" ht="23" customHeight="1">
      <c r="J495" s="345">
        <v>44753</v>
      </c>
      <c r="K495" s="345"/>
      <c r="L495" s="345"/>
      <c r="M495" s="692"/>
      <c r="N495" s="340"/>
      <c r="O495" s="341"/>
      <c r="P495" s="700"/>
      <c r="Q495" s="341"/>
      <c r="R495" s="341"/>
      <c r="S495" s="342"/>
      <c r="T495" s="700"/>
      <c r="U495" s="596"/>
      <c r="V495" s="343"/>
      <c r="W495" s="341"/>
      <c r="X495" s="343"/>
      <c r="Y495" s="343"/>
    </row>
    <row r="496" spans="7:25" ht="23" customHeight="1">
      <c r="K496" s="3" t="s">
        <v>266</v>
      </c>
      <c r="L496" s="3"/>
      <c r="M496" s="692"/>
      <c r="N496" s="340"/>
      <c r="O496" s="341"/>
      <c r="P496" s="700"/>
      <c r="Q496" s="341"/>
      <c r="R496" s="341"/>
      <c r="S496" s="342"/>
      <c r="T496" s="700"/>
      <c r="U496" s="596"/>
      <c r="V496" s="343"/>
      <c r="W496" s="341"/>
      <c r="X496" s="343"/>
      <c r="Y496" s="343"/>
    </row>
    <row r="497" spans="6:25" ht="23" customHeight="1">
      <c r="L497" s="691">
        <v>3</v>
      </c>
      <c r="M497" s="692">
        <v>3033.2228571428573</v>
      </c>
      <c r="N497" s="340">
        <v>1</v>
      </c>
      <c r="O497" s="341">
        <v>20.12</v>
      </c>
      <c r="P497" s="700">
        <v>61028.443885714289</v>
      </c>
      <c r="Q497" s="341">
        <v>120.809</v>
      </c>
      <c r="R497" s="341">
        <v>122.94799999999999</v>
      </c>
      <c r="S497" s="342">
        <v>1.0177</v>
      </c>
      <c r="T497" s="700">
        <v>62108.647342491437</v>
      </c>
      <c r="U497" s="596">
        <v>0</v>
      </c>
      <c r="V497" s="343">
        <v>0</v>
      </c>
      <c r="W497" s="341">
        <v>20.6022</v>
      </c>
      <c r="X497" s="343">
        <v>0</v>
      </c>
      <c r="Y497" s="343">
        <v>62108.647342491429</v>
      </c>
    </row>
    <row r="498" spans="6:25" ht="23" customHeight="1">
      <c r="M498" s="692"/>
      <c r="N498" s="340"/>
      <c r="O498" s="341"/>
      <c r="P498" s="700"/>
      <c r="Q498" s="341"/>
      <c r="R498" s="341"/>
      <c r="S498" s="342"/>
      <c r="T498" s="700"/>
      <c r="U498" s="596"/>
      <c r="V498" s="343"/>
      <c r="W498" s="341"/>
      <c r="X498" s="343"/>
      <c r="Y498" s="343"/>
    </row>
    <row r="499" spans="6:25" ht="23" customHeight="1">
      <c r="F499" s="580" t="s">
        <v>935</v>
      </c>
      <c r="G499" s="580"/>
      <c r="H499" s="580"/>
      <c r="I499" s="580"/>
      <c r="J499" s="580"/>
      <c r="K499" s="580"/>
      <c r="L499" s="580"/>
      <c r="M499" s="705">
        <v>7077.52</v>
      </c>
      <c r="N499" s="664">
        <v>1</v>
      </c>
      <c r="O499" s="582">
        <v>20.12</v>
      </c>
      <c r="P499" s="708">
        <v>142399.70240000001</v>
      </c>
      <c r="Q499" s="582">
        <v>120.80900000000001</v>
      </c>
      <c r="R499" s="582">
        <v>122.94799999999999</v>
      </c>
      <c r="S499" s="583">
        <v>1.0177</v>
      </c>
      <c r="T499" s="708">
        <v>144920.17713248002</v>
      </c>
      <c r="U499" s="599">
        <v>-7920</v>
      </c>
      <c r="V499" s="581">
        <v>0.33333333333333331</v>
      </c>
      <c r="W499" s="582">
        <v>20.704399999999996</v>
      </c>
      <c r="X499" s="581">
        <v>-164642.54399999999</v>
      </c>
      <c r="Y499" s="581">
        <v>-19722.366867519973</v>
      </c>
    </row>
    <row r="500" spans="6:25" ht="23" customHeight="1">
      <c r="M500" s="692"/>
      <c r="N500" s="340"/>
      <c r="O500" s="341"/>
      <c r="P500" s="700"/>
      <c r="Q500" s="341"/>
      <c r="R500" s="341"/>
      <c r="S500" s="342"/>
      <c r="T500" s="700"/>
      <c r="U500" s="596"/>
      <c r="V500" s="343"/>
      <c r="W500" s="341"/>
      <c r="X500" s="343"/>
      <c r="Y500" s="343"/>
    </row>
    <row r="501" spans="6:25" ht="23" customHeight="1">
      <c r="F501" s="1" t="s">
        <v>742</v>
      </c>
      <c r="M501" s="692"/>
      <c r="N501" s="340"/>
      <c r="O501" s="341"/>
      <c r="P501" s="700"/>
      <c r="Q501" s="341"/>
      <c r="R501" s="341"/>
      <c r="S501" s="342"/>
      <c r="T501" s="700"/>
      <c r="U501" s="596"/>
      <c r="V501" s="343"/>
      <c r="W501" s="341"/>
      <c r="X501" s="343"/>
      <c r="Y501" s="343"/>
    </row>
    <row r="502" spans="6:25" ht="23" customHeight="1">
      <c r="G502" s="691">
        <v>-6</v>
      </c>
      <c r="H502" s="691"/>
      <c r="I502" s="691"/>
      <c r="J502" s="691"/>
      <c r="K502" s="691"/>
      <c r="L502" s="691"/>
      <c r="M502" s="692"/>
      <c r="N502" s="340"/>
      <c r="O502" s="341"/>
      <c r="P502" s="700"/>
      <c r="Q502" s="341"/>
      <c r="R502" s="341"/>
      <c r="S502" s="342"/>
      <c r="T502" s="700"/>
      <c r="U502" s="596"/>
      <c r="V502" s="343"/>
      <c r="W502" s="341"/>
      <c r="X502" s="343"/>
      <c r="Y502" s="343"/>
    </row>
    <row r="503" spans="6:25" ht="23" customHeight="1">
      <c r="H503" s="3" t="s">
        <v>268</v>
      </c>
      <c r="I503" s="3"/>
      <c r="J503" s="3"/>
      <c r="K503" s="3"/>
      <c r="L503" s="3"/>
      <c r="M503" s="692"/>
      <c r="N503" s="340"/>
      <c r="O503" s="341"/>
      <c r="P503" s="700"/>
      <c r="Q503" s="341"/>
      <c r="R503" s="341"/>
      <c r="S503" s="342"/>
      <c r="T503" s="700"/>
      <c r="U503" s="596"/>
      <c r="V503" s="343"/>
      <c r="W503" s="341"/>
      <c r="X503" s="343"/>
      <c r="Y503" s="343"/>
    </row>
    <row r="504" spans="6:25" ht="23" customHeight="1">
      <c r="I504" s="344">
        <v>44537</v>
      </c>
      <c r="J504" s="344"/>
      <c r="K504" s="344"/>
      <c r="L504" s="344"/>
      <c r="M504" s="692"/>
      <c r="N504" s="340"/>
      <c r="O504" s="341"/>
      <c r="P504" s="700"/>
      <c r="Q504" s="341"/>
      <c r="R504" s="341"/>
      <c r="S504" s="342"/>
      <c r="T504" s="700"/>
      <c r="U504" s="596"/>
      <c r="V504" s="343"/>
      <c r="W504" s="341"/>
      <c r="X504" s="343"/>
      <c r="Y504" s="343"/>
    </row>
    <row r="505" spans="6:25" ht="23" customHeight="1">
      <c r="J505" s="345">
        <v>44637</v>
      </c>
      <c r="K505" s="345"/>
      <c r="L505" s="345"/>
      <c r="M505" s="692"/>
      <c r="N505" s="340"/>
      <c r="O505" s="341"/>
      <c r="P505" s="700"/>
      <c r="Q505" s="341"/>
      <c r="R505" s="341"/>
      <c r="S505" s="342"/>
      <c r="T505" s="700"/>
      <c r="U505" s="596"/>
      <c r="V505" s="343"/>
      <c r="W505" s="341"/>
      <c r="X505" s="343"/>
      <c r="Y505" s="343"/>
    </row>
    <row r="506" spans="6:25" ht="23" customHeight="1">
      <c r="K506" s="3" t="s">
        <v>267</v>
      </c>
      <c r="L506" s="3"/>
      <c r="M506" s="692"/>
      <c r="N506" s="340"/>
      <c r="O506" s="341"/>
      <c r="P506" s="700"/>
      <c r="Q506" s="341"/>
      <c r="R506" s="341"/>
      <c r="S506" s="342"/>
      <c r="T506" s="700"/>
      <c r="U506" s="596"/>
      <c r="V506" s="343"/>
      <c r="W506" s="341"/>
      <c r="X506" s="343"/>
      <c r="Y506" s="343"/>
    </row>
    <row r="507" spans="6:25" ht="23" customHeight="1">
      <c r="L507" s="691">
        <v>6</v>
      </c>
      <c r="M507" s="692">
        <v>4712.91</v>
      </c>
      <c r="N507" s="340">
        <v>1</v>
      </c>
      <c r="O507" s="341">
        <v>21.4177</v>
      </c>
      <c r="P507" s="700">
        <v>100939.692507</v>
      </c>
      <c r="Q507" s="341">
        <v>117.30800000000001</v>
      </c>
      <c r="R507" s="341">
        <v>120.15900000000001</v>
      </c>
      <c r="S507" s="342">
        <v>1.0243</v>
      </c>
      <c r="T507" s="700">
        <v>103392.5270349201</v>
      </c>
      <c r="U507" s="596">
        <v>-113.4</v>
      </c>
      <c r="V507" s="343">
        <v>1</v>
      </c>
      <c r="W507" s="341">
        <v>20.874300000000002</v>
      </c>
      <c r="X507" s="343">
        <v>-2367.1456200000002</v>
      </c>
      <c r="Y507" s="343">
        <v>101025.38141492012</v>
      </c>
    </row>
    <row r="508" spans="6:25" ht="23" customHeight="1">
      <c r="M508" s="692"/>
      <c r="N508" s="340"/>
      <c r="O508" s="341"/>
      <c r="P508" s="700"/>
      <c r="Q508" s="341"/>
      <c r="R508" s="341"/>
      <c r="S508" s="342"/>
      <c r="T508" s="700"/>
      <c r="U508" s="596"/>
      <c r="V508" s="343"/>
      <c r="W508" s="341"/>
      <c r="X508" s="343"/>
      <c r="Y508" s="343"/>
    </row>
    <row r="509" spans="6:25" ht="23" customHeight="1">
      <c r="F509" s="580" t="s">
        <v>936</v>
      </c>
      <c r="G509" s="580"/>
      <c r="H509" s="580"/>
      <c r="I509" s="580"/>
      <c r="J509" s="580"/>
      <c r="K509" s="580"/>
      <c r="L509" s="580"/>
      <c r="M509" s="705">
        <v>4712.91</v>
      </c>
      <c r="N509" s="664">
        <v>1</v>
      </c>
      <c r="O509" s="582">
        <v>21.4177</v>
      </c>
      <c r="P509" s="708">
        <v>100939.692507</v>
      </c>
      <c r="Q509" s="582">
        <v>117.30800000000001</v>
      </c>
      <c r="R509" s="582">
        <v>120.15900000000001</v>
      </c>
      <c r="S509" s="583">
        <v>1.0243</v>
      </c>
      <c r="T509" s="708">
        <v>103392.5270349201</v>
      </c>
      <c r="U509" s="599">
        <v>-113.4</v>
      </c>
      <c r="V509" s="581">
        <v>1</v>
      </c>
      <c r="W509" s="582">
        <v>20.874300000000002</v>
      </c>
      <c r="X509" s="581">
        <v>-2367.1456200000002</v>
      </c>
      <c r="Y509" s="581">
        <v>101025.38141492012</v>
      </c>
    </row>
    <row r="510" spans="6:25" ht="23" customHeight="1">
      <c r="M510" s="692"/>
      <c r="N510" s="340"/>
      <c r="O510" s="341"/>
      <c r="P510" s="700"/>
      <c r="Q510" s="341"/>
      <c r="R510" s="341"/>
      <c r="S510" s="342"/>
      <c r="T510" s="700"/>
      <c r="U510" s="596"/>
      <c r="V510" s="343"/>
      <c r="W510" s="341"/>
      <c r="X510" s="343"/>
      <c r="Y510" s="343"/>
    </row>
    <row r="511" spans="6:25" ht="23" customHeight="1">
      <c r="F511" s="1" t="s">
        <v>743</v>
      </c>
      <c r="M511" s="692"/>
      <c r="N511" s="340"/>
      <c r="O511" s="341"/>
      <c r="P511" s="700"/>
      <c r="Q511" s="341"/>
      <c r="R511" s="341"/>
      <c r="S511" s="342"/>
      <c r="T511" s="700"/>
      <c r="U511" s="596"/>
      <c r="V511" s="343"/>
      <c r="W511" s="341"/>
      <c r="X511" s="343"/>
      <c r="Y511" s="343"/>
    </row>
    <row r="512" spans="6:25" ht="23" customHeight="1">
      <c r="G512" s="691">
        <v>-6</v>
      </c>
      <c r="H512" s="691"/>
      <c r="I512" s="691"/>
      <c r="J512" s="691"/>
      <c r="K512" s="691"/>
      <c r="L512" s="691"/>
      <c r="M512" s="692"/>
      <c r="N512" s="340"/>
      <c r="O512" s="341"/>
      <c r="P512" s="700"/>
      <c r="Q512" s="341"/>
      <c r="R512" s="341"/>
      <c r="S512" s="342"/>
      <c r="T512" s="700"/>
      <c r="U512" s="596"/>
      <c r="V512" s="343"/>
      <c r="W512" s="341"/>
      <c r="X512" s="343"/>
      <c r="Y512" s="343"/>
    </row>
    <row r="513" spans="6:25" ht="23" customHeight="1">
      <c r="H513" s="3" t="s">
        <v>268</v>
      </c>
      <c r="I513" s="3"/>
      <c r="J513" s="3"/>
      <c r="K513" s="3"/>
      <c r="L513" s="3"/>
      <c r="M513" s="692"/>
      <c r="N513" s="340"/>
      <c r="O513" s="341"/>
      <c r="P513" s="700"/>
      <c r="Q513" s="341"/>
      <c r="R513" s="341"/>
      <c r="S513" s="342"/>
      <c r="T513" s="700"/>
      <c r="U513" s="596"/>
      <c r="V513" s="343"/>
      <c r="W513" s="341"/>
      <c r="X513" s="343"/>
      <c r="Y513" s="343"/>
    </row>
    <row r="514" spans="6:25" ht="23" customHeight="1">
      <c r="I514" s="344">
        <v>44490</v>
      </c>
      <c r="J514" s="344"/>
      <c r="K514" s="344"/>
      <c r="L514" s="344"/>
      <c r="M514" s="692"/>
      <c r="N514" s="340"/>
      <c r="O514" s="341"/>
      <c r="P514" s="700"/>
      <c r="Q514" s="341"/>
      <c r="R514" s="341"/>
      <c r="S514" s="342"/>
      <c r="T514" s="700"/>
      <c r="U514" s="596"/>
      <c r="V514" s="343"/>
      <c r="W514" s="341"/>
      <c r="X514" s="343"/>
      <c r="Y514" s="343"/>
    </row>
    <row r="515" spans="6:25" ht="23" customHeight="1">
      <c r="J515" s="345">
        <v>44579</v>
      </c>
      <c r="K515" s="345"/>
      <c r="L515" s="345"/>
      <c r="M515" s="692"/>
      <c r="N515" s="340"/>
      <c r="O515" s="341"/>
      <c r="P515" s="700"/>
      <c r="Q515" s="341"/>
      <c r="R515" s="341"/>
      <c r="S515" s="342"/>
      <c r="T515" s="700"/>
      <c r="U515" s="596"/>
      <c r="V515" s="343"/>
      <c r="W515" s="341"/>
      <c r="X515" s="343"/>
      <c r="Y515" s="343"/>
    </row>
    <row r="516" spans="6:25" ht="23" customHeight="1">
      <c r="K516" s="3" t="s">
        <v>267</v>
      </c>
      <c r="L516" s="3"/>
      <c r="M516" s="692"/>
      <c r="N516" s="340"/>
      <c r="O516" s="341"/>
      <c r="P516" s="700"/>
      <c r="Q516" s="341"/>
      <c r="R516" s="341"/>
      <c r="S516" s="342"/>
      <c r="T516" s="700"/>
      <c r="U516" s="596"/>
      <c r="V516" s="343"/>
      <c r="W516" s="341"/>
      <c r="X516" s="343"/>
      <c r="Y516" s="343"/>
    </row>
    <row r="517" spans="6:25" ht="23" customHeight="1">
      <c r="L517" s="691">
        <v>6</v>
      </c>
      <c r="M517" s="692">
        <v>3839.02</v>
      </c>
      <c r="N517" s="340">
        <v>1</v>
      </c>
      <c r="O517" s="341">
        <v>20.264700000000001</v>
      </c>
      <c r="P517" s="700">
        <v>77796.588594000001</v>
      </c>
      <c r="Q517" s="341">
        <v>115.56100000000001</v>
      </c>
      <c r="R517" s="341">
        <v>118.002</v>
      </c>
      <c r="S517" s="342">
        <v>1.0210999999999999</v>
      </c>
      <c r="T517" s="700">
        <v>79438.096613333386</v>
      </c>
      <c r="U517" s="596">
        <v>-60</v>
      </c>
      <c r="V517" s="343">
        <v>1</v>
      </c>
      <c r="W517" s="341">
        <v>20.311800000000002</v>
      </c>
      <c r="X517" s="343">
        <v>-1218.7080000000001</v>
      </c>
      <c r="Y517" s="343">
        <v>78219.388613333387</v>
      </c>
    </row>
    <row r="518" spans="6:25" ht="23" customHeight="1">
      <c r="M518" s="692"/>
      <c r="N518" s="340"/>
      <c r="O518" s="341"/>
      <c r="P518" s="700"/>
      <c r="Q518" s="341"/>
      <c r="R518" s="341"/>
      <c r="S518" s="342"/>
      <c r="T518" s="700"/>
      <c r="U518" s="596"/>
      <c r="V518" s="343"/>
      <c r="W518" s="341"/>
      <c r="X518" s="343"/>
      <c r="Y518" s="343"/>
    </row>
    <row r="519" spans="6:25" ht="23" customHeight="1">
      <c r="F519" s="580" t="s">
        <v>937</v>
      </c>
      <c r="G519" s="580"/>
      <c r="H519" s="580"/>
      <c r="I519" s="580"/>
      <c r="J519" s="580"/>
      <c r="K519" s="580"/>
      <c r="L519" s="580"/>
      <c r="M519" s="705">
        <v>3839.02</v>
      </c>
      <c r="N519" s="664">
        <v>1</v>
      </c>
      <c r="O519" s="582">
        <v>20.264700000000001</v>
      </c>
      <c r="P519" s="708">
        <v>77796.588594000001</v>
      </c>
      <c r="Q519" s="582">
        <v>115.56100000000001</v>
      </c>
      <c r="R519" s="582">
        <v>118.002</v>
      </c>
      <c r="S519" s="583">
        <v>1.0210999999999999</v>
      </c>
      <c r="T519" s="708">
        <v>79438.096613333386</v>
      </c>
      <c r="U519" s="599">
        <v>-60</v>
      </c>
      <c r="V519" s="581">
        <v>1</v>
      </c>
      <c r="W519" s="582">
        <v>20.311800000000002</v>
      </c>
      <c r="X519" s="581">
        <v>-1218.7080000000001</v>
      </c>
      <c r="Y519" s="581">
        <v>78219.388613333387</v>
      </c>
    </row>
    <row r="520" spans="6:25" ht="23" customHeight="1">
      <c r="M520" s="692"/>
      <c r="N520" s="340"/>
      <c r="O520" s="341"/>
      <c r="P520" s="700"/>
      <c r="Q520" s="341"/>
      <c r="R520" s="341"/>
      <c r="S520" s="342"/>
      <c r="T520" s="700"/>
      <c r="U520" s="596"/>
      <c r="V520" s="343"/>
      <c r="W520" s="341"/>
      <c r="X520" s="343"/>
      <c r="Y520" s="343"/>
    </row>
    <row r="521" spans="6:25" ht="23" customHeight="1">
      <c r="F521" s="1" t="s">
        <v>749</v>
      </c>
      <c r="M521" s="692"/>
      <c r="N521" s="340"/>
      <c r="O521" s="341"/>
      <c r="P521" s="700"/>
      <c r="Q521" s="341"/>
      <c r="R521" s="341"/>
      <c r="S521" s="342"/>
      <c r="T521" s="700"/>
      <c r="U521" s="596"/>
      <c r="V521" s="343"/>
      <c r="W521" s="341"/>
      <c r="X521" s="343"/>
      <c r="Y521" s="343"/>
    </row>
    <row r="522" spans="6:25" ht="23" customHeight="1">
      <c r="G522" s="691">
        <v>-6</v>
      </c>
      <c r="H522" s="691"/>
      <c r="I522" s="691"/>
      <c r="J522" s="691"/>
      <c r="K522" s="691"/>
      <c r="L522" s="691"/>
      <c r="M522" s="692"/>
      <c r="N522" s="340"/>
      <c r="O522" s="341"/>
      <c r="P522" s="700"/>
      <c r="Q522" s="341"/>
      <c r="R522" s="341"/>
      <c r="S522" s="342"/>
      <c r="T522" s="700"/>
      <c r="U522" s="596"/>
      <c r="V522" s="343"/>
      <c r="W522" s="341"/>
      <c r="X522" s="343"/>
      <c r="Y522" s="343"/>
    </row>
    <row r="523" spans="6:25" ht="23" customHeight="1">
      <c r="H523" s="3" t="s">
        <v>268</v>
      </c>
      <c r="I523" s="3"/>
      <c r="J523" s="3"/>
      <c r="K523" s="3"/>
      <c r="L523" s="3"/>
      <c r="M523" s="692"/>
      <c r="N523" s="340"/>
      <c r="O523" s="341"/>
      <c r="P523" s="700"/>
      <c r="Q523" s="341"/>
      <c r="R523" s="341"/>
      <c r="S523" s="342"/>
      <c r="T523" s="700"/>
      <c r="U523" s="596"/>
      <c r="V523" s="343"/>
      <c r="W523" s="341"/>
      <c r="X523" s="343"/>
      <c r="Y523" s="343"/>
    </row>
    <row r="524" spans="6:25" ht="23" customHeight="1">
      <c r="I524" s="344">
        <v>44579</v>
      </c>
      <c r="J524" s="344"/>
      <c r="K524" s="344"/>
      <c r="L524" s="344"/>
      <c r="M524" s="692"/>
      <c r="N524" s="340"/>
      <c r="O524" s="341"/>
      <c r="P524" s="700"/>
      <c r="Q524" s="341"/>
      <c r="R524" s="341"/>
      <c r="S524" s="342"/>
      <c r="T524" s="700"/>
      <c r="U524" s="596"/>
      <c r="V524" s="343"/>
      <c r="W524" s="341"/>
      <c r="X524" s="343"/>
      <c r="Y524" s="343"/>
    </row>
    <row r="525" spans="6:25" ht="23" customHeight="1">
      <c r="J525" s="345">
        <v>44623</v>
      </c>
      <c r="K525" s="345"/>
      <c r="L525" s="345"/>
      <c r="M525" s="692"/>
      <c r="N525" s="340"/>
      <c r="O525" s="341"/>
      <c r="P525" s="700"/>
      <c r="Q525" s="341"/>
      <c r="R525" s="341"/>
      <c r="S525" s="342"/>
      <c r="T525" s="700"/>
      <c r="U525" s="596"/>
      <c r="V525" s="343"/>
      <c r="W525" s="341"/>
      <c r="X525" s="343"/>
      <c r="Y525" s="343"/>
    </row>
    <row r="526" spans="6:25" ht="23" customHeight="1">
      <c r="K526" s="3" t="s">
        <v>267</v>
      </c>
      <c r="L526" s="3"/>
      <c r="M526" s="692"/>
      <c r="N526" s="340"/>
      <c r="O526" s="341"/>
      <c r="P526" s="700"/>
      <c r="Q526" s="341"/>
      <c r="R526" s="341"/>
      <c r="S526" s="342"/>
      <c r="T526" s="700"/>
      <c r="U526" s="596"/>
      <c r="V526" s="343"/>
      <c r="W526" s="341"/>
      <c r="X526" s="343"/>
      <c r="Y526" s="343"/>
    </row>
    <row r="527" spans="6:25" ht="23" customHeight="1">
      <c r="L527" s="691">
        <v>6</v>
      </c>
      <c r="M527" s="692">
        <v>2237.98</v>
      </c>
      <c r="N527" s="340">
        <v>1</v>
      </c>
      <c r="O527" s="341">
        <v>20.311800000000002</v>
      </c>
      <c r="P527" s="700">
        <v>45457.402164000006</v>
      </c>
      <c r="Q527" s="341">
        <v>118.002</v>
      </c>
      <c r="R527" s="341">
        <v>120.15900000000001</v>
      </c>
      <c r="S527" s="342">
        <v>1.0182</v>
      </c>
      <c r="T527" s="700">
        <v>46284.726883384807</v>
      </c>
      <c r="U527" s="596">
        <v>-132</v>
      </c>
      <c r="V527" s="343">
        <v>1</v>
      </c>
      <c r="W527" s="341">
        <v>20.527200000000001</v>
      </c>
      <c r="X527" s="343">
        <v>-2709.5904</v>
      </c>
      <c r="Y527" s="343">
        <v>43575.136483384806</v>
      </c>
    </row>
    <row r="528" spans="6:25" ht="23" customHeight="1">
      <c r="M528" s="692"/>
      <c r="N528" s="340"/>
      <c r="O528" s="341"/>
      <c r="P528" s="700"/>
      <c r="Q528" s="341"/>
      <c r="R528" s="341"/>
      <c r="S528" s="342"/>
      <c r="T528" s="700"/>
      <c r="U528" s="596"/>
      <c r="V528" s="343"/>
      <c r="W528" s="341"/>
      <c r="X528" s="343"/>
      <c r="Y528" s="343"/>
    </row>
    <row r="529" spans="6:25" ht="23" customHeight="1">
      <c r="F529" s="580" t="s">
        <v>938</v>
      </c>
      <c r="G529" s="580"/>
      <c r="H529" s="580"/>
      <c r="I529" s="580"/>
      <c r="J529" s="580"/>
      <c r="K529" s="580"/>
      <c r="L529" s="580"/>
      <c r="M529" s="705">
        <v>2237.98</v>
      </c>
      <c r="N529" s="664">
        <v>1</v>
      </c>
      <c r="O529" s="582">
        <v>20.311800000000002</v>
      </c>
      <c r="P529" s="708">
        <v>45457.402164000006</v>
      </c>
      <c r="Q529" s="582">
        <v>118.002</v>
      </c>
      <c r="R529" s="582">
        <v>120.15900000000001</v>
      </c>
      <c r="S529" s="583">
        <v>1.0182</v>
      </c>
      <c r="T529" s="708">
        <v>46284.726883384807</v>
      </c>
      <c r="U529" s="599">
        <v>-132</v>
      </c>
      <c r="V529" s="581">
        <v>1</v>
      </c>
      <c r="W529" s="582">
        <v>20.527200000000001</v>
      </c>
      <c r="X529" s="581">
        <v>-2709.5904</v>
      </c>
      <c r="Y529" s="581">
        <v>43575.136483384806</v>
      </c>
    </row>
    <row r="530" spans="6:25" ht="23" customHeight="1">
      <c r="M530" s="692"/>
      <c r="N530" s="340"/>
      <c r="O530" s="341"/>
      <c r="P530" s="700"/>
      <c r="Q530" s="341"/>
      <c r="R530" s="341"/>
      <c r="S530" s="342"/>
      <c r="T530" s="700"/>
      <c r="U530" s="596"/>
      <c r="V530" s="343"/>
      <c r="W530" s="341"/>
      <c r="X530" s="343"/>
      <c r="Y530" s="343"/>
    </row>
    <row r="531" spans="6:25" ht="23" customHeight="1">
      <c r="F531" s="1" t="s">
        <v>762</v>
      </c>
      <c r="M531" s="692"/>
      <c r="N531" s="340"/>
      <c r="O531" s="341"/>
      <c r="P531" s="700"/>
      <c r="Q531" s="341"/>
      <c r="R531" s="341"/>
      <c r="S531" s="342"/>
      <c r="T531" s="700"/>
      <c r="U531" s="596"/>
      <c r="V531" s="343"/>
      <c r="W531" s="341"/>
      <c r="X531" s="343"/>
      <c r="Y531" s="343"/>
    </row>
    <row r="532" spans="6:25" ht="23" customHeight="1">
      <c r="G532" s="691">
        <v>-2</v>
      </c>
      <c r="H532" s="691"/>
      <c r="I532" s="691"/>
      <c r="J532" s="691"/>
      <c r="K532" s="691"/>
      <c r="L532" s="691"/>
      <c r="M532" s="692"/>
      <c r="N532" s="340"/>
      <c r="O532" s="341"/>
      <c r="P532" s="700"/>
      <c r="Q532" s="341"/>
      <c r="R532" s="341"/>
      <c r="S532" s="342"/>
      <c r="T532" s="700"/>
      <c r="U532" s="596"/>
      <c r="V532" s="343"/>
      <c r="W532" s="341"/>
      <c r="X532" s="343"/>
      <c r="Y532" s="343"/>
    </row>
    <row r="533" spans="6:25" ht="23" customHeight="1">
      <c r="H533" s="3" t="s">
        <v>268</v>
      </c>
      <c r="I533" s="3"/>
      <c r="J533" s="3"/>
      <c r="K533" s="3"/>
      <c r="L533" s="3"/>
      <c r="M533" s="692"/>
      <c r="N533" s="340"/>
      <c r="O533" s="341"/>
      <c r="P533" s="700"/>
      <c r="Q533" s="341"/>
      <c r="R533" s="341"/>
      <c r="S533" s="342"/>
      <c r="T533" s="700"/>
      <c r="U533" s="596"/>
      <c r="V533" s="343"/>
      <c r="W533" s="341"/>
      <c r="X533" s="343"/>
      <c r="Y533" s="343"/>
    </row>
    <row r="534" spans="6:25" ht="23" customHeight="1">
      <c r="I534" s="344">
        <v>44672</v>
      </c>
      <c r="J534" s="344"/>
      <c r="K534" s="344"/>
      <c r="L534" s="344"/>
      <c r="M534" s="692"/>
      <c r="N534" s="340"/>
      <c r="O534" s="341"/>
      <c r="P534" s="700"/>
      <c r="Q534" s="341"/>
      <c r="R534" s="341"/>
      <c r="S534" s="342"/>
      <c r="T534" s="700"/>
      <c r="U534" s="596"/>
      <c r="V534" s="343"/>
      <c r="W534" s="341"/>
      <c r="X534" s="343"/>
      <c r="Y534" s="343"/>
    </row>
    <row r="535" spans="6:25" ht="23" customHeight="1">
      <c r="J535" s="345">
        <v>44741</v>
      </c>
      <c r="K535" s="345"/>
      <c r="L535" s="345"/>
      <c r="M535" s="692"/>
      <c r="N535" s="340"/>
      <c r="O535" s="341"/>
      <c r="P535" s="700"/>
      <c r="Q535" s="341"/>
      <c r="R535" s="341"/>
      <c r="S535" s="342"/>
      <c r="T535" s="700"/>
      <c r="U535" s="596"/>
      <c r="V535" s="343"/>
      <c r="W535" s="341"/>
      <c r="X535" s="343"/>
      <c r="Y535" s="343"/>
    </row>
    <row r="536" spans="6:25" ht="23" customHeight="1">
      <c r="K536" s="3" t="s">
        <v>267</v>
      </c>
      <c r="L536" s="3"/>
      <c r="M536" s="692"/>
      <c r="N536" s="340"/>
      <c r="O536" s="341"/>
      <c r="P536" s="700"/>
      <c r="Q536" s="341"/>
      <c r="R536" s="341"/>
      <c r="S536" s="342"/>
      <c r="T536" s="700"/>
      <c r="U536" s="596"/>
      <c r="V536" s="343"/>
      <c r="W536" s="341"/>
      <c r="X536" s="343"/>
      <c r="Y536" s="343"/>
    </row>
    <row r="537" spans="6:25" ht="23" customHeight="1">
      <c r="L537" s="691">
        <v>2</v>
      </c>
      <c r="M537" s="692">
        <v>1509.99</v>
      </c>
      <c r="N537" s="340">
        <v>1</v>
      </c>
      <c r="O537" s="341">
        <v>20.044699999999999</v>
      </c>
      <c r="P537" s="700">
        <v>30267.296553</v>
      </c>
      <c r="Q537" s="341">
        <v>120.809</v>
      </c>
      <c r="R537" s="341">
        <v>122.044</v>
      </c>
      <c r="S537" s="342">
        <v>1.0102</v>
      </c>
      <c r="T537" s="700">
        <v>30576.022977840599</v>
      </c>
      <c r="U537" s="596">
        <v>-7914.26</v>
      </c>
      <c r="V537" s="343">
        <v>1</v>
      </c>
      <c r="W537" s="341">
        <v>19.8797</v>
      </c>
      <c r="X537" s="343">
        <v>-157333.11452199999</v>
      </c>
      <c r="Y537" s="343">
        <v>-126757.0915441594</v>
      </c>
    </row>
    <row r="538" spans="6:25" ht="23" customHeight="1">
      <c r="M538" s="692"/>
      <c r="N538" s="340"/>
      <c r="O538" s="341"/>
      <c r="P538" s="700"/>
      <c r="Q538" s="341"/>
      <c r="R538" s="341"/>
      <c r="S538" s="342"/>
      <c r="T538" s="700"/>
      <c r="U538" s="596"/>
      <c r="V538" s="343"/>
      <c r="W538" s="341"/>
      <c r="X538" s="343"/>
      <c r="Y538" s="343"/>
    </row>
    <row r="539" spans="6:25" ht="23" customHeight="1">
      <c r="G539" s="691">
        <v>-1</v>
      </c>
      <c r="H539" s="691"/>
      <c r="I539" s="691"/>
      <c r="J539" s="691"/>
      <c r="K539" s="691"/>
      <c r="L539" s="691"/>
      <c r="M539" s="692"/>
      <c r="N539" s="340"/>
      <c r="O539" s="341"/>
      <c r="P539" s="700"/>
      <c r="Q539" s="341"/>
      <c r="R539" s="341"/>
      <c r="S539" s="342"/>
      <c r="T539" s="700"/>
      <c r="U539" s="596"/>
      <c r="V539" s="343"/>
      <c r="W539" s="341"/>
      <c r="X539" s="343"/>
      <c r="Y539" s="343"/>
    </row>
    <row r="540" spans="6:25" ht="23" customHeight="1">
      <c r="H540" s="3" t="s">
        <v>268</v>
      </c>
      <c r="I540" s="3"/>
      <c r="J540" s="3"/>
      <c r="K540" s="3"/>
      <c r="L540" s="3"/>
      <c r="M540" s="692"/>
      <c r="N540" s="340"/>
      <c r="O540" s="341"/>
      <c r="P540" s="700"/>
      <c r="Q540" s="341"/>
      <c r="R540" s="341"/>
      <c r="S540" s="342"/>
      <c r="T540" s="700"/>
      <c r="U540" s="596"/>
      <c r="V540" s="343"/>
      <c r="W540" s="341"/>
      <c r="X540" s="343"/>
      <c r="Y540" s="343"/>
    </row>
    <row r="541" spans="6:25" ht="23" customHeight="1">
      <c r="I541" s="344">
        <v>44672</v>
      </c>
      <c r="J541" s="344"/>
      <c r="K541" s="344"/>
      <c r="L541" s="344"/>
      <c r="M541" s="692"/>
      <c r="N541" s="340"/>
      <c r="O541" s="341"/>
      <c r="P541" s="700"/>
      <c r="Q541" s="341"/>
      <c r="R541" s="341"/>
      <c r="S541" s="342"/>
      <c r="T541" s="700"/>
      <c r="U541" s="596"/>
      <c r="V541" s="343"/>
      <c r="W541" s="341"/>
      <c r="X541" s="343"/>
      <c r="Y541" s="343"/>
    </row>
    <row r="542" spans="6:25" ht="23" customHeight="1">
      <c r="J542" s="345">
        <v>44729</v>
      </c>
      <c r="K542" s="345"/>
      <c r="L542" s="345"/>
      <c r="M542" s="692"/>
      <c r="N542" s="340"/>
      <c r="O542" s="341"/>
      <c r="P542" s="700"/>
      <c r="Q542" s="341"/>
      <c r="R542" s="341"/>
      <c r="S542" s="342"/>
      <c r="T542" s="700"/>
      <c r="U542" s="596"/>
      <c r="V542" s="343"/>
      <c r="W542" s="341"/>
      <c r="X542" s="343"/>
      <c r="Y542" s="343"/>
    </row>
    <row r="543" spans="6:25" ht="23" customHeight="1">
      <c r="K543" s="3" t="s">
        <v>266</v>
      </c>
      <c r="L543" s="3"/>
      <c r="M543" s="692"/>
      <c r="N543" s="340"/>
      <c r="O543" s="341"/>
      <c r="P543" s="700"/>
      <c r="Q543" s="341"/>
      <c r="R543" s="341"/>
      <c r="S543" s="342"/>
      <c r="T543" s="700"/>
      <c r="U543" s="596"/>
      <c r="V543" s="343"/>
      <c r="W543" s="341"/>
      <c r="X543" s="343"/>
      <c r="Y543" s="343"/>
    </row>
    <row r="544" spans="6:25" ht="23" customHeight="1">
      <c r="L544" s="691">
        <v>1</v>
      </c>
      <c r="M544" s="692">
        <v>754.995</v>
      </c>
      <c r="N544" s="340">
        <v>1</v>
      </c>
      <c r="O544" s="341">
        <v>20.044699999999999</v>
      </c>
      <c r="P544" s="700">
        <v>15133.6482765</v>
      </c>
      <c r="Q544" s="341">
        <v>120.809</v>
      </c>
      <c r="R544" s="341">
        <v>122.044</v>
      </c>
      <c r="S544" s="342">
        <v>1.0102</v>
      </c>
      <c r="T544" s="700">
        <v>15288.0114889203</v>
      </c>
      <c r="U544" s="596">
        <v>0</v>
      </c>
      <c r="V544" s="343">
        <v>0</v>
      </c>
      <c r="W544" s="341">
        <v>20.6675</v>
      </c>
      <c r="X544" s="343">
        <v>0</v>
      </c>
      <c r="Y544" s="343">
        <v>15288.0114889203</v>
      </c>
    </row>
    <row r="545" spans="6:25" ht="23" customHeight="1">
      <c r="M545" s="692"/>
      <c r="N545" s="340"/>
      <c r="O545" s="341"/>
      <c r="P545" s="700"/>
      <c r="Q545" s="341"/>
      <c r="R545" s="341"/>
      <c r="S545" s="342"/>
      <c r="T545" s="700"/>
      <c r="U545" s="596"/>
      <c r="V545" s="343"/>
      <c r="W545" s="341"/>
      <c r="X545" s="343"/>
      <c r="Y545" s="343"/>
    </row>
    <row r="546" spans="6:25" ht="23" customHeight="1">
      <c r="G546" s="691">
        <v>-3</v>
      </c>
      <c r="H546" s="691"/>
      <c r="I546" s="691"/>
      <c r="J546" s="691"/>
      <c r="K546" s="691"/>
      <c r="L546" s="691"/>
      <c r="M546" s="692"/>
      <c r="N546" s="340"/>
      <c r="O546" s="341"/>
      <c r="P546" s="700"/>
      <c r="Q546" s="341"/>
      <c r="R546" s="341"/>
      <c r="S546" s="342"/>
      <c r="T546" s="700"/>
      <c r="U546" s="596"/>
      <c r="V546" s="343"/>
      <c r="W546" s="341"/>
      <c r="X546" s="343"/>
      <c r="Y546" s="343"/>
    </row>
    <row r="547" spans="6:25" ht="23" customHeight="1">
      <c r="H547" s="3" t="s">
        <v>268</v>
      </c>
      <c r="I547" s="3"/>
      <c r="J547" s="3"/>
      <c r="K547" s="3"/>
      <c r="L547" s="3"/>
      <c r="M547" s="692"/>
      <c r="N547" s="340"/>
      <c r="O547" s="341"/>
      <c r="P547" s="700"/>
      <c r="Q547" s="341"/>
      <c r="R547" s="341"/>
      <c r="S547" s="342"/>
      <c r="T547" s="700"/>
      <c r="U547" s="596"/>
      <c r="V547" s="343"/>
      <c r="W547" s="341"/>
      <c r="X547" s="343"/>
      <c r="Y547" s="343"/>
    </row>
    <row r="548" spans="6:25" ht="23" customHeight="1">
      <c r="I548" s="344">
        <v>44672</v>
      </c>
      <c r="J548" s="344"/>
      <c r="K548" s="344"/>
      <c r="L548" s="344"/>
      <c r="M548" s="692"/>
      <c r="N548" s="340"/>
      <c r="O548" s="341"/>
      <c r="P548" s="700"/>
      <c r="Q548" s="341"/>
      <c r="R548" s="341"/>
      <c r="S548" s="342"/>
      <c r="T548" s="700"/>
      <c r="U548" s="596"/>
      <c r="V548" s="343"/>
      <c r="W548" s="341"/>
      <c r="X548" s="343"/>
      <c r="Y548" s="343"/>
    </row>
    <row r="549" spans="6:25" ht="23" customHeight="1">
      <c r="J549" s="345">
        <v>44734</v>
      </c>
      <c r="K549" s="345"/>
      <c r="L549" s="345"/>
      <c r="M549" s="692"/>
      <c r="N549" s="340"/>
      <c r="O549" s="341"/>
      <c r="P549" s="700"/>
      <c r="Q549" s="341"/>
      <c r="R549" s="341"/>
      <c r="S549" s="342"/>
      <c r="T549" s="700"/>
      <c r="U549" s="596"/>
      <c r="V549" s="343"/>
      <c r="W549" s="341"/>
      <c r="X549" s="343"/>
      <c r="Y549" s="343"/>
    </row>
    <row r="550" spans="6:25" ht="23" customHeight="1">
      <c r="K550" s="3" t="s">
        <v>266</v>
      </c>
      <c r="L550" s="3"/>
      <c r="M550" s="692"/>
      <c r="N550" s="340"/>
      <c r="O550" s="341"/>
      <c r="P550" s="700"/>
      <c r="Q550" s="341"/>
      <c r="R550" s="341"/>
      <c r="S550" s="342"/>
      <c r="T550" s="700"/>
      <c r="U550" s="596"/>
      <c r="V550" s="343"/>
      <c r="W550" s="341"/>
      <c r="X550" s="343"/>
      <c r="Y550" s="343"/>
    </row>
    <row r="551" spans="6:25" ht="23" customHeight="1">
      <c r="L551" s="691">
        <v>3</v>
      </c>
      <c r="M551" s="692">
        <v>2264.9850000000001</v>
      </c>
      <c r="N551" s="340">
        <v>1</v>
      </c>
      <c r="O551" s="341">
        <v>20.044699999999999</v>
      </c>
      <c r="P551" s="700">
        <v>45400.944829499997</v>
      </c>
      <c r="Q551" s="341">
        <v>120.809</v>
      </c>
      <c r="R551" s="341">
        <v>122.044</v>
      </c>
      <c r="S551" s="342">
        <v>1.0102</v>
      </c>
      <c r="T551" s="700">
        <v>45864.034466760895</v>
      </c>
      <c r="U551" s="596">
        <v>0</v>
      </c>
      <c r="V551" s="343">
        <v>0</v>
      </c>
      <c r="W551" s="341">
        <v>20.244199999999999</v>
      </c>
      <c r="X551" s="343">
        <v>0</v>
      </c>
      <c r="Y551" s="343">
        <v>45864.034466760895</v>
      </c>
    </row>
    <row r="552" spans="6:25" ht="23" customHeight="1">
      <c r="M552" s="692"/>
      <c r="N552" s="340"/>
      <c r="O552" s="341"/>
      <c r="P552" s="700"/>
      <c r="Q552" s="341"/>
      <c r="R552" s="341"/>
      <c r="S552" s="342"/>
      <c r="T552" s="700"/>
      <c r="U552" s="596"/>
      <c r="V552" s="343"/>
      <c r="W552" s="341"/>
      <c r="X552" s="343"/>
      <c r="Y552" s="343"/>
    </row>
    <row r="553" spans="6:25" ht="23" customHeight="1">
      <c r="F553" s="580" t="s">
        <v>939</v>
      </c>
      <c r="G553" s="580"/>
      <c r="H553" s="580"/>
      <c r="I553" s="580"/>
      <c r="J553" s="580"/>
      <c r="K553" s="580"/>
      <c r="L553" s="580"/>
      <c r="M553" s="705">
        <v>4529.97</v>
      </c>
      <c r="N553" s="664">
        <v>1</v>
      </c>
      <c r="O553" s="582">
        <v>20.044699999999999</v>
      </c>
      <c r="P553" s="708">
        <v>90801.889659000008</v>
      </c>
      <c r="Q553" s="582">
        <v>120.80900000000001</v>
      </c>
      <c r="R553" s="582">
        <v>122.044</v>
      </c>
      <c r="S553" s="583">
        <v>1.0102</v>
      </c>
      <c r="T553" s="708">
        <v>91728.068933521805</v>
      </c>
      <c r="U553" s="599">
        <v>-7914.26</v>
      </c>
      <c r="V553" s="581">
        <v>0.33333333333333331</v>
      </c>
      <c r="W553" s="582">
        <v>20.2638</v>
      </c>
      <c r="X553" s="581">
        <v>-157333.11452199999</v>
      </c>
      <c r="Y553" s="581">
        <v>-65605.045588478213</v>
      </c>
    </row>
    <row r="554" spans="6:25" ht="23" customHeight="1">
      <c r="M554" s="692"/>
      <c r="N554" s="340"/>
      <c r="O554" s="341"/>
      <c r="P554" s="700"/>
      <c r="Q554" s="341"/>
      <c r="R554" s="341"/>
      <c r="S554" s="342"/>
      <c r="T554" s="700"/>
      <c r="U554" s="596"/>
      <c r="V554" s="343"/>
      <c r="W554" s="341"/>
      <c r="X554" s="343"/>
      <c r="Y554" s="343"/>
    </row>
    <row r="555" spans="6:25" ht="23" customHeight="1">
      <c r="F555" s="1" t="s">
        <v>752</v>
      </c>
      <c r="M555" s="692"/>
      <c r="N555" s="340"/>
      <c r="O555" s="341"/>
      <c r="P555" s="700"/>
      <c r="Q555" s="341"/>
      <c r="R555" s="341"/>
      <c r="S555" s="342"/>
      <c r="T555" s="700"/>
      <c r="U555" s="596"/>
      <c r="V555" s="343"/>
      <c r="W555" s="341"/>
      <c r="X555" s="343"/>
      <c r="Y555" s="343"/>
    </row>
    <row r="556" spans="6:25" ht="23" customHeight="1">
      <c r="G556" s="691">
        <v>-6</v>
      </c>
      <c r="H556" s="691"/>
      <c r="I556" s="691"/>
      <c r="J556" s="691"/>
      <c r="K556" s="691"/>
      <c r="L556" s="691"/>
      <c r="M556" s="692"/>
      <c r="N556" s="340"/>
      <c r="O556" s="341"/>
      <c r="P556" s="700"/>
      <c r="Q556" s="341"/>
      <c r="R556" s="341"/>
      <c r="S556" s="342"/>
      <c r="T556" s="700"/>
      <c r="U556" s="596"/>
      <c r="V556" s="343"/>
      <c r="W556" s="341"/>
      <c r="X556" s="343"/>
      <c r="Y556" s="343"/>
    </row>
    <row r="557" spans="6:25" ht="23" customHeight="1">
      <c r="H557" s="3" t="s">
        <v>268</v>
      </c>
      <c r="I557" s="3"/>
      <c r="J557" s="3"/>
      <c r="K557" s="3"/>
      <c r="L557" s="3"/>
      <c r="M557" s="692"/>
      <c r="N557" s="340"/>
      <c r="O557" s="341"/>
      <c r="P557" s="700"/>
      <c r="Q557" s="341"/>
      <c r="R557" s="341"/>
      <c r="S557" s="342"/>
      <c r="T557" s="700"/>
      <c r="U557" s="596"/>
      <c r="V557" s="343"/>
      <c r="W557" s="341"/>
      <c r="X557" s="343"/>
      <c r="Y557" s="343"/>
    </row>
    <row r="558" spans="6:25" ht="23" customHeight="1">
      <c r="I558" s="344">
        <v>44595</v>
      </c>
      <c r="J558" s="344"/>
      <c r="K558" s="344"/>
      <c r="L558" s="344"/>
      <c r="M558" s="692"/>
      <c r="N558" s="340"/>
      <c r="O558" s="341"/>
      <c r="P558" s="700"/>
      <c r="Q558" s="341"/>
      <c r="R558" s="341"/>
      <c r="S558" s="342"/>
      <c r="T558" s="700"/>
      <c r="U558" s="596"/>
      <c r="V558" s="343"/>
      <c r="W558" s="341"/>
      <c r="X558" s="343"/>
      <c r="Y558" s="343"/>
    </row>
    <row r="559" spans="6:25" ht="23" customHeight="1">
      <c r="J559" s="345">
        <v>44697</v>
      </c>
      <c r="K559" s="345"/>
      <c r="L559" s="345"/>
      <c r="M559" s="692"/>
      <c r="N559" s="340"/>
      <c r="O559" s="341"/>
      <c r="P559" s="700"/>
      <c r="Q559" s="341"/>
      <c r="R559" s="341"/>
      <c r="S559" s="342"/>
      <c r="T559" s="700"/>
      <c r="U559" s="596"/>
      <c r="V559" s="343"/>
      <c r="W559" s="341"/>
      <c r="X559" s="343"/>
      <c r="Y559" s="343"/>
    </row>
    <row r="560" spans="6:25" ht="23" customHeight="1">
      <c r="K560" s="3" t="s">
        <v>267</v>
      </c>
      <c r="L560" s="3"/>
      <c r="M560" s="692"/>
      <c r="N560" s="340"/>
      <c r="O560" s="341"/>
      <c r="P560" s="700"/>
      <c r="Q560" s="341"/>
      <c r="R560" s="341"/>
      <c r="S560" s="342"/>
      <c r="T560" s="700"/>
      <c r="U560" s="596"/>
      <c r="V560" s="343"/>
      <c r="W560" s="341"/>
      <c r="X560" s="343"/>
      <c r="Y560" s="343"/>
    </row>
    <row r="561" spans="6:25" ht="23" customHeight="1">
      <c r="L561" s="691">
        <v>6</v>
      </c>
      <c r="M561" s="692">
        <v>6814.7</v>
      </c>
      <c r="N561" s="340">
        <v>1</v>
      </c>
      <c r="O561" s="341">
        <v>20.58</v>
      </c>
      <c r="P561" s="700">
        <v>140246.52599999998</v>
      </c>
      <c r="Q561" s="341">
        <v>118.98099999999999</v>
      </c>
      <c r="R561" s="341">
        <v>121.02200000000001</v>
      </c>
      <c r="S561" s="342">
        <v>1.0170999999999999</v>
      </c>
      <c r="T561" s="700">
        <v>142644.74159459997</v>
      </c>
      <c r="U561" s="596">
        <v>-12670.74</v>
      </c>
      <c r="V561" s="343">
        <v>1</v>
      </c>
      <c r="W561" s="341">
        <v>20.32</v>
      </c>
      <c r="X561" s="343">
        <v>-257469.4368</v>
      </c>
      <c r="Y561" s="343">
        <v>-114824.69520540003</v>
      </c>
    </row>
    <row r="562" spans="6:25" ht="23" customHeight="1">
      <c r="M562" s="692"/>
      <c r="N562" s="340"/>
      <c r="O562" s="341"/>
      <c r="P562" s="700"/>
      <c r="Q562" s="341"/>
      <c r="R562" s="341"/>
      <c r="S562" s="342"/>
      <c r="T562" s="700"/>
      <c r="U562" s="596"/>
      <c r="V562" s="343"/>
      <c r="W562" s="341"/>
      <c r="X562" s="343"/>
      <c r="Y562" s="343"/>
    </row>
    <row r="563" spans="6:25" ht="23" customHeight="1">
      <c r="F563" s="580" t="s">
        <v>940</v>
      </c>
      <c r="G563" s="580"/>
      <c r="H563" s="580"/>
      <c r="I563" s="580"/>
      <c r="J563" s="580"/>
      <c r="K563" s="580"/>
      <c r="L563" s="580"/>
      <c r="M563" s="705">
        <v>6814.7</v>
      </c>
      <c r="N563" s="664">
        <v>1</v>
      </c>
      <c r="O563" s="582">
        <v>20.58</v>
      </c>
      <c r="P563" s="708">
        <v>140246.52599999998</v>
      </c>
      <c r="Q563" s="582">
        <v>118.98099999999999</v>
      </c>
      <c r="R563" s="582">
        <v>121.02200000000001</v>
      </c>
      <c r="S563" s="583">
        <v>1.0170999999999999</v>
      </c>
      <c r="T563" s="708">
        <v>142644.74159459997</v>
      </c>
      <c r="U563" s="599">
        <v>-12670.74</v>
      </c>
      <c r="V563" s="581">
        <v>1</v>
      </c>
      <c r="W563" s="582">
        <v>20.32</v>
      </c>
      <c r="X563" s="581">
        <v>-257469.4368</v>
      </c>
      <c r="Y563" s="581">
        <v>-114824.69520540003</v>
      </c>
    </row>
    <row r="564" spans="6:25" ht="23" customHeight="1">
      <c r="M564" s="692"/>
      <c r="N564" s="340"/>
      <c r="O564" s="341"/>
      <c r="P564" s="700"/>
      <c r="Q564" s="341"/>
      <c r="R564" s="341"/>
      <c r="S564" s="342"/>
      <c r="T564" s="700"/>
      <c r="U564" s="596"/>
      <c r="V564" s="343"/>
      <c r="W564" s="341"/>
      <c r="X564" s="343"/>
      <c r="Y564" s="343"/>
    </row>
    <row r="565" spans="6:25" ht="23" customHeight="1">
      <c r="F565" s="1" t="s">
        <v>760</v>
      </c>
      <c r="M565" s="692"/>
      <c r="N565" s="340"/>
      <c r="O565" s="341"/>
      <c r="P565" s="700"/>
      <c r="Q565" s="341"/>
      <c r="R565" s="341"/>
      <c r="S565" s="342"/>
      <c r="T565" s="700"/>
      <c r="U565" s="596"/>
      <c r="V565" s="343"/>
      <c r="W565" s="341"/>
      <c r="X565" s="343"/>
      <c r="Y565" s="343"/>
    </row>
    <row r="566" spans="6:25" ht="23" customHeight="1">
      <c r="G566" s="691">
        <v>-5</v>
      </c>
      <c r="H566" s="691"/>
      <c r="I566" s="691"/>
      <c r="J566" s="691"/>
      <c r="K566" s="691"/>
      <c r="L566" s="691"/>
      <c r="M566" s="692"/>
      <c r="N566" s="340"/>
      <c r="O566" s="341"/>
      <c r="P566" s="700"/>
      <c r="Q566" s="341"/>
      <c r="R566" s="341"/>
      <c r="S566" s="342"/>
      <c r="T566" s="700"/>
      <c r="U566" s="596"/>
      <c r="V566" s="343"/>
      <c r="W566" s="341"/>
      <c r="X566" s="343"/>
      <c r="Y566" s="343"/>
    </row>
    <row r="567" spans="6:25" ht="23" customHeight="1">
      <c r="H567" s="3" t="s">
        <v>268</v>
      </c>
      <c r="I567" s="3"/>
      <c r="J567" s="3"/>
      <c r="K567" s="3"/>
      <c r="L567" s="3"/>
      <c r="M567" s="692"/>
      <c r="N567" s="340"/>
      <c r="O567" s="341"/>
      <c r="P567" s="700"/>
      <c r="Q567" s="341"/>
      <c r="R567" s="341"/>
      <c r="S567" s="342"/>
      <c r="T567" s="700"/>
      <c r="U567" s="596"/>
      <c r="V567" s="343"/>
      <c r="W567" s="341"/>
      <c r="X567" s="343"/>
      <c r="Y567" s="343"/>
    </row>
    <row r="568" spans="6:25" ht="23" customHeight="1">
      <c r="I568" s="344">
        <v>44659</v>
      </c>
      <c r="J568" s="344"/>
      <c r="K568" s="344"/>
      <c r="L568" s="344"/>
      <c r="M568" s="692"/>
      <c r="N568" s="340"/>
      <c r="O568" s="341"/>
      <c r="P568" s="700"/>
      <c r="Q568" s="341"/>
      <c r="R568" s="341"/>
      <c r="S568" s="342"/>
      <c r="T568" s="700"/>
      <c r="U568" s="596"/>
      <c r="V568" s="343"/>
      <c r="W568" s="341"/>
      <c r="X568" s="343"/>
      <c r="Y568" s="343"/>
    </row>
    <row r="569" spans="6:25" ht="23" customHeight="1">
      <c r="J569" s="345">
        <v>44705</v>
      </c>
      <c r="K569" s="345"/>
      <c r="L569" s="345"/>
      <c r="M569" s="692"/>
      <c r="N569" s="340"/>
      <c r="O569" s="341"/>
      <c r="P569" s="700"/>
      <c r="Q569" s="341"/>
      <c r="R569" s="341"/>
      <c r="S569" s="342"/>
      <c r="T569" s="700"/>
      <c r="U569" s="596"/>
      <c r="V569" s="343"/>
      <c r="W569" s="341"/>
      <c r="X569" s="343"/>
      <c r="Y569" s="343"/>
    </row>
    <row r="570" spans="6:25" ht="23" customHeight="1">
      <c r="K570" s="3" t="s">
        <v>266</v>
      </c>
      <c r="L570" s="3"/>
      <c r="M570" s="692"/>
      <c r="N570" s="340"/>
      <c r="O570" s="341"/>
      <c r="P570" s="700"/>
      <c r="Q570" s="341"/>
      <c r="R570" s="341"/>
      <c r="S570" s="342"/>
      <c r="T570" s="700"/>
      <c r="U570" s="596"/>
      <c r="V570" s="343"/>
      <c r="W570" s="341"/>
      <c r="X570" s="343"/>
      <c r="Y570" s="343"/>
    </row>
    <row r="571" spans="6:25" ht="23" customHeight="1">
      <c r="L571" s="691">
        <v>5</v>
      </c>
      <c r="M571" s="692">
        <v>2614.9833333333336</v>
      </c>
      <c r="N571" s="340">
        <v>1</v>
      </c>
      <c r="O571" s="341">
        <v>20.066500000000001</v>
      </c>
      <c r="P571" s="700">
        <v>52473.56305833334</v>
      </c>
      <c r="Q571" s="341">
        <v>120.809</v>
      </c>
      <c r="R571" s="341">
        <v>121.02200000000001</v>
      </c>
      <c r="S571" s="342">
        <v>1.0017</v>
      </c>
      <c r="T571" s="700">
        <v>52562.768115532512</v>
      </c>
      <c r="U571" s="596">
        <v>0</v>
      </c>
      <c r="V571" s="343">
        <v>0</v>
      </c>
      <c r="W571" s="341">
        <v>19.8657</v>
      </c>
      <c r="X571" s="343">
        <v>0</v>
      </c>
      <c r="Y571" s="343">
        <v>52562.768115532512</v>
      </c>
    </row>
    <row r="572" spans="6:25" ht="23" customHeight="1">
      <c r="M572" s="692"/>
      <c r="N572" s="340"/>
      <c r="O572" s="341"/>
      <c r="P572" s="700"/>
      <c r="Q572" s="341"/>
      <c r="R572" s="341"/>
      <c r="S572" s="342"/>
      <c r="T572" s="700"/>
      <c r="U572" s="596"/>
      <c r="V572" s="343"/>
      <c r="W572" s="341"/>
      <c r="X572" s="343"/>
      <c r="Y572" s="343"/>
    </row>
    <row r="573" spans="6:25" ht="23" customHeight="1">
      <c r="G573" s="691">
        <v>-1</v>
      </c>
      <c r="H573" s="691"/>
      <c r="I573" s="691"/>
      <c r="J573" s="691"/>
      <c r="K573" s="691"/>
      <c r="L573" s="691"/>
      <c r="M573" s="692"/>
      <c r="N573" s="340"/>
      <c r="O573" s="341"/>
      <c r="P573" s="700"/>
      <c r="Q573" s="341"/>
      <c r="R573" s="341"/>
      <c r="S573" s="342"/>
      <c r="T573" s="700"/>
      <c r="U573" s="596"/>
      <c r="V573" s="343"/>
      <c r="W573" s="341"/>
      <c r="X573" s="343"/>
      <c r="Y573" s="343"/>
    </row>
    <row r="574" spans="6:25" ht="23" customHeight="1">
      <c r="H574" s="3" t="s">
        <v>268</v>
      </c>
      <c r="I574" s="3"/>
      <c r="J574" s="3"/>
      <c r="K574" s="3"/>
      <c r="L574" s="3"/>
      <c r="M574" s="692"/>
      <c r="N574" s="340"/>
      <c r="O574" s="341"/>
      <c r="P574" s="700"/>
      <c r="Q574" s="341"/>
      <c r="R574" s="341"/>
      <c r="S574" s="342"/>
      <c r="T574" s="700"/>
      <c r="U574" s="596"/>
      <c r="V574" s="343"/>
      <c r="W574" s="341"/>
      <c r="X574" s="343"/>
      <c r="Y574" s="343"/>
    </row>
    <row r="575" spans="6:25" ht="23" customHeight="1">
      <c r="I575" s="344">
        <v>44659</v>
      </c>
      <c r="J575" s="344"/>
      <c r="K575" s="344"/>
      <c r="L575" s="344"/>
      <c r="M575" s="692"/>
      <c r="N575" s="340"/>
      <c r="O575" s="341"/>
      <c r="P575" s="700"/>
      <c r="Q575" s="341"/>
      <c r="R575" s="341"/>
      <c r="S575" s="342"/>
      <c r="T575" s="700"/>
      <c r="U575" s="596"/>
      <c r="V575" s="343"/>
      <c r="W575" s="341"/>
      <c r="X575" s="343"/>
      <c r="Y575" s="343"/>
    </row>
    <row r="576" spans="6:25" ht="23" customHeight="1">
      <c r="J576" s="345">
        <v>44707</v>
      </c>
      <c r="K576" s="345"/>
      <c r="L576" s="345"/>
      <c r="M576" s="692"/>
      <c r="N576" s="340"/>
      <c r="O576" s="341"/>
      <c r="P576" s="700"/>
      <c r="Q576" s="341"/>
      <c r="R576" s="341"/>
      <c r="S576" s="342"/>
      <c r="T576" s="700"/>
      <c r="U576" s="596"/>
      <c r="V576" s="343"/>
      <c r="W576" s="341"/>
      <c r="X576" s="343"/>
      <c r="Y576" s="343"/>
    </row>
    <row r="577" spans="6:25" ht="23" customHeight="1">
      <c r="K577" s="3" t="s">
        <v>267</v>
      </c>
      <c r="L577" s="3"/>
      <c r="M577" s="692"/>
      <c r="N577" s="340"/>
      <c r="O577" s="341"/>
      <c r="P577" s="700"/>
      <c r="Q577" s="341"/>
      <c r="R577" s="341"/>
      <c r="S577" s="342"/>
      <c r="T577" s="700"/>
      <c r="U577" s="596"/>
      <c r="V577" s="343"/>
      <c r="W577" s="341"/>
      <c r="X577" s="343"/>
      <c r="Y577" s="343"/>
    </row>
    <row r="578" spans="6:25" ht="23" customHeight="1">
      <c r="L578" s="691">
        <v>1</v>
      </c>
      <c r="M578" s="692">
        <v>522.99666666666667</v>
      </c>
      <c r="N578" s="340">
        <v>1</v>
      </c>
      <c r="O578" s="341">
        <v>20.066500000000001</v>
      </c>
      <c r="P578" s="700">
        <v>10494.712611666668</v>
      </c>
      <c r="Q578" s="341">
        <v>120.809</v>
      </c>
      <c r="R578" s="341">
        <v>121.02200000000001</v>
      </c>
      <c r="S578" s="342">
        <v>1.0017</v>
      </c>
      <c r="T578" s="700">
        <v>10512.553623106502</v>
      </c>
      <c r="U578" s="596">
        <v>-1851.18</v>
      </c>
      <c r="V578" s="343">
        <v>1</v>
      </c>
      <c r="W578" s="341">
        <v>19.887</v>
      </c>
      <c r="X578" s="343">
        <v>-36814.416660000003</v>
      </c>
      <c r="Y578" s="343">
        <v>-26301.863036893501</v>
      </c>
    </row>
    <row r="579" spans="6:25" ht="23" customHeight="1">
      <c r="M579" s="692"/>
      <c r="N579" s="340"/>
      <c r="O579" s="341"/>
      <c r="P579" s="700"/>
      <c r="Q579" s="341"/>
      <c r="R579" s="341"/>
      <c r="S579" s="342"/>
      <c r="T579" s="700"/>
      <c r="U579" s="596"/>
      <c r="V579" s="343"/>
      <c r="W579" s="341"/>
      <c r="X579" s="343"/>
      <c r="Y579" s="343"/>
    </row>
    <row r="580" spans="6:25" ht="23" customHeight="1">
      <c r="F580" s="580" t="s">
        <v>941</v>
      </c>
      <c r="G580" s="580"/>
      <c r="H580" s="580"/>
      <c r="I580" s="580"/>
      <c r="J580" s="580"/>
      <c r="K580" s="580"/>
      <c r="L580" s="580"/>
      <c r="M580" s="705">
        <v>3137.9800000000005</v>
      </c>
      <c r="N580" s="664">
        <v>1</v>
      </c>
      <c r="O580" s="582">
        <v>20.066500000000001</v>
      </c>
      <c r="P580" s="708">
        <v>62968.27567000001</v>
      </c>
      <c r="Q580" s="582">
        <v>120.809</v>
      </c>
      <c r="R580" s="582">
        <v>121.02200000000001</v>
      </c>
      <c r="S580" s="583">
        <v>1.0017</v>
      </c>
      <c r="T580" s="708">
        <v>63075.321738639017</v>
      </c>
      <c r="U580" s="599">
        <v>-1851.18</v>
      </c>
      <c r="V580" s="581">
        <v>0.5</v>
      </c>
      <c r="W580" s="582">
        <v>19.876350000000002</v>
      </c>
      <c r="X580" s="581">
        <v>-36814.416660000003</v>
      </c>
      <c r="Y580" s="581">
        <v>26260.905078639011</v>
      </c>
    </row>
    <row r="581" spans="6:25" ht="23" customHeight="1">
      <c r="M581" s="692"/>
      <c r="N581" s="340"/>
      <c r="O581" s="341"/>
      <c r="P581" s="700"/>
      <c r="Q581" s="341"/>
      <c r="R581" s="341"/>
      <c r="S581" s="342"/>
      <c r="T581" s="700"/>
      <c r="U581" s="596"/>
      <c r="V581" s="343"/>
      <c r="W581" s="341"/>
      <c r="X581" s="343"/>
      <c r="Y581" s="343"/>
    </row>
    <row r="582" spans="6:25" ht="23" customHeight="1">
      <c r="F582" s="1" t="s">
        <v>748</v>
      </c>
      <c r="M582" s="692"/>
      <c r="N582" s="340"/>
      <c r="O582" s="341"/>
      <c r="P582" s="700"/>
      <c r="Q582" s="341"/>
      <c r="R582" s="341"/>
      <c r="S582" s="342"/>
      <c r="T582" s="700"/>
      <c r="U582" s="596"/>
      <c r="V582" s="343"/>
      <c r="W582" s="341"/>
      <c r="X582" s="343"/>
      <c r="Y582" s="343"/>
    </row>
    <row r="583" spans="6:25" ht="23" customHeight="1">
      <c r="G583" s="691">
        <v>-6</v>
      </c>
      <c r="H583" s="691"/>
      <c r="I583" s="691"/>
      <c r="J583" s="691"/>
      <c r="K583" s="691"/>
      <c r="L583" s="691"/>
      <c r="M583" s="692"/>
      <c r="N583" s="340"/>
      <c r="O583" s="341"/>
      <c r="P583" s="700"/>
      <c r="Q583" s="341"/>
      <c r="R583" s="341"/>
      <c r="S583" s="342"/>
      <c r="T583" s="700"/>
      <c r="U583" s="596"/>
      <c r="V583" s="343"/>
      <c r="W583" s="341"/>
      <c r="X583" s="343"/>
      <c r="Y583" s="343"/>
    </row>
    <row r="584" spans="6:25" ht="23" customHeight="1">
      <c r="H584" s="3" t="s">
        <v>268</v>
      </c>
      <c r="I584" s="3"/>
      <c r="J584" s="3"/>
      <c r="K584" s="3"/>
      <c r="L584" s="3"/>
      <c r="M584" s="692"/>
      <c r="N584" s="340"/>
      <c r="O584" s="341"/>
      <c r="P584" s="700"/>
      <c r="Q584" s="341"/>
      <c r="R584" s="341"/>
      <c r="S584" s="342"/>
      <c r="T584" s="700"/>
      <c r="U584" s="596"/>
      <c r="V584" s="343"/>
      <c r="W584" s="341"/>
      <c r="X584" s="343"/>
      <c r="Y584" s="343"/>
    </row>
    <row r="585" spans="6:25" ht="23" customHeight="1">
      <c r="I585" s="344">
        <v>44572</v>
      </c>
      <c r="J585" s="344"/>
      <c r="K585" s="344"/>
      <c r="L585" s="344"/>
      <c r="M585" s="692"/>
      <c r="N585" s="340"/>
      <c r="O585" s="341"/>
      <c r="P585" s="700"/>
      <c r="Q585" s="341"/>
      <c r="R585" s="341"/>
      <c r="S585" s="342"/>
      <c r="T585" s="700"/>
      <c r="U585" s="596"/>
      <c r="V585" s="343"/>
      <c r="W585" s="341"/>
      <c r="X585" s="343"/>
      <c r="Y585" s="343"/>
    </row>
    <row r="586" spans="6:25" ht="23" customHeight="1">
      <c r="J586" s="345">
        <v>44659</v>
      </c>
      <c r="K586" s="345"/>
      <c r="L586" s="345"/>
      <c r="M586" s="692"/>
      <c r="N586" s="340"/>
      <c r="O586" s="341"/>
      <c r="P586" s="700"/>
      <c r="Q586" s="341"/>
      <c r="R586" s="341"/>
      <c r="S586" s="342"/>
      <c r="T586" s="700"/>
      <c r="U586" s="596"/>
      <c r="V586" s="343"/>
      <c r="W586" s="341"/>
      <c r="X586" s="343"/>
      <c r="Y586" s="343"/>
    </row>
    <row r="587" spans="6:25" ht="23" customHeight="1">
      <c r="K587" s="3" t="s">
        <v>267</v>
      </c>
      <c r="L587" s="3"/>
      <c r="M587" s="692"/>
      <c r="N587" s="340"/>
      <c r="O587" s="341"/>
      <c r="P587" s="700"/>
      <c r="Q587" s="341"/>
      <c r="R587" s="341"/>
      <c r="S587" s="342"/>
      <c r="T587" s="700"/>
      <c r="U587" s="596"/>
      <c r="V587" s="343"/>
      <c r="W587" s="341"/>
      <c r="X587" s="343"/>
      <c r="Y587" s="343"/>
    </row>
    <row r="588" spans="6:25" ht="23" customHeight="1">
      <c r="L588" s="691">
        <v>6</v>
      </c>
      <c r="M588" s="692">
        <v>4055.97</v>
      </c>
      <c r="N588" s="340">
        <v>1</v>
      </c>
      <c r="O588" s="341">
        <v>20.4237</v>
      </c>
      <c r="P588" s="700">
        <v>82837.914489000003</v>
      </c>
      <c r="Q588" s="341">
        <v>118.002</v>
      </c>
      <c r="R588" s="341">
        <v>120.809</v>
      </c>
      <c r="S588" s="342">
        <v>1.0237000000000001</v>
      </c>
      <c r="T588" s="700">
        <v>84801.173062389309</v>
      </c>
      <c r="U588" s="596">
        <v>-126</v>
      </c>
      <c r="V588" s="343">
        <v>1</v>
      </c>
      <c r="W588" s="341">
        <v>20.066500000000001</v>
      </c>
      <c r="X588" s="343">
        <v>-2528.3790000000004</v>
      </c>
      <c r="Y588" s="343">
        <v>82272.794062389308</v>
      </c>
    </row>
    <row r="589" spans="6:25" ht="23" customHeight="1">
      <c r="M589" s="692"/>
      <c r="N589" s="340"/>
      <c r="O589" s="341"/>
      <c r="P589" s="700"/>
      <c r="Q589" s="341"/>
      <c r="R589" s="341"/>
      <c r="S589" s="342"/>
      <c r="T589" s="700"/>
      <c r="U589" s="596"/>
      <c r="V589" s="343"/>
      <c r="W589" s="341"/>
      <c r="X589" s="343"/>
      <c r="Y589" s="343"/>
    </row>
    <row r="590" spans="6:25" ht="23" customHeight="1">
      <c r="F590" s="580" t="s">
        <v>942</v>
      </c>
      <c r="G590" s="580"/>
      <c r="H590" s="580"/>
      <c r="I590" s="580"/>
      <c r="J590" s="580"/>
      <c r="K590" s="580"/>
      <c r="L590" s="580"/>
      <c r="M590" s="705">
        <v>4055.97</v>
      </c>
      <c r="N590" s="664">
        <v>1</v>
      </c>
      <c r="O590" s="582">
        <v>20.4237</v>
      </c>
      <c r="P590" s="708">
        <v>82837.914489000003</v>
      </c>
      <c r="Q590" s="582">
        <v>118.002</v>
      </c>
      <c r="R590" s="582">
        <v>120.809</v>
      </c>
      <c r="S590" s="583">
        <v>1.0237000000000001</v>
      </c>
      <c r="T590" s="708">
        <v>84801.173062389309</v>
      </c>
      <c r="U590" s="599">
        <v>-126</v>
      </c>
      <c r="V590" s="581">
        <v>1</v>
      </c>
      <c r="W590" s="582">
        <v>20.066500000000001</v>
      </c>
      <c r="X590" s="581">
        <v>-2528.3790000000004</v>
      </c>
      <c r="Y590" s="581">
        <v>82272.794062389308</v>
      </c>
    </row>
    <row r="591" spans="6:25" ht="23" customHeight="1">
      <c r="M591" s="692"/>
      <c r="N591" s="340"/>
      <c r="O591" s="341"/>
      <c r="P591" s="700"/>
      <c r="Q591" s="341"/>
      <c r="R591" s="341"/>
      <c r="S591" s="342"/>
      <c r="T591" s="700"/>
      <c r="U591" s="596"/>
      <c r="V591" s="343"/>
      <c r="W591" s="341"/>
      <c r="X591" s="343"/>
      <c r="Y591" s="343"/>
    </row>
    <row r="592" spans="6:25" ht="23" customHeight="1">
      <c r="F592" s="1" t="s">
        <v>753</v>
      </c>
      <c r="M592" s="692"/>
      <c r="N592" s="340"/>
      <c r="O592" s="341"/>
      <c r="P592" s="700"/>
      <c r="Q592" s="341"/>
      <c r="R592" s="341"/>
      <c r="S592" s="342"/>
      <c r="T592" s="700"/>
      <c r="U592" s="596"/>
      <c r="V592" s="343"/>
      <c r="W592" s="341"/>
      <c r="X592" s="343"/>
      <c r="Y592" s="343"/>
    </row>
    <row r="593" spans="6:25" ht="23" customHeight="1">
      <c r="G593" s="691">
        <v>-6</v>
      </c>
      <c r="H593" s="691"/>
      <c r="I593" s="691"/>
      <c r="J593" s="691"/>
      <c r="K593" s="691"/>
      <c r="L593" s="691"/>
      <c r="M593" s="692"/>
      <c r="N593" s="340"/>
      <c r="O593" s="341"/>
      <c r="P593" s="700"/>
      <c r="Q593" s="341"/>
      <c r="R593" s="341"/>
      <c r="S593" s="342"/>
      <c r="T593" s="700"/>
      <c r="U593" s="596"/>
      <c r="V593" s="343"/>
      <c r="W593" s="341"/>
      <c r="X593" s="343"/>
      <c r="Y593" s="343"/>
    </row>
    <row r="594" spans="6:25" ht="23" customHeight="1">
      <c r="H594" s="3" t="s">
        <v>268</v>
      </c>
      <c r="I594" s="3"/>
      <c r="J594" s="3"/>
      <c r="K594" s="3"/>
      <c r="L594" s="3"/>
      <c r="M594" s="692"/>
      <c r="N594" s="340"/>
      <c r="O594" s="341"/>
      <c r="P594" s="700"/>
      <c r="Q594" s="341"/>
      <c r="R594" s="341"/>
      <c r="S594" s="342"/>
      <c r="T594" s="700"/>
      <c r="U594" s="596"/>
      <c r="V594" s="343"/>
      <c r="W594" s="341"/>
      <c r="X594" s="343"/>
      <c r="Y594" s="343"/>
    </row>
    <row r="595" spans="6:25" ht="23" customHeight="1">
      <c r="I595" s="344">
        <v>44602</v>
      </c>
      <c r="J595" s="344"/>
      <c r="K595" s="344"/>
      <c r="L595" s="344"/>
      <c r="M595" s="692"/>
      <c r="N595" s="340"/>
      <c r="O595" s="341"/>
      <c r="P595" s="700"/>
      <c r="Q595" s="341"/>
      <c r="R595" s="341"/>
      <c r="S595" s="342"/>
      <c r="T595" s="700"/>
      <c r="U595" s="596"/>
      <c r="V595" s="343"/>
      <c r="W595" s="341"/>
      <c r="X595" s="343"/>
      <c r="Y595" s="343"/>
    </row>
    <row r="596" spans="6:25" ht="23" customHeight="1">
      <c r="J596" s="345">
        <v>44663</v>
      </c>
      <c r="K596" s="345"/>
      <c r="L596" s="345"/>
      <c r="M596" s="692"/>
      <c r="N596" s="340"/>
      <c r="O596" s="341"/>
      <c r="P596" s="700"/>
      <c r="Q596" s="341"/>
      <c r="R596" s="341"/>
      <c r="S596" s="342"/>
      <c r="T596" s="700"/>
      <c r="U596" s="596"/>
      <c r="V596" s="343"/>
      <c r="W596" s="341"/>
      <c r="X596" s="343"/>
      <c r="Y596" s="343"/>
    </row>
    <row r="597" spans="6:25" ht="23" customHeight="1">
      <c r="K597" s="3" t="s">
        <v>267</v>
      </c>
      <c r="L597" s="3"/>
      <c r="M597" s="692"/>
      <c r="N597" s="340"/>
      <c r="O597" s="341"/>
      <c r="P597" s="700"/>
      <c r="Q597" s="341"/>
      <c r="R597" s="341"/>
      <c r="S597" s="342"/>
      <c r="T597" s="700"/>
      <c r="U597" s="596"/>
      <c r="V597" s="343"/>
      <c r="W597" s="341"/>
      <c r="X597" s="343"/>
      <c r="Y597" s="343"/>
    </row>
    <row r="598" spans="6:25" ht="23" customHeight="1">
      <c r="L598" s="691">
        <v>6</v>
      </c>
      <c r="M598" s="692">
        <v>5336.79</v>
      </c>
      <c r="N598" s="340">
        <v>1</v>
      </c>
      <c r="O598" s="341">
        <v>20.641300000000001</v>
      </c>
      <c r="P598" s="700">
        <v>110158.283427</v>
      </c>
      <c r="Q598" s="341">
        <v>118.98099999999999</v>
      </c>
      <c r="R598" s="341">
        <v>120.809</v>
      </c>
      <c r="S598" s="342">
        <v>1.0153000000000001</v>
      </c>
      <c r="T598" s="700">
        <v>111843.70516343311</v>
      </c>
      <c r="U598" s="596">
        <v>-107.4</v>
      </c>
      <c r="V598" s="343">
        <v>1</v>
      </c>
      <c r="W598" s="341">
        <v>20.12</v>
      </c>
      <c r="X598" s="343">
        <v>-2160.8880000000004</v>
      </c>
      <c r="Y598" s="343">
        <v>109682.81716343312</v>
      </c>
    </row>
    <row r="599" spans="6:25" ht="23" customHeight="1">
      <c r="M599" s="692"/>
      <c r="N599" s="340"/>
      <c r="O599" s="341"/>
      <c r="P599" s="700"/>
      <c r="Q599" s="341"/>
      <c r="R599" s="341"/>
      <c r="S599" s="342"/>
      <c r="T599" s="700"/>
      <c r="U599" s="596"/>
      <c r="V599" s="343"/>
      <c r="W599" s="341"/>
      <c r="X599" s="343"/>
      <c r="Y599" s="343"/>
    </row>
    <row r="600" spans="6:25" ht="23" customHeight="1">
      <c r="F600" s="580" t="s">
        <v>943</v>
      </c>
      <c r="G600" s="580"/>
      <c r="H600" s="580"/>
      <c r="I600" s="580"/>
      <c r="J600" s="580"/>
      <c r="K600" s="580"/>
      <c r="L600" s="580"/>
      <c r="M600" s="705">
        <v>5336.79</v>
      </c>
      <c r="N600" s="664">
        <v>1</v>
      </c>
      <c r="O600" s="582">
        <v>20.641300000000001</v>
      </c>
      <c r="P600" s="708">
        <v>110158.283427</v>
      </c>
      <c r="Q600" s="582">
        <v>118.98099999999999</v>
      </c>
      <c r="R600" s="582">
        <v>120.809</v>
      </c>
      <c r="S600" s="583">
        <v>1.0153000000000001</v>
      </c>
      <c r="T600" s="708">
        <v>111843.70516343311</v>
      </c>
      <c r="U600" s="599">
        <v>-107.4</v>
      </c>
      <c r="V600" s="581">
        <v>1</v>
      </c>
      <c r="W600" s="582">
        <v>20.12</v>
      </c>
      <c r="X600" s="581">
        <v>-2160.8880000000004</v>
      </c>
      <c r="Y600" s="581">
        <v>109682.81716343312</v>
      </c>
    </row>
    <row r="601" spans="6:25" ht="23" customHeight="1">
      <c r="M601" s="692"/>
      <c r="N601" s="340"/>
      <c r="O601" s="341"/>
      <c r="P601" s="700"/>
      <c r="Q601" s="341"/>
      <c r="R601" s="341"/>
      <c r="S601" s="342"/>
      <c r="T601" s="700"/>
      <c r="U601" s="596"/>
      <c r="V601" s="343"/>
      <c r="W601" s="341"/>
      <c r="X601" s="343"/>
      <c r="Y601" s="343"/>
    </row>
    <row r="602" spans="6:25" ht="23" customHeight="1">
      <c r="F602" s="1" t="s">
        <v>744</v>
      </c>
      <c r="M602" s="692"/>
      <c r="N602" s="340"/>
      <c r="O602" s="341"/>
      <c r="P602" s="700"/>
      <c r="Q602" s="341"/>
      <c r="R602" s="341"/>
      <c r="S602" s="342"/>
      <c r="T602" s="700"/>
      <c r="U602" s="596"/>
      <c r="V602" s="343"/>
      <c r="W602" s="341"/>
      <c r="X602" s="343"/>
      <c r="Y602" s="343"/>
    </row>
    <row r="603" spans="6:25" ht="23" customHeight="1">
      <c r="G603" s="691">
        <v>-6</v>
      </c>
      <c r="H603" s="691"/>
      <c r="I603" s="691"/>
      <c r="J603" s="691"/>
      <c r="K603" s="691"/>
      <c r="L603" s="691"/>
      <c r="M603" s="692"/>
      <c r="N603" s="340"/>
      <c r="O603" s="341"/>
      <c r="P603" s="700"/>
      <c r="Q603" s="341"/>
      <c r="R603" s="341"/>
      <c r="S603" s="342"/>
      <c r="T603" s="700"/>
      <c r="U603" s="596"/>
      <c r="V603" s="343"/>
      <c r="W603" s="341"/>
      <c r="X603" s="343"/>
      <c r="Y603" s="343"/>
    </row>
    <row r="604" spans="6:25" ht="23" customHeight="1">
      <c r="H604" s="3" t="s">
        <v>268</v>
      </c>
      <c r="I604" s="3"/>
      <c r="J604" s="3"/>
      <c r="K604" s="3"/>
      <c r="L604" s="3"/>
      <c r="M604" s="692"/>
      <c r="N604" s="340"/>
      <c r="O604" s="341"/>
      <c r="P604" s="700"/>
      <c r="Q604" s="341"/>
      <c r="R604" s="341"/>
      <c r="S604" s="342"/>
      <c r="T604" s="700"/>
      <c r="U604" s="596"/>
      <c r="V604" s="343"/>
      <c r="W604" s="341"/>
      <c r="X604" s="343"/>
      <c r="Y604" s="343"/>
    </row>
    <row r="605" spans="6:25" ht="23" customHeight="1">
      <c r="I605" s="344">
        <v>44502</v>
      </c>
      <c r="J605" s="344"/>
      <c r="K605" s="344"/>
      <c r="L605" s="344"/>
      <c r="M605" s="692"/>
      <c r="N605" s="340"/>
      <c r="O605" s="341"/>
      <c r="P605" s="700"/>
      <c r="Q605" s="341"/>
      <c r="R605" s="341"/>
      <c r="S605" s="342"/>
      <c r="T605" s="700"/>
      <c r="U605" s="596"/>
      <c r="V605" s="343"/>
      <c r="W605" s="341"/>
      <c r="X605" s="343"/>
      <c r="Y605" s="343"/>
    </row>
    <row r="606" spans="6:25" ht="23" customHeight="1">
      <c r="J606" s="345">
        <v>44609</v>
      </c>
      <c r="K606" s="345"/>
      <c r="L606" s="345"/>
      <c r="M606" s="692"/>
      <c r="N606" s="340"/>
      <c r="O606" s="341"/>
      <c r="P606" s="700"/>
      <c r="Q606" s="341"/>
      <c r="R606" s="341"/>
      <c r="S606" s="342"/>
      <c r="T606" s="700"/>
      <c r="U606" s="596"/>
      <c r="V606" s="343"/>
      <c r="W606" s="341"/>
      <c r="X606" s="343"/>
      <c r="Y606" s="343"/>
    </row>
    <row r="607" spans="6:25" ht="23" customHeight="1">
      <c r="K607" s="3" t="s">
        <v>267</v>
      </c>
      <c r="L607" s="3"/>
      <c r="M607" s="692"/>
      <c r="N607" s="340"/>
      <c r="O607" s="341"/>
      <c r="P607" s="700"/>
      <c r="Q607" s="341"/>
      <c r="R607" s="341"/>
      <c r="S607" s="342"/>
      <c r="T607" s="700"/>
      <c r="U607" s="596"/>
      <c r="V607" s="343"/>
      <c r="W607" s="341"/>
      <c r="X607" s="343"/>
      <c r="Y607" s="343"/>
    </row>
    <row r="608" spans="6:25" ht="23" customHeight="1">
      <c r="L608" s="691">
        <v>6</v>
      </c>
      <c r="M608" s="692">
        <v>5161.47</v>
      </c>
      <c r="N608" s="340">
        <v>1</v>
      </c>
      <c r="O608" s="341">
        <v>20.529699999999998</v>
      </c>
      <c r="P608" s="700">
        <v>105963.43065899999</v>
      </c>
      <c r="Q608" s="341">
        <v>116.884</v>
      </c>
      <c r="R608" s="341">
        <v>118.98099999999999</v>
      </c>
      <c r="S608" s="342">
        <v>1.0179</v>
      </c>
      <c r="T608" s="700">
        <v>107860.1760677961</v>
      </c>
      <c r="U608" s="596">
        <v>-370.92</v>
      </c>
      <c r="V608" s="343">
        <v>1</v>
      </c>
      <c r="W608" s="341">
        <v>20.3992</v>
      </c>
      <c r="X608" s="343">
        <v>-7566.4712640000007</v>
      </c>
      <c r="Y608" s="343">
        <v>100293.70480379609</v>
      </c>
    </row>
    <row r="609" spans="6:25" ht="23" customHeight="1">
      <c r="M609" s="692"/>
      <c r="N609" s="340"/>
      <c r="O609" s="341"/>
      <c r="P609" s="700"/>
      <c r="Q609" s="341"/>
      <c r="R609" s="341"/>
      <c r="S609" s="342"/>
      <c r="T609" s="700"/>
      <c r="U609" s="596"/>
      <c r="V609" s="343"/>
      <c r="W609" s="341"/>
      <c r="X609" s="343"/>
      <c r="Y609" s="343"/>
    </row>
    <row r="610" spans="6:25" ht="23" customHeight="1">
      <c r="F610" s="580" t="s">
        <v>944</v>
      </c>
      <c r="G610" s="580"/>
      <c r="H610" s="580"/>
      <c r="I610" s="580"/>
      <c r="J610" s="580"/>
      <c r="K610" s="580"/>
      <c r="L610" s="580"/>
      <c r="M610" s="705">
        <v>5161.47</v>
      </c>
      <c r="N610" s="664">
        <v>1</v>
      </c>
      <c r="O610" s="582">
        <v>20.529699999999998</v>
      </c>
      <c r="P610" s="708">
        <v>105963.43065899999</v>
      </c>
      <c r="Q610" s="582">
        <v>116.884</v>
      </c>
      <c r="R610" s="582">
        <v>118.98099999999999</v>
      </c>
      <c r="S610" s="583">
        <v>1.0179</v>
      </c>
      <c r="T610" s="708">
        <v>107860.1760677961</v>
      </c>
      <c r="U610" s="599">
        <v>-370.92</v>
      </c>
      <c r="V610" s="581">
        <v>1</v>
      </c>
      <c r="W610" s="582">
        <v>20.3992</v>
      </c>
      <c r="X610" s="581">
        <v>-7566.4712640000007</v>
      </c>
      <c r="Y610" s="581">
        <v>100293.70480379609</v>
      </c>
    </row>
    <row r="611" spans="6:25" ht="23" customHeight="1">
      <c r="M611" s="692"/>
      <c r="N611" s="340"/>
      <c r="O611" s="341"/>
      <c r="P611" s="700"/>
      <c r="Q611" s="341"/>
      <c r="R611" s="341"/>
      <c r="S611" s="342"/>
      <c r="T611" s="700"/>
      <c r="U611" s="596"/>
      <c r="V611" s="343"/>
      <c r="W611" s="341"/>
      <c r="X611" s="343"/>
      <c r="Y611" s="343"/>
    </row>
    <row r="612" spans="6:25" ht="23" customHeight="1">
      <c r="F612" s="1" t="s">
        <v>754</v>
      </c>
      <c r="M612" s="692"/>
      <c r="N612" s="340"/>
      <c r="O612" s="341"/>
      <c r="P612" s="700"/>
      <c r="Q612" s="341"/>
      <c r="R612" s="341"/>
      <c r="S612" s="342"/>
      <c r="T612" s="700"/>
      <c r="U612" s="596"/>
      <c r="V612" s="343"/>
      <c r="W612" s="341"/>
      <c r="X612" s="343"/>
      <c r="Y612" s="343"/>
    </row>
    <row r="613" spans="6:25" ht="23" customHeight="1">
      <c r="G613" s="691">
        <v>-6</v>
      </c>
      <c r="H613" s="691"/>
      <c r="I613" s="691"/>
      <c r="J613" s="691"/>
      <c r="K613" s="691"/>
      <c r="L613" s="691"/>
      <c r="M613" s="692"/>
      <c r="N613" s="340"/>
      <c r="O613" s="341"/>
      <c r="P613" s="700"/>
      <c r="Q613" s="341"/>
      <c r="R613" s="341"/>
      <c r="S613" s="342"/>
      <c r="T613" s="700"/>
      <c r="U613" s="596"/>
      <c r="V613" s="343"/>
      <c r="W613" s="341"/>
      <c r="X613" s="343"/>
      <c r="Y613" s="343"/>
    </row>
    <row r="614" spans="6:25" ht="23" customHeight="1">
      <c r="H614" s="3" t="s">
        <v>268</v>
      </c>
      <c r="I614" s="3"/>
      <c r="J614" s="3"/>
      <c r="K614" s="3"/>
      <c r="L614" s="3"/>
      <c r="M614" s="692"/>
      <c r="N614" s="340"/>
      <c r="O614" s="341"/>
      <c r="P614" s="700"/>
      <c r="Q614" s="341"/>
      <c r="R614" s="341"/>
      <c r="S614" s="342"/>
      <c r="T614" s="700"/>
      <c r="U614" s="596"/>
      <c r="V614" s="343"/>
      <c r="W614" s="341"/>
      <c r="X614" s="343"/>
      <c r="Y614" s="343"/>
    </row>
    <row r="615" spans="6:25" ht="23" customHeight="1">
      <c r="I615" s="344">
        <v>44602</v>
      </c>
      <c r="J615" s="344"/>
      <c r="K615" s="344"/>
      <c r="L615" s="344"/>
      <c r="M615" s="692"/>
      <c r="N615" s="340"/>
      <c r="O615" s="341"/>
      <c r="P615" s="700"/>
      <c r="Q615" s="341"/>
      <c r="R615" s="341"/>
      <c r="S615" s="342"/>
      <c r="T615" s="700"/>
      <c r="U615" s="596"/>
      <c r="V615" s="343"/>
      <c r="W615" s="341"/>
      <c r="X615" s="343"/>
      <c r="Y615" s="343"/>
    </row>
    <row r="616" spans="6:25" ht="23" customHeight="1">
      <c r="J616" s="345">
        <v>44648</v>
      </c>
      <c r="K616" s="345"/>
      <c r="L616" s="345"/>
      <c r="M616" s="692"/>
      <c r="N616" s="340"/>
      <c r="O616" s="341"/>
      <c r="P616" s="700"/>
      <c r="Q616" s="341"/>
      <c r="R616" s="341"/>
      <c r="S616" s="342"/>
      <c r="T616" s="700"/>
      <c r="U616" s="596"/>
      <c r="V616" s="343"/>
      <c r="W616" s="341"/>
      <c r="X616" s="343"/>
      <c r="Y616" s="343"/>
    </row>
    <row r="617" spans="6:25" ht="23" customHeight="1">
      <c r="K617" s="3" t="s">
        <v>267</v>
      </c>
      <c r="L617" s="3"/>
      <c r="M617" s="692"/>
      <c r="N617" s="340"/>
      <c r="O617" s="341"/>
      <c r="P617" s="700"/>
      <c r="Q617" s="341"/>
      <c r="R617" s="341"/>
      <c r="S617" s="342"/>
      <c r="T617" s="700"/>
      <c r="U617" s="596"/>
      <c r="V617" s="343"/>
      <c r="W617" s="341"/>
      <c r="X617" s="343"/>
      <c r="Y617" s="343"/>
    </row>
    <row r="618" spans="6:25" ht="23" customHeight="1">
      <c r="L618" s="691">
        <v>6</v>
      </c>
      <c r="M618" s="692">
        <v>5003.97</v>
      </c>
      <c r="N618" s="340">
        <v>1</v>
      </c>
      <c r="O618" s="341">
        <v>20.641300000000001</v>
      </c>
      <c r="P618" s="700">
        <v>103288.445961</v>
      </c>
      <c r="Q618" s="341">
        <v>118.98099999999999</v>
      </c>
      <c r="R618" s="341">
        <v>120.15900000000001</v>
      </c>
      <c r="S618" s="342">
        <v>1.0099</v>
      </c>
      <c r="T618" s="700">
        <v>104311.00157601391</v>
      </c>
      <c r="U618" s="596">
        <v>-143.88</v>
      </c>
      <c r="V618" s="343">
        <v>1</v>
      </c>
      <c r="W618" s="341">
        <v>20.1313</v>
      </c>
      <c r="X618" s="343">
        <v>-2896.4914439999998</v>
      </c>
      <c r="Y618" s="343">
        <v>101414.51013201389</v>
      </c>
    </row>
    <row r="619" spans="6:25" ht="23" customHeight="1">
      <c r="M619" s="692"/>
      <c r="N619" s="340"/>
      <c r="O619" s="341"/>
      <c r="P619" s="700"/>
      <c r="Q619" s="341"/>
      <c r="R619" s="341"/>
      <c r="S619" s="342"/>
      <c r="T619" s="700"/>
      <c r="U619" s="596"/>
      <c r="V619" s="343"/>
      <c r="W619" s="341"/>
      <c r="X619" s="343"/>
      <c r="Y619" s="343"/>
    </row>
    <row r="620" spans="6:25" ht="23" customHeight="1">
      <c r="F620" s="580" t="s">
        <v>945</v>
      </c>
      <c r="G620" s="580"/>
      <c r="H620" s="580"/>
      <c r="I620" s="580"/>
      <c r="J620" s="580"/>
      <c r="K620" s="580"/>
      <c r="L620" s="580"/>
      <c r="M620" s="705">
        <v>5003.97</v>
      </c>
      <c r="N620" s="664">
        <v>1</v>
      </c>
      <c r="O620" s="582">
        <v>20.641300000000001</v>
      </c>
      <c r="P620" s="708">
        <v>103288.445961</v>
      </c>
      <c r="Q620" s="582">
        <v>118.98099999999999</v>
      </c>
      <c r="R620" s="582">
        <v>120.15900000000001</v>
      </c>
      <c r="S620" s="583">
        <v>1.0099</v>
      </c>
      <c r="T620" s="708">
        <v>104311.00157601391</v>
      </c>
      <c r="U620" s="599">
        <v>-143.88</v>
      </c>
      <c r="V620" s="581">
        <v>1</v>
      </c>
      <c r="W620" s="582">
        <v>20.1313</v>
      </c>
      <c r="X620" s="581">
        <v>-2896.4914439999998</v>
      </c>
      <c r="Y620" s="581">
        <v>101414.51013201389</v>
      </c>
    </row>
    <row r="621" spans="6:25" ht="23" customHeight="1">
      <c r="M621" s="692"/>
      <c r="N621" s="340"/>
      <c r="O621" s="341"/>
      <c r="P621" s="700"/>
      <c r="Q621" s="341"/>
      <c r="R621" s="341"/>
      <c r="S621" s="342"/>
      <c r="T621" s="700"/>
      <c r="U621" s="596"/>
      <c r="V621" s="343"/>
      <c r="W621" s="341"/>
      <c r="X621" s="343"/>
      <c r="Y621" s="343"/>
    </row>
    <row r="622" spans="6:25" ht="23" customHeight="1">
      <c r="F622" s="1" t="s">
        <v>759</v>
      </c>
      <c r="M622" s="692"/>
      <c r="N622" s="340"/>
      <c r="O622" s="341"/>
      <c r="P622" s="700"/>
      <c r="Q622" s="341"/>
      <c r="R622" s="341"/>
      <c r="S622" s="342"/>
      <c r="T622" s="700"/>
      <c r="U622" s="596"/>
      <c r="V622" s="343"/>
      <c r="W622" s="341"/>
      <c r="X622" s="343"/>
      <c r="Y622" s="343"/>
    </row>
    <row r="623" spans="6:25" ht="23" customHeight="1">
      <c r="G623" s="691">
        <v>-6</v>
      </c>
      <c r="H623" s="691"/>
      <c r="I623" s="691"/>
      <c r="J623" s="691"/>
      <c r="K623" s="691"/>
      <c r="L623" s="691"/>
      <c r="M623" s="692"/>
      <c r="N623" s="340"/>
      <c r="O623" s="341"/>
      <c r="P623" s="700"/>
      <c r="Q623" s="341"/>
      <c r="R623" s="341"/>
      <c r="S623" s="342"/>
      <c r="T623" s="700"/>
      <c r="U623" s="596"/>
      <c r="V623" s="343"/>
      <c r="W623" s="341"/>
      <c r="X623" s="343"/>
      <c r="Y623" s="343"/>
    </row>
    <row r="624" spans="6:25" ht="23" customHeight="1">
      <c r="H624" s="3" t="s">
        <v>268</v>
      </c>
      <c r="I624" s="3"/>
      <c r="J624" s="3"/>
      <c r="K624" s="3"/>
      <c r="L624" s="3"/>
      <c r="M624" s="692"/>
      <c r="N624" s="340"/>
      <c r="O624" s="341"/>
      <c r="P624" s="700"/>
      <c r="Q624" s="341"/>
      <c r="R624" s="341"/>
      <c r="S624" s="342"/>
      <c r="T624" s="700"/>
      <c r="U624" s="596"/>
      <c r="V624" s="343"/>
      <c r="W624" s="341"/>
      <c r="X624" s="343"/>
      <c r="Y624" s="343"/>
    </row>
    <row r="625" spans="6:25" ht="23" customHeight="1">
      <c r="I625" s="344">
        <v>44648</v>
      </c>
      <c r="J625" s="344"/>
      <c r="K625" s="344"/>
      <c r="L625" s="344"/>
      <c r="M625" s="692"/>
      <c r="N625" s="340"/>
      <c r="O625" s="341"/>
      <c r="P625" s="700"/>
      <c r="Q625" s="341"/>
      <c r="R625" s="341"/>
      <c r="S625" s="342"/>
      <c r="T625" s="700"/>
      <c r="U625" s="596"/>
      <c r="V625" s="343"/>
      <c r="W625" s="341"/>
      <c r="X625" s="343"/>
      <c r="Y625" s="343"/>
    </row>
    <row r="626" spans="6:25" ht="23" customHeight="1">
      <c r="J626" s="345">
        <v>44686</v>
      </c>
      <c r="K626" s="345"/>
      <c r="L626" s="345"/>
      <c r="M626" s="692"/>
      <c r="N626" s="340"/>
      <c r="O626" s="341"/>
      <c r="P626" s="700"/>
      <c r="Q626" s="341"/>
      <c r="R626" s="341"/>
      <c r="S626" s="342"/>
      <c r="T626" s="700"/>
      <c r="U626" s="596"/>
      <c r="V626" s="343"/>
      <c r="W626" s="341"/>
      <c r="X626" s="343"/>
      <c r="Y626" s="343"/>
    </row>
    <row r="627" spans="6:25" ht="23" customHeight="1">
      <c r="K627" s="3" t="s">
        <v>267</v>
      </c>
      <c r="L627" s="3"/>
      <c r="M627" s="692"/>
      <c r="N627" s="340"/>
      <c r="O627" s="341"/>
      <c r="P627" s="700"/>
      <c r="Q627" s="341"/>
      <c r="R627" s="341"/>
      <c r="S627" s="342"/>
      <c r="T627" s="700"/>
      <c r="U627" s="596"/>
      <c r="V627" s="343"/>
      <c r="W627" s="341"/>
      <c r="X627" s="343"/>
      <c r="Y627" s="343"/>
    </row>
    <row r="628" spans="6:25" ht="23" customHeight="1">
      <c r="L628" s="691">
        <v>6</v>
      </c>
      <c r="M628" s="692">
        <v>3432.04</v>
      </c>
      <c r="N628" s="340">
        <v>1</v>
      </c>
      <c r="O628" s="341">
        <v>20.1313</v>
      </c>
      <c r="P628" s="700">
        <v>69091.426852000004</v>
      </c>
      <c r="Q628" s="341">
        <v>120.15900000000001</v>
      </c>
      <c r="R628" s="341">
        <v>121.02200000000001</v>
      </c>
      <c r="S628" s="342">
        <v>1.0071000000000001</v>
      </c>
      <c r="T628" s="700">
        <v>69581.975982649208</v>
      </c>
      <c r="U628" s="596">
        <v>-11804.28</v>
      </c>
      <c r="V628" s="343">
        <v>1</v>
      </c>
      <c r="W628" s="341">
        <v>20.335000000000001</v>
      </c>
      <c r="X628" s="343">
        <v>-240040.03380000003</v>
      </c>
      <c r="Y628" s="343">
        <v>-170458.05781735084</v>
      </c>
    </row>
    <row r="629" spans="6:25" ht="23" customHeight="1">
      <c r="M629" s="692"/>
      <c r="N629" s="340"/>
      <c r="O629" s="341"/>
      <c r="P629" s="700"/>
      <c r="Q629" s="341"/>
      <c r="R629" s="341"/>
      <c r="S629" s="342"/>
      <c r="T629" s="700"/>
      <c r="U629" s="596"/>
      <c r="V629" s="343"/>
      <c r="W629" s="341"/>
      <c r="X629" s="343"/>
      <c r="Y629" s="343"/>
    </row>
    <row r="630" spans="6:25" ht="23" customHeight="1">
      <c r="F630" s="580" t="s">
        <v>946</v>
      </c>
      <c r="G630" s="580"/>
      <c r="H630" s="580"/>
      <c r="I630" s="580"/>
      <c r="J630" s="580"/>
      <c r="K630" s="580"/>
      <c r="L630" s="580"/>
      <c r="M630" s="705">
        <v>3432.04</v>
      </c>
      <c r="N630" s="664">
        <v>1</v>
      </c>
      <c r="O630" s="582">
        <v>20.1313</v>
      </c>
      <c r="P630" s="708">
        <v>69091.426852000004</v>
      </c>
      <c r="Q630" s="582">
        <v>120.15900000000001</v>
      </c>
      <c r="R630" s="582">
        <v>121.02200000000001</v>
      </c>
      <c r="S630" s="583">
        <v>1.0071000000000001</v>
      </c>
      <c r="T630" s="708">
        <v>69581.975982649208</v>
      </c>
      <c r="U630" s="599">
        <v>-11804.28</v>
      </c>
      <c r="V630" s="581">
        <v>1</v>
      </c>
      <c r="W630" s="582">
        <v>20.335000000000001</v>
      </c>
      <c r="X630" s="581">
        <v>-240040.03380000003</v>
      </c>
      <c r="Y630" s="581">
        <v>-170458.05781735084</v>
      </c>
    </row>
    <row r="631" spans="6:25" ht="23" customHeight="1">
      <c r="M631" s="692"/>
      <c r="N631" s="340"/>
      <c r="O631" s="341"/>
      <c r="P631" s="700"/>
      <c r="Q631" s="341"/>
      <c r="R631" s="341"/>
      <c r="S631" s="342"/>
      <c r="T631" s="700"/>
      <c r="U631" s="596"/>
      <c r="V631" s="343"/>
      <c r="W631" s="341"/>
      <c r="X631" s="343"/>
      <c r="Y631" s="343"/>
    </row>
    <row r="632" spans="6:25" ht="23" customHeight="1">
      <c r="F632" s="1" t="s">
        <v>751</v>
      </c>
      <c r="M632" s="692"/>
      <c r="N632" s="340"/>
      <c r="O632" s="341"/>
      <c r="P632" s="700"/>
      <c r="Q632" s="341"/>
      <c r="R632" s="341"/>
      <c r="S632" s="342"/>
      <c r="T632" s="700"/>
      <c r="U632" s="596"/>
      <c r="V632" s="343"/>
      <c r="W632" s="341"/>
      <c r="X632" s="343"/>
      <c r="Y632" s="343"/>
    </row>
    <row r="633" spans="6:25" ht="23" customHeight="1">
      <c r="G633" s="691">
        <v>-6</v>
      </c>
      <c r="H633" s="691"/>
      <c r="I633" s="691"/>
      <c r="J633" s="691"/>
      <c r="K633" s="691"/>
      <c r="L633" s="691"/>
      <c r="M633" s="692"/>
      <c r="N633" s="340"/>
      <c r="O633" s="341"/>
      <c r="P633" s="700"/>
      <c r="Q633" s="341"/>
      <c r="R633" s="341"/>
      <c r="S633" s="342"/>
      <c r="T633" s="700"/>
      <c r="U633" s="596"/>
      <c r="V633" s="343"/>
      <c r="W633" s="341"/>
      <c r="X633" s="343"/>
      <c r="Y633" s="343"/>
    </row>
    <row r="634" spans="6:25" ht="23" customHeight="1">
      <c r="H634" s="3" t="s">
        <v>268</v>
      </c>
      <c r="I634" s="3"/>
      <c r="J634" s="3"/>
      <c r="K634" s="3"/>
      <c r="L634" s="3"/>
      <c r="M634" s="692"/>
      <c r="N634" s="340"/>
      <c r="O634" s="341"/>
      <c r="P634" s="700"/>
      <c r="Q634" s="341"/>
      <c r="R634" s="341"/>
      <c r="S634" s="342"/>
      <c r="T634" s="700"/>
      <c r="U634" s="596"/>
      <c r="V634" s="343"/>
      <c r="W634" s="341"/>
      <c r="X634" s="343"/>
      <c r="Y634" s="343"/>
    </row>
    <row r="635" spans="6:25" ht="23" customHeight="1">
      <c r="I635" s="344">
        <v>44543</v>
      </c>
      <c r="J635" s="344"/>
      <c r="K635" s="344"/>
      <c r="L635" s="344"/>
      <c r="M635" s="692"/>
      <c r="N635" s="340"/>
      <c r="O635" s="341"/>
      <c r="P635" s="700"/>
      <c r="Q635" s="341"/>
      <c r="R635" s="341"/>
      <c r="S635" s="342"/>
      <c r="T635" s="700"/>
      <c r="U635" s="596"/>
      <c r="V635" s="343"/>
      <c r="W635" s="341"/>
      <c r="X635" s="343"/>
      <c r="Y635" s="343"/>
    </row>
    <row r="636" spans="6:25" ht="23" customHeight="1">
      <c r="J636" s="345">
        <v>44572</v>
      </c>
      <c r="K636" s="345"/>
      <c r="L636" s="345"/>
      <c r="M636" s="692"/>
      <c r="N636" s="340"/>
      <c r="O636" s="341"/>
      <c r="P636" s="700"/>
      <c r="Q636" s="341"/>
      <c r="R636" s="341"/>
      <c r="S636" s="342"/>
      <c r="T636" s="700"/>
      <c r="U636" s="596"/>
      <c r="V636" s="343"/>
      <c r="W636" s="341"/>
      <c r="X636" s="343"/>
      <c r="Y636" s="343"/>
    </row>
    <row r="637" spans="6:25" ht="23" customHeight="1">
      <c r="K637" s="3" t="s">
        <v>267</v>
      </c>
      <c r="L637" s="3"/>
      <c r="M637" s="692"/>
      <c r="N637" s="340"/>
      <c r="O637" s="341"/>
      <c r="P637" s="700"/>
      <c r="Q637" s="341"/>
      <c r="R637" s="341"/>
      <c r="S637" s="342"/>
      <c r="T637" s="700"/>
      <c r="U637" s="596"/>
      <c r="V637" s="343"/>
      <c r="W637" s="341"/>
      <c r="X637" s="343"/>
      <c r="Y637" s="343"/>
    </row>
    <row r="638" spans="6:25" ht="23" customHeight="1">
      <c r="L638" s="691">
        <v>6</v>
      </c>
      <c r="M638" s="692">
        <v>2249.98</v>
      </c>
      <c r="N638" s="340">
        <v>1</v>
      </c>
      <c r="O638" s="341">
        <v>21.032800000000002</v>
      </c>
      <c r="P638" s="700">
        <v>47323.379344000001</v>
      </c>
      <c r="Q638" s="341">
        <v>117.30800000000001</v>
      </c>
      <c r="R638" s="341">
        <v>118.002</v>
      </c>
      <c r="S638" s="342">
        <v>1.0059</v>
      </c>
      <c r="T638" s="700">
        <v>47602.5872821296</v>
      </c>
      <c r="U638" s="596">
        <v>-78</v>
      </c>
      <c r="V638" s="343">
        <v>1</v>
      </c>
      <c r="W638" s="341">
        <v>20.4237</v>
      </c>
      <c r="X638" s="343">
        <v>-1593.0486000000001</v>
      </c>
      <c r="Y638" s="343">
        <v>46009.538682129598</v>
      </c>
    </row>
    <row r="639" spans="6:25" ht="23" customHeight="1">
      <c r="M639" s="692"/>
      <c r="N639" s="340"/>
      <c r="O639" s="341"/>
      <c r="P639" s="700"/>
      <c r="Q639" s="341"/>
      <c r="R639" s="341"/>
      <c r="S639" s="342"/>
      <c r="T639" s="700"/>
      <c r="U639" s="596"/>
      <c r="V639" s="343"/>
      <c r="W639" s="341"/>
      <c r="X639" s="343"/>
      <c r="Y639" s="343"/>
    </row>
    <row r="640" spans="6:25" ht="23" customHeight="1">
      <c r="F640" s="580" t="s">
        <v>947</v>
      </c>
      <c r="G640" s="580"/>
      <c r="H640" s="580"/>
      <c r="I640" s="580"/>
      <c r="J640" s="580"/>
      <c r="K640" s="580"/>
      <c r="L640" s="580"/>
      <c r="M640" s="705">
        <v>2249.98</v>
      </c>
      <c r="N640" s="664">
        <v>1</v>
      </c>
      <c r="O640" s="582">
        <v>21.032800000000002</v>
      </c>
      <c r="P640" s="708">
        <v>47323.379344000001</v>
      </c>
      <c r="Q640" s="582">
        <v>117.30800000000001</v>
      </c>
      <c r="R640" s="582">
        <v>118.002</v>
      </c>
      <c r="S640" s="583">
        <v>1.0059</v>
      </c>
      <c r="T640" s="708">
        <v>47602.5872821296</v>
      </c>
      <c r="U640" s="599">
        <v>-78</v>
      </c>
      <c r="V640" s="581">
        <v>1</v>
      </c>
      <c r="W640" s="582">
        <v>20.4237</v>
      </c>
      <c r="X640" s="581">
        <v>-1593.0486000000001</v>
      </c>
      <c r="Y640" s="581">
        <v>46009.538682129598</v>
      </c>
    </row>
    <row r="641" spans="6:25" ht="23" customHeight="1">
      <c r="M641" s="692"/>
      <c r="N641" s="340"/>
      <c r="O641" s="341"/>
      <c r="P641" s="700"/>
      <c r="Q641" s="341"/>
      <c r="R641" s="341"/>
      <c r="S641" s="342"/>
      <c r="T641" s="700"/>
      <c r="U641" s="596"/>
      <c r="V641" s="343"/>
      <c r="W641" s="341"/>
      <c r="X641" s="343"/>
      <c r="Y641" s="343"/>
    </row>
    <row r="642" spans="6:25" ht="23" customHeight="1">
      <c r="F642" s="1" t="s">
        <v>745</v>
      </c>
      <c r="M642" s="692"/>
      <c r="N642" s="340"/>
      <c r="O642" s="341"/>
      <c r="P642" s="700"/>
      <c r="Q642" s="341"/>
      <c r="R642" s="341"/>
      <c r="S642" s="342"/>
      <c r="T642" s="700"/>
      <c r="U642" s="596"/>
      <c r="V642" s="343"/>
      <c r="W642" s="341"/>
      <c r="X642" s="343"/>
      <c r="Y642" s="343"/>
    </row>
    <row r="643" spans="6:25" ht="23" customHeight="1">
      <c r="G643" s="691">
        <v>-5</v>
      </c>
      <c r="H643" s="691"/>
      <c r="I643" s="691"/>
      <c r="J643" s="691"/>
      <c r="K643" s="691"/>
      <c r="L643" s="691"/>
      <c r="M643" s="692"/>
      <c r="N643" s="340"/>
      <c r="O643" s="341"/>
      <c r="P643" s="700"/>
      <c r="Q643" s="341"/>
      <c r="R643" s="341"/>
      <c r="S643" s="342"/>
      <c r="T643" s="700"/>
      <c r="U643" s="596"/>
      <c r="V643" s="343"/>
      <c r="W643" s="341"/>
      <c r="X643" s="343"/>
      <c r="Y643" s="343"/>
    </row>
    <row r="644" spans="6:25" ht="23" customHeight="1">
      <c r="H644" s="3" t="s">
        <v>268</v>
      </c>
      <c r="I644" s="3"/>
      <c r="J644" s="3"/>
      <c r="K644" s="3"/>
      <c r="L644" s="3"/>
      <c r="M644" s="692"/>
      <c r="N644" s="340"/>
      <c r="O644" s="341"/>
      <c r="P644" s="700"/>
      <c r="Q644" s="341"/>
      <c r="R644" s="341"/>
      <c r="S644" s="342"/>
      <c r="T644" s="700"/>
      <c r="U644" s="596"/>
      <c r="V644" s="343"/>
      <c r="W644" s="341"/>
      <c r="X644" s="343"/>
      <c r="Y644" s="343"/>
    </row>
    <row r="645" spans="6:25" ht="23" customHeight="1">
      <c r="I645" s="344">
        <v>44522</v>
      </c>
      <c r="J645" s="344"/>
      <c r="K645" s="344"/>
      <c r="L645" s="344"/>
      <c r="M645" s="692"/>
      <c r="N645" s="340"/>
      <c r="O645" s="341"/>
      <c r="P645" s="700"/>
      <c r="Q645" s="341"/>
      <c r="R645" s="341"/>
      <c r="S645" s="342"/>
      <c r="T645" s="700"/>
      <c r="U645" s="596"/>
      <c r="V645" s="343"/>
      <c r="W645" s="341"/>
      <c r="X645" s="343"/>
      <c r="Y645" s="343"/>
    </row>
    <row r="646" spans="6:25" ht="23" customHeight="1">
      <c r="J646" s="345">
        <v>44609</v>
      </c>
      <c r="K646" s="345"/>
      <c r="L646" s="345"/>
      <c r="M646" s="692"/>
      <c r="N646" s="340"/>
      <c r="O646" s="341"/>
      <c r="P646" s="700"/>
      <c r="Q646" s="341"/>
      <c r="R646" s="341"/>
      <c r="S646" s="342"/>
      <c r="T646" s="700"/>
      <c r="U646" s="596"/>
      <c r="V646" s="343"/>
      <c r="W646" s="341"/>
      <c r="X646" s="343"/>
      <c r="Y646" s="343"/>
    </row>
    <row r="647" spans="6:25" ht="23" customHeight="1">
      <c r="K647" s="3" t="s">
        <v>267</v>
      </c>
      <c r="L647" s="3"/>
      <c r="M647" s="692"/>
      <c r="N647" s="340"/>
      <c r="O647" s="341"/>
      <c r="P647" s="700"/>
      <c r="Q647" s="341"/>
      <c r="R647" s="341"/>
      <c r="S647" s="342"/>
      <c r="T647" s="700"/>
      <c r="U647" s="596"/>
      <c r="V647" s="343"/>
      <c r="W647" s="341"/>
      <c r="X647" s="343"/>
      <c r="Y647" s="343"/>
    </row>
    <row r="648" spans="6:25" ht="23" customHeight="1">
      <c r="L648" s="691">
        <v>5</v>
      </c>
      <c r="M648" s="692">
        <v>4353.72</v>
      </c>
      <c r="N648" s="340">
        <v>1</v>
      </c>
      <c r="O648" s="341">
        <v>20.762799999999999</v>
      </c>
      <c r="P648" s="700">
        <v>90395.417616000006</v>
      </c>
      <c r="Q648" s="341">
        <v>116.884</v>
      </c>
      <c r="R648" s="341">
        <v>118.98099999999999</v>
      </c>
      <c r="S648" s="342">
        <v>1.0179</v>
      </c>
      <c r="T648" s="700">
        <v>92013.495591326413</v>
      </c>
      <c r="U648" s="596">
        <v>-3169</v>
      </c>
      <c r="V648" s="343">
        <v>1</v>
      </c>
      <c r="W648" s="341">
        <v>20.3992</v>
      </c>
      <c r="X648" s="343">
        <v>-64645.0648</v>
      </c>
      <c r="Y648" s="343">
        <v>27368.430791326413</v>
      </c>
    </row>
    <row r="649" spans="6:25" ht="23" customHeight="1">
      <c r="M649" s="692"/>
      <c r="N649" s="340"/>
      <c r="O649" s="341"/>
      <c r="P649" s="700"/>
      <c r="Q649" s="341"/>
      <c r="R649" s="341"/>
      <c r="S649" s="342"/>
      <c r="T649" s="700"/>
      <c r="U649" s="596"/>
      <c r="V649" s="343"/>
      <c r="W649" s="341"/>
      <c r="X649" s="343"/>
      <c r="Y649" s="343"/>
    </row>
    <row r="650" spans="6:25" ht="23" customHeight="1">
      <c r="F650" s="580" t="s">
        <v>948</v>
      </c>
      <c r="G650" s="580"/>
      <c r="H650" s="580"/>
      <c r="I650" s="580"/>
      <c r="J650" s="580"/>
      <c r="K650" s="580"/>
      <c r="L650" s="580"/>
      <c r="M650" s="705">
        <v>4353.72</v>
      </c>
      <c r="N650" s="664">
        <v>1</v>
      </c>
      <c r="O650" s="582">
        <v>20.762799999999999</v>
      </c>
      <c r="P650" s="708">
        <v>90395.417616000006</v>
      </c>
      <c r="Q650" s="582">
        <v>116.884</v>
      </c>
      <c r="R650" s="582">
        <v>118.98099999999999</v>
      </c>
      <c r="S650" s="583">
        <v>1.0179</v>
      </c>
      <c r="T650" s="708">
        <v>92013.495591326413</v>
      </c>
      <c r="U650" s="599">
        <v>-3169</v>
      </c>
      <c r="V650" s="581">
        <v>1</v>
      </c>
      <c r="W650" s="582">
        <v>20.3992</v>
      </c>
      <c r="X650" s="581">
        <v>-64645.0648</v>
      </c>
      <c r="Y650" s="581">
        <v>27368.430791326413</v>
      </c>
    </row>
    <row r="651" spans="6:25" ht="23" customHeight="1">
      <c r="M651" s="692"/>
      <c r="N651" s="340"/>
      <c r="O651" s="341"/>
      <c r="P651" s="700"/>
      <c r="Q651" s="341"/>
      <c r="R651" s="341"/>
      <c r="S651" s="342"/>
      <c r="T651" s="700"/>
      <c r="U651" s="596"/>
      <c r="V651" s="343"/>
      <c r="W651" s="341"/>
      <c r="X651" s="343"/>
      <c r="Y651" s="343"/>
    </row>
    <row r="652" spans="6:25" ht="23" customHeight="1">
      <c r="F652" s="1" t="s">
        <v>747</v>
      </c>
      <c r="M652" s="692"/>
      <c r="N652" s="340"/>
      <c r="O652" s="341"/>
      <c r="P652" s="700"/>
      <c r="Q652" s="341"/>
      <c r="R652" s="341"/>
      <c r="S652" s="342"/>
      <c r="T652" s="700"/>
      <c r="U652" s="596"/>
      <c r="V652" s="343"/>
      <c r="W652" s="341"/>
      <c r="X652" s="343"/>
      <c r="Y652" s="343"/>
    </row>
    <row r="653" spans="6:25" ht="23" customHeight="1">
      <c r="G653" s="691">
        <v>-6</v>
      </c>
      <c r="H653" s="691"/>
      <c r="I653" s="691"/>
      <c r="J653" s="691"/>
      <c r="K653" s="691"/>
      <c r="L653" s="691"/>
      <c r="M653" s="692"/>
      <c r="N653" s="340"/>
      <c r="O653" s="341"/>
      <c r="P653" s="700"/>
      <c r="Q653" s="341"/>
      <c r="R653" s="341"/>
      <c r="S653" s="342"/>
      <c r="T653" s="700"/>
      <c r="U653" s="596"/>
      <c r="V653" s="343"/>
      <c r="W653" s="341"/>
      <c r="X653" s="343"/>
      <c r="Y653" s="343"/>
    </row>
    <row r="654" spans="6:25" ht="23" customHeight="1">
      <c r="H654" s="3" t="s">
        <v>268</v>
      </c>
      <c r="I654" s="3"/>
      <c r="J654" s="3"/>
      <c r="K654" s="3"/>
      <c r="L654" s="3"/>
      <c r="M654" s="692"/>
      <c r="N654" s="340"/>
      <c r="O654" s="341"/>
      <c r="P654" s="700"/>
      <c r="Q654" s="341"/>
      <c r="R654" s="341"/>
      <c r="S654" s="342"/>
      <c r="T654" s="700"/>
      <c r="U654" s="596"/>
      <c r="V654" s="343"/>
      <c r="W654" s="341"/>
      <c r="X654" s="343"/>
      <c r="Y654" s="343"/>
    </row>
    <row r="655" spans="6:25" ht="23" customHeight="1">
      <c r="I655" s="344">
        <v>44566</v>
      </c>
      <c r="J655" s="344"/>
      <c r="K655" s="344"/>
      <c r="L655" s="344"/>
      <c r="M655" s="692"/>
      <c r="N655" s="340"/>
      <c r="O655" s="341"/>
      <c r="P655" s="700"/>
      <c r="Q655" s="341"/>
      <c r="R655" s="341"/>
      <c r="S655" s="342"/>
      <c r="T655" s="700"/>
      <c r="U655" s="596"/>
      <c r="V655" s="343"/>
      <c r="W655" s="341"/>
      <c r="X655" s="343"/>
      <c r="Y655" s="343"/>
    </row>
    <row r="656" spans="6:25" ht="23" customHeight="1">
      <c r="J656" s="345">
        <v>44602</v>
      </c>
      <c r="K656" s="345"/>
      <c r="L656" s="345"/>
      <c r="M656" s="692"/>
      <c r="N656" s="340"/>
      <c r="O656" s="341"/>
      <c r="P656" s="700"/>
      <c r="Q656" s="341"/>
      <c r="R656" s="341"/>
      <c r="S656" s="342"/>
      <c r="T656" s="700"/>
      <c r="U656" s="596"/>
      <c r="V656" s="343"/>
      <c r="W656" s="341"/>
      <c r="X656" s="343"/>
      <c r="Y656" s="343"/>
    </row>
    <row r="657" spans="5:25" ht="23" customHeight="1">
      <c r="K657" s="3" t="s">
        <v>267</v>
      </c>
      <c r="L657" s="3"/>
      <c r="M657" s="692"/>
      <c r="N657" s="340"/>
      <c r="O657" s="341"/>
      <c r="P657" s="700"/>
      <c r="Q657" s="341"/>
      <c r="R657" s="341"/>
      <c r="S657" s="342"/>
      <c r="T657" s="700"/>
      <c r="U657" s="596"/>
      <c r="V657" s="343"/>
      <c r="W657" s="341"/>
      <c r="X657" s="343"/>
      <c r="Y657" s="343"/>
    </row>
    <row r="658" spans="5:25" ht="23" customHeight="1">
      <c r="L658" s="691">
        <v>6</v>
      </c>
      <c r="M658" s="692">
        <v>1997.98</v>
      </c>
      <c r="N658" s="340">
        <v>1</v>
      </c>
      <c r="O658" s="341">
        <v>20.588999999999999</v>
      </c>
      <c r="P658" s="700">
        <v>41136.410219999998</v>
      </c>
      <c r="Q658" s="341">
        <v>118.002</v>
      </c>
      <c r="R658" s="341">
        <v>118.98099999999999</v>
      </c>
      <c r="S658" s="342">
        <v>1.0082</v>
      </c>
      <c r="T658" s="700">
        <v>41473.728783803999</v>
      </c>
      <c r="U658" s="596">
        <v>-3618</v>
      </c>
      <c r="V658" s="343">
        <v>1</v>
      </c>
      <c r="W658" s="341">
        <v>20.641300000000001</v>
      </c>
      <c r="X658" s="343">
        <v>-74680.223400000003</v>
      </c>
      <c r="Y658" s="343">
        <v>-33206.494616196003</v>
      </c>
    </row>
    <row r="659" spans="5:25" ht="23" customHeight="1">
      <c r="M659" s="692"/>
      <c r="N659" s="340"/>
      <c r="O659" s="341"/>
      <c r="P659" s="700"/>
      <c r="Q659" s="341"/>
      <c r="R659" s="341"/>
      <c r="S659" s="342"/>
      <c r="T659" s="700"/>
      <c r="U659" s="596"/>
      <c r="V659" s="343"/>
      <c r="W659" s="341"/>
      <c r="X659" s="343"/>
      <c r="Y659" s="343"/>
    </row>
    <row r="660" spans="5:25" ht="23" customHeight="1">
      <c r="F660" s="580" t="s">
        <v>949</v>
      </c>
      <c r="G660" s="580"/>
      <c r="H660" s="580"/>
      <c r="I660" s="580"/>
      <c r="J660" s="580"/>
      <c r="K660" s="580"/>
      <c r="L660" s="580"/>
      <c r="M660" s="705">
        <v>1997.98</v>
      </c>
      <c r="N660" s="664">
        <v>1</v>
      </c>
      <c r="O660" s="582">
        <v>20.588999999999999</v>
      </c>
      <c r="P660" s="708">
        <v>41136.410219999998</v>
      </c>
      <c r="Q660" s="582">
        <v>118.002</v>
      </c>
      <c r="R660" s="582">
        <v>118.98099999999999</v>
      </c>
      <c r="S660" s="583">
        <v>1.0082</v>
      </c>
      <c r="T660" s="708">
        <v>41473.728783803999</v>
      </c>
      <c r="U660" s="599">
        <v>-3618</v>
      </c>
      <c r="V660" s="581">
        <v>1</v>
      </c>
      <c r="W660" s="582">
        <v>20.641300000000001</v>
      </c>
      <c r="X660" s="581">
        <v>-74680.223400000003</v>
      </c>
      <c r="Y660" s="581">
        <v>-33206.494616196003</v>
      </c>
    </row>
    <row r="661" spans="5:25" ht="23" customHeight="1">
      <c r="M661" s="692"/>
      <c r="N661" s="340"/>
      <c r="O661" s="341"/>
      <c r="P661" s="700"/>
      <c r="Q661" s="341"/>
      <c r="R661" s="341"/>
      <c r="S661" s="342"/>
      <c r="T661" s="700"/>
      <c r="U661" s="596"/>
      <c r="V661" s="343"/>
      <c r="W661" s="341"/>
      <c r="X661" s="343"/>
      <c r="Y661" s="343"/>
    </row>
    <row r="662" spans="5:25" ht="23" customHeight="1">
      <c r="F662" s="1" t="s">
        <v>746</v>
      </c>
      <c r="M662" s="692"/>
      <c r="N662" s="340"/>
      <c r="O662" s="341"/>
      <c r="P662" s="700"/>
      <c r="Q662" s="341"/>
      <c r="R662" s="341"/>
      <c r="S662" s="342"/>
      <c r="T662" s="700"/>
      <c r="U662" s="596"/>
      <c r="V662" s="343"/>
      <c r="W662" s="341"/>
      <c r="X662" s="343"/>
      <c r="Y662" s="343"/>
    </row>
    <row r="663" spans="5:25" ht="23" customHeight="1">
      <c r="G663" s="691">
        <v>-5</v>
      </c>
      <c r="H663" s="691"/>
      <c r="I663" s="691"/>
      <c r="J663" s="691"/>
      <c r="K663" s="691"/>
      <c r="L663" s="691"/>
      <c r="M663" s="692"/>
      <c r="N663" s="340"/>
      <c r="O663" s="341"/>
      <c r="P663" s="700"/>
      <c r="Q663" s="341"/>
      <c r="R663" s="341"/>
      <c r="S663" s="342"/>
      <c r="T663" s="700"/>
      <c r="U663" s="596"/>
      <c r="V663" s="343"/>
      <c r="W663" s="341"/>
      <c r="X663" s="343"/>
      <c r="Y663" s="343"/>
    </row>
    <row r="664" spans="5:25" ht="23" customHeight="1">
      <c r="H664" s="3" t="s">
        <v>268</v>
      </c>
      <c r="I664" s="3"/>
      <c r="J664" s="3"/>
      <c r="K664" s="3"/>
      <c r="L664" s="3"/>
      <c r="M664" s="692"/>
      <c r="N664" s="340"/>
      <c r="O664" s="341"/>
      <c r="P664" s="700"/>
      <c r="Q664" s="341"/>
      <c r="R664" s="341"/>
      <c r="S664" s="342"/>
      <c r="T664" s="700"/>
      <c r="U664" s="596"/>
      <c r="V664" s="343"/>
      <c r="W664" s="341"/>
      <c r="X664" s="343"/>
      <c r="Y664" s="343"/>
    </row>
    <row r="665" spans="5:25" ht="23" customHeight="1">
      <c r="I665" s="344">
        <v>44558</v>
      </c>
      <c r="J665" s="344"/>
      <c r="K665" s="344"/>
      <c r="L665" s="344"/>
      <c r="M665" s="692"/>
      <c r="N665" s="340"/>
      <c r="O665" s="341"/>
      <c r="P665" s="700"/>
      <c r="Q665" s="341"/>
      <c r="R665" s="341"/>
      <c r="S665" s="342"/>
      <c r="T665" s="700"/>
      <c r="U665" s="596"/>
      <c r="V665" s="343"/>
      <c r="W665" s="341"/>
      <c r="X665" s="343"/>
      <c r="Y665" s="343"/>
    </row>
    <row r="666" spans="5:25" ht="23" customHeight="1">
      <c r="J666" s="345">
        <v>44595</v>
      </c>
      <c r="K666" s="345"/>
      <c r="L666" s="345"/>
      <c r="M666" s="692"/>
      <c r="N666" s="340"/>
      <c r="O666" s="341"/>
      <c r="P666" s="700"/>
      <c r="Q666" s="341"/>
      <c r="R666" s="341"/>
      <c r="S666" s="342"/>
      <c r="T666" s="700"/>
      <c r="U666" s="596"/>
      <c r="V666" s="343"/>
      <c r="W666" s="341"/>
      <c r="X666" s="343"/>
      <c r="Y666" s="343"/>
    </row>
    <row r="667" spans="5:25" ht="23" customHeight="1">
      <c r="K667" s="3" t="s">
        <v>267</v>
      </c>
      <c r="L667" s="3"/>
      <c r="M667" s="692"/>
      <c r="N667" s="340"/>
      <c r="O667" s="341"/>
      <c r="P667" s="700"/>
      <c r="Q667" s="341"/>
      <c r="R667" s="341"/>
      <c r="S667" s="342"/>
      <c r="T667" s="700"/>
      <c r="U667" s="596"/>
      <c r="V667" s="343"/>
      <c r="W667" s="341"/>
      <c r="X667" s="343"/>
      <c r="Y667" s="343"/>
    </row>
    <row r="668" spans="5:25" ht="23" customHeight="1">
      <c r="L668" s="691">
        <v>5</v>
      </c>
      <c r="M668" s="692">
        <v>1979.98</v>
      </c>
      <c r="N668" s="340">
        <v>1</v>
      </c>
      <c r="O668" s="341">
        <v>20.6112</v>
      </c>
      <c r="P668" s="700">
        <v>40809.763776</v>
      </c>
      <c r="Q668" s="341">
        <v>117.30800000000001</v>
      </c>
      <c r="R668" s="341">
        <v>118.98099999999999</v>
      </c>
      <c r="S668" s="342">
        <v>1.0142</v>
      </c>
      <c r="T668" s="700">
        <v>41389.262421619198</v>
      </c>
      <c r="U668" s="596">
        <v>-3205</v>
      </c>
      <c r="V668" s="343">
        <v>1</v>
      </c>
      <c r="W668" s="341">
        <v>20.58</v>
      </c>
      <c r="X668" s="343">
        <v>-65958.899999999994</v>
      </c>
      <c r="Y668" s="343">
        <v>-24569.637578380796</v>
      </c>
    </row>
    <row r="669" spans="5:25" ht="23" customHeight="1">
      <c r="M669" s="692"/>
      <c r="N669" s="340"/>
      <c r="O669" s="341"/>
      <c r="P669" s="700"/>
      <c r="Q669" s="341"/>
      <c r="R669" s="341"/>
      <c r="S669" s="342"/>
      <c r="T669" s="700"/>
      <c r="U669" s="596"/>
      <c r="V669" s="343"/>
      <c r="W669" s="341"/>
      <c r="X669" s="343"/>
      <c r="Y669" s="343"/>
    </row>
    <row r="670" spans="5:25" ht="23" customHeight="1">
      <c r="F670" s="580" t="s">
        <v>950</v>
      </c>
      <c r="G670" s="580"/>
      <c r="H670" s="580"/>
      <c r="I670" s="580"/>
      <c r="J670" s="580"/>
      <c r="K670" s="580"/>
      <c r="L670" s="580"/>
      <c r="M670" s="705">
        <v>1979.98</v>
      </c>
      <c r="N670" s="664">
        <v>1</v>
      </c>
      <c r="O670" s="582">
        <v>20.6112</v>
      </c>
      <c r="P670" s="708">
        <v>40809.763776</v>
      </c>
      <c r="Q670" s="582">
        <v>117.30800000000001</v>
      </c>
      <c r="R670" s="582">
        <v>118.98099999999999</v>
      </c>
      <c r="S670" s="583">
        <v>1.0142</v>
      </c>
      <c r="T670" s="708">
        <v>41389.262421619198</v>
      </c>
      <c r="U670" s="599">
        <v>-3205</v>
      </c>
      <c r="V670" s="581">
        <v>1</v>
      </c>
      <c r="W670" s="582">
        <v>20.58</v>
      </c>
      <c r="X670" s="581">
        <v>-65958.899999999994</v>
      </c>
      <c r="Y670" s="581">
        <v>-24569.637578380796</v>
      </c>
    </row>
    <row r="671" spans="5:25" ht="23" customHeight="1">
      <c r="M671" s="692"/>
      <c r="N671" s="340"/>
      <c r="O671" s="341"/>
      <c r="P671" s="700"/>
      <c r="Q671" s="341"/>
      <c r="R671" s="341"/>
      <c r="S671" s="342"/>
      <c r="T671" s="700"/>
      <c r="U671" s="596"/>
      <c r="V671" s="343"/>
      <c r="W671" s="341"/>
      <c r="X671" s="343"/>
      <c r="Y671" s="343"/>
    </row>
    <row r="672" spans="5:25" ht="23" customHeight="1">
      <c r="E672" s="92" t="s">
        <v>857</v>
      </c>
      <c r="F672" s="92"/>
      <c r="G672" s="92"/>
      <c r="H672" s="92"/>
      <c r="I672" s="92"/>
      <c r="J672" s="92"/>
      <c r="K672" s="92"/>
      <c r="L672" s="92"/>
      <c r="M672" s="693">
        <v>211280.62000000008</v>
      </c>
      <c r="N672" s="661">
        <v>1</v>
      </c>
      <c r="O672" s="662">
        <v>20.292942105263162</v>
      </c>
      <c r="P672" s="709">
        <v>4302017.8042590003</v>
      </c>
      <c r="Q672" s="662">
        <v>121.18868421052632</v>
      </c>
      <c r="R672" s="662">
        <v>122.89605263157891</v>
      </c>
      <c r="S672" s="663">
        <v>1.0141052631578946</v>
      </c>
      <c r="T672" s="709">
        <v>4372076.6397310235</v>
      </c>
      <c r="U672" s="597">
        <v>-113226.64999999998</v>
      </c>
      <c r="V672" s="346">
        <v>0.91228070175438591</v>
      </c>
      <c r="W672" s="662">
        <v>20.152508771929824</v>
      </c>
      <c r="X672" s="346">
        <v>-2302396.4588230005</v>
      </c>
      <c r="Y672" s="346">
        <v>2069680.1809080224</v>
      </c>
    </row>
    <row r="673" spans="2:25" ht="23" customHeight="1">
      <c r="M673" s="692"/>
      <c r="N673" s="340"/>
      <c r="O673" s="341"/>
      <c r="P673" s="700"/>
      <c r="Q673" s="341"/>
      <c r="R673" s="341"/>
      <c r="S673" s="342"/>
      <c r="T673" s="700"/>
      <c r="U673" s="596"/>
      <c r="V673" s="343"/>
      <c r="W673" s="341"/>
      <c r="X673" s="343"/>
      <c r="Y673" s="343"/>
    </row>
    <row r="674" spans="2:25" ht="23" customHeight="1">
      <c r="D674" s="584" t="s">
        <v>840</v>
      </c>
      <c r="E674" s="584"/>
      <c r="F674" s="584"/>
      <c r="G674" s="584"/>
      <c r="H674" s="584"/>
      <c r="I674" s="584"/>
      <c r="J674" s="584"/>
      <c r="K674" s="584"/>
      <c r="L674" s="584"/>
      <c r="M674" s="696">
        <v>211280.62000000008</v>
      </c>
      <c r="N674" s="665">
        <v>1</v>
      </c>
      <c r="O674" s="666">
        <v>20.292942105263162</v>
      </c>
      <c r="P674" s="710">
        <v>4302017.8042590003</v>
      </c>
      <c r="Q674" s="666">
        <v>121.18868421052632</v>
      </c>
      <c r="R674" s="666">
        <v>122.89605263157891</v>
      </c>
      <c r="S674" s="667">
        <v>1.0141052631578946</v>
      </c>
      <c r="T674" s="710">
        <v>4372076.6397310235</v>
      </c>
      <c r="U674" s="598">
        <v>-113226.64999999998</v>
      </c>
      <c r="V674" s="585">
        <v>0.91228070175438591</v>
      </c>
      <c r="W674" s="666">
        <v>20.152508771929824</v>
      </c>
      <c r="X674" s="585">
        <v>-2302396.4588230005</v>
      </c>
      <c r="Y674" s="585">
        <v>2069680.1809080224</v>
      </c>
    </row>
    <row r="675" spans="2:25" ht="23" customHeight="1">
      <c r="M675" s="692"/>
      <c r="N675" s="340"/>
      <c r="O675" s="341"/>
      <c r="P675" s="700"/>
      <c r="Q675" s="341"/>
      <c r="R675" s="341"/>
      <c r="S675" s="342"/>
      <c r="T675" s="700"/>
      <c r="U675" s="596"/>
      <c r="V675" s="343"/>
      <c r="W675" s="341"/>
      <c r="X675" s="343"/>
      <c r="Y675" s="343"/>
    </row>
    <row r="676" spans="2:25" ht="23" customHeight="1">
      <c r="C676" s="575" t="s">
        <v>841</v>
      </c>
      <c r="D676" s="575"/>
      <c r="E676" s="575"/>
      <c r="F676" s="575"/>
      <c r="G676" s="575"/>
      <c r="H676" s="575"/>
      <c r="I676" s="575"/>
      <c r="J676" s="575"/>
      <c r="K676" s="575"/>
      <c r="L676" s="575"/>
      <c r="M676" s="697">
        <v>211280.62000000008</v>
      </c>
      <c r="N676" s="668">
        <v>1</v>
      </c>
      <c r="O676" s="669">
        <v>20.292942105263162</v>
      </c>
      <c r="P676" s="703">
        <v>4302017.8042590003</v>
      </c>
      <c r="Q676" s="669">
        <v>121.18868421052632</v>
      </c>
      <c r="R676" s="669">
        <v>122.89605263157891</v>
      </c>
      <c r="S676" s="670">
        <v>1.0141052631578946</v>
      </c>
      <c r="T676" s="703">
        <v>4372076.6397310235</v>
      </c>
      <c r="U676" s="595">
        <v>-113226.64999999998</v>
      </c>
      <c r="V676" s="576">
        <v>0.91228070175438591</v>
      </c>
      <c r="W676" s="669">
        <v>20.152508771929824</v>
      </c>
      <c r="X676" s="576">
        <v>-2302396.4588230005</v>
      </c>
      <c r="Y676" s="576">
        <v>2069680.1809080224</v>
      </c>
    </row>
    <row r="677" spans="2:25" ht="23" customHeight="1">
      <c r="M677" s="692"/>
      <c r="N677" s="340"/>
      <c r="O677" s="341"/>
      <c r="P677" s="700"/>
      <c r="Q677" s="341"/>
      <c r="R677" s="341"/>
      <c r="S677" s="342"/>
      <c r="T677" s="700"/>
      <c r="U677" s="596"/>
      <c r="V677" s="343"/>
      <c r="W677" s="341"/>
      <c r="X677" s="343"/>
      <c r="Y677" s="343"/>
    </row>
    <row r="678" spans="2:25" ht="23" customHeight="1">
      <c r="B678" s="586" t="s">
        <v>842</v>
      </c>
      <c r="C678" s="586"/>
      <c r="D678" s="586"/>
      <c r="E678" s="586"/>
      <c r="F678" s="586"/>
      <c r="G678" s="586"/>
      <c r="H678" s="586"/>
      <c r="I678" s="586"/>
      <c r="J678" s="586"/>
      <c r="K678" s="586"/>
      <c r="L678" s="586"/>
      <c r="M678" s="706">
        <v>247091.59000000005</v>
      </c>
      <c r="N678" s="587">
        <v>1</v>
      </c>
      <c r="O678" s="588">
        <v>20.210140298507458</v>
      </c>
      <c r="P678" s="707">
        <v>5012484.1687820014</v>
      </c>
      <c r="Q678" s="588">
        <v>121.899671641791</v>
      </c>
      <c r="R678" s="588">
        <v>104.55335820895519</v>
      </c>
      <c r="S678" s="589">
        <v>0.86274626865671622</v>
      </c>
      <c r="T678" s="707">
        <v>4372076.6397310235</v>
      </c>
      <c r="U678" s="600">
        <v>-113226.64999999998</v>
      </c>
      <c r="V678" s="591">
        <v>0.77611940298507465</v>
      </c>
      <c r="W678" s="588">
        <v>17.144671641791046</v>
      </c>
      <c r="X678" s="590">
        <v>-2302396.4588230005</v>
      </c>
      <c r="Y678" s="590">
        <v>2069680.1809080224</v>
      </c>
    </row>
  </sheetData>
  <mergeCells count="2">
    <mergeCell ref="B2:Y2"/>
    <mergeCell ref="B3:Y3"/>
  </mergeCells>
  <printOptions horizontalCentered="1"/>
  <pageMargins left="0.7" right="0.7" top="0.75" bottom="0.75" header="0.3" footer="0.3"/>
  <pageSetup scale="27" fitToHeight="10" orientation="landscape" horizontalDpi="1200" verticalDpi="120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95"/>
  <sheetViews>
    <sheetView view="pageBreakPreview" topLeftCell="C1" zoomScale="80" zoomScaleNormal="80" zoomScaleSheetLayoutView="80" workbookViewId="0">
      <pane ySplit="6" topLeftCell="A57" activePane="bottomLeft" state="frozen"/>
      <selection pane="bottomLeft" activeCell="G67" sqref="G67"/>
    </sheetView>
  </sheetViews>
  <sheetFormatPr baseColWidth="10" defaultColWidth="10.83203125" defaultRowHeight="23" customHeight="1"/>
  <cols>
    <col min="1" max="1" width="10.83203125" style="134"/>
    <col min="2" max="2" width="28.83203125" style="134" customWidth="1"/>
    <col min="3" max="3" width="27.83203125" style="134" customWidth="1"/>
    <col min="4" max="4" width="16.6640625" style="134" customWidth="1"/>
    <col min="5" max="5" width="62.83203125" style="134" customWidth="1"/>
    <col min="6" max="6" width="19.83203125" style="134" customWidth="1"/>
    <col min="7" max="7" width="18.83203125" style="134" customWidth="1"/>
    <col min="8" max="8" width="17.6640625" style="134" customWidth="1"/>
    <col min="9" max="9" width="18.83203125" style="134" customWidth="1"/>
    <col min="10" max="10" width="16.33203125" style="134" customWidth="1"/>
    <col min="11" max="11" width="18.83203125" style="134" customWidth="1"/>
    <col min="12" max="15" width="10.83203125" style="134"/>
    <col min="16" max="16" width="24.83203125" style="134" customWidth="1"/>
    <col min="17" max="16384" width="10.83203125" style="134"/>
  </cols>
  <sheetData>
    <row r="2" spans="2:16" ht="23" customHeight="1">
      <c r="B2" s="758" t="s">
        <v>640</v>
      </c>
      <c r="C2" s="758"/>
      <c r="D2" s="758"/>
      <c r="E2" s="758"/>
      <c r="F2" s="758"/>
      <c r="G2" s="758"/>
      <c r="H2" s="758"/>
      <c r="I2" s="758"/>
      <c r="J2" s="758"/>
      <c r="K2" s="758"/>
      <c r="P2" s="135" t="s">
        <v>188</v>
      </c>
    </row>
    <row r="3" spans="2:16" ht="23" customHeight="1">
      <c r="B3" s="759" t="s">
        <v>641</v>
      </c>
      <c r="C3" s="759"/>
      <c r="D3" s="759"/>
      <c r="E3" s="759"/>
      <c r="F3" s="759"/>
      <c r="G3" s="759"/>
      <c r="H3" s="759"/>
      <c r="I3" s="759"/>
      <c r="J3" s="759"/>
      <c r="K3" s="759"/>
      <c r="P3" s="135" t="s">
        <v>633</v>
      </c>
    </row>
    <row r="4" spans="2:16" s="1" customFormat="1" ht="14" customHeight="1">
      <c r="B4" s="540" t="s">
        <v>443</v>
      </c>
      <c r="C4" s="24" t="s">
        <v>673</v>
      </c>
      <c r="D4" s="24"/>
      <c r="E4" s="123"/>
      <c r="F4" s="123"/>
      <c r="G4" s="123"/>
      <c r="H4" s="123"/>
      <c r="I4" s="123"/>
      <c r="J4" s="123"/>
      <c r="K4" s="123"/>
      <c r="P4" s="135" t="s">
        <v>634</v>
      </c>
    </row>
    <row r="5" spans="2:16" ht="23" customHeight="1">
      <c r="B5" s="156"/>
      <c r="C5" s="157"/>
      <c r="D5" s="156"/>
      <c r="E5" s="157"/>
      <c r="F5" s="157"/>
      <c r="G5" s="157"/>
      <c r="H5" s="157"/>
      <c r="I5" s="157"/>
      <c r="J5" s="157"/>
      <c r="K5" s="157"/>
      <c r="P5" s="135">
        <v>3</v>
      </c>
    </row>
    <row r="6" spans="2:16" s="154" customFormat="1" ht="30">
      <c r="B6" s="153" t="s">
        <v>178</v>
      </c>
      <c r="C6" s="153" t="s">
        <v>53</v>
      </c>
      <c r="D6" s="120" t="s">
        <v>54</v>
      </c>
      <c r="E6" s="120" t="s">
        <v>55</v>
      </c>
      <c r="F6" s="120" t="s">
        <v>208</v>
      </c>
      <c r="G6" s="120" t="s">
        <v>411</v>
      </c>
      <c r="H6" s="120" t="s">
        <v>56</v>
      </c>
      <c r="I6" s="120" t="s">
        <v>412</v>
      </c>
      <c r="J6" s="120" t="s">
        <v>361</v>
      </c>
      <c r="K6" s="120" t="s">
        <v>413</v>
      </c>
      <c r="P6" s="155">
        <v>4</v>
      </c>
    </row>
    <row r="7" spans="2:16" ht="23" customHeight="1">
      <c r="B7" s="76"/>
      <c r="C7" s="138"/>
      <c r="D7" s="76"/>
      <c r="E7" s="139"/>
      <c r="F7" s="140"/>
      <c r="G7" s="141"/>
      <c r="H7" s="142"/>
      <c r="I7" s="143"/>
      <c r="J7" s="144"/>
      <c r="K7" s="143"/>
      <c r="P7" s="135">
        <v>5</v>
      </c>
    </row>
    <row r="8" spans="2:16" ht="23" customHeight="1">
      <c r="B8" s="7" t="s">
        <v>952</v>
      </c>
      <c r="C8" s="158" t="s">
        <v>634</v>
      </c>
      <c r="D8" s="159">
        <v>44592</v>
      </c>
      <c r="E8" s="160" t="s">
        <v>740</v>
      </c>
      <c r="F8" s="7" t="s">
        <v>59</v>
      </c>
      <c r="G8" s="161">
        <v>2.19</v>
      </c>
      <c r="H8" s="162">
        <f>IF(F8=0,0,IF(F8="MXN",1/HLOOKUP(YEAR(D8)+(MONTH(D8)/100),TC!$5:$37,DAY(D8)+2,FALSE),VLOOKUP(F8,Equivalencia!$1:$23,((MAX(Equivalencia!$3:$3)-YEAR(D8))*14)+MONTH(D8)+2,FALSE)))</f>
        <v>1</v>
      </c>
      <c r="I8" s="163">
        <f>+H8*G8</f>
        <v>2.19</v>
      </c>
      <c r="J8" s="162">
        <f>IF(D8=0,0,HLOOKUP(YEAR(D8)+(MONTH(D8)/100),TC!$5:$37,DAY(D8)+2,FALSE))</f>
        <v>20.738299999999999</v>
      </c>
      <c r="K8" s="163">
        <f>+I8*J8</f>
        <v>45.416876999999999</v>
      </c>
      <c r="P8" s="135">
        <v>6</v>
      </c>
    </row>
    <row r="9" spans="2:16" ht="23" customHeight="1">
      <c r="B9" s="7" t="s">
        <v>952</v>
      </c>
      <c r="C9" s="158" t="s">
        <v>634</v>
      </c>
      <c r="D9" s="159">
        <v>44592</v>
      </c>
      <c r="E9" s="160" t="s">
        <v>740</v>
      </c>
      <c r="F9" s="7" t="s">
        <v>59</v>
      </c>
      <c r="G9" s="161">
        <v>16.579999999999998</v>
      </c>
      <c r="H9" s="162">
        <f>IF(F9=0,0,IF(F9="MXN",1/HLOOKUP(YEAR(D9)+(MONTH(D9)/100),TC!$5:$37,DAY(D9)+2,FALSE),VLOOKUP(F9,Equivalencia!$1:$23,((MAX(Equivalencia!$3:$3)-YEAR(D9))*14)+MONTH(D9)+2,FALSE)))</f>
        <v>1</v>
      </c>
      <c r="I9" s="163">
        <f t="shared" ref="I9:I12" si="0">+H9*G9</f>
        <v>16.579999999999998</v>
      </c>
      <c r="J9" s="162">
        <f>IF(D9=0,0,HLOOKUP(YEAR(D9)+(MONTH(D9)/100),TC!$5:$37,DAY(D9)+2,FALSE))</f>
        <v>20.738299999999999</v>
      </c>
      <c r="K9" s="163">
        <f t="shared" ref="K9:K12" si="1">+I9*J9</f>
        <v>343.84101399999997</v>
      </c>
    </row>
    <row r="10" spans="2:16" ht="23" customHeight="1">
      <c r="B10" s="7" t="s">
        <v>952</v>
      </c>
      <c r="C10" s="158" t="s">
        <v>634</v>
      </c>
      <c r="D10" s="159">
        <v>44592</v>
      </c>
      <c r="E10" s="160" t="s">
        <v>740</v>
      </c>
      <c r="F10" s="7" t="s">
        <v>59</v>
      </c>
      <c r="G10" s="161">
        <v>2.0499999999999998</v>
      </c>
      <c r="H10" s="162">
        <f>IF(F10=0,0,IF(F10="MXN",1/HLOOKUP(YEAR(D10)+(MONTH(D10)/100),TC!$5:$37,DAY(D10)+2,FALSE),VLOOKUP(F10,Equivalencia!$1:$23,((MAX(Equivalencia!$3:$3)-YEAR(D10))*14)+MONTH(D10)+2,FALSE)))</f>
        <v>1</v>
      </c>
      <c r="I10" s="163">
        <f t="shared" si="0"/>
        <v>2.0499999999999998</v>
      </c>
      <c r="J10" s="162">
        <f>IF(D10=0,0,HLOOKUP(YEAR(D10)+(MONTH(D10)/100),TC!$5:$37,DAY(D10)+2,FALSE))</f>
        <v>20.738299999999999</v>
      </c>
      <c r="K10" s="163">
        <f t="shared" si="1"/>
        <v>42.513514999999991</v>
      </c>
    </row>
    <row r="11" spans="2:16" ht="23" customHeight="1">
      <c r="B11" s="7" t="s">
        <v>952</v>
      </c>
      <c r="C11" s="158" t="s">
        <v>634</v>
      </c>
      <c r="D11" s="159">
        <v>44620</v>
      </c>
      <c r="E11" s="160" t="s">
        <v>740</v>
      </c>
      <c r="F11" s="7" t="s">
        <v>59</v>
      </c>
      <c r="G11" s="161">
        <v>2.56</v>
      </c>
      <c r="H11" s="162">
        <f>IF(F11=0,0,IF(F11="MXN",1/HLOOKUP(YEAR(D11)+(MONTH(D11)/100),TC!$5:$37,DAY(D11)+2,FALSE),VLOOKUP(F11,Equivalencia!$1:$23,((MAX(Equivalencia!$3:$3)-YEAR(D11))*14)+MONTH(D11)+2,FALSE)))</f>
        <v>1</v>
      </c>
      <c r="I11" s="163">
        <f t="shared" si="0"/>
        <v>2.56</v>
      </c>
      <c r="J11" s="162">
        <f>IF(D11=0,0,HLOOKUP(YEAR(D11)+(MONTH(D11)/100),TC!$5:$37,DAY(D11)+2,FALSE))</f>
        <v>20.6525</v>
      </c>
      <c r="K11" s="163">
        <f t="shared" si="1"/>
        <v>52.870400000000004</v>
      </c>
    </row>
    <row r="12" spans="2:16" ht="23" customHeight="1">
      <c r="B12" s="7" t="s">
        <v>952</v>
      </c>
      <c r="C12" s="158" t="s">
        <v>634</v>
      </c>
      <c r="D12" s="159">
        <v>44620</v>
      </c>
      <c r="E12" s="160" t="s">
        <v>740</v>
      </c>
      <c r="F12" s="7" t="s">
        <v>59</v>
      </c>
      <c r="G12" s="161">
        <v>13.65</v>
      </c>
      <c r="H12" s="162">
        <f>IF(F12=0,0,IF(F12="MXN",1/HLOOKUP(YEAR(D12)+(MONTH(D12)/100),TC!$5:$37,DAY(D12)+2,FALSE),VLOOKUP(F12,Equivalencia!$1:$23,((MAX(Equivalencia!$3:$3)-YEAR(D12))*14)+MONTH(D12)+2,FALSE)))</f>
        <v>1</v>
      </c>
      <c r="I12" s="163">
        <f t="shared" si="0"/>
        <v>13.65</v>
      </c>
      <c r="J12" s="162">
        <f>IF(D12=0,0,HLOOKUP(YEAR(D12)+(MONTH(D12)/100),TC!$5:$37,DAY(D12)+2,FALSE))</f>
        <v>20.6525</v>
      </c>
      <c r="K12" s="163">
        <f t="shared" si="1"/>
        <v>281.90662500000002</v>
      </c>
    </row>
    <row r="13" spans="2:16" ht="23" customHeight="1">
      <c r="B13" s="7" t="s">
        <v>952</v>
      </c>
      <c r="C13" s="158" t="s">
        <v>634</v>
      </c>
      <c r="D13" s="159">
        <v>44620</v>
      </c>
      <c r="E13" s="160" t="s">
        <v>740</v>
      </c>
      <c r="F13" s="7" t="s">
        <v>59</v>
      </c>
      <c r="G13" s="161">
        <v>0.53</v>
      </c>
      <c r="H13" s="162">
        <f>IF(F13=0,0,IF(F13="MXN",1/HLOOKUP(YEAR(D13)+(MONTH(D13)/100),TC!$5:$37,DAY(D13)+2,FALSE),VLOOKUP(F13,Equivalencia!$1:$23,((MAX(Equivalencia!$3:$3)-YEAR(D13))*14)+MONTH(D13)+2,FALSE)))</f>
        <v>1</v>
      </c>
      <c r="I13" s="163">
        <f t="shared" ref="I13:I56" si="2">+H13*G13</f>
        <v>0.53</v>
      </c>
      <c r="J13" s="162">
        <f>IF(D13=0,0,HLOOKUP(YEAR(D13)+(MONTH(D13)/100),TC!$5:$37,DAY(D13)+2,FALSE))</f>
        <v>20.6525</v>
      </c>
      <c r="K13" s="163">
        <f t="shared" ref="K13:K56" si="3">+I13*J13</f>
        <v>10.945825000000001</v>
      </c>
    </row>
    <row r="14" spans="2:16" ht="23" customHeight="1">
      <c r="B14" s="7" t="s">
        <v>952</v>
      </c>
      <c r="C14" s="158" t="s">
        <v>634</v>
      </c>
      <c r="D14" s="159">
        <v>44651</v>
      </c>
      <c r="E14" s="160" t="s">
        <v>740</v>
      </c>
      <c r="F14" s="7" t="s">
        <v>59</v>
      </c>
      <c r="G14" s="161">
        <v>3.11</v>
      </c>
      <c r="H14" s="162">
        <f>IF(F14=0,0,IF(F14="MXN",1/HLOOKUP(YEAR(D14)+(MONTH(D14)/100),TC!$5:$37,DAY(D14)+2,FALSE),VLOOKUP(F14,Equivalencia!$1:$23,((MAX(Equivalencia!$3:$3)-YEAR(D14))*14)+MONTH(D14)+2,FALSE)))</f>
        <v>1</v>
      </c>
      <c r="I14" s="163">
        <f t="shared" si="2"/>
        <v>3.11</v>
      </c>
      <c r="J14" s="162">
        <f>IF(D14=0,0,HLOOKUP(YEAR(D14)+(MONTH(D14)/100),TC!$5:$37,DAY(D14)+2,FALSE))</f>
        <v>19.994199999999999</v>
      </c>
      <c r="K14" s="163">
        <f t="shared" si="3"/>
        <v>62.181961999999999</v>
      </c>
    </row>
    <row r="15" spans="2:16" ht="23" customHeight="1">
      <c r="B15" s="7" t="s">
        <v>952</v>
      </c>
      <c r="C15" s="158" t="s">
        <v>634</v>
      </c>
      <c r="D15" s="159">
        <v>44651</v>
      </c>
      <c r="E15" s="160" t="s">
        <v>740</v>
      </c>
      <c r="F15" s="7" t="s">
        <v>59</v>
      </c>
      <c r="G15" s="161">
        <v>45.15</v>
      </c>
      <c r="H15" s="162">
        <f>IF(F15=0,0,IF(F15="MXN",1/HLOOKUP(YEAR(D15)+(MONTH(D15)/100),TC!$5:$37,DAY(D15)+2,FALSE),VLOOKUP(F15,Equivalencia!$1:$23,((MAX(Equivalencia!$3:$3)-YEAR(D15))*14)+MONTH(D15)+2,FALSE)))</f>
        <v>1</v>
      </c>
      <c r="I15" s="163">
        <f t="shared" si="2"/>
        <v>45.15</v>
      </c>
      <c r="J15" s="162">
        <f>IF(D15=0,0,HLOOKUP(YEAR(D15)+(MONTH(D15)/100),TC!$5:$37,DAY(D15)+2,FALSE))</f>
        <v>19.994199999999999</v>
      </c>
      <c r="K15" s="163">
        <f t="shared" si="3"/>
        <v>902.73812999999996</v>
      </c>
    </row>
    <row r="16" spans="2:16" ht="23" customHeight="1">
      <c r="B16" s="7" t="s">
        <v>952</v>
      </c>
      <c r="C16" s="158" t="s">
        <v>634</v>
      </c>
      <c r="D16" s="159">
        <v>44680</v>
      </c>
      <c r="E16" s="160" t="s">
        <v>740</v>
      </c>
      <c r="F16" s="7" t="s">
        <v>59</v>
      </c>
      <c r="G16" s="161">
        <v>2.82</v>
      </c>
      <c r="H16" s="162">
        <f>IF(F16=0,0,IF(F16="MXN",1/HLOOKUP(YEAR(D16)+(MONTH(D16)/100),TC!$5:$37,DAY(D16)+2,FALSE),VLOOKUP(F16,Equivalencia!$1:$23,((MAX(Equivalencia!$3:$3)-YEAR(D16))*14)+MONTH(D16)+2,FALSE)))</f>
        <v>1</v>
      </c>
      <c r="I16" s="163">
        <f t="shared" si="2"/>
        <v>2.82</v>
      </c>
      <c r="J16" s="162">
        <f>IF(D16=0,0,HLOOKUP(YEAR(D16)+(MONTH(D16)/100),TC!$5:$37,DAY(D16)+2,FALSE))</f>
        <v>20.470700000000001</v>
      </c>
      <c r="K16" s="163">
        <f t="shared" si="3"/>
        <v>57.727373999999998</v>
      </c>
    </row>
    <row r="17" spans="2:11" ht="23" customHeight="1">
      <c r="B17" s="7" t="s">
        <v>952</v>
      </c>
      <c r="C17" s="158" t="s">
        <v>634</v>
      </c>
      <c r="D17" s="159">
        <v>44680</v>
      </c>
      <c r="E17" s="160" t="s">
        <v>740</v>
      </c>
      <c r="F17" s="7" t="s">
        <v>59</v>
      </c>
      <c r="G17" s="161">
        <v>97.92</v>
      </c>
      <c r="H17" s="162">
        <f>IF(F17=0,0,IF(F17="MXN",1/HLOOKUP(YEAR(D17)+(MONTH(D17)/100),TC!$5:$37,DAY(D17)+2,FALSE),VLOOKUP(F17,Equivalencia!$1:$23,((MAX(Equivalencia!$3:$3)-YEAR(D17))*14)+MONTH(D17)+2,FALSE)))</f>
        <v>1</v>
      </c>
      <c r="I17" s="163">
        <f t="shared" si="2"/>
        <v>97.92</v>
      </c>
      <c r="J17" s="162">
        <f>IF(D17=0,0,HLOOKUP(YEAR(D17)+(MONTH(D17)/100),TC!$5:$37,DAY(D17)+2,FALSE))</f>
        <v>20.470700000000001</v>
      </c>
      <c r="K17" s="163">
        <f t="shared" si="3"/>
        <v>2004.4909440000001</v>
      </c>
    </row>
    <row r="18" spans="2:11" ht="23" customHeight="1">
      <c r="B18" s="7" t="s">
        <v>952</v>
      </c>
      <c r="C18" s="158" t="s">
        <v>634</v>
      </c>
      <c r="D18" s="159">
        <v>44712</v>
      </c>
      <c r="E18" s="160" t="s">
        <v>740</v>
      </c>
      <c r="F18" s="7" t="s">
        <v>59</v>
      </c>
      <c r="G18" s="161">
        <v>3.56</v>
      </c>
      <c r="H18" s="162">
        <f>IF(F18=0,0,IF(F18="MXN",1/HLOOKUP(YEAR(D18)+(MONTH(D18)/100),TC!$5:$37,DAY(D18)+2,FALSE),VLOOKUP(F18,Equivalencia!$1:$23,((MAX(Equivalencia!$3:$3)-YEAR(D18))*14)+MONTH(D18)+2,FALSE)))</f>
        <v>1</v>
      </c>
      <c r="I18" s="163">
        <f t="shared" si="2"/>
        <v>3.56</v>
      </c>
      <c r="J18" s="162">
        <f>IF(D18=0,0,HLOOKUP(YEAR(D18)+(MONTH(D18)/100),TC!$5:$37,DAY(D18)+2,FALSE))</f>
        <v>19.596499999999999</v>
      </c>
      <c r="K18" s="163">
        <f t="shared" si="3"/>
        <v>69.763539999999992</v>
      </c>
    </row>
    <row r="19" spans="2:11" ht="23" customHeight="1">
      <c r="B19" s="7" t="s">
        <v>952</v>
      </c>
      <c r="C19" s="158" t="s">
        <v>634</v>
      </c>
      <c r="D19" s="159">
        <v>44712</v>
      </c>
      <c r="E19" s="160" t="s">
        <v>740</v>
      </c>
      <c r="F19" s="7" t="s">
        <v>59</v>
      </c>
      <c r="G19" s="161">
        <v>179.99</v>
      </c>
      <c r="H19" s="162">
        <f>IF(F19=0,0,IF(F19="MXN",1/HLOOKUP(YEAR(D19)+(MONTH(D19)/100),TC!$5:$37,DAY(D19)+2,FALSE),VLOOKUP(F19,Equivalencia!$1:$23,((MAX(Equivalencia!$3:$3)-YEAR(D19))*14)+MONTH(D19)+2,FALSE)))</f>
        <v>1</v>
      </c>
      <c r="I19" s="163">
        <f t="shared" si="2"/>
        <v>179.99</v>
      </c>
      <c r="J19" s="162">
        <f>IF(D19=0,0,HLOOKUP(YEAR(D19)+(MONTH(D19)/100),TC!$5:$37,DAY(D19)+2,FALSE))</f>
        <v>19.596499999999999</v>
      </c>
      <c r="K19" s="163">
        <f t="shared" si="3"/>
        <v>3527.174035</v>
      </c>
    </row>
    <row r="20" spans="2:11" ht="23" customHeight="1">
      <c r="B20" s="7" t="s">
        <v>952</v>
      </c>
      <c r="C20" s="158" t="s">
        <v>634</v>
      </c>
      <c r="D20" s="159">
        <v>44712</v>
      </c>
      <c r="E20" s="160" t="s">
        <v>740</v>
      </c>
      <c r="F20" s="7" t="s">
        <v>59</v>
      </c>
      <c r="G20" s="161">
        <v>0.48</v>
      </c>
      <c r="H20" s="162">
        <f>IF(F20=0,0,IF(F20="MXN",1/HLOOKUP(YEAR(D20)+(MONTH(D20)/100),TC!$5:$37,DAY(D20)+2,FALSE),VLOOKUP(F20,Equivalencia!$1:$23,((MAX(Equivalencia!$3:$3)-YEAR(D20))*14)+MONTH(D20)+2,FALSE)))</f>
        <v>1</v>
      </c>
      <c r="I20" s="163">
        <f t="shared" si="2"/>
        <v>0.48</v>
      </c>
      <c r="J20" s="162">
        <f>IF(D20=0,0,HLOOKUP(YEAR(D20)+(MONTH(D20)/100),TC!$5:$37,DAY(D20)+2,FALSE))</f>
        <v>19.596499999999999</v>
      </c>
      <c r="K20" s="163">
        <f t="shared" si="3"/>
        <v>9.4063199999999991</v>
      </c>
    </row>
    <row r="21" spans="2:11" ht="23" customHeight="1">
      <c r="B21" s="7" t="s">
        <v>952</v>
      </c>
      <c r="C21" s="158" t="s">
        <v>634</v>
      </c>
      <c r="D21" s="159">
        <v>44742</v>
      </c>
      <c r="E21" s="160" t="s">
        <v>740</v>
      </c>
      <c r="F21" s="7" t="s">
        <v>59</v>
      </c>
      <c r="G21" s="161">
        <v>4.38</v>
      </c>
      <c r="H21" s="162">
        <f>IF(F21=0,0,IF(F21="MXN",1/HLOOKUP(YEAR(D21)+(MONTH(D21)/100),TC!$5:$37,DAY(D21)+2,FALSE),VLOOKUP(F21,Equivalencia!$1:$23,((MAX(Equivalencia!$3:$3)-YEAR(D21))*14)+MONTH(D21)+2,FALSE)))</f>
        <v>1</v>
      </c>
      <c r="I21" s="163">
        <f t="shared" si="2"/>
        <v>4.38</v>
      </c>
      <c r="J21" s="162">
        <f>IF(D21=0,0,HLOOKUP(YEAR(D21)+(MONTH(D21)/100),TC!$5:$37,DAY(D21)+2,FALSE))</f>
        <v>19.9847</v>
      </c>
      <c r="K21" s="163">
        <f t="shared" si="3"/>
        <v>87.532985999999994</v>
      </c>
    </row>
    <row r="22" spans="2:11" ht="23" customHeight="1">
      <c r="B22" s="7" t="s">
        <v>952</v>
      </c>
      <c r="C22" s="158" t="s">
        <v>634</v>
      </c>
      <c r="D22" s="159">
        <v>44742</v>
      </c>
      <c r="E22" s="160" t="s">
        <v>740</v>
      </c>
      <c r="F22" s="7" t="s">
        <v>59</v>
      </c>
      <c r="G22" s="161">
        <v>167.92</v>
      </c>
      <c r="H22" s="162">
        <f>IF(F22=0,0,IF(F22="MXN",1/HLOOKUP(YEAR(D22)+(MONTH(D22)/100),TC!$5:$37,DAY(D22)+2,FALSE),VLOOKUP(F22,Equivalencia!$1:$23,((MAX(Equivalencia!$3:$3)-YEAR(D22))*14)+MONTH(D22)+2,FALSE)))</f>
        <v>1</v>
      </c>
      <c r="I22" s="163">
        <f t="shared" si="2"/>
        <v>167.92</v>
      </c>
      <c r="J22" s="162">
        <f>IF(D22=0,0,HLOOKUP(YEAR(D22)+(MONTH(D22)/100),TC!$5:$37,DAY(D22)+2,FALSE))</f>
        <v>19.9847</v>
      </c>
      <c r="K22" s="163">
        <f t="shared" si="3"/>
        <v>3355.8308239999997</v>
      </c>
    </row>
    <row r="23" spans="2:11" ht="23" customHeight="1">
      <c r="B23" s="7" t="s">
        <v>952</v>
      </c>
      <c r="C23" s="158" t="s">
        <v>634</v>
      </c>
      <c r="D23" s="159">
        <v>44742</v>
      </c>
      <c r="E23" s="160" t="s">
        <v>740</v>
      </c>
      <c r="F23" s="7" t="s">
        <v>59</v>
      </c>
      <c r="G23" s="161">
        <v>0.55000000000000004</v>
      </c>
      <c r="H23" s="162">
        <f>IF(F23=0,0,IF(F23="MXN",1/HLOOKUP(YEAR(D23)+(MONTH(D23)/100),TC!$5:$37,DAY(D23)+2,FALSE),VLOOKUP(F23,Equivalencia!$1:$23,((MAX(Equivalencia!$3:$3)-YEAR(D23))*14)+MONTH(D23)+2,FALSE)))</f>
        <v>1</v>
      </c>
      <c r="I23" s="163">
        <f t="shared" si="2"/>
        <v>0.55000000000000004</v>
      </c>
      <c r="J23" s="162">
        <f>IF(D23=0,0,HLOOKUP(YEAR(D23)+(MONTH(D23)/100),TC!$5:$37,DAY(D23)+2,FALSE))</f>
        <v>19.9847</v>
      </c>
      <c r="K23" s="163">
        <f t="shared" si="3"/>
        <v>10.991585000000001</v>
      </c>
    </row>
    <row r="24" spans="2:11" ht="23" customHeight="1">
      <c r="B24" s="7" t="s">
        <v>952</v>
      </c>
      <c r="C24" s="158" t="s">
        <v>634</v>
      </c>
      <c r="D24" s="159">
        <v>44771</v>
      </c>
      <c r="E24" s="160" t="s">
        <v>740</v>
      </c>
      <c r="F24" s="7" t="s">
        <v>59</v>
      </c>
      <c r="G24" s="161">
        <v>4.0999999999999996</v>
      </c>
      <c r="H24" s="162">
        <f>IF(F24=0,0,IF(F24="MXN",1/HLOOKUP(YEAR(D24)+(MONTH(D24)/100),TC!$5:$37,DAY(D24)+2,FALSE),VLOOKUP(F24,Equivalencia!$1:$23,((MAX(Equivalencia!$3:$3)-YEAR(D24))*14)+MONTH(D24)+2,FALSE)))</f>
        <v>1</v>
      </c>
      <c r="I24" s="163">
        <f t="shared" ref="I24:I26" si="4">+H24*G24</f>
        <v>4.0999999999999996</v>
      </c>
      <c r="J24" s="162">
        <f>IF(D24=0,0,HLOOKUP(YEAR(D24)+(MONTH(D24)/100),TC!$5:$37,DAY(D24)+2,FALSE))</f>
        <v>20.512</v>
      </c>
      <c r="K24" s="163">
        <f t="shared" ref="K24:K26" si="5">+I24*J24</f>
        <v>84.099199999999996</v>
      </c>
    </row>
    <row r="25" spans="2:11" ht="23" customHeight="1">
      <c r="B25" s="7" t="s">
        <v>952</v>
      </c>
      <c r="C25" s="158" t="s">
        <v>634</v>
      </c>
      <c r="D25" s="159">
        <v>44771</v>
      </c>
      <c r="E25" s="160" t="s">
        <v>740</v>
      </c>
      <c r="F25" s="7" t="s">
        <v>59</v>
      </c>
      <c r="G25" s="161">
        <v>262.11</v>
      </c>
      <c r="H25" s="162">
        <f>IF(F25=0,0,IF(F25="MXN",1/HLOOKUP(YEAR(D25)+(MONTH(D25)/100),TC!$5:$37,DAY(D25)+2,FALSE),VLOOKUP(F25,Equivalencia!$1:$23,((MAX(Equivalencia!$3:$3)-YEAR(D25))*14)+MONTH(D25)+2,FALSE)))</f>
        <v>1</v>
      </c>
      <c r="I25" s="163">
        <f t="shared" si="4"/>
        <v>262.11</v>
      </c>
      <c r="J25" s="162">
        <f>IF(D25=0,0,HLOOKUP(YEAR(D25)+(MONTH(D25)/100),TC!$5:$37,DAY(D25)+2,FALSE))</f>
        <v>20.512</v>
      </c>
      <c r="K25" s="163">
        <f t="shared" si="5"/>
        <v>5376.4003200000006</v>
      </c>
    </row>
    <row r="26" spans="2:11" ht="23" customHeight="1">
      <c r="B26" s="7" t="s">
        <v>952</v>
      </c>
      <c r="C26" s="158" t="s">
        <v>634</v>
      </c>
      <c r="D26" s="159">
        <v>44771</v>
      </c>
      <c r="E26" s="160" t="s">
        <v>740</v>
      </c>
      <c r="F26" s="7" t="s">
        <v>59</v>
      </c>
      <c r="G26" s="161">
        <v>0.02</v>
      </c>
      <c r="H26" s="162">
        <f>IF(F26=0,0,IF(F26="MXN",1/HLOOKUP(YEAR(D26)+(MONTH(D26)/100),TC!$5:$37,DAY(D26)+2,FALSE),VLOOKUP(F26,Equivalencia!$1:$23,((MAX(Equivalencia!$3:$3)-YEAR(D26))*14)+MONTH(D26)+2,FALSE)))</f>
        <v>1</v>
      </c>
      <c r="I26" s="163">
        <f t="shared" si="4"/>
        <v>0.02</v>
      </c>
      <c r="J26" s="162">
        <f>IF(D26=0,0,HLOOKUP(YEAR(D26)+(MONTH(D26)/100),TC!$5:$37,DAY(D26)+2,FALSE))</f>
        <v>20.512</v>
      </c>
      <c r="K26" s="163">
        <f t="shared" si="5"/>
        <v>0.41023999999999999</v>
      </c>
    </row>
    <row r="27" spans="2:11" ht="23" customHeight="1">
      <c r="B27" s="7" t="s">
        <v>952</v>
      </c>
      <c r="C27" s="158" t="s">
        <v>634</v>
      </c>
      <c r="D27" s="159">
        <v>44804</v>
      </c>
      <c r="E27" s="160" t="s">
        <v>740</v>
      </c>
      <c r="F27" s="7" t="s">
        <v>59</v>
      </c>
      <c r="G27" s="161">
        <v>4.42</v>
      </c>
      <c r="H27" s="162">
        <f>IF(F27=0,0,IF(F27="MXN",1/HLOOKUP(YEAR(D27)+(MONTH(D27)/100),TC!$5:$37,DAY(D27)+2,FALSE),VLOOKUP(F27,Equivalencia!$1:$23,((MAX(Equivalencia!$3:$3)-YEAR(D27))*14)+MONTH(D27)+2,FALSE)))</f>
        <v>1</v>
      </c>
      <c r="I27" s="163">
        <f t="shared" ref="I27:I34" si="6">+H27*G27</f>
        <v>4.42</v>
      </c>
      <c r="J27" s="162">
        <f>IF(D27=0,0,HLOOKUP(YEAR(D27)+(MONTH(D27)/100),TC!$5:$37,DAY(D27)+2,FALSE))</f>
        <v>19.994499999999999</v>
      </c>
      <c r="K27" s="163">
        <f t="shared" ref="K27:K28" si="7">+I27*J27</f>
        <v>88.375689999999992</v>
      </c>
    </row>
    <row r="28" spans="2:11" ht="23" customHeight="1">
      <c r="B28" s="7" t="s">
        <v>952</v>
      </c>
      <c r="C28" s="158" t="s">
        <v>634</v>
      </c>
      <c r="D28" s="159">
        <v>44804</v>
      </c>
      <c r="E28" s="160" t="s">
        <v>740</v>
      </c>
      <c r="F28" s="7" t="s">
        <v>59</v>
      </c>
      <c r="G28" s="161">
        <v>496.52</v>
      </c>
      <c r="H28" s="162">
        <f>IF(F28=0,0,IF(F28="MXN",1/HLOOKUP(YEAR(D28)+(MONTH(D28)/100),TC!$5:$37,DAY(D28)+2,FALSE),VLOOKUP(F28,Equivalencia!$1:$23,((MAX(Equivalencia!$3:$3)-YEAR(D28))*14)+MONTH(D28)+2,FALSE)))</f>
        <v>1</v>
      </c>
      <c r="I28" s="163">
        <f t="shared" si="6"/>
        <v>496.52</v>
      </c>
      <c r="J28" s="162">
        <f>IF(D28=0,0,HLOOKUP(YEAR(D28)+(MONTH(D28)/100),TC!$5:$37,DAY(D28)+2,FALSE))</f>
        <v>19.994499999999999</v>
      </c>
      <c r="K28" s="163">
        <f t="shared" si="7"/>
        <v>9927.6691399999982</v>
      </c>
    </row>
    <row r="29" spans="2:11" ht="23" customHeight="1">
      <c r="B29" s="7" t="s">
        <v>952</v>
      </c>
      <c r="C29" s="158" t="s">
        <v>634</v>
      </c>
      <c r="D29" s="159">
        <v>44834</v>
      </c>
      <c r="E29" s="160" t="s">
        <v>740</v>
      </c>
      <c r="F29" s="7" t="s">
        <v>59</v>
      </c>
      <c r="G29" s="161">
        <v>3.98</v>
      </c>
      <c r="H29" s="162">
        <f>IF(F29=0,0,IF(F29="MXN",1/HLOOKUP(YEAR(D29)+(MONTH(D29)/100),TC!$5:$37,DAY(D29)+2,FALSE),VLOOKUP(F29,Equivalencia!$1:$23,((MAX(Equivalencia!$3:$3)-YEAR(D29))*14)+MONTH(D29)+2,FALSE)))</f>
        <v>1</v>
      </c>
      <c r="I29" s="163">
        <f t="shared" ref="I29:I31" si="8">+H29*G29</f>
        <v>3.98</v>
      </c>
      <c r="J29" s="162">
        <f>IF(D29=0,0,HLOOKUP(YEAR(D29)+(MONTH(D29)/100),TC!$5:$37,DAY(D29)+2,FALSE))</f>
        <v>20.305800000000001</v>
      </c>
      <c r="K29" s="163">
        <f t="shared" ref="K29:K31" si="9">+I29*J29</f>
        <v>80.817084000000008</v>
      </c>
    </row>
    <row r="30" spans="2:11" ht="23" customHeight="1">
      <c r="B30" s="7" t="s">
        <v>952</v>
      </c>
      <c r="C30" s="158" t="s">
        <v>634</v>
      </c>
      <c r="D30" s="159">
        <v>44834</v>
      </c>
      <c r="E30" s="160" t="s">
        <v>740</v>
      </c>
      <c r="F30" s="7" t="s">
        <v>59</v>
      </c>
      <c r="G30" s="161">
        <v>510.67</v>
      </c>
      <c r="H30" s="162">
        <f>IF(F30=0,0,IF(F30="MXN",1/HLOOKUP(YEAR(D30)+(MONTH(D30)/100),TC!$5:$37,DAY(D30)+2,FALSE),VLOOKUP(F30,Equivalencia!$1:$23,((MAX(Equivalencia!$3:$3)-YEAR(D30))*14)+MONTH(D30)+2,FALSE)))</f>
        <v>1</v>
      </c>
      <c r="I30" s="163">
        <f t="shared" si="8"/>
        <v>510.67</v>
      </c>
      <c r="J30" s="162">
        <f>IF(D30=0,0,HLOOKUP(YEAR(D30)+(MONTH(D30)/100),TC!$5:$37,DAY(D30)+2,FALSE))</f>
        <v>20.305800000000001</v>
      </c>
      <c r="K30" s="163">
        <f t="shared" si="9"/>
        <v>10369.562886000002</v>
      </c>
    </row>
    <row r="31" spans="2:11" ht="23" customHeight="1">
      <c r="B31" s="7" t="s">
        <v>952</v>
      </c>
      <c r="C31" s="158" t="s">
        <v>634</v>
      </c>
      <c r="D31" s="159">
        <v>44834</v>
      </c>
      <c r="E31" s="160" t="s">
        <v>740</v>
      </c>
      <c r="F31" s="7" t="s">
        <v>59</v>
      </c>
      <c r="G31" s="161">
        <v>0.36</v>
      </c>
      <c r="H31" s="162">
        <f>IF(F31=0,0,IF(F31="MXN",1/HLOOKUP(YEAR(D31)+(MONTH(D31)/100),TC!$5:$37,DAY(D31)+2,FALSE),VLOOKUP(F31,Equivalencia!$1:$23,((MAX(Equivalencia!$3:$3)-YEAR(D31))*14)+MONTH(D31)+2,FALSE)))</f>
        <v>1</v>
      </c>
      <c r="I31" s="163">
        <f t="shared" si="8"/>
        <v>0.36</v>
      </c>
      <c r="J31" s="162">
        <f>IF(D31=0,0,HLOOKUP(YEAR(D31)+(MONTH(D31)/100),TC!$5:$37,DAY(D31)+2,FALSE))</f>
        <v>20.305800000000001</v>
      </c>
      <c r="K31" s="163">
        <f t="shared" si="9"/>
        <v>7.3100880000000004</v>
      </c>
    </row>
    <row r="32" spans="2:11" ht="23" customHeight="1">
      <c r="B32" s="7" t="s">
        <v>952</v>
      </c>
      <c r="C32" s="158" t="s">
        <v>634</v>
      </c>
      <c r="D32" s="159">
        <v>44865</v>
      </c>
      <c r="E32" s="160" t="s">
        <v>740</v>
      </c>
      <c r="F32" s="7" t="s">
        <v>59</v>
      </c>
      <c r="G32" s="163">
        <v>4.1100000000000003</v>
      </c>
      <c r="H32" s="162">
        <f>IF(F32=0,0,IF(F32="MXN",1/HLOOKUP(YEAR(D32)+(MONTH(D32)/100),TC!$5:$37,DAY(D32)+2,FALSE),VLOOKUP(F32,Equivalencia!$1:$23,((MAX(Equivalencia!$3:$3)-YEAR(D32))*14)+MONTH(D32)+2,FALSE)))</f>
        <v>1</v>
      </c>
      <c r="I32" s="163">
        <f t="shared" si="6"/>
        <v>4.1100000000000003</v>
      </c>
      <c r="J32" s="162">
        <f>IF(D32=0,0,HLOOKUP(YEAR(D32)+(MONTH(D32)/100),TC!$5:$37,DAY(D32)+2,FALSE))</f>
        <v>19.836500000000001</v>
      </c>
      <c r="K32" s="163">
        <f t="shared" ref="K32:K34" si="10">+I32*J32</f>
        <v>81.528015000000011</v>
      </c>
    </row>
    <row r="33" spans="2:11" ht="23" customHeight="1">
      <c r="B33" s="7" t="s">
        <v>952</v>
      </c>
      <c r="C33" s="158" t="s">
        <v>634</v>
      </c>
      <c r="D33" s="159">
        <v>44865</v>
      </c>
      <c r="E33" s="160" t="s">
        <v>740</v>
      </c>
      <c r="F33" s="7" t="s">
        <v>59</v>
      </c>
      <c r="G33" s="163">
        <v>652.29999999999995</v>
      </c>
      <c r="H33" s="162">
        <f>IF(F33=0,0,IF(F33="MXN",1/HLOOKUP(YEAR(D33)+(MONTH(D33)/100),TC!$5:$37,DAY(D33)+2,FALSE),VLOOKUP(F33,Equivalencia!$1:$23,((MAX(Equivalencia!$3:$3)-YEAR(D33))*14)+MONTH(D33)+2,FALSE)))</f>
        <v>1</v>
      </c>
      <c r="I33" s="163">
        <f t="shared" si="6"/>
        <v>652.29999999999995</v>
      </c>
      <c r="J33" s="162">
        <f>IF(D33=0,0,HLOOKUP(YEAR(D33)+(MONTH(D33)/100),TC!$5:$37,DAY(D33)+2,FALSE))</f>
        <v>19.836500000000001</v>
      </c>
      <c r="K33" s="163">
        <f t="shared" si="10"/>
        <v>12939.34895</v>
      </c>
    </row>
    <row r="34" spans="2:11" ht="23" customHeight="1">
      <c r="B34" s="7" t="s">
        <v>952</v>
      </c>
      <c r="C34" s="158" t="s">
        <v>634</v>
      </c>
      <c r="D34" s="159">
        <v>44865</v>
      </c>
      <c r="E34" s="160" t="s">
        <v>740</v>
      </c>
      <c r="F34" s="7" t="s">
        <v>59</v>
      </c>
      <c r="G34" s="163">
        <v>1.2</v>
      </c>
      <c r="H34" s="162">
        <f>IF(F34=0,0,IF(F34="MXN",1/HLOOKUP(YEAR(D34)+(MONTH(D34)/100),TC!$5:$37,DAY(D34)+2,FALSE),VLOOKUP(F34,Equivalencia!$1:$23,((MAX(Equivalencia!$3:$3)-YEAR(D34))*14)+MONTH(D34)+2,FALSE)))</f>
        <v>1</v>
      </c>
      <c r="I34" s="163">
        <f t="shared" si="6"/>
        <v>1.2</v>
      </c>
      <c r="J34" s="162">
        <f>IF(D34=0,0,HLOOKUP(YEAR(D34)+(MONTH(D34)/100),TC!$5:$37,DAY(D34)+2,FALSE))</f>
        <v>19.836500000000001</v>
      </c>
      <c r="K34" s="163">
        <f t="shared" si="10"/>
        <v>23.803799999999999</v>
      </c>
    </row>
    <row r="35" spans="2:11" ht="23" customHeight="1">
      <c r="B35" s="7" t="s">
        <v>952</v>
      </c>
      <c r="C35" s="158" t="s">
        <v>634</v>
      </c>
      <c r="D35" s="159">
        <v>44895</v>
      </c>
      <c r="E35" s="160" t="s">
        <v>740</v>
      </c>
      <c r="F35" s="7" t="s">
        <v>59</v>
      </c>
      <c r="G35" s="163">
        <v>2.2000000000000002</v>
      </c>
      <c r="H35" s="162">
        <f>IF(F35=0,0,IF(F35="MXN",1/HLOOKUP(YEAR(D35)+(MONTH(D35)/100),TC!$5:$37,DAY(D35)+2,FALSE),VLOOKUP(F35,Equivalencia!$1:$23,((MAX(Equivalencia!$3:$3)-YEAR(D35))*14)+MONTH(D35)+2,FALSE)))</f>
        <v>1</v>
      </c>
      <c r="I35" s="163">
        <f t="shared" ref="I35:I36" si="11">+H35*G35</f>
        <v>2.2000000000000002</v>
      </c>
      <c r="J35" s="162">
        <f>IF(D35=0,0,HLOOKUP(YEAR(D35)+(MONTH(D35)/100),TC!$5:$37,DAY(D35)+2,FALSE))</f>
        <v>19.324999999999999</v>
      </c>
      <c r="K35" s="163">
        <f t="shared" ref="K35:K36" si="12">+I35*J35</f>
        <v>42.515000000000001</v>
      </c>
    </row>
    <row r="36" spans="2:11" ht="23" customHeight="1">
      <c r="B36" s="7" t="s">
        <v>952</v>
      </c>
      <c r="C36" s="158" t="s">
        <v>634</v>
      </c>
      <c r="D36" s="159">
        <v>44895</v>
      </c>
      <c r="E36" s="160" t="s">
        <v>740</v>
      </c>
      <c r="F36" s="7" t="s">
        <v>59</v>
      </c>
      <c r="G36" s="163">
        <v>1423.58</v>
      </c>
      <c r="H36" s="162">
        <f>IF(F36=0,0,IF(F36="MXN",1/HLOOKUP(YEAR(D36)+(MONTH(D36)/100),TC!$5:$37,DAY(D36)+2,FALSE),VLOOKUP(F36,Equivalencia!$1:$23,((MAX(Equivalencia!$3:$3)-YEAR(D36))*14)+MONTH(D36)+2,FALSE)))</f>
        <v>1</v>
      </c>
      <c r="I36" s="163">
        <f t="shared" si="11"/>
        <v>1423.58</v>
      </c>
      <c r="J36" s="162">
        <f>IF(D36=0,0,HLOOKUP(YEAR(D36)+(MONTH(D36)/100),TC!$5:$37,DAY(D36)+2,FALSE))</f>
        <v>19.324999999999999</v>
      </c>
      <c r="K36" s="163">
        <f t="shared" si="12"/>
        <v>27510.683499999999</v>
      </c>
    </row>
    <row r="37" spans="2:11" ht="23" customHeight="1">
      <c r="B37" s="7" t="s">
        <v>952</v>
      </c>
      <c r="C37" s="158" t="s">
        <v>634</v>
      </c>
      <c r="D37" s="159">
        <v>44925</v>
      </c>
      <c r="E37" s="160" t="s">
        <v>740</v>
      </c>
      <c r="F37" s="7" t="s">
        <v>59</v>
      </c>
      <c r="G37" s="163">
        <v>2194.2800000000002</v>
      </c>
      <c r="H37" s="162">
        <f>IF(F37=0,0,IF(F37="MXN",1/HLOOKUP(YEAR(D37)+(MONTH(D37)/100),TC!$5:$37,DAY(D37)+2,FALSE),VLOOKUP(F37,Equivalencia!$1:$23,((MAX(Equivalencia!$3:$3)-YEAR(D37))*14)+MONTH(D37)+2,FALSE)))</f>
        <v>1</v>
      </c>
      <c r="I37" s="163">
        <f t="shared" ref="I37:I38" si="13">+H37*G37</f>
        <v>2194.2800000000002</v>
      </c>
      <c r="J37" s="162">
        <f>IF(D37=0,0,HLOOKUP(YEAR(D37)+(MONTH(D37)/100),TC!$5:$37,DAY(D37)+2,FALSE))</f>
        <v>19.414300000000001</v>
      </c>
      <c r="K37" s="163">
        <f t="shared" ref="K37:K38" si="14">+I37*J37</f>
        <v>42600.410204000007</v>
      </c>
    </row>
    <row r="38" spans="2:11" ht="23" customHeight="1">
      <c r="B38" s="7" t="s">
        <v>952</v>
      </c>
      <c r="C38" s="158" t="s">
        <v>634</v>
      </c>
      <c r="D38" s="159">
        <v>44925</v>
      </c>
      <c r="E38" s="160" t="s">
        <v>740</v>
      </c>
      <c r="F38" s="7" t="s">
        <v>59</v>
      </c>
      <c r="G38" s="163">
        <v>0.09</v>
      </c>
      <c r="H38" s="162">
        <f>IF(F38=0,0,IF(F38="MXN",1/HLOOKUP(YEAR(D38)+(MONTH(D38)/100),TC!$5:$37,DAY(D38)+2,FALSE),VLOOKUP(F38,Equivalencia!$1:$23,((MAX(Equivalencia!$3:$3)-YEAR(D38))*14)+MONTH(D38)+2,FALSE)))</f>
        <v>1</v>
      </c>
      <c r="I38" s="163">
        <f t="shared" si="13"/>
        <v>0.09</v>
      </c>
      <c r="J38" s="162">
        <f>IF(D38=0,0,HLOOKUP(YEAR(D38)+(MONTH(D38)/100),TC!$5:$37,DAY(D38)+2,FALSE))</f>
        <v>19.414300000000001</v>
      </c>
      <c r="K38" s="163">
        <f t="shared" si="14"/>
        <v>1.747287</v>
      </c>
    </row>
    <row r="39" spans="2:11" ht="23" customHeight="1">
      <c r="B39" s="7" t="s">
        <v>851</v>
      </c>
      <c r="C39" s="158" t="s">
        <v>634</v>
      </c>
      <c r="D39" s="159">
        <v>44592</v>
      </c>
      <c r="E39" s="160" t="s">
        <v>740</v>
      </c>
      <c r="F39" s="7" t="s">
        <v>59</v>
      </c>
      <c r="G39" s="161">
        <v>5.61</v>
      </c>
      <c r="H39" s="162">
        <f>IF(F39=0,0,IF(F39="MXN",1/HLOOKUP(YEAR(D39)+(MONTH(D39)/100),TC!$5:$37,DAY(D39)+2,FALSE),VLOOKUP(F39,Equivalencia!$1:$23,((MAX(Equivalencia!$3:$3)-YEAR(D39))*14)+MONTH(D39)+2,FALSE)))</f>
        <v>1</v>
      </c>
      <c r="I39" s="163">
        <f t="shared" si="2"/>
        <v>5.61</v>
      </c>
      <c r="J39" s="162">
        <f>IF(D39=0,0,HLOOKUP(YEAR(D39)+(MONTH(D39)/100),TC!$5:$37,DAY(D39)+2,FALSE))</f>
        <v>20.738299999999999</v>
      </c>
      <c r="K39" s="163">
        <f t="shared" si="3"/>
        <v>116.341863</v>
      </c>
    </row>
    <row r="40" spans="2:11" ht="23" customHeight="1">
      <c r="B40" s="7" t="s">
        <v>851</v>
      </c>
      <c r="C40" s="158" t="s">
        <v>634</v>
      </c>
      <c r="D40" s="159">
        <v>44620</v>
      </c>
      <c r="E40" s="160" t="s">
        <v>740</v>
      </c>
      <c r="F40" s="7" t="s">
        <v>59</v>
      </c>
      <c r="G40" s="161">
        <v>5.1100000000000003</v>
      </c>
      <c r="H40" s="162">
        <f>IF(F40=0,0,IF(F40="MXN",1/HLOOKUP(YEAR(D40)+(MONTH(D40)/100),TC!$5:$37,DAY(D40)+2,FALSE),VLOOKUP(F40,Equivalencia!$1:$23,((MAX(Equivalencia!$3:$3)-YEAR(D40))*14)+MONTH(D40)+2,FALSE)))</f>
        <v>1</v>
      </c>
      <c r="I40" s="163">
        <f t="shared" si="2"/>
        <v>5.1100000000000003</v>
      </c>
      <c r="J40" s="162">
        <f>IF(D40=0,0,HLOOKUP(YEAR(D40)+(MONTH(D40)/100),TC!$5:$37,DAY(D40)+2,FALSE))</f>
        <v>20.6525</v>
      </c>
      <c r="K40" s="163">
        <f t="shared" si="3"/>
        <v>105.53427500000001</v>
      </c>
    </row>
    <row r="41" spans="2:11" ht="23" customHeight="1">
      <c r="B41" s="7" t="s">
        <v>851</v>
      </c>
      <c r="C41" s="158" t="s">
        <v>634</v>
      </c>
      <c r="D41" s="159">
        <v>44651</v>
      </c>
      <c r="E41" s="160" t="s">
        <v>740</v>
      </c>
      <c r="F41" s="7" t="s">
        <v>59</v>
      </c>
      <c r="G41" s="161">
        <v>21.09</v>
      </c>
      <c r="H41" s="162">
        <f>IF(F41=0,0,IF(F41="MXN",1/HLOOKUP(YEAR(D41)+(MONTH(D41)/100),TC!$5:$37,DAY(D41)+2,FALSE),VLOOKUP(F41,Equivalencia!$1:$23,((MAX(Equivalencia!$3:$3)-YEAR(D41))*14)+MONTH(D41)+2,FALSE)))</f>
        <v>1</v>
      </c>
      <c r="I41" s="163">
        <f t="shared" si="2"/>
        <v>21.09</v>
      </c>
      <c r="J41" s="162">
        <f>IF(D41=0,0,HLOOKUP(YEAR(D41)+(MONTH(D41)/100),TC!$5:$37,DAY(D41)+2,FALSE))</f>
        <v>19.994199999999999</v>
      </c>
      <c r="K41" s="163">
        <f t="shared" si="3"/>
        <v>421.67767799999996</v>
      </c>
    </row>
    <row r="42" spans="2:11" ht="23" customHeight="1">
      <c r="B42" s="7" t="s">
        <v>851</v>
      </c>
      <c r="C42" s="158" t="s">
        <v>634</v>
      </c>
      <c r="D42" s="159">
        <v>44680</v>
      </c>
      <c r="E42" s="160" t="s">
        <v>740</v>
      </c>
      <c r="F42" s="7" t="s">
        <v>59</v>
      </c>
      <c r="G42" s="161">
        <v>46.35</v>
      </c>
      <c r="H42" s="162">
        <f>IF(F42=0,0,IF(F42="MXN",1/HLOOKUP(YEAR(D42)+(MONTH(D42)/100),TC!$5:$37,DAY(D42)+2,FALSE),VLOOKUP(F42,Equivalencia!$1:$23,((MAX(Equivalencia!$3:$3)-YEAR(D42))*14)+MONTH(D42)+2,FALSE)))</f>
        <v>1</v>
      </c>
      <c r="I42" s="163">
        <f t="shared" si="2"/>
        <v>46.35</v>
      </c>
      <c r="J42" s="162">
        <f>IF(D42=0,0,HLOOKUP(YEAR(D42)+(MONTH(D42)/100),TC!$5:$37,DAY(D42)+2,FALSE))</f>
        <v>20.470700000000001</v>
      </c>
      <c r="K42" s="163">
        <f t="shared" si="3"/>
        <v>948.81694500000003</v>
      </c>
    </row>
    <row r="43" spans="2:11" ht="23" customHeight="1">
      <c r="B43" s="7" t="s">
        <v>851</v>
      </c>
      <c r="C43" s="158" t="s">
        <v>634</v>
      </c>
      <c r="D43" s="159">
        <v>44712</v>
      </c>
      <c r="E43" s="160" t="s">
        <v>740</v>
      </c>
      <c r="F43" s="7" t="s">
        <v>59</v>
      </c>
      <c r="G43" s="161">
        <v>107.04</v>
      </c>
      <c r="H43" s="162">
        <f>IF(F43=0,0,IF(F43="MXN",1/HLOOKUP(YEAR(D43)+(MONTH(D43)/100),TC!$5:$37,DAY(D43)+2,FALSE),VLOOKUP(F43,Equivalencia!$1:$23,((MAX(Equivalencia!$3:$3)-YEAR(D43))*14)+MONTH(D43)+2,FALSE)))</f>
        <v>1</v>
      </c>
      <c r="I43" s="163">
        <f t="shared" si="2"/>
        <v>107.04</v>
      </c>
      <c r="J43" s="162">
        <f>IF(D43=0,0,HLOOKUP(YEAR(D43)+(MONTH(D43)/100),TC!$5:$37,DAY(D43)+2,FALSE))</f>
        <v>19.596499999999999</v>
      </c>
      <c r="K43" s="163">
        <f t="shared" si="3"/>
        <v>2097.6093599999999</v>
      </c>
    </row>
    <row r="44" spans="2:11" ht="23" customHeight="1">
      <c r="B44" s="7" t="s">
        <v>851</v>
      </c>
      <c r="C44" s="158" t="s">
        <v>634</v>
      </c>
      <c r="D44" s="159">
        <v>44742</v>
      </c>
      <c r="E44" s="160" t="s">
        <v>740</v>
      </c>
      <c r="F44" s="7" t="s">
        <v>59</v>
      </c>
      <c r="G44" s="161">
        <v>231.7</v>
      </c>
      <c r="H44" s="162">
        <f>IF(F44=0,0,IF(F44="MXN",1/HLOOKUP(YEAR(D44)+(MONTH(D44)/100),TC!$5:$37,DAY(D44)+2,FALSE),VLOOKUP(F44,Equivalencia!$1:$23,((MAX(Equivalencia!$3:$3)-YEAR(D44))*14)+MONTH(D44)+2,FALSE)))</f>
        <v>1</v>
      </c>
      <c r="I44" s="163">
        <f t="shared" si="2"/>
        <v>231.7</v>
      </c>
      <c r="J44" s="162">
        <f>IF(D44=0,0,HLOOKUP(YEAR(D44)+(MONTH(D44)/100),TC!$5:$37,DAY(D44)+2,FALSE))</f>
        <v>19.9847</v>
      </c>
      <c r="K44" s="163">
        <f t="shared" si="3"/>
        <v>4630.4549900000002</v>
      </c>
    </row>
    <row r="45" spans="2:11" ht="23" customHeight="1">
      <c r="B45" s="7" t="s">
        <v>851</v>
      </c>
      <c r="C45" s="158" t="s">
        <v>634</v>
      </c>
      <c r="D45" s="159">
        <v>44771</v>
      </c>
      <c r="E45" s="160" t="s">
        <v>740</v>
      </c>
      <c r="F45" s="7" t="s">
        <v>59</v>
      </c>
      <c r="G45" s="161">
        <v>295.95999999999998</v>
      </c>
      <c r="H45" s="162">
        <f>IF(F45=0,0,IF(F45="MXN",1/HLOOKUP(YEAR(D45)+(MONTH(D45)/100),TC!$5:$37,DAY(D45)+2,FALSE),VLOOKUP(F45,Equivalencia!$1:$23,((MAX(Equivalencia!$3:$3)-YEAR(D45))*14)+MONTH(D45)+2,FALSE)))</f>
        <v>1</v>
      </c>
      <c r="I45" s="163">
        <f t="shared" si="2"/>
        <v>295.95999999999998</v>
      </c>
      <c r="J45" s="162">
        <f>IF(D45=0,0,HLOOKUP(YEAR(D45)+(MONTH(D45)/100),TC!$5:$37,DAY(D45)+2,FALSE))</f>
        <v>20.512</v>
      </c>
      <c r="K45" s="163">
        <f t="shared" si="3"/>
        <v>6070.7315199999994</v>
      </c>
    </row>
    <row r="46" spans="2:11" ht="23" customHeight="1">
      <c r="B46" s="7" t="s">
        <v>851</v>
      </c>
      <c r="C46" s="158" t="s">
        <v>634</v>
      </c>
      <c r="D46" s="159">
        <v>44771</v>
      </c>
      <c r="E46" s="160" t="s">
        <v>740</v>
      </c>
      <c r="F46" s="7" t="s">
        <v>59</v>
      </c>
      <c r="G46" s="161">
        <v>0.03</v>
      </c>
      <c r="H46" s="162">
        <f>IF(F46=0,0,IF(F46="MXN",1/HLOOKUP(YEAR(D46)+(MONTH(D46)/100),TC!$5:$37,DAY(D46)+2,FALSE),VLOOKUP(F46,Equivalencia!$1:$23,((MAX(Equivalencia!$3:$3)-YEAR(D46))*14)+MONTH(D46)+2,FALSE)))</f>
        <v>1</v>
      </c>
      <c r="I46" s="163">
        <f t="shared" si="2"/>
        <v>0.03</v>
      </c>
      <c r="J46" s="162">
        <f>IF(D46=0,0,HLOOKUP(YEAR(D46)+(MONTH(D46)/100),TC!$5:$37,DAY(D46)+2,FALSE))</f>
        <v>20.512</v>
      </c>
      <c r="K46" s="163">
        <f t="shared" si="3"/>
        <v>0.61536000000000002</v>
      </c>
    </row>
    <row r="47" spans="2:11" ht="23" customHeight="1">
      <c r="B47" s="7" t="s">
        <v>851</v>
      </c>
      <c r="C47" s="158" t="s">
        <v>634</v>
      </c>
      <c r="D47" s="159">
        <v>44804</v>
      </c>
      <c r="E47" s="160" t="s">
        <v>740</v>
      </c>
      <c r="F47" s="7" t="s">
        <v>59</v>
      </c>
      <c r="G47" s="161">
        <v>480.64</v>
      </c>
      <c r="H47" s="162">
        <f>IF(F47=0,0,IF(F47="MXN",1/HLOOKUP(YEAR(D47)+(MONTH(D47)/100),TC!$5:$37,DAY(D47)+2,FALSE),VLOOKUP(F47,Equivalencia!$1:$23,((MAX(Equivalencia!$3:$3)-YEAR(D47))*14)+MONTH(D47)+2,FALSE)))</f>
        <v>1</v>
      </c>
      <c r="I47" s="163">
        <f t="shared" si="2"/>
        <v>480.64</v>
      </c>
      <c r="J47" s="162">
        <f>IF(D47=0,0,HLOOKUP(YEAR(D47)+(MONTH(D47)/100),TC!$5:$37,DAY(D47)+2,FALSE))</f>
        <v>19.994499999999999</v>
      </c>
      <c r="K47" s="163">
        <f t="shared" si="3"/>
        <v>9610.1564799999996</v>
      </c>
    </row>
    <row r="48" spans="2:11" ht="23" customHeight="1">
      <c r="B48" s="7" t="s">
        <v>851</v>
      </c>
      <c r="C48" s="158" t="s">
        <v>634</v>
      </c>
      <c r="D48" s="159">
        <v>44804</v>
      </c>
      <c r="E48" s="160" t="s">
        <v>740</v>
      </c>
      <c r="F48" s="7" t="s">
        <v>59</v>
      </c>
      <c r="G48" s="161">
        <v>0.16</v>
      </c>
      <c r="H48" s="162">
        <f>IF(F48=0,0,IF(F48="MXN",1/HLOOKUP(YEAR(D48)+(MONTH(D48)/100),TC!$5:$37,DAY(D48)+2,FALSE),VLOOKUP(F48,Equivalencia!$1:$23,((MAX(Equivalencia!$3:$3)-YEAR(D48))*14)+MONTH(D48)+2,FALSE)))</f>
        <v>1</v>
      </c>
      <c r="I48" s="163">
        <f t="shared" si="2"/>
        <v>0.16</v>
      </c>
      <c r="J48" s="162">
        <f>IF(D48=0,0,HLOOKUP(YEAR(D48)+(MONTH(D48)/100),TC!$5:$37,DAY(D48)+2,FALSE))</f>
        <v>19.994499999999999</v>
      </c>
      <c r="K48" s="163">
        <f t="shared" si="3"/>
        <v>3.1991199999999997</v>
      </c>
    </row>
    <row r="49" spans="2:11" ht="23" customHeight="1">
      <c r="B49" s="7" t="s">
        <v>851</v>
      </c>
      <c r="C49" s="158" t="s">
        <v>634</v>
      </c>
      <c r="D49" s="159">
        <v>44834</v>
      </c>
      <c r="E49" s="160" t="s">
        <v>740</v>
      </c>
      <c r="F49" s="7" t="s">
        <v>59</v>
      </c>
      <c r="G49" s="161">
        <v>487.26</v>
      </c>
      <c r="H49" s="162">
        <f>IF(F49=0,0,IF(F49="MXN",1/HLOOKUP(YEAR(D49)+(MONTH(D49)/100),TC!$5:$37,DAY(D49)+2,FALSE),VLOOKUP(F49,Equivalencia!$1:$23,((MAX(Equivalencia!$3:$3)-YEAR(D49))*14)+MONTH(D49)+2,FALSE)))</f>
        <v>1</v>
      </c>
      <c r="I49" s="163">
        <f t="shared" ref="I49" si="15">+H49*G49</f>
        <v>487.26</v>
      </c>
      <c r="J49" s="162">
        <f>IF(D49=0,0,HLOOKUP(YEAR(D49)+(MONTH(D49)/100),TC!$5:$37,DAY(D49)+2,FALSE))</f>
        <v>20.305800000000001</v>
      </c>
      <c r="K49" s="163">
        <f t="shared" ref="K49" si="16">+I49*J49</f>
        <v>9894.2041079999999</v>
      </c>
    </row>
    <row r="50" spans="2:11" ht="22" customHeight="1">
      <c r="B50" s="7" t="s">
        <v>851</v>
      </c>
      <c r="C50" s="158" t="s">
        <v>634</v>
      </c>
      <c r="D50" s="159">
        <v>44865</v>
      </c>
      <c r="E50" s="160" t="s">
        <v>740</v>
      </c>
      <c r="F50" s="7" t="s">
        <v>59</v>
      </c>
      <c r="G50" s="161">
        <v>604.01</v>
      </c>
      <c r="H50" s="162">
        <f>IF(F50=0,0,IF(F50="MXN",1/HLOOKUP(YEAR(D50)+(MONTH(D50)/100),TC!$5:$37,DAY(D50)+2,FALSE),VLOOKUP(F50,Equivalencia!$1:$23,((MAX(Equivalencia!$3:$3)-YEAR(D50))*14)+MONTH(D50)+2,FALSE)))</f>
        <v>1</v>
      </c>
      <c r="I50" s="163">
        <f t="shared" si="2"/>
        <v>604.01</v>
      </c>
      <c r="J50" s="162">
        <f>IF(D50=0,0,HLOOKUP(YEAR(D50)+(MONTH(D50)/100),TC!$5:$37,DAY(D50)+2,FALSE))</f>
        <v>19.836500000000001</v>
      </c>
      <c r="K50" s="163">
        <f t="shared" si="3"/>
        <v>11981.444365000001</v>
      </c>
    </row>
    <row r="51" spans="2:11" ht="22" customHeight="1">
      <c r="B51" s="7" t="s">
        <v>851</v>
      </c>
      <c r="C51" s="158" t="s">
        <v>634</v>
      </c>
      <c r="D51" s="159">
        <v>44865</v>
      </c>
      <c r="E51" s="160" t="s">
        <v>740</v>
      </c>
      <c r="F51" s="7" t="s">
        <v>59</v>
      </c>
      <c r="G51" s="161">
        <v>0.41</v>
      </c>
      <c r="H51" s="162">
        <f>IF(F51=0,0,IF(F51="MXN",1/HLOOKUP(YEAR(D51)+(MONTH(D51)/100),TC!$5:$37,DAY(D51)+2,FALSE),VLOOKUP(F51,Equivalencia!$1:$23,((MAX(Equivalencia!$3:$3)-YEAR(D51))*14)+MONTH(D51)+2,FALSE)))</f>
        <v>1</v>
      </c>
      <c r="I51" s="163">
        <f t="shared" si="2"/>
        <v>0.41</v>
      </c>
      <c r="J51" s="162">
        <f>IF(D51=0,0,HLOOKUP(YEAR(D51)+(MONTH(D51)/100),TC!$5:$37,DAY(D51)+2,FALSE))</f>
        <v>19.836500000000001</v>
      </c>
      <c r="K51" s="163">
        <f t="shared" si="3"/>
        <v>8.1329650000000004</v>
      </c>
    </row>
    <row r="52" spans="2:11" ht="22" customHeight="1">
      <c r="B52" s="7" t="s">
        <v>851</v>
      </c>
      <c r="C52" s="158" t="s">
        <v>634</v>
      </c>
      <c r="D52" s="159">
        <v>44895</v>
      </c>
      <c r="E52" s="160" t="s">
        <v>740</v>
      </c>
      <c r="F52" s="7" t="s">
        <v>59</v>
      </c>
      <c r="G52" s="161">
        <v>1.2</v>
      </c>
      <c r="H52" s="162">
        <f>IF(F52=0,0,IF(F52="MXN",1/HLOOKUP(YEAR(D52)+(MONTH(D52)/100),TC!$5:$37,DAY(D52)+2,FALSE),VLOOKUP(F52,Equivalencia!$1:$23,((MAX(Equivalencia!$3:$3)-YEAR(D52))*14)+MONTH(D52)+2,FALSE)))</f>
        <v>1</v>
      </c>
      <c r="I52" s="163">
        <f t="shared" si="2"/>
        <v>1.2</v>
      </c>
      <c r="J52" s="162">
        <f>IF(D52=0,0,HLOOKUP(YEAR(D52)+(MONTH(D52)/100),TC!$5:$37,DAY(D52)+2,FALSE))</f>
        <v>19.324999999999999</v>
      </c>
      <c r="K52" s="163">
        <f t="shared" si="3"/>
        <v>23.189999999999998</v>
      </c>
    </row>
    <row r="53" spans="2:11" ht="22" customHeight="1">
      <c r="B53" s="7" t="s">
        <v>851</v>
      </c>
      <c r="C53" s="158" t="s">
        <v>634</v>
      </c>
      <c r="D53" s="159">
        <v>44895</v>
      </c>
      <c r="E53" s="160" t="s">
        <v>740</v>
      </c>
      <c r="F53" s="7" t="s">
        <v>59</v>
      </c>
      <c r="G53" s="161">
        <v>357.75</v>
      </c>
      <c r="H53" s="162">
        <f>IF(F53=0,0,IF(F53="MXN",1/HLOOKUP(YEAR(D53)+(MONTH(D53)/100),TC!$5:$37,DAY(D53)+2,FALSE),VLOOKUP(F53,Equivalencia!$1:$23,((MAX(Equivalencia!$3:$3)-YEAR(D53))*14)+MONTH(D53)+2,FALSE)))</f>
        <v>1</v>
      </c>
      <c r="I53" s="163">
        <f t="shared" si="2"/>
        <v>357.75</v>
      </c>
      <c r="J53" s="162">
        <f>IF(D53=0,0,HLOOKUP(YEAR(D53)+(MONTH(D53)/100),TC!$5:$37,DAY(D53)+2,FALSE))</f>
        <v>19.324999999999999</v>
      </c>
      <c r="K53" s="163">
        <f t="shared" si="3"/>
        <v>6913.5187500000002</v>
      </c>
    </row>
    <row r="54" spans="2:11" ht="22" customHeight="1">
      <c r="B54" s="7" t="s">
        <v>851</v>
      </c>
      <c r="C54" s="158" t="s">
        <v>634</v>
      </c>
      <c r="D54" s="159">
        <v>44925</v>
      </c>
      <c r="E54" s="160" t="s">
        <v>740</v>
      </c>
      <c r="F54" s="7" t="s">
        <v>59</v>
      </c>
      <c r="G54" s="161">
        <v>2.2999999999999998</v>
      </c>
      <c r="H54" s="162">
        <f>IF(F54=0,0,IF(F54="MXN",1/HLOOKUP(YEAR(D54)+(MONTH(D54)/100),TC!$5:$37,DAY(D54)+2,FALSE),VLOOKUP(F54,Equivalencia!$1:$23,((MAX(Equivalencia!$3:$3)-YEAR(D54))*14)+MONTH(D54)+2,FALSE)))</f>
        <v>1</v>
      </c>
      <c r="I54" s="163">
        <f t="shared" si="2"/>
        <v>2.2999999999999998</v>
      </c>
      <c r="J54" s="162">
        <f>IF(D54=0,0,HLOOKUP(YEAR(D54)+(MONTH(D54)/100),TC!$5:$37,DAY(D54)+2,FALSE))</f>
        <v>19.414300000000001</v>
      </c>
      <c r="K54" s="163">
        <f t="shared" si="3"/>
        <v>44.652889999999999</v>
      </c>
    </row>
    <row r="55" spans="2:11" ht="22" customHeight="1">
      <c r="B55" s="7" t="s">
        <v>851</v>
      </c>
      <c r="C55" s="158" t="s">
        <v>634</v>
      </c>
      <c r="D55" s="159">
        <v>44925</v>
      </c>
      <c r="E55" s="160" t="s">
        <v>740</v>
      </c>
      <c r="F55" s="7" t="s">
        <v>59</v>
      </c>
      <c r="G55" s="161">
        <v>4.1900000000000004</v>
      </c>
      <c r="H55" s="162">
        <f>IF(F55=0,0,IF(F55="MXN",1/HLOOKUP(YEAR(D55)+(MONTH(D55)/100),TC!$5:$37,DAY(D55)+2,FALSE),VLOOKUP(F55,Equivalencia!$1:$23,((MAX(Equivalencia!$3:$3)-YEAR(D55))*14)+MONTH(D55)+2,FALSE)))</f>
        <v>1</v>
      </c>
      <c r="I55" s="163">
        <f t="shared" si="2"/>
        <v>4.1900000000000004</v>
      </c>
      <c r="J55" s="162">
        <f>IF(D55=0,0,HLOOKUP(YEAR(D55)+(MONTH(D55)/100),TC!$5:$37,DAY(D55)+2,FALSE))</f>
        <v>19.414300000000001</v>
      </c>
      <c r="K55" s="163">
        <f t="shared" si="3"/>
        <v>81.345917000000014</v>
      </c>
    </row>
    <row r="56" spans="2:11" ht="22" customHeight="1">
      <c r="B56" s="7" t="s">
        <v>851</v>
      </c>
      <c r="C56" s="158" t="s">
        <v>634</v>
      </c>
      <c r="D56" s="159">
        <v>44925</v>
      </c>
      <c r="E56" s="160" t="s">
        <v>740</v>
      </c>
      <c r="F56" s="7" t="s">
        <v>59</v>
      </c>
      <c r="G56" s="161">
        <v>0.01</v>
      </c>
      <c r="H56" s="162">
        <f>IF(F56=0,0,IF(F56="MXN",1/HLOOKUP(YEAR(D56)+(MONTH(D56)/100),TC!$5:$37,DAY(D56)+2,FALSE),VLOOKUP(F56,Equivalencia!$1:$23,((MAX(Equivalencia!$3:$3)-YEAR(D56))*14)+MONTH(D56)+2,FALSE)))</f>
        <v>1</v>
      </c>
      <c r="I56" s="163">
        <f t="shared" si="2"/>
        <v>0.01</v>
      </c>
      <c r="J56" s="162">
        <f>IF(D56=0,0,HLOOKUP(YEAR(D56)+(MONTH(D56)/100),TC!$5:$37,DAY(D56)+2,FALSE))</f>
        <v>19.414300000000001</v>
      </c>
      <c r="K56" s="163">
        <f t="shared" si="3"/>
        <v>0.19414300000000001</v>
      </c>
    </row>
    <row r="57" spans="2:11" ht="22" customHeight="1">
      <c r="B57" s="76"/>
      <c r="C57" s="138"/>
      <c r="D57" s="76"/>
      <c r="E57" s="139"/>
      <c r="F57" s="140"/>
      <c r="G57" s="141"/>
      <c r="H57" s="142"/>
      <c r="I57" s="143"/>
      <c r="J57" s="142"/>
      <c r="K57" s="143"/>
    </row>
    <row r="58" spans="2:11" ht="23" customHeight="1">
      <c r="B58" s="164" t="s">
        <v>362</v>
      </c>
      <c r="C58" s="165"/>
      <c r="D58" s="166"/>
      <c r="E58" s="167"/>
      <c r="F58" s="168"/>
      <c r="G58" s="169">
        <f>SUM(G7:G57)</f>
        <v>8754.1999999999989</v>
      </c>
      <c r="H58" s="170"/>
      <c r="I58" s="169">
        <f>SUM(I7:I57)</f>
        <v>8754.1999999999989</v>
      </c>
      <c r="J58" s="170"/>
      <c r="K58" s="169">
        <f>SUM(K7:K57)</f>
        <v>172951.83408899998</v>
      </c>
    </row>
    <row r="59" spans="2:11" ht="23" customHeight="1">
      <c r="B59" s="76"/>
      <c r="C59" s="138"/>
      <c r="D59" s="76"/>
      <c r="E59" s="139"/>
      <c r="F59" s="140"/>
      <c r="G59" s="141"/>
      <c r="H59" s="142"/>
      <c r="I59" s="143"/>
      <c r="J59" s="142"/>
      <c r="K59" s="143"/>
    </row>
    <row r="60" spans="2:11" ht="23" customHeight="1">
      <c r="B60" s="76"/>
      <c r="C60" s="138"/>
      <c r="D60" s="76"/>
      <c r="E60" s="139"/>
      <c r="F60" s="140"/>
      <c r="G60" s="141"/>
      <c r="H60" s="142"/>
      <c r="I60" s="143"/>
      <c r="J60" s="142"/>
      <c r="K60" s="143"/>
    </row>
    <row r="61" spans="2:11" s="154" customFormat="1" ht="30">
      <c r="B61" s="171"/>
      <c r="C61" s="172"/>
      <c r="D61" s="171"/>
      <c r="E61" s="173"/>
      <c r="F61" s="174"/>
      <c r="G61" s="175" t="s">
        <v>414</v>
      </c>
      <c r="H61" s="176"/>
      <c r="I61" s="175" t="s">
        <v>409</v>
      </c>
      <c r="J61" s="177"/>
      <c r="K61" s="175" t="s">
        <v>410</v>
      </c>
    </row>
    <row r="62" spans="2:11" ht="23" customHeight="1">
      <c r="B62" s="76"/>
      <c r="C62" s="138"/>
      <c r="D62" s="76"/>
      <c r="E62" s="139"/>
      <c r="F62" s="140"/>
      <c r="G62" s="141"/>
      <c r="H62" s="142"/>
      <c r="I62" s="147"/>
      <c r="J62" s="141"/>
      <c r="K62" s="147"/>
    </row>
    <row r="63" spans="2:11" ht="23" customHeight="1">
      <c r="B63" s="76"/>
      <c r="C63" s="138"/>
      <c r="D63" s="76"/>
      <c r="E63" s="178" t="s">
        <v>184</v>
      </c>
      <c r="F63" s="179" t="str">
        <f>Cuentas!B6</f>
        <v>AR2XXXX3387-0008</v>
      </c>
      <c r="G63" s="180">
        <f t="shared" ref="G63:G83" si="17">SUMIF($B$7:$B$575,F63,$G$7:$G$575)</f>
        <v>0</v>
      </c>
      <c r="H63" s="181"/>
      <c r="I63" s="180">
        <f t="shared" ref="I63:I83" si="18">SUMIF($B$7:$B$575,F63,$I$7:$I$575)</f>
        <v>0</v>
      </c>
      <c r="J63" s="180"/>
      <c r="K63" s="180">
        <f t="shared" ref="K63:K83" si="19">SUMIF($B$7:$B$575,F63,$K$7:$K$575)</f>
        <v>0</v>
      </c>
    </row>
    <row r="64" spans="2:11" ht="23" customHeight="1">
      <c r="B64" s="76"/>
      <c r="C64" s="138"/>
      <c r="D64" s="76"/>
      <c r="E64" s="178" t="s">
        <v>184</v>
      </c>
      <c r="F64" s="179" t="str">
        <f>Cuentas!B7</f>
        <v>AR2XXXX3387-0003</v>
      </c>
      <c r="G64" s="180">
        <f t="shared" si="17"/>
        <v>0</v>
      </c>
      <c r="H64" s="181"/>
      <c r="I64" s="180">
        <f t="shared" si="18"/>
        <v>0</v>
      </c>
      <c r="J64" s="180"/>
      <c r="K64" s="180">
        <f t="shared" si="19"/>
        <v>0</v>
      </c>
    </row>
    <row r="65" spans="2:11" ht="23" customHeight="1">
      <c r="B65" s="76"/>
      <c r="C65" s="138"/>
      <c r="D65" s="76"/>
      <c r="E65" s="178" t="s">
        <v>184</v>
      </c>
      <c r="F65" s="179" t="str">
        <f>Cuentas!B8</f>
        <v>029-2XXX1-9</v>
      </c>
      <c r="G65" s="180">
        <f t="shared" si="17"/>
        <v>2650.82</v>
      </c>
      <c r="H65" s="181"/>
      <c r="I65" s="180">
        <f t="shared" si="18"/>
        <v>2650.82</v>
      </c>
      <c r="J65" s="180"/>
      <c r="K65" s="180">
        <f t="shared" si="19"/>
        <v>52951.820729000006</v>
      </c>
    </row>
    <row r="66" spans="2:11" ht="23" customHeight="1">
      <c r="B66" s="76"/>
      <c r="C66" s="138"/>
      <c r="D66" s="76"/>
      <c r="E66" s="178" t="s">
        <v>184</v>
      </c>
      <c r="F66" s="179" t="str">
        <f>Cuentas!B9</f>
        <v>029-2XXX2-7</v>
      </c>
      <c r="G66" s="180">
        <f t="shared" si="17"/>
        <v>0</v>
      </c>
      <c r="H66" s="181"/>
      <c r="I66" s="180">
        <f t="shared" si="18"/>
        <v>0</v>
      </c>
      <c r="J66" s="180"/>
      <c r="K66" s="180">
        <f t="shared" si="19"/>
        <v>0</v>
      </c>
    </row>
    <row r="67" spans="2:11" ht="23" customHeight="1">
      <c r="B67" s="76"/>
      <c r="C67" s="138"/>
      <c r="D67" s="76"/>
      <c r="E67" s="178" t="s">
        <v>184</v>
      </c>
      <c r="F67" s="179" t="str">
        <f>Cuentas!B10</f>
        <v>029-2XXX3-5</v>
      </c>
      <c r="G67" s="180">
        <f t="shared" si="17"/>
        <v>6103.3799999999992</v>
      </c>
      <c r="H67" s="181"/>
      <c r="I67" s="180">
        <f t="shared" si="18"/>
        <v>6103.3799999999992</v>
      </c>
      <c r="J67" s="180"/>
      <c r="K67" s="180">
        <f t="shared" si="19"/>
        <v>120000.01336000001</v>
      </c>
    </row>
    <row r="68" spans="2:11" ht="23" hidden="1" customHeight="1">
      <c r="B68" s="76"/>
      <c r="C68" s="138"/>
      <c r="D68" s="76"/>
      <c r="E68" s="178" t="s">
        <v>184</v>
      </c>
      <c r="F68" s="179" t="str">
        <f>Cuentas!B11</f>
        <v>F</v>
      </c>
      <c r="G68" s="180">
        <f t="shared" si="17"/>
        <v>0</v>
      </c>
      <c r="H68" s="181"/>
      <c r="I68" s="180">
        <f t="shared" si="18"/>
        <v>0</v>
      </c>
      <c r="J68" s="180"/>
      <c r="K68" s="180">
        <f t="shared" si="19"/>
        <v>0</v>
      </c>
    </row>
    <row r="69" spans="2:11" ht="23" hidden="1" customHeight="1">
      <c r="B69" s="76"/>
      <c r="C69" s="138"/>
      <c r="D69" s="76"/>
      <c r="E69" s="178" t="s">
        <v>184</v>
      </c>
      <c r="F69" s="179" t="str">
        <f>Cuentas!B12</f>
        <v>G</v>
      </c>
      <c r="G69" s="180">
        <f t="shared" si="17"/>
        <v>0</v>
      </c>
      <c r="H69" s="181"/>
      <c r="I69" s="180">
        <f t="shared" si="18"/>
        <v>0</v>
      </c>
      <c r="J69" s="180"/>
      <c r="K69" s="180">
        <f t="shared" si="19"/>
        <v>0</v>
      </c>
    </row>
    <row r="70" spans="2:11" ht="23" hidden="1" customHeight="1">
      <c r="B70" s="76"/>
      <c r="C70" s="138"/>
      <c r="D70" s="76"/>
      <c r="E70" s="178" t="s">
        <v>184</v>
      </c>
      <c r="F70" s="179" t="str">
        <f>Cuentas!B13</f>
        <v>H</v>
      </c>
      <c r="G70" s="180">
        <f t="shared" si="17"/>
        <v>0</v>
      </c>
      <c r="H70" s="181"/>
      <c r="I70" s="180">
        <f t="shared" si="18"/>
        <v>0</v>
      </c>
      <c r="J70" s="180"/>
      <c r="K70" s="180">
        <f t="shared" si="19"/>
        <v>0</v>
      </c>
    </row>
    <row r="71" spans="2:11" ht="23" hidden="1" customHeight="1">
      <c r="B71" s="76"/>
      <c r="C71" s="138"/>
      <c r="D71" s="76"/>
      <c r="E71" s="178" t="s">
        <v>184</v>
      </c>
      <c r="F71" s="179" t="str">
        <f>Cuentas!B14</f>
        <v>I</v>
      </c>
      <c r="G71" s="180">
        <f t="shared" si="17"/>
        <v>0</v>
      </c>
      <c r="H71" s="181"/>
      <c r="I71" s="180">
        <f t="shared" si="18"/>
        <v>0</v>
      </c>
      <c r="J71" s="180"/>
      <c r="K71" s="180">
        <f t="shared" si="19"/>
        <v>0</v>
      </c>
    </row>
    <row r="72" spans="2:11" ht="23" hidden="1" customHeight="1">
      <c r="B72" s="76"/>
      <c r="C72" s="138"/>
      <c r="D72" s="76"/>
      <c r="E72" s="178" t="s">
        <v>184</v>
      </c>
      <c r="F72" s="179" t="str">
        <f>Cuentas!B15</f>
        <v>J</v>
      </c>
      <c r="G72" s="180">
        <f t="shared" si="17"/>
        <v>0</v>
      </c>
      <c r="H72" s="181"/>
      <c r="I72" s="180">
        <f t="shared" si="18"/>
        <v>0</v>
      </c>
      <c r="J72" s="180"/>
      <c r="K72" s="180">
        <f t="shared" si="19"/>
        <v>0</v>
      </c>
    </row>
    <row r="73" spans="2:11" ht="23" hidden="1" customHeight="1">
      <c r="B73" s="76"/>
      <c r="C73" s="138"/>
      <c r="D73" s="76"/>
      <c r="E73" s="178" t="s">
        <v>184</v>
      </c>
      <c r="F73" s="179" t="str">
        <f>Cuentas!B16</f>
        <v>K</v>
      </c>
      <c r="G73" s="180">
        <f t="shared" si="17"/>
        <v>0</v>
      </c>
      <c r="H73" s="181"/>
      <c r="I73" s="180">
        <f t="shared" si="18"/>
        <v>0</v>
      </c>
      <c r="J73" s="180"/>
      <c r="K73" s="180">
        <f t="shared" si="19"/>
        <v>0</v>
      </c>
    </row>
    <row r="74" spans="2:11" ht="23" hidden="1" customHeight="1">
      <c r="B74" s="76"/>
      <c r="C74" s="138"/>
      <c r="D74" s="76"/>
      <c r="E74" s="178" t="s">
        <v>184</v>
      </c>
      <c r="F74" s="179" t="str">
        <f>Cuentas!B17</f>
        <v>L</v>
      </c>
      <c r="G74" s="180">
        <f t="shared" si="17"/>
        <v>0</v>
      </c>
      <c r="H74" s="181"/>
      <c r="I74" s="180">
        <f t="shared" si="18"/>
        <v>0</v>
      </c>
      <c r="J74" s="180"/>
      <c r="K74" s="180">
        <f t="shared" si="19"/>
        <v>0</v>
      </c>
    </row>
    <row r="75" spans="2:11" ht="23" hidden="1" customHeight="1">
      <c r="B75" s="76"/>
      <c r="C75" s="138"/>
      <c r="D75" s="76"/>
      <c r="E75" s="178" t="s">
        <v>184</v>
      </c>
      <c r="F75" s="179" t="str">
        <f>Cuentas!B18</f>
        <v>M</v>
      </c>
      <c r="G75" s="180">
        <f t="shared" si="17"/>
        <v>0</v>
      </c>
      <c r="H75" s="181"/>
      <c r="I75" s="180">
        <f t="shared" si="18"/>
        <v>0</v>
      </c>
      <c r="J75" s="180"/>
      <c r="K75" s="180">
        <f t="shared" si="19"/>
        <v>0</v>
      </c>
    </row>
    <row r="76" spans="2:11" ht="23" hidden="1" customHeight="1">
      <c r="B76" s="76"/>
      <c r="C76" s="138"/>
      <c r="D76" s="76"/>
      <c r="E76" s="178" t="s">
        <v>184</v>
      </c>
      <c r="F76" s="179" t="str">
        <f>Cuentas!B19</f>
        <v>N</v>
      </c>
      <c r="G76" s="180">
        <f t="shared" si="17"/>
        <v>0</v>
      </c>
      <c r="H76" s="181"/>
      <c r="I76" s="180">
        <f t="shared" si="18"/>
        <v>0</v>
      </c>
      <c r="J76" s="180"/>
      <c r="K76" s="180">
        <f t="shared" si="19"/>
        <v>0</v>
      </c>
    </row>
    <row r="77" spans="2:11" ht="23" hidden="1" customHeight="1">
      <c r="B77" s="76"/>
      <c r="C77" s="138"/>
      <c r="D77" s="76"/>
      <c r="E77" s="178" t="s">
        <v>184</v>
      </c>
      <c r="F77" s="179" t="str">
        <f>Cuentas!B20</f>
        <v>O</v>
      </c>
      <c r="G77" s="180">
        <f t="shared" si="17"/>
        <v>0</v>
      </c>
      <c r="H77" s="181"/>
      <c r="I77" s="180">
        <f t="shared" si="18"/>
        <v>0</v>
      </c>
      <c r="J77" s="180"/>
      <c r="K77" s="180">
        <f t="shared" si="19"/>
        <v>0</v>
      </c>
    </row>
    <row r="78" spans="2:11" ht="23" hidden="1" customHeight="1">
      <c r="B78" s="76"/>
      <c r="C78" s="138"/>
      <c r="D78" s="76"/>
      <c r="E78" s="178" t="s">
        <v>184</v>
      </c>
      <c r="F78" s="179" t="str">
        <f>Cuentas!B21</f>
        <v>P</v>
      </c>
      <c r="G78" s="180">
        <f t="shared" si="17"/>
        <v>0</v>
      </c>
      <c r="H78" s="181"/>
      <c r="I78" s="180">
        <f t="shared" si="18"/>
        <v>0</v>
      </c>
      <c r="J78" s="180"/>
      <c r="K78" s="180">
        <f t="shared" si="19"/>
        <v>0</v>
      </c>
    </row>
    <row r="79" spans="2:11" ht="23" hidden="1" customHeight="1">
      <c r="B79" s="76"/>
      <c r="C79" s="138"/>
      <c r="D79" s="76"/>
      <c r="E79" s="178" t="s">
        <v>184</v>
      </c>
      <c r="F79" s="179" t="str">
        <f>Cuentas!B22</f>
        <v>Q</v>
      </c>
      <c r="G79" s="180">
        <f t="shared" si="17"/>
        <v>0</v>
      </c>
      <c r="H79" s="181"/>
      <c r="I79" s="180">
        <f t="shared" si="18"/>
        <v>0</v>
      </c>
      <c r="J79" s="180"/>
      <c r="K79" s="180">
        <f t="shared" si="19"/>
        <v>0</v>
      </c>
    </row>
    <row r="80" spans="2:11" ht="23" hidden="1" customHeight="1">
      <c r="B80" s="76"/>
      <c r="C80" s="138"/>
      <c r="D80" s="76"/>
      <c r="E80" s="178" t="s">
        <v>184</v>
      </c>
      <c r="F80" s="179" t="str">
        <f>Cuentas!B23</f>
        <v>R</v>
      </c>
      <c r="G80" s="180">
        <f t="shared" si="17"/>
        <v>0</v>
      </c>
      <c r="H80" s="181"/>
      <c r="I80" s="180">
        <f t="shared" si="18"/>
        <v>0</v>
      </c>
      <c r="J80" s="180"/>
      <c r="K80" s="180">
        <f t="shared" si="19"/>
        <v>0</v>
      </c>
    </row>
    <row r="81" spans="2:11" ht="23" hidden="1" customHeight="1">
      <c r="B81" s="76"/>
      <c r="C81" s="138"/>
      <c r="D81" s="76"/>
      <c r="E81" s="178" t="s">
        <v>184</v>
      </c>
      <c r="F81" s="179" t="str">
        <f>Cuentas!B24</f>
        <v>S</v>
      </c>
      <c r="G81" s="180">
        <f t="shared" si="17"/>
        <v>0</v>
      </c>
      <c r="H81" s="181"/>
      <c r="I81" s="180">
        <f t="shared" si="18"/>
        <v>0</v>
      </c>
      <c r="J81" s="180"/>
      <c r="K81" s="180">
        <f t="shared" si="19"/>
        <v>0</v>
      </c>
    </row>
    <row r="82" spans="2:11" ht="23" hidden="1" customHeight="1">
      <c r="B82" s="76"/>
      <c r="C82" s="138"/>
      <c r="D82" s="76"/>
      <c r="E82" s="178" t="s">
        <v>184</v>
      </c>
      <c r="F82" s="179" t="str">
        <f>Cuentas!B25</f>
        <v>T</v>
      </c>
      <c r="G82" s="180">
        <f t="shared" si="17"/>
        <v>0</v>
      </c>
      <c r="H82" s="181"/>
      <c r="I82" s="180">
        <f t="shared" si="18"/>
        <v>0</v>
      </c>
      <c r="J82" s="180"/>
      <c r="K82" s="180">
        <f t="shared" si="19"/>
        <v>0</v>
      </c>
    </row>
    <row r="83" spans="2:11" ht="23" hidden="1" customHeight="1">
      <c r="B83" s="76"/>
      <c r="C83" s="138"/>
      <c r="D83" s="76"/>
      <c r="E83" s="178" t="s">
        <v>184</v>
      </c>
      <c r="F83" s="179" t="str">
        <f>Cuentas!B26</f>
        <v>U</v>
      </c>
      <c r="G83" s="180">
        <f t="shared" si="17"/>
        <v>0</v>
      </c>
      <c r="H83" s="181"/>
      <c r="I83" s="180">
        <f t="shared" si="18"/>
        <v>0</v>
      </c>
      <c r="J83" s="180"/>
      <c r="K83" s="180">
        <f t="shared" si="19"/>
        <v>0</v>
      </c>
    </row>
    <row r="84" spans="2:11" ht="23" customHeight="1">
      <c r="B84" s="76"/>
      <c r="C84" s="138"/>
      <c r="D84" s="76"/>
      <c r="E84" s="149"/>
      <c r="F84" s="148"/>
      <c r="I84" s="150"/>
      <c r="J84" s="148"/>
      <c r="K84" s="150"/>
    </row>
    <row r="85" spans="2:11" ht="23" customHeight="1">
      <c r="B85" s="76"/>
      <c r="C85" s="138"/>
      <c r="D85" s="76"/>
      <c r="E85" s="182"/>
      <c r="F85" s="119" t="s">
        <v>363</v>
      </c>
      <c r="G85" s="183">
        <f>SUM(G63:G84)</f>
        <v>8754.1999999999989</v>
      </c>
      <c r="H85" s="184"/>
      <c r="I85" s="183">
        <f>SUM(I63:I84)</f>
        <v>8754.1999999999989</v>
      </c>
      <c r="J85" s="185"/>
      <c r="K85" s="183">
        <f>SUM(K63:K84)</f>
        <v>172951.83408900001</v>
      </c>
    </row>
    <row r="88" spans="2:11" ht="23" customHeight="1">
      <c r="B88" s="151" t="s">
        <v>231</v>
      </c>
      <c r="C88" s="152"/>
      <c r="D88" s="152"/>
      <c r="E88" s="152"/>
      <c r="F88" s="152"/>
      <c r="G88" s="152"/>
      <c r="H88" s="152"/>
      <c r="I88" s="152"/>
      <c r="J88" s="152"/>
      <c r="K88" s="152"/>
    </row>
    <row r="89" spans="2:11" ht="23" customHeight="1">
      <c r="B89" s="152"/>
      <c r="C89" s="152"/>
      <c r="D89" s="152"/>
      <c r="E89" s="152"/>
      <c r="F89" s="152"/>
      <c r="G89" s="152"/>
      <c r="H89" s="152"/>
      <c r="I89" s="152"/>
      <c r="J89" s="152"/>
      <c r="K89" s="152"/>
    </row>
    <row r="90" spans="2:11" ht="23" customHeight="1">
      <c r="B90" s="152"/>
      <c r="C90" s="152"/>
      <c r="D90" s="152"/>
      <c r="E90" s="152"/>
      <c r="F90" s="152"/>
      <c r="G90" s="152"/>
      <c r="H90" s="152"/>
      <c r="I90" s="152"/>
      <c r="J90" s="152"/>
      <c r="K90" s="152"/>
    </row>
    <row r="91" spans="2:11" ht="23" customHeight="1">
      <c r="B91" s="152"/>
      <c r="C91" s="152"/>
      <c r="D91" s="152"/>
      <c r="E91" s="152"/>
      <c r="F91" s="152"/>
      <c r="G91" s="152"/>
      <c r="H91" s="152"/>
      <c r="I91" s="152"/>
      <c r="J91" s="152"/>
      <c r="K91" s="152"/>
    </row>
    <row r="92" spans="2:11" ht="23" customHeight="1">
      <c r="B92" s="152"/>
      <c r="C92" s="152"/>
      <c r="D92" s="152"/>
      <c r="E92" s="152"/>
      <c r="F92" s="152"/>
      <c r="G92" s="152"/>
      <c r="H92" s="152"/>
      <c r="I92" s="152"/>
      <c r="J92" s="152"/>
      <c r="K92" s="152"/>
    </row>
    <row r="93" spans="2:11" ht="23" customHeight="1">
      <c r="B93" s="152"/>
      <c r="C93" s="152"/>
      <c r="D93" s="152"/>
      <c r="E93" s="152"/>
      <c r="F93" s="152"/>
      <c r="G93" s="152"/>
      <c r="H93" s="152"/>
      <c r="I93" s="152"/>
      <c r="J93" s="152"/>
      <c r="K93" s="152"/>
    </row>
    <row r="94" spans="2:11" ht="23" customHeight="1">
      <c r="B94" s="152"/>
      <c r="C94" s="152"/>
      <c r="D94" s="152"/>
      <c r="E94" s="152"/>
      <c r="F94" s="152"/>
      <c r="G94" s="152"/>
      <c r="H94" s="152"/>
      <c r="I94" s="152"/>
      <c r="J94" s="152"/>
      <c r="K94" s="152"/>
    </row>
    <row r="95" spans="2:11" ht="23" customHeight="1">
      <c r="B95" s="152"/>
      <c r="C95" s="152"/>
      <c r="D95" s="152"/>
      <c r="E95" s="152"/>
      <c r="F95" s="152"/>
      <c r="G95" s="152"/>
      <c r="H95" s="152"/>
      <c r="I95" s="152"/>
      <c r="J95" s="152"/>
      <c r="K95" s="152"/>
    </row>
  </sheetData>
  <sheetProtection formatCells="0" formatColumns="0" formatRows="0" insertColumns="0" insertRows="0" deleteColumns="0" deleteRows="0" sort="0" autoFilter="0"/>
  <autoFilter ref="B6:K57" xr:uid="{D23C670A-1EC3-9140-A714-CCEC95CC4420}"/>
  <mergeCells count="2">
    <mergeCell ref="B2:K2"/>
    <mergeCell ref="B3:K3"/>
  </mergeCells>
  <phoneticPr fontId="8" type="noConversion"/>
  <dataValidations count="1">
    <dataValidation type="list" allowBlank="1" showInputMessage="1" showErrorMessage="1" promptTitle="OJO:" prompt="Selecciona una opción_x000a_" sqref="C8:C56" xr:uid="{00000000-0002-0000-0400-000001000000}">
      <formula1>Intereses</formula1>
    </dataValidation>
  </dataValidations>
  <printOptions horizontalCentered="1"/>
  <pageMargins left="0.7" right="0.7" top="0.75" bottom="0.75" header="0.3" footer="0.3"/>
  <pageSetup scale="31"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20B4871A-E4A7-CE4B-8526-3A1B41449CD3}">
          <x14:formula1>
            <xm:f>Equivalencia!$A$4:$A$23</xm:f>
          </x14:formula1>
          <xm:sqref>F8:F56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O56"/>
  <sheetViews>
    <sheetView view="pageBreakPreview" zoomScale="110" zoomScaleNormal="80" zoomScaleSheetLayoutView="110" workbookViewId="0">
      <pane ySplit="6" topLeftCell="A7" activePane="bottomLeft" state="frozen"/>
      <selection pane="bottomLeft" activeCell="C9" sqref="C9"/>
    </sheetView>
  </sheetViews>
  <sheetFormatPr baseColWidth="10" defaultColWidth="11.5" defaultRowHeight="23" customHeight="1"/>
  <cols>
    <col min="1" max="1" width="11.5" style="1"/>
    <col min="2" max="2" width="15.83203125" style="1" customWidth="1"/>
    <col min="3" max="3" width="29.1640625" style="1" customWidth="1"/>
    <col min="4" max="4" width="15.83203125" style="1" customWidth="1"/>
    <col min="5" max="5" width="60.5" style="1" customWidth="1"/>
    <col min="6" max="6" width="17.6640625" style="1" customWidth="1"/>
    <col min="7" max="7" width="18.83203125" style="1" customWidth="1"/>
    <col min="8" max="8" width="14.6640625" style="1" customWidth="1"/>
    <col min="9" max="9" width="18.83203125" style="1" customWidth="1"/>
    <col min="10" max="10" width="17.5" style="1" customWidth="1"/>
    <col min="11" max="11" width="18.83203125" style="1" customWidth="1"/>
    <col min="12" max="14" width="11.5" style="1"/>
    <col min="15" max="15" width="25" style="1" bestFit="1" customWidth="1"/>
    <col min="16" max="16384" width="11.5" style="1"/>
  </cols>
  <sheetData>
    <row r="2" spans="2:15" ht="23" customHeight="1">
      <c r="B2" s="760" t="s">
        <v>670</v>
      </c>
      <c r="C2" s="760"/>
      <c r="D2" s="760"/>
      <c r="E2" s="760"/>
      <c r="F2" s="760"/>
      <c r="G2" s="760"/>
      <c r="H2" s="760"/>
      <c r="I2" s="760"/>
      <c r="J2" s="760"/>
      <c r="K2" s="760"/>
      <c r="O2" s="135" t="s">
        <v>189</v>
      </c>
    </row>
    <row r="3" spans="2:15" ht="23" customHeight="1">
      <c r="B3" s="759" t="s">
        <v>642</v>
      </c>
      <c r="C3" s="759"/>
      <c r="D3" s="759"/>
      <c r="E3" s="759"/>
      <c r="F3" s="759"/>
      <c r="G3" s="759"/>
      <c r="H3" s="759"/>
      <c r="I3" s="759"/>
      <c r="J3" s="759"/>
      <c r="K3" s="759"/>
      <c r="O3" s="135" t="s">
        <v>635</v>
      </c>
    </row>
    <row r="4" spans="2:15" ht="14" customHeight="1">
      <c r="B4" s="24" t="s">
        <v>443</v>
      </c>
      <c r="C4" s="24" t="s">
        <v>673</v>
      </c>
      <c r="D4" s="24"/>
      <c r="E4" s="123"/>
      <c r="F4" s="123"/>
      <c r="G4" s="123"/>
      <c r="H4" s="123"/>
      <c r="I4" s="123"/>
      <c r="J4" s="123"/>
      <c r="K4" s="123"/>
      <c r="O4" s="135">
        <v>3</v>
      </c>
    </row>
    <row r="5" spans="2:15" ht="23" customHeight="1">
      <c r="B5" s="31"/>
      <c r="C5" s="31"/>
      <c r="D5" s="31"/>
      <c r="E5" s="32"/>
      <c r="F5" s="32"/>
      <c r="G5" s="32"/>
      <c r="H5" s="32"/>
      <c r="I5" s="32"/>
      <c r="J5" s="32"/>
      <c r="K5" s="32"/>
      <c r="O5" s="135">
        <v>4</v>
      </c>
    </row>
    <row r="6" spans="2:15" s="85" customFormat="1" ht="30">
      <c r="B6" s="153" t="s">
        <v>178</v>
      </c>
      <c r="C6" s="153" t="s">
        <v>53</v>
      </c>
      <c r="D6" s="120" t="s">
        <v>54</v>
      </c>
      <c r="E6" s="120" t="s">
        <v>55</v>
      </c>
      <c r="F6" s="120" t="s">
        <v>208</v>
      </c>
      <c r="G6" s="120" t="s">
        <v>210</v>
      </c>
      <c r="H6" s="120" t="s">
        <v>56</v>
      </c>
      <c r="I6" s="120" t="s">
        <v>57</v>
      </c>
      <c r="J6" s="120" t="s">
        <v>361</v>
      </c>
      <c r="K6" s="120" t="s">
        <v>58</v>
      </c>
      <c r="O6" s="1"/>
    </row>
    <row r="7" spans="2:15" ht="16">
      <c r="B7" s="76"/>
      <c r="C7" s="140"/>
      <c r="D7" s="140"/>
      <c r="E7" s="138"/>
      <c r="F7" s="186"/>
      <c r="G7" s="76"/>
      <c r="H7" s="141"/>
      <c r="I7" s="142"/>
      <c r="J7" s="143"/>
      <c r="K7" s="142"/>
    </row>
    <row r="8" spans="2:15" s="134" customFormat="1" ht="23" customHeight="1">
      <c r="B8" s="7" t="s">
        <v>3</v>
      </c>
      <c r="C8" s="193"/>
      <c r="D8" s="159"/>
      <c r="E8" s="194"/>
      <c r="F8" s="195"/>
      <c r="G8" s="161"/>
      <c r="H8" s="162">
        <f>IF(F8=0,0,IF(F8="MXN",1/HLOOKUP(YEAR(D8)+(MONTH(D8)/100),TC!$5:$37,DAY(D8)+2,FALSE),VLOOKUP(F8,Equivalencia!$1:$23,((MAX(Equivalencia!$3:$3)-YEAR(D8))*14)+MONTH(D8)+2,FALSE)))</f>
        <v>0</v>
      </c>
      <c r="I8" s="163">
        <f>+H8*G8</f>
        <v>0</v>
      </c>
      <c r="J8" s="162">
        <f>IF(D8=0,0,HLOOKUP(YEAR(D8)+(MONTH(D8)/100),TC!$5:$37,DAY(D8)+2,FALSE))</f>
        <v>0</v>
      </c>
      <c r="K8" s="163">
        <f>+I8*J8</f>
        <v>0</v>
      </c>
      <c r="O8" s="1"/>
    </row>
    <row r="9" spans="2:15" s="134" customFormat="1" ht="23" customHeight="1">
      <c r="B9" s="7" t="s">
        <v>4</v>
      </c>
      <c r="C9" s="193"/>
      <c r="D9" s="159"/>
      <c r="E9" s="194"/>
      <c r="F9" s="195"/>
      <c r="G9" s="161"/>
      <c r="H9" s="162">
        <f>IF(F9=0,0,IF(F9="MXN",1/HLOOKUP(YEAR(D9)+(MONTH(D9)/100),TC!$5:$37,DAY(D9)+2,FALSE),VLOOKUP(F9,Equivalencia!$1:$23,((MAX(Equivalencia!$3:$3)-YEAR(D9))*14)+MONTH(D9)+2,FALSE)))</f>
        <v>0</v>
      </c>
      <c r="I9" s="163">
        <f t="shared" ref="I9:I13" si="0">+H9*G9</f>
        <v>0</v>
      </c>
      <c r="J9" s="162">
        <f>IF(D9=0,0,HLOOKUP(YEAR(D9)+(MONTH(D9)/100),TC!$5:$37,DAY(D9)+2,FALSE))</f>
        <v>0</v>
      </c>
      <c r="K9" s="163">
        <f t="shared" ref="K9:K13" si="1">+I9*J9</f>
        <v>0</v>
      </c>
      <c r="O9" s="1"/>
    </row>
    <row r="10" spans="2:15" s="134" customFormat="1" ht="23" customHeight="1">
      <c r="B10" s="7" t="s">
        <v>5</v>
      </c>
      <c r="C10" s="193"/>
      <c r="D10" s="159"/>
      <c r="E10" s="194"/>
      <c r="F10" s="195"/>
      <c r="G10" s="161"/>
      <c r="H10" s="162">
        <f>IF(F10=0,0,IF(F10="MXN",1/HLOOKUP(YEAR(D10)+(MONTH(D10)/100),TC!$5:$37,DAY(D10)+2,FALSE),VLOOKUP(F10,Equivalencia!$1:$23,((MAX(Equivalencia!$3:$3)-YEAR(D10))*14)+MONTH(D10)+2,FALSE)))</f>
        <v>0</v>
      </c>
      <c r="I10" s="163">
        <f t="shared" si="0"/>
        <v>0</v>
      </c>
      <c r="J10" s="162">
        <f>IF(D10=0,0,HLOOKUP(YEAR(D10)+(MONTH(D10)/100),TC!$5:$37,DAY(D10)+2,FALSE))</f>
        <v>0</v>
      </c>
      <c r="K10" s="163">
        <f t="shared" si="1"/>
        <v>0</v>
      </c>
      <c r="O10" s="85"/>
    </row>
    <row r="11" spans="2:15" s="134" customFormat="1" ht="23" customHeight="1">
      <c r="B11" s="7" t="s">
        <v>6</v>
      </c>
      <c r="C11" s="193"/>
      <c r="D11" s="159"/>
      <c r="E11" s="194"/>
      <c r="F11" s="195"/>
      <c r="G11" s="161"/>
      <c r="H11" s="162">
        <f>IF(F11=0,0,IF(F11="MXN",1/HLOOKUP(YEAR(D11)+(MONTH(D11)/100),TC!$5:$37,DAY(D11)+2,FALSE),VLOOKUP(F11,Equivalencia!$1:$23,((MAX(Equivalencia!$3:$3)-YEAR(D11))*14)+MONTH(D11)+2,FALSE)))</f>
        <v>0</v>
      </c>
      <c r="I11" s="163">
        <f t="shared" si="0"/>
        <v>0</v>
      </c>
      <c r="J11" s="162">
        <f>IF(D11=0,0,HLOOKUP(YEAR(D11)+(MONTH(D11)/100),TC!$5:$37,DAY(D11)+2,FALSE))</f>
        <v>0</v>
      </c>
      <c r="K11" s="163">
        <f t="shared" si="1"/>
        <v>0</v>
      </c>
      <c r="O11" s="1"/>
    </row>
    <row r="12" spans="2:15" s="134" customFormat="1" ht="23" customHeight="1">
      <c r="B12" s="7" t="s">
        <v>7</v>
      </c>
      <c r="C12" s="193"/>
      <c r="D12" s="159"/>
      <c r="E12" s="194"/>
      <c r="F12" s="195"/>
      <c r="G12" s="161"/>
      <c r="H12" s="162">
        <f>IF(F12=0,0,IF(F12="MXN",1/HLOOKUP(YEAR(D12)+(MONTH(D12)/100),TC!$5:$37,DAY(D12)+2,FALSE),VLOOKUP(F12,Equivalencia!$1:$23,((MAX(Equivalencia!$3:$3)-YEAR(D12))*14)+MONTH(D12)+2,FALSE)))</f>
        <v>0</v>
      </c>
      <c r="I12" s="163">
        <f t="shared" si="0"/>
        <v>0</v>
      </c>
      <c r="J12" s="162">
        <f>IF(D12=0,0,HLOOKUP(YEAR(D12)+(MONTH(D12)/100),TC!$5:$37,DAY(D12)+2,FALSE))</f>
        <v>0</v>
      </c>
      <c r="K12" s="163">
        <f t="shared" si="1"/>
        <v>0</v>
      </c>
      <c r="O12" s="1"/>
    </row>
    <row r="13" spans="2:15" s="134" customFormat="1" ht="23" customHeight="1">
      <c r="B13" s="7" t="s">
        <v>8</v>
      </c>
      <c r="C13" s="193"/>
      <c r="D13" s="159"/>
      <c r="E13" s="194"/>
      <c r="F13" s="195"/>
      <c r="G13" s="161"/>
      <c r="H13" s="162">
        <f>IF(F13=0,0,IF(F13="MXN",1/HLOOKUP(YEAR(D13)+(MONTH(D13)/100),TC!$5:$37,DAY(D13)+2,FALSE),VLOOKUP(F13,Equivalencia!$1:$23,((MAX(Equivalencia!$3:$3)-YEAR(D13))*14)+MONTH(D13)+2,FALSE)))</f>
        <v>0</v>
      </c>
      <c r="I13" s="163">
        <f t="shared" si="0"/>
        <v>0</v>
      </c>
      <c r="J13" s="162">
        <f>IF(D13=0,0,HLOOKUP(YEAR(D13)+(MONTH(D13)/100),TC!$5:$37,DAY(D13)+2,FALSE))</f>
        <v>0</v>
      </c>
      <c r="K13" s="163">
        <f t="shared" si="1"/>
        <v>0</v>
      </c>
      <c r="O13" s="1"/>
    </row>
    <row r="14" spans="2:15" ht="23" customHeight="1">
      <c r="B14" s="45"/>
      <c r="C14" s="76"/>
      <c r="D14" s="140"/>
      <c r="E14" s="140"/>
      <c r="F14" s="142"/>
      <c r="G14" s="141"/>
      <c r="H14" s="142"/>
      <c r="I14" s="142"/>
      <c r="J14" s="143"/>
      <c r="K14" s="142"/>
    </row>
    <row r="15" spans="2:15" ht="23" customHeight="1">
      <c r="B15" s="196" t="s">
        <v>457</v>
      </c>
      <c r="C15" s="197"/>
      <c r="D15" s="198"/>
      <c r="E15" s="198"/>
      <c r="F15" s="198"/>
      <c r="G15" s="198">
        <f>SUM(G7:G14)</f>
        <v>0</v>
      </c>
      <c r="H15" s="198"/>
      <c r="I15" s="198">
        <f>SUM(I7:I14)</f>
        <v>0</v>
      </c>
      <c r="J15" s="198"/>
      <c r="K15" s="198">
        <f>SUM(K7:K14)</f>
        <v>0</v>
      </c>
    </row>
    <row r="16" spans="2:15" ht="23" customHeight="1">
      <c r="B16" s="3"/>
      <c r="G16" s="3"/>
      <c r="J16" s="187"/>
      <c r="K16" s="188"/>
    </row>
    <row r="17" spans="2:15" ht="23" customHeight="1">
      <c r="B17" s="3"/>
      <c r="G17" s="3"/>
      <c r="J17" s="187"/>
      <c r="K17" s="188"/>
    </row>
    <row r="18" spans="2:15" s="85" customFormat="1" ht="30">
      <c r="B18" s="192"/>
      <c r="G18" s="175" t="s">
        <v>415</v>
      </c>
      <c r="I18" s="175" t="s">
        <v>354</v>
      </c>
      <c r="J18" s="177"/>
      <c r="K18" s="175" t="s">
        <v>355</v>
      </c>
      <c r="O18" s="1"/>
    </row>
    <row r="19" spans="2:15" ht="23" customHeight="1">
      <c r="B19" s="3"/>
      <c r="G19" s="3"/>
      <c r="I19" s="136"/>
      <c r="J19" s="189"/>
      <c r="K19" s="190"/>
    </row>
    <row r="20" spans="2:15" ht="23" customHeight="1">
      <c r="B20" s="3"/>
      <c r="E20" s="178" t="s">
        <v>455</v>
      </c>
      <c r="F20" s="179" t="str">
        <f>Cuentas!B6</f>
        <v>AR2XXXX3387-0008</v>
      </c>
      <c r="G20" s="199">
        <f t="shared" ref="G20:G40" si="2">SUMIF($B$7:$B$532,F20,$G$7:$G$532)</f>
        <v>0</v>
      </c>
      <c r="H20" s="200"/>
      <c r="I20" s="199">
        <f t="shared" ref="I20:I40" si="3">SUMIF($B$7:$B$532,F20,$I$7:$I$532)</f>
        <v>0</v>
      </c>
      <c r="J20" s="201"/>
      <c r="K20" s="199">
        <f t="shared" ref="K20:K40" si="4">SUMIF($B$7:$B$532,F20,$K$7:$K$532)</f>
        <v>0</v>
      </c>
    </row>
    <row r="21" spans="2:15" ht="23" customHeight="1">
      <c r="B21" s="3"/>
      <c r="E21" s="178" t="s">
        <v>455</v>
      </c>
      <c r="F21" s="179" t="str">
        <f>Cuentas!B7</f>
        <v>AR2XXXX3387-0003</v>
      </c>
      <c r="G21" s="199">
        <f t="shared" si="2"/>
        <v>0</v>
      </c>
      <c r="H21" s="200"/>
      <c r="I21" s="199">
        <f t="shared" si="3"/>
        <v>0</v>
      </c>
      <c r="J21" s="201"/>
      <c r="K21" s="199">
        <f t="shared" si="4"/>
        <v>0</v>
      </c>
    </row>
    <row r="22" spans="2:15" ht="23" customHeight="1">
      <c r="B22" s="3"/>
      <c r="E22" s="178" t="s">
        <v>455</v>
      </c>
      <c r="F22" s="179" t="str">
        <f>Cuentas!B8</f>
        <v>029-2XXX1-9</v>
      </c>
      <c r="G22" s="199">
        <f t="shared" si="2"/>
        <v>0</v>
      </c>
      <c r="H22" s="200"/>
      <c r="I22" s="199">
        <f t="shared" si="3"/>
        <v>0</v>
      </c>
      <c r="J22" s="201"/>
      <c r="K22" s="199">
        <f t="shared" si="4"/>
        <v>0</v>
      </c>
    </row>
    <row r="23" spans="2:15" ht="23" customHeight="1">
      <c r="B23" s="3"/>
      <c r="E23" s="178" t="s">
        <v>455</v>
      </c>
      <c r="F23" s="179" t="str">
        <f>Cuentas!B9</f>
        <v>029-2XXX2-7</v>
      </c>
      <c r="G23" s="199">
        <f t="shared" si="2"/>
        <v>0</v>
      </c>
      <c r="H23" s="200"/>
      <c r="I23" s="199">
        <f t="shared" si="3"/>
        <v>0</v>
      </c>
      <c r="J23" s="201"/>
      <c r="K23" s="199">
        <f t="shared" si="4"/>
        <v>0</v>
      </c>
    </row>
    <row r="24" spans="2:15" ht="23" customHeight="1">
      <c r="B24" s="3"/>
      <c r="E24" s="178" t="s">
        <v>455</v>
      </c>
      <c r="F24" s="179" t="str">
        <f>Cuentas!B10</f>
        <v>029-2XXX3-5</v>
      </c>
      <c r="G24" s="199">
        <f t="shared" si="2"/>
        <v>0</v>
      </c>
      <c r="H24" s="200"/>
      <c r="I24" s="199">
        <f t="shared" si="3"/>
        <v>0</v>
      </c>
      <c r="J24" s="201"/>
      <c r="K24" s="199">
        <f t="shared" si="4"/>
        <v>0</v>
      </c>
    </row>
    <row r="25" spans="2:15" ht="23" customHeight="1">
      <c r="B25" s="3"/>
      <c r="E25" s="178" t="s">
        <v>455</v>
      </c>
      <c r="F25" s="179" t="str">
        <f>Cuentas!B11</f>
        <v>F</v>
      </c>
      <c r="G25" s="199">
        <f t="shared" si="2"/>
        <v>0</v>
      </c>
      <c r="H25" s="200"/>
      <c r="I25" s="199">
        <f t="shared" si="3"/>
        <v>0</v>
      </c>
      <c r="J25" s="201"/>
      <c r="K25" s="199">
        <f t="shared" si="4"/>
        <v>0</v>
      </c>
    </row>
    <row r="26" spans="2:15" ht="23" customHeight="1">
      <c r="B26" s="3"/>
      <c r="E26" s="178" t="s">
        <v>455</v>
      </c>
      <c r="F26" s="179" t="str">
        <f>Cuentas!B12</f>
        <v>G</v>
      </c>
      <c r="G26" s="199">
        <f t="shared" si="2"/>
        <v>0</v>
      </c>
      <c r="H26" s="200"/>
      <c r="I26" s="199">
        <f t="shared" si="3"/>
        <v>0</v>
      </c>
      <c r="J26" s="201"/>
      <c r="K26" s="199">
        <f t="shared" si="4"/>
        <v>0</v>
      </c>
    </row>
    <row r="27" spans="2:15" ht="23" customHeight="1">
      <c r="B27" s="3"/>
      <c r="E27" s="178" t="s">
        <v>455</v>
      </c>
      <c r="F27" s="179" t="str">
        <f>Cuentas!B13</f>
        <v>H</v>
      </c>
      <c r="G27" s="199">
        <f t="shared" si="2"/>
        <v>0</v>
      </c>
      <c r="H27" s="200"/>
      <c r="I27" s="199">
        <f t="shared" si="3"/>
        <v>0</v>
      </c>
      <c r="J27" s="201"/>
      <c r="K27" s="199">
        <f t="shared" si="4"/>
        <v>0</v>
      </c>
    </row>
    <row r="28" spans="2:15" ht="23" customHeight="1">
      <c r="B28" s="3"/>
      <c r="E28" s="178" t="s">
        <v>455</v>
      </c>
      <c r="F28" s="179" t="str">
        <f>Cuentas!B14</f>
        <v>I</v>
      </c>
      <c r="G28" s="199">
        <f t="shared" si="2"/>
        <v>0</v>
      </c>
      <c r="H28" s="200"/>
      <c r="I28" s="199">
        <f t="shared" si="3"/>
        <v>0</v>
      </c>
      <c r="J28" s="201"/>
      <c r="K28" s="199">
        <f t="shared" si="4"/>
        <v>0</v>
      </c>
    </row>
    <row r="29" spans="2:15" ht="23" customHeight="1">
      <c r="B29" s="3"/>
      <c r="E29" s="178" t="s">
        <v>455</v>
      </c>
      <c r="F29" s="179" t="str">
        <f>Cuentas!B15</f>
        <v>J</v>
      </c>
      <c r="G29" s="199">
        <f t="shared" si="2"/>
        <v>0</v>
      </c>
      <c r="H29" s="200"/>
      <c r="I29" s="199">
        <f t="shared" si="3"/>
        <v>0</v>
      </c>
      <c r="J29" s="201"/>
      <c r="K29" s="199">
        <f t="shared" si="4"/>
        <v>0</v>
      </c>
    </row>
    <row r="30" spans="2:15" ht="23" customHeight="1">
      <c r="B30" s="3"/>
      <c r="E30" s="178" t="s">
        <v>455</v>
      </c>
      <c r="F30" s="179" t="str">
        <f>Cuentas!B16</f>
        <v>K</v>
      </c>
      <c r="G30" s="199">
        <f t="shared" si="2"/>
        <v>0</v>
      </c>
      <c r="H30" s="200"/>
      <c r="I30" s="199">
        <f t="shared" si="3"/>
        <v>0</v>
      </c>
      <c r="J30" s="201"/>
      <c r="K30" s="199">
        <f t="shared" si="4"/>
        <v>0</v>
      </c>
    </row>
    <row r="31" spans="2:15" ht="23" customHeight="1">
      <c r="B31" s="3"/>
      <c r="E31" s="178" t="s">
        <v>455</v>
      </c>
      <c r="F31" s="179" t="str">
        <f>Cuentas!B17</f>
        <v>L</v>
      </c>
      <c r="G31" s="199">
        <f t="shared" si="2"/>
        <v>0</v>
      </c>
      <c r="H31" s="200"/>
      <c r="I31" s="199">
        <f t="shared" si="3"/>
        <v>0</v>
      </c>
      <c r="J31" s="201"/>
      <c r="K31" s="199">
        <f t="shared" si="4"/>
        <v>0</v>
      </c>
    </row>
    <row r="32" spans="2:15" ht="23" customHeight="1">
      <c r="B32" s="3"/>
      <c r="E32" s="178" t="s">
        <v>455</v>
      </c>
      <c r="F32" s="179" t="str">
        <f>Cuentas!B18</f>
        <v>M</v>
      </c>
      <c r="G32" s="199">
        <f t="shared" si="2"/>
        <v>0</v>
      </c>
      <c r="H32" s="200"/>
      <c r="I32" s="199">
        <f t="shared" si="3"/>
        <v>0</v>
      </c>
      <c r="J32" s="201"/>
      <c r="K32" s="199">
        <f t="shared" si="4"/>
        <v>0</v>
      </c>
    </row>
    <row r="33" spans="2:11" ht="23" customHeight="1">
      <c r="B33" s="3"/>
      <c r="E33" s="178" t="s">
        <v>455</v>
      </c>
      <c r="F33" s="179" t="str">
        <f>Cuentas!B19</f>
        <v>N</v>
      </c>
      <c r="G33" s="199">
        <f t="shared" si="2"/>
        <v>0</v>
      </c>
      <c r="H33" s="200"/>
      <c r="I33" s="199">
        <f t="shared" si="3"/>
        <v>0</v>
      </c>
      <c r="J33" s="201"/>
      <c r="K33" s="199">
        <f t="shared" si="4"/>
        <v>0</v>
      </c>
    </row>
    <row r="34" spans="2:11" ht="23" customHeight="1">
      <c r="B34" s="3"/>
      <c r="E34" s="178" t="s">
        <v>455</v>
      </c>
      <c r="F34" s="179" t="str">
        <f>Cuentas!B20</f>
        <v>O</v>
      </c>
      <c r="G34" s="199">
        <f t="shared" si="2"/>
        <v>0</v>
      </c>
      <c r="H34" s="200"/>
      <c r="I34" s="199">
        <f t="shared" si="3"/>
        <v>0</v>
      </c>
      <c r="J34" s="201"/>
      <c r="K34" s="199">
        <f t="shared" si="4"/>
        <v>0</v>
      </c>
    </row>
    <row r="35" spans="2:11" ht="23" customHeight="1">
      <c r="B35" s="3"/>
      <c r="E35" s="178" t="s">
        <v>455</v>
      </c>
      <c r="F35" s="179" t="str">
        <f>Cuentas!B21</f>
        <v>P</v>
      </c>
      <c r="G35" s="199">
        <f t="shared" si="2"/>
        <v>0</v>
      </c>
      <c r="H35" s="200"/>
      <c r="I35" s="199">
        <f t="shared" si="3"/>
        <v>0</v>
      </c>
      <c r="J35" s="201"/>
      <c r="K35" s="199">
        <f t="shared" si="4"/>
        <v>0</v>
      </c>
    </row>
    <row r="36" spans="2:11" ht="23" customHeight="1">
      <c r="B36" s="3"/>
      <c r="E36" s="178" t="s">
        <v>455</v>
      </c>
      <c r="F36" s="179" t="str">
        <f>Cuentas!B22</f>
        <v>Q</v>
      </c>
      <c r="G36" s="199">
        <f t="shared" si="2"/>
        <v>0</v>
      </c>
      <c r="H36" s="200"/>
      <c r="I36" s="199">
        <f t="shared" si="3"/>
        <v>0</v>
      </c>
      <c r="J36" s="201"/>
      <c r="K36" s="199">
        <f t="shared" si="4"/>
        <v>0</v>
      </c>
    </row>
    <row r="37" spans="2:11" ht="23" customHeight="1">
      <c r="B37" s="3"/>
      <c r="E37" s="178" t="s">
        <v>455</v>
      </c>
      <c r="F37" s="179" t="str">
        <f>Cuentas!B23</f>
        <v>R</v>
      </c>
      <c r="G37" s="199">
        <f t="shared" si="2"/>
        <v>0</v>
      </c>
      <c r="H37" s="200"/>
      <c r="I37" s="199">
        <f t="shared" si="3"/>
        <v>0</v>
      </c>
      <c r="J37" s="201"/>
      <c r="K37" s="199">
        <f t="shared" si="4"/>
        <v>0</v>
      </c>
    </row>
    <row r="38" spans="2:11" ht="23" customHeight="1">
      <c r="B38" s="3"/>
      <c r="E38" s="178" t="s">
        <v>455</v>
      </c>
      <c r="F38" s="179" t="str">
        <f>Cuentas!B24</f>
        <v>S</v>
      </c>
      <c r="G38" s="199">
        <f t="shared" si="2"/>
        <v>0</v>
      </c>
      <c r="H38" s="200"/>
      <c r="I38" s="199">
        <f t="shared" si="3"/>
        <v>0</v>
      </c>
      <c r="J38" s="201"/>
      <c r="K38" s="199">
        <f t="shared" si="4"/>
        <v>0</v>
      </c>
    </row>
    <row r="39" spans="2:11" ht="23" customHeight="1">
      <c r="B39" s="3"/>
      <c r="E39" s="178" t="s">
        <v>455</v>
      </c>
      <c r="F39" s="179" t="str">
        <f>Cuentas!B25</f>
        <v>T</v>
      </c>
      <c r="G39" s="199">
        <f t="shared" si="2"/>
        <v>0</v>
      </c>
      <c r="H39" s="200"/>
      <c r="I39" s="199">
        <f t="shared" si="3"/>
        <v>0</v>
      </c>
      <c r="J39" s="201"/>
      <c r="K39" s="199">
        <f t="shared" si="4"/>
        <v>0</v>
      </c>
    </row>
    <row r="40" spans="2:11" ht="23" customHeight="1">
      <c r="B40" s="3"/>
      <c r="E40" s="178" t="s">
        <v>455</v>
      </c>
      <c r="F40" s="179" t="str">
        <f>Cuentas!B26</f>
        <v>U</v>
      </c>
      <c r="G40" s="199">
        <f t="shared" si="2"/>
        <v>0</v>
      </c>
      <c r="H40" s="200"/>
      <c r="I40" s="199">
        <f t="shared" si="3"/>
        <v>0</v>
      </c>
      <c r="J40" s="201"/>
      <c r="K40" s="199">
        <f t="shared" si="4"/>
        <v>0</v>
      </c>
    </row>
    <row r="41" spans="2:11" ht="23" customHeight="1">
      <c r="B41" s="3"/>
      <c r="E41" s="3"/>
    </row>
    <row r="42" spans="2:11" ht="23" customHeight="1">
      <c r="B42" s="3"/>
      <c r="E42" s="202"/>
      <c r="F42" s="119" t="s">
        <v>456</v>
      </c>
      <c r="G42" s="183">
        <f>SUM(G20:G41)</f>
        <v>0</v>
      </c>
      <c r="H42" s="103"/>
      <c r="I42" s="183">
        <f>SUM(I20:I41)</f>
        <v>0</v>
      </c>
      <c r="J42" s="103"/>
      <c r="K42" s="183">
        <f>SUM(K20:K41)</f>
        <v>0</v>
      </c>
    </row>
    <row r="44" spans="2:11" ht="23" customHeight="1">
      <c r="B44" s="151" t="s">
        <v>231</v>
      </c>
      <c r="C44" s="152"/>
      <c r="D44" s="152"/>
      <c r="E44" s="152"/>
      <c r="F44" s="152"/>
      <c r="G44" s="152"/>
      <c r="H44" s="152"/>
      <c r="I44" s="152"/>
      <c r="J44" s="152"/>
      <c r="K44" s="152"/>
    </row>
    <row r="45" spans="2:11" ht="23" customHeight="1">
      <c r="B45" s="152"/>
      <c r="C45" s="152"/>
      <c r="D45" s="152"/>
      <c r="E45" s="152"/>
      <c r="F45" s="152"/>
      <c r="G45" s="152"/>
      <c r="H45" s="152"/>
      <c r="I45" s="152"/>
      <c r="J45" s="152"/>
      <c r="K45" s="152"/>
    </row>
    <row r="46" spans="2:11" ht="23" customHeight="1">
      <c r="B46" s="152"/>
      <c r="C46" s="152"/>
      <c r="D46" s="152"/>
      <c r="E46" s="152"/>
      <c r="F46" s="152"/>
      <c r="G46" s="152"/>
      <c r="H46" s="152"/>
      <c r="I46" s="152"/>
      <c r="J46" s="152"/>
      <c r="K46" s="152"/>
    </row>
    <row r="47" spans="2:11" ht="23" customHeight="1">
      <c r="B47" s="152"/>
      <c r="C47" s="152"/>
      <c r="D47" s="152"/>
      <c r="E47" s="152"/>
      <c r="F47" s="152"/>
      <c r="G47" s="152"/>
      <c r="H47" s="152"/>
      <c r="I47" s="152"/>
      <c r="J47" s="152"/>
      <c r="K47" s="152"/>
    </row>
    <row r="48" spans="2:11" ht="23" customHeight="1">
      <c r="B48" s="152"/>
      <c r="C48" s="152"/>
      <c r="D48" s="152"/>
      <c r="E48" s="152"/>
      <c r="F48" s="152"/>
      <c r="G48" s="152"/>
      <c r="H48" s="152"/>
      <c r="I48" s="152"/>
      <c r="J48" s="152"/>
      <c r="K48" s="152"/>
    </row>
    <row r="49" spans="2:11" ht="23" customHeight="1">
      <c r="B49" s="152"/>
      <c r="C49" s="152"/>
      <c r="D49" s="152"/>
      <c r="E49" s="152"/>
      <c r="F49" s="152"/>
      <c r="G49" s="152"/>
      <c r="H49" s="152"/>
      <c r="I49" s="152"/>
      <c r="J49" s="152"/>
      <c r="K49" s="152"/>
    </row>
    <row r="50" spans="2:11" ht="23" customHeight="1">
      <c r="B50" s="152"/>
      <c r="C50" s="152"/>
      <c r="D50" s="152"/>
      <c r="E50" s="152"/>
      <c r="F50" s="152"/>
      <c r="G50" s="152"/>
      <c r="H50" s="152"/>
      <c r="I50" s="152"/>
      <c r="J50" s="152"/>
      <c r="K50" s="152"/>
    </row>
    <row r="51" spans="2:11" ht="23" customHeight="1">
      <c r="B51" s="152"/>
      <c r="C51" s="152"/>
      <c r="D51" s="152"/>
      <c r="E51" s="152"/>
      <c r="F51" s="152"/>
      <c r="G51" s="152"/>
      <c r="H51" s="152"/>
      <c r="I51" s="152"/>
      <c r="J51" s="152"/>
      <c r="K51" s="152"/>
    </row>
    <row r="52" spans="2:11" ht="23" customHeight="1">
      <c r="B52" s="134"/>
      <c r="C52" s="134"/>
      <c r="D52" s="134"/>
      <c r="E52" s="134"/>
      <c r="F52" s="134"/>
      <c r="G52" s="134"/>
      <c r="H52" s="134"/>
      <c r="I52" s="134"/>
      <c r="J52" s="134"/>
      <c r="K52" s="134"/>
    </row>
    <row r="53" spans="2:11" ht="23" customHeight="1">
      <c r="B53" s="134"/>
      <c r="C53" s="134"/>
      <c r="D53" s="134"/>
      <c r="E53" s="134"/>
      <c r="F53" s="134"/>
      <c r="G53" s="134"/>
      <c r="H53" s="134"/>
      <c r="I53" s="134"/>
      <c r="J53" s="134"/>
      <c r="K53" s="134"/>
    </row>
    <row r="54" spans="2:11" ht="23" customHeight="1">
      <c r="B54" s="134"/>
      <c r="C54" s="134"/>
      <c r="D54" s="134"/>
      <c r="E54" s="134"/>
      <c r="F54" s="134"/>
      <c r="G54" s="134"/>
      <c r="H54" s="134"/>
      <c r="I54" s="134"/>
      <c r="J54" s="134"/>
      <c r="K54" s="134"/>
    </row>
    <row r="55" spans="2:11" ht="23" customHeight="1">
      <c r="B55" s="134"/>
      <c r="C55" s="134"/>
      <c r="D55" s="134"/>
      <c r="E55" s="134"/>
      <c r="F55" s="134"/>
      <c r="G55" s="134"/>
      <c r="H55" s="134"/>
      <c r="I55" s="134"/>
      <c r="J55" s="134"/>
      <c r="K55" s="134"/>
    </row>
    <row r="56" spans="2:11" ht="23" customHeight="1">
      <c r="B56" s="134"/>
      <c r="C56" s="134"/>
      <c r="D56" s="134"/>
      <c r="E56" s="134"/>
      <c r="F56" s="134"/>
      <c r="G56" s="134"/>
      <c r="H56" s="134"/>
      <c r="I56" s="134"/>
      <c r="J56" s="134"/>
      <c r="K56" s="134"/>
    </row>
  </sheetData>
  <sheetProtection algorithmName="SHA-512" hashValue="KIJCfvVlAweLwk2nfqXj2dH7thWfrsh+2vbRTh4jeF1g/JvTPRZp8zW7XjwWZbctwDmONQx0RSBVnytoWt8ZVw==" saltValue="7O2pLcHk42RV1iqk6HuqSw==" spinCount="100000" sheet="1" formatCells="0" formatColumns="0" formatRows="0" insertColumns="0" insertRows="0" deleteColumns="0" deleteRows="0" autoFilter="0"/>
  <autoFilter ref="B6:K14" xr:uid="{3DA94C9F-6C0C-AA4D-A636-7B73B6AC0A93}"/>
  <mergeCells count="2">
    <mergeCell ref="B2:K2"/>
    <mergeCell ref="B3:K3"/>
  </mergeCells>
  <phoneticPr fontId="8" type="noConversion"/>
  <dataValidations count="1">
    <dataValidation type="list" allowBlank="1" showInputMessage="1" showErrorMessage="1" promptTitle="OJO:" prompt="Selecciona una opción" sqref="C8:C13" xr:uid="{6CEC7679-716B-DD47-8488-27E6D5CBF7F1}">
      <formula1>$O$2:$O$5</formula1>
    </dataValidation>
  </dataValidations>
  <printOptions horizontalCentered="1"/>
  <pageMargins left="0.7" right="0.7" top="0.75" bottom="0.75" header="0.3" footer="0.3"/>
  <pageSetup scale="50"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cciona una moneda" xr:uid="{7E2C63AE-A923-6D40-9269-AFB6D62D0EDA}">
          <x14:formula1>
            <xm:f>Equivalencia!$A$4:$A$23</xm:f>
          </x14:formula1>
          <xm:sqref>F8:F13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2:T46"/>
  <sheetViews>
    <sheetView view="pageBreakPreview" zoomScaleNormal="80" zoomScaleSheetLayoutView="100" workbookViewId="0">
      <pane ySplit="7" topLeftCell="A8" activePane="bottomLeft" state="frozen"/>
      <selection pane="bottomLeft" activeCell="C5" sqref="C5"/>
    </sheetView>
  </sheetViews>
  <sheetFormatPr baseColWidth="10" defaultColWidth="10.83203125" defaultRowHeight="23" customHeight="1"/>
  <cols>
    <col min="1" max="1" width="10.83203125" style="1"/>
    <col min="2" max="2" width="15.83203125" style="1" customWidth="1"/>
    <col min="3" max="3" width="17.6640625" style="1" customWidth="1"/>
    <col min="4" max="4" width="15.83203125" style="1" customWidth="1"/>
    <col min="5" max="5" width="45.83203125" style="1" customWidth="1"/>
    <col min="6" max="6" width="18.83203125" style="1" customWidth="1"/>
    <col min="7" max="7" width="25.1640625" style="1" customWidth="1"/>
    <col min="8" max="8" width="16.5" style="1" customWidth="1"/>
    <col min="9" max="9" width="25.5" style="1" customWidth="1"/>
    <col min="10" max="10" width="17.6640625" style="1" customWidth="1"/>
    <col min="11" max="11" width="25" style="1" customWidth="1"/>
    <col min="12" max="19" width="10.83203125" style="1"/>
    <col min="20" max="20" width="28.83203125" style="1" customWidth="1"/>
    <col min="21" max="16384" width="10.83203125" style="1"/>
  </cols>
  <sheetData>
    <row r="2" spans="2:20" ht="27" customHeight="1">
      <c r="B2" s="761" t="s">
        <v>643</v>
      </c>
      <c r="C2" s="761"/>
      <c r="D2" s="761"/>
      <c r="E2" s="761"/>
      <c r="F2" s="761"/>
      <c r="G2" s="761"/>
      <c r="H2" s="761"/>
      <c r="I2" s="761"/>
      <c r="J2" s="761"/>
      <c r="K2" s="761"/>
      <c r="T2" s="554" t="s">
        <v>636</v>
      </c>
    </row>
    <row r="3" spans="2:20" ht="23" customHeight="1">
      <c r="B3" s="759" t="s">
        <v>642</v>
      </c>
      <c r="C3" s="759"/>
      <c r="D3" s="759"/>
      <c r="E3" s="759"/>
      <c r="F3" s="759"/>
      <c r="G3" s="759"/>
      <c r="H3" s="759"/>
      <c r="I3" s="759"/>
      <c r="J3" s="759"/>
      <c r="K3" s="759"/>
      <c r="T3" s="554"/>
    </row>
    <row r="4" spans="2:20" ht="14" customHeight="1">
      <c r="B4" s="24" t="s">
        <v>443</v>
      </c>
      <c r="C4" s="24" t="s">
        <v>673</v>
      </c>
      <c r="D4" s="24"/>
      <c r="E4" s="24"/>
      <c r="F4" s="123"/>
      <c r="G4" s="123"/>
      <c r="H4" s="123"/>
      <c r="I4" s="123"/>
      <c r="J4" s="123"/>
      <c r="K4" s="123"/>
      <c r="T4" s="554"/>
    </row>
    <row r="5" spans="2:20" ht="23" customHeight="1">
      <c r="B5" s="31"/>
      <c r="C5" s="31"/>
      <c r="D5" s="31"/>
      <c r="E5" s="31"/>
      <c r="F5" s="32"/>
      <c r="G5" s="32"/>
      <c r="H5" s="32"/>
      <c r="I5" s="32"/>
      <c r="J5" s="32"/>
      <c r="K5" s="32"/>
      <c r="T5" s="554"/>
    </row>
    <row r="6" spans="2:20" ht="23" customHeight="1">
      <c r="B6" s="3"/>
      <c r="C6" s="3"/>
      <c r="F6" s="3"/>
      <c r="T6" s="554"/>
    </row>
    <row r="7" spans="2:20" s="85" customFormat="1" ht="30">
      <c r="B7" s="153" t="s">
        <v>178</v>
      </c>
      <c r="C7" s="153" t="s">
        <v>53</v>
      </c>
      <c r="D7" s="120" t="s">
        <v>54</v>
      </c>
      <c r="E7" s="120" t="s">
        <v>55</v>
      </c>
      <c r="F7" s="120" t="s">
        <v>208</v>
      </c>
      <c r="G7" s="120" t="s">
        <v>416</v>
      </c>
      <c r="H7" s="120" t="s">
        <v>56</v>
      </c>
      <c r="I7" s="120" t="s">
        <v>417</v>
      </c>
      <c r="J7" s="120" t="s">
        <v>361</v>
      </c>
      <c r="K7" s="120" t="s">
        <v>418</v>
      </c>
      <c r="T7" s="555"/>
    </row>
    <row r="8" spans="2:20" ht="23" customHeight="1">
      <c r="B8" s="203"/>
      <c r="C8" s="203"/>
      <c r="D8" s="12"/>
      <c r="E8" s="12"/>
      <c r="F8" s="12"/>
      <c r="G8" s="12"/>
      <c r="H8" s="12"/>
      <c r="I8" s="12"/>
      <c r="J8" s="12"/>
      <c r="K8" s="12"/>
    </row>
    <row r="9" spans="2:20" s="134" customFormat="1" ht="23" customHeight="1">
      <c r="B9" s="7" t="s">
        <v>3</v>
      </c>
      <c r="C9" s="7"/>
      <c r="D9" s="159"/>
      <c r="E9" s="211"/>
      <c r="F9" s="7"/>
      <c r="G9" s="161"/>
      <c r="H9" s="162">
        <f>IF(F9=0,0,IF(F9="MXN",1/HLOOKUP(YEAR(D9)+(MONTH(D9)/100),TC!$5:$37,DAY(D9)+2,FALSE),VLOOKUP(F9,Equivalencia!$1:$23,((MAX(Equivalencia!$3:$3)-YEAR(D9))*14)+MONTH(D9)+2,FALSE)))</f>
        <v>0</v>
      </c>
      <c r="I9" s="163">
        <f>+H9*G9</f>
        <v>0</v>
      </c>
      <c r="J9" s="162">
        <f>IF(D9=0,0,HLOOKUP(YEAR(D9)+(MONTH(D9)/100),TC!$5:$37,DAY(D9)+2,FALSE))</f>
        <v>0</v>
      </c>
      <c r="K9" s="163">
        <f>+I9*J9</f>
        <v>0</v>
      </c>
    </row>
    <row r="10" spans="2:20" s="134" customFormat="1" ht="23" customHeight="1">
      <c r="B10" s="7" t="s">
        <v>4</v>
      </c>
      <c r="C10" s="7"/>
      <c r="D10" s="159"/>
      <c r="E10" s="211"/>
      <c r="F10" s="7"/>
      <c r="G10" s="161"/>
      <c r="H10" s="162">
        <f>IF(F10=0,0,IF(F10="MXN",1/HLOOKUP(YEAR(D10)+(MONTH(D10)/100),TC!$5:$37,DAY(D10)+2,FALSE),VLOOKUP(F10,Equivalencia!$1:$23,((MAX(Equivalencia!$3:$3)-YEAR(D10))*14)+MONTH(D10)+2,FALSE)))</f>
        <v>0</v>
      </c>
      <c r="I10" s="163">
        <f t="shared" ref="I10:I14" si="0">+H10*G10</f>
        <v>0</v>
      </c>
      <c r="J10" s="162">
        <f>IF(D10=0,0,HLOOKUP(YEAR(D10)+(MONTH(D10)/100),TC!$5:$37,DAY(D10)+2,FALSE))</f>
        <v>0</v>
      </c>
      <c r="K10" s="163">
        <f t="shared" ref="K10:K14" si="1">+I10*J10</f>
        <v>0</v>
      </c>
    </row>
    <row r="11" spans="2:20" s="134" customFormat="1" ht="23" customHeight="1">
      <c r="B11" s="7" t="s">
        <v>5</v>
      </c>
      <c r="C11" s="7"/>
      <c r="D11" s="159"/>
      <c r="E11" s="211"/>
      <c r="F11" s="7"/>
      <c r="G11" s="161"/>
      <c r="H11" s="162">
        <f>IF(F11=0,0,IF(F11="MXN",1/HLOOKUP(YEAR(D11)+(MONTH(D11)/100),TC!$5:$37,DAY(D11)+2,FALSE),VLOOKUP(F11,Equivalencia!$1:$23,((MAX(Equivalencia!$3:$3)-YEAR(D11))*14)+MONTH(D11)+2,FALSE)))</f>
        <v>0</v>
      </c>
      <c r="I11" s="163">
        <f t="shared" si="0"/>
        <v>0</v>
      </c>
      <c r="J11" s="162">
        <f>IF(D11=0,0,HLOOKUP(YEAR(D11)+(MONTH(D11)/100),TC!$5:$37,DAY(D11)+2,FALSE))</f>
        <v>0</v>
      </c>
      <c r="K11" s="163">
        <f t="shared" si="1"/>
        <v>0</v>
      </c>
    </row>
    <row r="12" spans="2:20" s="134" customFormat="1" ht="23" customHeight="1">
      <c r="B12" s="7" t="s">
        <v>6</v>
      </c>
      <c r="C12" s="7"/>
      <c r="D12" s="159"/>
      <c r="E12" s="211"/>
      <c r="F12" s="7"/>
      <c r="G12" s="161"/>
      <c r="H12" s="162">
        <f>IF(F12=0,0,IF(F12="MXN",1/HLOOKUP(YEAR(D12)+(MONTH(D12)/100),TC!$5:$37,DAY(D12)+2,FALSE),VLOOKUP(F12,Equivalencia!$1:$23,((MAX(Equivalencia!$3:$3)-YEAR(D12))*14)+MONTH(D12)+2,FALSE)))</f>
        <v>0</v>
      </c>
      <c r="I12" s="163">
        <f t="shared" si="0"/>
        <v>0</v>
      </c>
      <c r="J12" s="162">
        <f>IF(D12=0,0,HLOOKUP(YEAR(D12)+(MONTH(D12)/100),TC!$5:$37,DAY(D12)+2,FALSE))</f>
        <v>0</v>
      </c>
      <c r="K12" s="163">
        <f t="shared" si="1"/>
        <v>0</v>
      </c>
    </row>
    <row r="13" spans="2:20" s="134" customFormat="1" ht="23" customHeight="1">
      <c r="B13" s="7" t="s">
        <v>7</v>
      </c>
      <c r="C13" s="7"/>
      <c r="D13" s="159"/>
      <c r="E13" s="211"/>
      <c r="F13" s="7"/>
      <c r="G13" s="161"/>
      <c r="H13" s="162">
        <f>IF(F13=0,0,IF(F13="MXN",1/HLOOKUP(YEAR(D13)+(MONTH(D13)/100),TC!$5:$37,DAY(D13)+2,FALSE),VLOOKUP(F13,Equivalencia!$1:$23,((MAX(Equivalencia!$3:$3)-YEAR(D13))*14)+MONTH(D13)+2,FALSE)))</f>
        <v>0</v>
      </c>
      <c r="I13" s="163">
        <f t="shared" si="0"/>
        <v>0</v>
      </c>
      <c r="J13" s="162">
        <f>IF(D13=0,0,HLOOKUP(YEAR(D13)+(MONTH(D13)/100),TC!$5:$37,DAY(D13)+2,FALSE))</f>
        <v>0</v>
      </c>
      <c r="K13" s="163">
        <f t="shared" si="1"/>
        <v>0</v>
      </c>
    </row>
    <row r="14" spans="2:20" s="134" customFormat="1" ht="23" customHeight="1">
      <c r="B14" s="7" t="s">
        <v>8</v>
      </c>
      <c r="C14" s="7"/>
      <c r="D14" s="159"/>
      <c r="E14" s="211"/>
      <c r="F14" s="7"/>
      <c r="G14" s="161"/>
      <c r="H14" s="162">
        <f>IF(F14=0,0,IF(F14="MXN",1/HLOOKUP(YEAR(D14)+(MONTH(D14)/100),TC!$5:$37,DAY(D14)+2,FALSE),VLOOKUP(F14,Equivalencia!$1:$23,((MAX(Equivalencia!$3:$3)-YEAR(D14))*14)+MONTH(D14)+2,FALSE)))</f>
        <v>0</v>
      </c>
      <c r="I14" s="163">
        <f t="shared" si="0"/>
        <v>0</v>
      </c>
      <c r="J14" s="162">
        <f>IF(D14=0,0,HLOOKUP(YEAR(D14)+(MONTH(D14)/100),TC!$5:$37,DAY(D14)+2,FALSE))</f>
        <v>0</v>
      </c>
      <c r="K14" s="163">
        <f t="shared" si="1"/>
        <v>0</v>
      </c>
    </row>
    <row r="15" spans="2:20" ht="23" customHeight="1">
      <c r="B15" s="45"/>
      <c r="C15" s="45"/>
      <c r="D15" s="142"/>
      <c r="E15" s="140"/>
      <c r="F15" s="76"/>
      <c r="G15" s="142"/>
      <c r="H15" s="143"/>
      <c r="I15" s="142"/>
      <c r="J15" s="143"/>
      <c r="K15" s="144"/>
    </row>
    <row r="16" spans="2:20" ht="23" customHeight="1">
      <c r="B16" s="196" t="s">
        <v>364</v>
      </c>
      <c r="C16" s="196"/>
      <c r="D16" s="198"/>
      <c r="E16" s="198"/>
      <c r="F16" s="210"/>
      <c r="G16" s="198">
        <f>SUM(G8:G15)</f>
        <v>0</v>
      </c>
      <c r="H16" s="198"/>
      <c r="I16" s="198">
        <f>SUM(I8:I15)</f>
        <v>0</v>
      </c>
      <c r="J16" s="198"/>
      <c r="K16" s="198">
        <f>SUM(K8:K15)</f>
        <v>0</v>
      </c>
    </row>
    <row r="17" spans="2:11" ht="23" customHeight="1">
      <c r="B17" s="204"/>
      <c r="C17" s="204"/>
      <c r="D17" s="134"/>
      <c r="E17" s="134"/>
      <c r="F17" s="204"/>
      <c r="G17" s="134"/>
      <c r="H17" s="205"/>
      <c r="I17" s="206"/>
      <c r="J17" s="205"/>
      <c r="K17" s="207"/>
    </row>
    <row r="18" spans="2:11" ht="23" customHeight="1">
      <c r="B18" s="204"/>
      <c r="C18" s="204"/>
      <c r="D18" s="134"/>
      <c r="E18" s="134"/>
      <c r="F18" s="204"/>
      <c r="G18" s="134"/>
      <c r="H18" s="205"/>
      <c r="I18" s="206"/>
      <c r="J18" s="205"/>
      <c r="K18" s="207"/>
    </row>
    <row r="19" spans="2:11" s="85" customFormat="1" ht="30">
      <c r="B19" s="208"/>
      <c r="C19" s="208"/>
      <c r="D19" s="154"/>
      <c r="F19" s="192"/>
      <c r="G19" s="120" t="s">
        <v>419</v>
      </c>
      <c r="H19" s="209"/>
      <c r="I19" s="120" t="s">
        <v>420</v>
      </c>
      <c r="J19" s="177"/>
      <c r="K19" s="120" t="s">
        <v>421</v>
      </c>
    </row>
    <row r="20" spans="2:11" ht="23" customHeight="1">
      <c r="B20" s="204"/>
      <c r="C20" s="204"/>
      <c r="D20" s="134"/>
      <c r="F20" s="3"/>
      <c r="H20" s="187"/>
      <c r="I20" s="146"/>
      <c r="J20" s="141"/>
      <c r="K20" s="146"/>
    </row>
    <row r="21" spans="2:11" ht="23" customHeight="1">
      <c r="B21" s="204"/>
      <c r="C21" s="204"/>
      <c r="D21" s="181"/>
      <c r="E21" s="178" t="s">
        <v>185</v>
      </c>
      <c r="F21" s="179" t="str">
        <f>Cuentas!B6</f>
        <v>AR2XXXX3387-0008</v>
      </c>
      <c r="G21" s="199">
        <f t="shared" ref="G21:G41" si="2">SUMIF($B$8:$B$533,F21,$G$8:$G$533)</f>
        <v>0</v>
      </c>
      <c r="H21" s="200"/>
      <c r="I21" s="199">
        <f t="shared" ref="I21:I41" si="3">SUMIF($B$8:$B$533,F21,$I$8:$I$533)</f>
        <v>0</v>
      </c>
      <c r="J21" s="201"/>
      <c r="K21" s="199">
        <f t="shared" ref="K21:K41" si="4">SUMIF($B$8:$B$533,F21,$K$8:$K$533)</f>
        <v>0</v>
      </c>
    </row>
    <row r="22" spans="2:11" ht="23" customHeight="1">
      <c r="B22" s="204"/>
      <c r="C22" s="204"/>
      <c r="D22" s="181"/>
      <c r="E22" s="178" t="s">
        <v>185</v>
      </c>
      <c r="F22" s="179" t="str">
        <f>Cuentas!B7</f>
        <v>AR2XXXX3387-0003</v>
      </c>
      <c r="G22" s="199">
        <f t="shared" si="2"/>
        <v>0</v>
      </c>
      <c r="H22" s="200"/>
      <c r="I22" s="199">
        <f t="shared" si="3"/>
        <v>0</v>
      </c>
      <c r="J22" s="201"/>
      <c r="K22" s="199">
        <f t="shared" si="4"/>
        <v>0</v>
      </c>
    </row>
    <row r="23" spans="2:11" ht="23" customHeight="1">
      <c r="B23" s="204"/>
      <c r="C23" s="204"/>
      <c r="D23" s="181"/>
      <c r="E23" s="178" t="s">
        <v>185</v>
      </c>
      <c r="F23" s="179" t="str">
        <f>Cuentas!B8</f>
        <v>029-2XXX1-9</v>
      </c>
      <c r="G23" s="199">
        <f t="shared" si="2"/>
        <v>0</v>
      </c>
      <c r="H23" s="200"/>
      <c r="I23" s="199">
        <f t="shared" si="3"/>
        <v>0</v>
      </c>
      <c r="J23" s="201"/>
      <c r="K23" s="199">
        <f t="shared" si="4"/>
        <v>0</v>
      </c>
    </row>
    <row r="24" spans="2:11" ht="23" customHeight="1">
      <c r="B24" s="204"/>
      <c r="C24" s="204"/>
      <c r="D24" s="181"/>
      <c r="E24" s="178" t="s">
        <v>185</v>
      </c>
      <c r="F24" s="179" t="str">
        <f>Cuentas!B9</f>
        <v>029-2XXX2-7</v>
      </c>
      <c r="G24" s="199">
        <f t="shared" si="2"/>
        <v>0</v>
      </c>
      <c r="H24" s="200"/>
      <c r="I24" s="199">
        <f t="shared" si="3"/>
        <v>0</v>
      </c>
      <c r="J24" s="201"/>
      <c r="K24" s="199">
        <f t="shared" si="4"/>
        <v>0</v>
      </c>
    </row>
    <row r="25" spans="2:11" ht="23" customHeight="1">
      <c r="B25" s="204"/>
      <c r="C25" s="204"/>
      <c r="D25" s="181"/>
      <c r="E25" s="178" t="s">
        <v>185</v>
      </c>
      <c r="F25" s="179" t="str">
        <f>Cuentas!B10</f>
        <v>029-2XXX3-5</v>
      </c>
      <c r="G25" s="199">
        <f t="shared" si="2"/>
        <v>0</v>
      </c>
      <c r="H25" s="200"/>
      <c r="I25" s="199">
        <f t="shared" si="3"/>
        <v>0</v>
      </c>
      <c r="J25" s="201"/>
      <c r="K25" s="199">
        <f t="shared" si="4"/>
        <v>0</v>
      </c>
    </row>
    <row r="26" spans="2:11" ht="23" customHeight="1">
      <c r="B26" s="204"/>
      <c r="C26" s="204"/>
      <c r="D26" s="181"/>
      <c r="E26" s="178" t="s">
        <v>185</v>
      </c>
      <c r="F26" s="179" t="str">
        <f>Cuentas!B11</f>
        <v>F</v>
      </c>
      <c r="G26" s="199">
        <f t="shared" si="2"/>
        <v>0</v>
      </c>
      <c r="H26" s="200"/>
      <c r="I26" s="199">
        <f t="shared" si="3"/>
        <v>0</v>
      </c>
      <c r="J26" s="201"/>
      <c r="K26" s="199">
        <f t="shared" si="4"/>
        <v>0</v>
      </c>
    </row>
    <row r="27" spans="2:11" ht="23" customHeight="1">
      <c r="B27" s="204"/>
      <c r="C27" s="204"/>
      <c r="D27" s="181"/>
      <c r="E27" s="178" t="s">
        <v>185</v>
      </c>
      <c r="F27" s="179" t="str">
        <f>Cuentas!B12</f>
        <v>G</v>
      </c>
      <c r="G27" s="199">
        <f t="shared" si="2"/>
        <v>0</v>
      </c>
      <c r="H27" s="200"/>
      <c r="I27" s="199">
        <f t="shared" si="3"/>
        <v>0</v>
      </c>
      <c r="J27" s="201"/>
      <c r="K27" s="199">
        <f t="shared" si="4"/>
        <v>0</v>
      </c>
    </row>
    <row r="28" spans="2:11" ht="23" customHeight="1">
      <c r="B28" s="204"/>
      <c r="C28" s="204"/>
      <c r="D28" s="181"/>
      <c r="E28" s="178" t="s">
        <v>185</v>
      </c>
      <c r="F28" s="179" t="str">
        <f>Cuentas!B13</f>
        <v>H</v>
      </c>
      <c r="G28" s="199">
        <f t="shared" si="2"/>
        <v>0</v>
      </c>
      <c r="H28" s="200"/>
      <c r="I28" s="199">
        <f t="shared" si="3"/>
        <v>0</v>
      </c>
      <c r="J28" s="201"/>
      <c r="K28" s="199">
        <f t="shared" si="4"/>
        <v>0</v>
      </c>
    </row>
    <row r="29" spans="2:11" ht="23" customHeight="1">
      <c r="B29" s="204"/>
      <c r="C29" s="204"/>
      <c r="D29" s="181"/>
      <c r="E29" s="178" t="s">
        <v>185</v>
      </c>
      <c r="F29" s="179" t="str">
        <f>Cuentas!B14</f>
        <v>I</v>
      </c>
      <c r="G29" s="199">
        <f t="shared" si="2"/>
        <v>0</v>
      </c>
      <c r="H29" s="200"/>
      <c r="I29" s="199">
        <f t="shared" si="3"/>
        <v>0</v>
      </c>
      <c r="J29" s="201"/>
      <c r="K29" s="199">
        <f t="shared" si="4"/>
        <v>0</v>
      </c>
    </row>
    <row r="30" spans="2:11" ht="23" customHeight="1">
      <c r="B30" s="204"/>
      <c r="C30" s="204"/>
      <c r="D30" s="181"/>
      <c r="E30" s="178" t="s">
        <v>185</v>
      </c>
      <c r="F30" s="179" t="str">
        <f>Cuentas!B15</f>
        <v>J</v>
      </c>
      <c r="G30" s="199">
        <f t="shared" si="2"/>
        <v>0</v>
      </c>
      <c r="H30" s="200"/>
      <c r="I30" s="199">
        <f t="shared" si="3"/>
        <v>0</v>
      </c>
      <c r="J30" s="201"/>
      <c r="K30" s="199">
        <f t="shared" si="4"/>
        <v>0</v>
      </c>
    </row>
    <row r="31" spans="2:11" ht="23" customHeight="1">
      <c r="B31" s="204"/>
      <c r="C31" s="204"/>
      <c r="D31" s="181"/>
      <c r="E31" s="178" t="s">
        <v>185</v>
      </c>
      <c r="F31" s="179" t="str">
        <f>Cuentas!B16</f>
        <v>K</v>
      </c>
      <c r="G31" s="199">
        <f t="shared" si="2"/>
        <v>0</v>
      </c>
      <c r="H31" s="200"/>
      <c r="I31" s="199">
        <f t="shared" si="3"/>
        <v>0</v>
      </c>
      <c r="J31" s="201"/>
      <c r="K31" s="199">
        <f t="shared" si="4"/>
        <v>0</v>
      </c>
    </row>
    <row r="32" spans="2:11" ht="23" customHeight="1">
      <c r="B32" s="204"/>
      <c r="C32" s="204"/>
      <c r="D32" s="181"/>
      <c r="E32" s="178" t="s">
        <v>185</v>
      </c>
      <c r="F32" s="179" t="str">
        <f>Cuentas!B17</f>
        <v>L</v>
      </c>
      <c r="G32" s="199">
        <f t="shared" si="2"/>
        <v>0</v>
      </c>
      <c r="H32" s="200"/>
      <c r="I32" s="199">
        <f t="shared" si="3"/>
        <v>0</v>
      </c>
      <c r="J32" s="201"/>
      <c r="K32" s="199">
        <f t="shared" si="4"/>
        <v>0</v>
      </c>
    </row>
    <row r="33" spans="2:11" ht="23" customHeight="1">
      <c r="B33" s="204"/>
      <c r="C33" s="204"/>
      <c r="D33" s="181"/>
      <c r="E33" s="178" t="s">
        <v>185</v>
      </c>
      <c r="F33" s="179" t="str">
        <f>Cuentas!B18</f>
        <v>M</v>
      </c>
      <c r="G33" s="199">
        <f t="shared" si="2"/>
        <v>0</v>
      </c>
      <c r="H33" s="200"/>
      <c r="I33" s="199">
        <f t="shared" si="3"/>
        <v>0</v>
      </c>
      <c r="J33" s="201"/>
      <c r="K33" s="199">
        <f t="shared" si="4"/>
        <v>0</v>
      </c>
    </row>
    <row r="34" spans="2:11" ht="23" customHeight="1">
      <c r="B34" s="204"/>
      <c r="C34" s="204"/>
      <c r="D34" s="181"/>
      <c r="E34" s="178" t="s">
        <v>185</v>
      </c>
      <c r="F34" s="179" t="str">
        <f>Cuentas!B19</f>
        <v>N</v>
      </c>
      <c r="G34" s="199">
        <f t="shared" si="2"/>
        <v>0</v>
      </c>
      <c r="H34" s="200"/>
      <c r="I34" s="199">
        <f t="shared" si="3"/>
        <v>0</v>
      </c>
      <c r="J34" s="201"/>
      <c r="K34" s="199">
        <f t="shared" si="4"/>
        <v>0</v>
      </c>
    </row>
    <row r="35" spans="2:11" ht="23" customHeight="1">
      <c r="B35" s="204"/>
      <c r="C35" s="204"/>
      <c r="D35" s="181"/>
      <c r="E35" s="178" t="s">
        <v>185</v>
      </c>
      <c r="F35" s="179" t="str">
        <f>Cuentas!B20</f>
        <v>O</v>
      </c>
      <c r="G35" s="199">
        <f t="shared" si="2"/>
        <v>0</v>
      </c>
      <c r="H35" s="200"/>
      <c r="I35" s="199">
        <f t="shared" si="3"/>
        <v>0</v>
      </c>
      <c r="J35" s="201"/>
      <c r="K35" s="199">
        <f t="shared" si="4"/>
        <v>0</v>
      </c>
    </row>
    <row r="36" spans="2:11" ht="23" customHeight="1">
      <c r="B36" s="204"/>
      <c r="C36" s="204"/>
      <c r="D36" s="181"/>
      <c r="E36" s="178" t="s">
        <v>185</v>
      </c>
      <c r="F36" s="179" t="str">
        <f>Cuentas!B21</f>
        <v>P</v>
      </c>
      <c r="G36" s="199">
        <f t="shared" si="2"/>
        <v>0</v>
      </c>
      <c r="H36" s="200"/>
      <c r="I36" s="199">
        <f t="shared" si="3"/>
        <v>0</v>
      </c>
      <c r="J36" s="201"/>
      <c r="K36" s="199">
        <f t="shared" si="4"/>
        <v>0</v>
      </c>
    </row>
    <row r="37" spans="2:11" ht="23" customHeight="1">
      <c r="B37" s="204"/>
      <c r="C37" s="204"/>
      <c r="D37" s="181"/>
      <c r="E37" s="178" t="s">
        <v>185</v>
      </c>
      <c r="F37" s="179" t="str">
        <f>Cuentas!B22</f>
        <v>Q</v>
      </c>
      <c r="G37" s="199">
        <f t="shared" si="2"/>
        <v>0</v>
      </c>
      <c r="H37" s="200"/>
      <c r="I37" s="199">
        <f t="shared" si="3"/>
        <v>0</v>
      </c>
      <c r="J37" s="201"/>
      <c r="K37" s="199">
        <f t="shared" si="4"/>
        <v>0</v>
      </c>
    </row>
    <row r="38" spans="2:11" ht="23" customHeight="1">
      <c r="B38" s="204"/>
      <c r="C38" s="204"/>
      <c r="D38" s="181"/>
      <c r="E38" s="178" t="s">
        <v>185</v>
      </c>
      <c r="F38" s="179" t="str">
        <f>Cuentas!B23</f>
        <v>R</v>
      </c>
      <c r="G38" s="199">
        <f t="shared" si="2"/>
        <v>0</v>
      </c>
      <c r="H38" s="200"/>
      <c r="I38" s="199">
        <f t="shared" si="3"/>
        <v>0</v>
      </c>
      <c r="J38" s="201"/>
      <c r="K38" s="199">
        <f t="shared" si="4"/>
        <v>0</v>
      </c>
    </row>
    <row r="39" spans="2:11" ht="23" customHeight="1">
      <c r="B39" s="204"/>
      <c r="C39" s="204"/>
      <c r="D39" s="181"/>
      <c r="E39" s="178" t="s">
        <v>185</v>
      </c>
      <c r="F39" s="179" t="str">
        <f>Cuentas!B24</f>
        <v>S</v>
      </c>
      <c r="G39" s="199">
        <f t="shared" si="2"/>
        <v>0</v>
      </c>
      <c r="H39" s="200"/>
      <c r="I39" s="199">
        <f t="shared" si="3"/>
        <v>0</v>
      </c>
      <c r="J39" s="201"/>
      <c r="K39" s="199">
        <f t="shared" si="4"/>
        <v>0</v>
      </c>
    </row>
    <row r="40" spans="2:11" ht="23" customHeight="1">
      <c r="B40" s="204"/>
      <c r="C40" s="204"/>
      <c r="D40" s="181"/>
      <c r="E40" s="178" t="s">
        <v>185</v>
      </c>
      <c r="F40" s="179" t="str">
        <f>Cuentas!B25</f>
        <v>T</v>
      </c>
      <c r="G40" s="199">
        <f t="shared" si="2"/>
        <v>0</v>
      </c>
      <c r="H40" s="200"/>
      <c r="I40" s="199">
        <f t="shared" si="3"/>
        <v>0</v>
      </c>
      <c r="J40" s="201"/>
      <c r="K40" s="199">
        <f t="shared" si="4"/>
        <v>0</v>
      </c>
    </row>
    <row r="41" spans="2:11" ht="23" customHeight="1">
      <c r="B41" s="204"/>
      <c r="C41" s="204"/>
      <c r="D41" s="181"/>
      <c r="E41" s="178" t="s">
        <v>185</v>
      </c>
      <c r="F41" s="179" t="str">
        <f>Cuentas!B26</f>
        <v>U</v>
      </c>
      <c r="G41" s="199">
        <f t="shared" si="2"/>
        <v>0</v>
      </c>
      <c r="H41" s="200"/>
      <c r="I41" s="199">
        <f t="shared" si="3"/>
        <v>0</v>
      </c>
      <c r="J41" s="201"/>
      <c r="K41" s="199">
        <f t="shared" si="4"/>
        <v>0</v>
      </c>
    </row>
    <row r="42" spans="2:11" ht="23" customHeight="1">
      <c r="B42" s="204"/>
      <c r="C42" s="204"/>
      <c r="D42" s="134"/>
    </row>
    <row r="43" spans="2:11" ht="23" customHeight="1">
      <c r="B43" s="204"/>
      <c r="C43" s="204"/>
      <c r="D43" s="134"/>
      <c r="E43" s="103"/>
      <c r="F43" s="119" t="s">
        <v>365</v>
      </c>
      <c r="G43" s="183">
        <f>SUM(G21:G42)</f>
        <v>0</v>
      </c>
      <c r="H43" s="103"/>
      <c r="I43" s="183">
        <f>SUM(I21:I42)</f>
        <v>0</v>
      </c>
      <c r="J43" s="103"/>
      <c r="K43" s="183">
        <f>SUM(K21:K42)</f>
        <v>0</v>
      </c>
    </row>
    <row r="46" spans="2:11" ht="23" customHeight="1">
      <c r="B46" s="2" t="s">
        <v>12</v>
      </c>
      <c r="C46" s="2"/>
    </row>
  </sheetData>
  <sheetProtection algorithmName="SHA-512" hashValue="Mgu/n9Z4+gsxo6BvQr1raUuhv6v4qSqO9InzvQE4YXWP0u3wddtYKfxlKv/dDwbtKVa2auT/GCVIwtHTISD+ew==" saltValue="nM/Ji0MVG1YOWtjMTb9GBA==" spinCount="100000" sheet="1" formatCells="0" formatColumns="0" formatRows="0" insertColumns="0" insertRows="0" deleteColumns="0" deleteRows="0" autoFilter="0"/>
  <autoFilter ref="B7:K14" xr:uid="{396BA0CB-2288-BA4B-9466-47A59415FF9A}"/>
  <mergeCells count="2">
    <mergeCell ref="B3:K3"/>
    <mergeCell ref="B2:K2"/>
  </mergeCells>
  <phoneticPr fontId="8" type="noConversion"/>
  <dataValidations count="1">
    <dataValidation type="list" allowBlank="1" showInputMessage="1" showErrorMessage="1" sqref="C9:C14" xr:uid="{82C27607-B8CD-7540-A3AC-8028AFD43979}">
      <formula1>$T$2:$T$7</formula1>
    </dataValidation>
  </dataValidations>
  <printOptions horizontalCentered="1"/>
  <pageMargins left="0.70000000000000007" right="0.70000000000000007" top="0.75000000000000011" bottom="0.75000000000000011" header="0.30000000000000004" footer="0.30000000000000004"/>
  <pageSetup scale="38" fitToHeight="3"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Instrucciones:" prompt="Selecciona una opción" xr:uid="{D7954890-3F33-0E43-9259-6AB01EF56540}">
          <x14:formula1>
            <xm:f>Equivalencia!$A$4:$A$23</xm:f>
          </x14:formula1>
          <xm:sqref>F9:F14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B8BD2-6960-D242-AC0A-33064AD36EAE}">
  <sheetPr>
    <pageSetUpPr fitToPage="1"/>
  </sheetPr>
  <dimension ref="A2:W57"/>
  <sheetViews>
    <sheetView view="pageBreakPreview" zoomScale="120" zoomScaleNormal="110" zoomScaleSheetLayoutView="120" workbookViewId="0">
      <selection activeCell="W51" sqref="W51"/>
    </sheetView>
  </sheetViews>
  <sheetFormatPr baseColWidth="10" defaultColWidth="10.83203125" defaultRowHeight="16"/>
  <cols>
    <col min="1" max="1" width="4.1640625" customWidth="1"/>
    <col min="2" max="2" width="4" customWidth="1"/>
    <col min="3" max="3" width="16.5" customWidth="1"/>
    <col min="4" max="4" width="22.33203125" customWidth="1"/>
    <col min="5" max="5" width="17.1640625" customWidth="1"/>
    <col min="6" max="6" width="22.33203125" customWidth="1"/>
    <col min="7" max="7" width="6" customWidth="1"/>
    <col min="8" max="8" width="22.33203125" customWidth="1"/>
    <col min="9" max="9" width="15.5" customWidth="1"/>
    <col min="10" max="10" width="22.33203125" customWidth="1"/>
    <col min="14" max="14" width="0" hidden="1" customWidth="1"/>
    <col min="15" max="15" width="4" customWidth="1"/>
    <col min="16" max="16" width="16.5" customWidth="1"/>
    <col min="17" max="17" width="22.33203125" customWidth="1"/>
    <col min="18" max="18" width="15.5" customWidth="1"/>
    <col min="19" max="19" width="22.33203125" customWidth="1"/>
    <col min="20" max="20" width="6" customWidth="1"/>
    <col min="21" max="21" width="22.33203125" customWidth="1"/>
    <col min="22" max="22" width="15.5" customWidth="1"/>
    <col min="23" max="23" width="22.33203125" customWidth="1"/>
  </cols>
  <sheetData>
    <row r="2" spans="1:23" ht="23">
      <c r="A2" s="1"/>
      <c r="B2" s="1"/>
      <c r="C2" s="762" t="s">
        <v>586</v>
      </c>
      <c r="D2" s="762"/>
      <c r="E2" s="762"/>
      <c r="F2" s="762"/>
      <c r="G2" s="762"/>
      <c r="H2" s="762"/>
      <c r="I2" s="762"/>
      <c r="J2" s="762"/>
      <c r="N2" s="1"/>
      <c r="O2" s="1"/>
      <c r="P2" s="762" t="s">
        <v>587</v>
      </c>
      <c r="Q2" s="762"/>
      <c r="R2" s="762"/>
      <c r="S2" s="762"/>
      <c r="T2" s="762"/>
      <c r="U2" s="762"/>
      <c r="V2" s="762"/>
      <c r="W2" s="762"/>
    </row>
    <row r="3" spans="1:23">
      <c r="A3" s="1"/>
      <c r="B3" s="1"/>
      <c r="C3" s="1"/>
      <c r="D3" s="1"/>
      <c r="E3" s="1"/>
      <c r="F3" s="1"/>
      <c r="G3" s="1"/>
      <c r="H3" s="1"/>
      <c r="I3" s="1"/>
      <c r="J3" s="1"/>
      <c r="N3" s="1"/>
      <c r="O3" s="1"/>
      <c r="P3" s="1"/>
      <c r="Q3" s="1"/>
      <c r="R3" s="1"/>
      <c r="S3" s="1"/>
      <c r="T3" s="1"/>
      <c r="U3" s="1"/>
      <c r="V3" s="1"/>
      <c r="W3" s="1"/>
    </row>
    <row r="4" spans="1:23" ht="52" customHeight="1">
      <c r="A4" s="1"/>
      <c r="B4" s="53"/>
      <c r="C4" s="761" t="s">
        <v>644</v>
      </c>
      <c r="D4" s="761"/>
      <c r="E4" s="761"/>
      <c r="F4" s="761"/>
      <c r="G4" s="328"/>
      <c r="H4" s="761" t="s">
        <v>629</v>
      </c>
      <c r="I4" s="761"/>
      <c r="J4" s="761"/>
      <c r="N4" s="1"/>
      <c r="O4" s="53"/>
      <c r="P4" s="761" t="s">
        <v>644</v>
      </c>
      <c r="Q4" s="761"/>
      <c r="R4" s="761"/>
      <c r="S4" s="761"/>
      <c r="T4" s="550"/>
      <c r="U4" s="761" t="s">
        <v>629</v>
      </c>
      <c r="V4" s="761"/>
      <c r="W4" s="761"/>
    </row>
    <row r="5" spans="1:23">
      <c r="A5" s="1"/>
      <c r="B5" s="1"/>
      <c r="C5" s="482" t="s">
        <v>642</v>
      </c>
      <c r="D5" s="1"/>
      <c r="E5" s="1"/>
      <c r="F5" s="1"/>
      <c r="G5" s="1"/>
      <c r="H5" s="1"/>
      <c r="I5" s="1"/>
      <c r="J5" s="1"/>
      <c r="N5" s="1"/>
      <c r="O5" s="1"/>
      <c r="P5" s="482" t="s">
        <v>642</v>
      </c>
      <c r="Q5" s="1"/>
      <c r="R5" s="1"/>
      <c r="S5" s="1"/>
      <c r="T5" s="1"/>
      <c r="U5" s="1"/>
      <c r="V5" s="1"/>
      <c r="W5" s="1"/>
    </row>
    <row r="6" spans="1:23">
      <c r="A6" s="1"/>
      <c r="B6" s="483"/>
      <c r="C6" s="484" t="s">
        <v>459</v>
      </c>
      <c r="D6" s="484" t="s">
        <v>673</v>
      </c>
      <c r="E6" s="485"/>
      <c r="F6" s="485"/>
      <c r="G6" s="549"/>
      <c r="H6" s="485"/>
      <c r="I6" s="485"/>
      <c r="J6" s="485"/>
      <c r="N6" s="1"/>
      <c r="O6" s="483"/>
      <c r="P6" s="484" t="s">
        <v>459</v>
      </c>
      <c r="Q6" s="484" t="s">
        <v>673</v>
      </c>
      <c r="R6" s="485"/>
      <c r="S6" s="485"/>
      <c r="T6" s="549"/>
      <c r="U6" s="485"/>
      <c r="V6" s="485"/>
      <c r="W6" s="485"/>
    </row>
    <row r="7" spans="1:23">
      <c r="A7" s="1"/>
      <c r="B7" s="1"/>
      <c r="C7" s="133"/>
      <c r="D7" s="133"/>
      <c r="E7" s="133"/>
      <c r="F7" s="133"/>
      <c r="G7" s="1"/>
      <c r="H7" s="133"/>
      <c r="I7" s="133"/>
      <c r="J7" s="133"/>
      <c r="N7" s="1"/>
      <c r="O7" s="1"/>
      <c r="P7" s="133"/>
      <c r="Q7" s="133"/>
      <c r="R7" s="133"/>
      <c r="S7" s="133"/>
      <c r="T7" s="1"/>
      <c r="U7" s="133"/>
      <c r="V7" s="133"/>
      <c r="W7" s="133"/>
    </row>
    <row r="8" spans="1:23" ht="30">
      <c r="A8" s="1"/>
      <c r="B8" s="1"/>
      <c r="C8" s="1"/>
      <c r="D8" s="120" t="s">
        <v>211</v>
      </c>
      <c r="E8" s="120" t="s">
        <v>212</v>
      </c>
      <c r="F8" s="120" t="s">
        <v>213</v>
      </c>
      <c r="G8" s="486"/>
      <c r="H8" s="120" t="s">
        <v>214</v>
      </c>
      <c r="I8" s="120" t="s">
        <v>215</v>
      </c>
      <c r="J8" s="120" t="s">
        <v>216</v>
      </c>
      <c r="N8" s="1"/>
      <c r="O8" s="1"/>
      <c r="P8" s="1"/>
      <c r="Q8" s="120" t="s">
        <v>211</v>
      </c>
      <c r="R8" s="120" t="s">
        <v>212</v>
      </c>
      <c r="S8" s="120" t="s">
        <v>213</v>
      </c>
      <c r="T8" s="551"/>
      <c r="U8" s="120" t="s">
        <v>214</v>
      </c>
      <c r="V8" s="120" t="s">
        <v>212</v>
      </c>
      <c r="W8" s="120" t="s">
        <v>216</v>
      </c>
    </row>
    <row r="9" spans="1:23">
      <c r="A9" s="1"/>
      <c r="B9" s="4"/>
      <c r="C9" s="4"/>
      <c r="D9" s="41"/>
      <c r="E9" s="487"/>
      <c r="F9" s="213"/>
      <c r="G9" s="213"/>
      <c r="H9" s="4"/>
      <c r="I9" s="488">
        <f>+TC!AD37</f>
        <v>20.583500000000001</v>
      </c>
      <c r="J9" s="4"/>
      <c r="N9" s="1"/>
      <c r="O9" s="4"/>
      <c r="P9" s="4"/>
      <c r="Q9" s="41"/>
      <c r="R9" s="487"/>
      <c r="S9" s="213"/>
      <c r="T9" s="213"/>
      <c r="U9" s="4"/>
      <c r="V9" s="488">
        <f>+TC!AD7</f>
        <v>21.7333</v>
      </c>
      <c r="W9" s="4"/>
    </row>
    <row r="10" spans="1:23">
      <c r="A10" s="1">
        <v>1</v>
      </c>
      <c r="B10" s="4"/>
      <c r="C10" s="53" t="s">
        <v>65</v>
      </c>
      <c r="D10" s="213">
        <f>+'Saldos Cash'!L17+'Saldos Cash'!L36+'Saldos Cash'!L55+'Saldos Cash'!L112+'Saldos Cash'!L131</f>
        <v>1185455.6499999999</v>
      </c>
      <c r="E10" s="489" cm="1">
        <f t="array" ref="E10:E21">TRANSPOSE(TC!C7:N7)</f>
        <v>20.515699999999999</v>
      </c>
      <c r="F10" s="42">
        <f>(D10*E10)+'Saldos Cash'!$L$74+'Saldos Cash'!$L$93</f>
        <v>24320452.478704996</v>
      </c>
      <c r="G10" s="490"/>
      <c r="H10" s="42">
        <f t="shared" ref="H10:H21" si="0">D10</f>
        <v>1185455.6499999999</v>
      </c>
      <c r="I10" s="489">
        <f>+TC!C37</f>
        <v>20.738299999999999</v>
      </c>
      <c r="J10" s="42">
        <f t="shared" ref="J10:J21" si="1">(I10*H10)-(I9*H10)</f>
        <v>183508.53461999819</v>
      </c>
      <c r="N10" s="1">
        <v>1</v>
      </c>
      <c r="O10" s="4"/>
      <c r="P10" s="53" t="s">
        <v>65</v>
      </c>
      <c r="Q10" s="213">
        <f>D10</f>
        <v>1185455.6499999999</v>
      </c>
      <c r="R10" s="489">
        <f>E10</f>
        <v>20.515699999999999</v>
      </c>
      <c r="S10" s="42">
        <f>(Q10*R10)+'Saldos Cash'!$L$74+'Saldos Cash'!$L$93</f>
        <v>24320452.478704996</v>
      </c>
      <c r="T10" s="490"/>
      <c r="U10" s="42">
        <f t="shared" ref="U10:U21" si="2">Q10</f>
        <v>1185455.6499999999</v>
      </c>
      <c r="V10" s="489" cm="1">
        <f t="array" ref="V10:V21">+TRANSPOSE(TC!C7:N7)</f>
        <v>20.515699999999999</v>
      </c>
      <c r="W10" s="42">
        <f t="shared" ref="W10:W21" si="3">(V10*U10)-(V9*U10)</f>
        <v>-1443410.7994400002</v>
      </c>
    </row>
    <row r="11" spans="1:23">
      <c r="A11" s="1">
        <v>2</v>
      </c>
      <c r="B11" s="4"/>
      <c r="C11" s="53" t="s">
        <v>67</v>
      </c>
      <c r="D11" s="213">
        <f>+'Saldos Cash'!L18+'Saldos Cash'!L37+'Saldos Cash'!L56+'Saldos Cash'!L113+'Saldos Cash'!L132</f>
        <v>1184204.6000000001</v>
      </c>
      <c r="E11" s="489">
        <v>20.8597</v>
      </c>
      <c r="F11" s="42">
        <f>(D11*E11)+'Saldos Cash'!$L$75+'Saldos Cash'!$L$94</f>
        <v>24702152.694620002</v>
      </c>
      <c r="G11" s="490"/>
      <c r="H11" s="42">
        <f t="shared" si="0"/>
        <v>1184204.6000000001</v>
      </c>
      <c r="I11" s="489">
        <f>TC!D34</f>
        <v>20.6525</v>
      </c>
      <c r="J11" s="42">
        <f t="shared" si="1"/>
        <v>-101604.75467999652</v>
      </c>
      <c r="N11" s="1">
        <v>2</v>
      </c>
      <c r="O11" s="4"/>
      <c r="P11" s="53" t="s">
        <v>67</v>
      </c>
      <c r="Q11" s="213">
        <f t="shared" ref="Q11:Q21" si="4">D11</f>
        <v>1184204.6000000001</v>
      </c>
      <c r="R11" s="489">
        <f t="shared" ref="R11:R18" si="5">E11</f>
        <v>20.8597</v>
      </c>
      <c r="S11" s="42">
        <f>(Q11*R11)+'Saldos Cash'!$L$75+'Saldos Cash'!$L$94</f>
        <v>24702152.694620002</v>
      </c>
      <c r="T11" s="490"/>
      <c r="U11" s="42">
        <f t="shared" si="2"/>
        <v>1184204.6000000001</v>
      </c>
      <c r="V11" s="489">
        <v>20.8597</v>
      </c>
      <c r="W11" s="42">
        <f t="shared" si="3"/>
        <v>407366.38240000233</v>
      </c>
    </row>
    <row r="12" spans="1:23">
      <c r="A12" s="1">
        <v>3</v>
      </c>
      <c r="B12" s="4"/>
      <c r="C12" s="53" t="s">
        <v>70</v>
      </c>
      <c r="D12" s="213">
        <f>+'Saldos Cash'!L19+'Saldos Cash'!L38+'Saldos Cash'!L57+'Saldos Cash'!L114+'Saldos Cash'!L133</f>
        <v>1195433.3699999999</v>
      </c>
      <c r="E12" s="489">
        <v>20.4465</v>
      </c>
      <c r="F12" s="42">
        <f>(D12*E12)+'Saldos Cash'!$L$76+'Saldos Cash'!$L$95</f>
        <v>24442428.399704996</v>
      </c>
      <c r="G12" s="490"/>
      <c r="H12" s="42">
        <f t="shared" si="0"/>
        <v>1195433.3699999999</v>
      </c>
      <c r="I12" s="489">
        <f>TC!E37</f>
        <v>19.994199999999999</v>
      </c>
      <c r="J12" s="42">
        <f t="shared" si="1"/>
        <v>-786953.78747100011</v>
      </c>
      <c r="N12" s="1">
        <v>3</v>
      </c>
      <c r="O12" s="4"/>
      <c r="P12" s="53" t="s">
        <v>70</v>
      </c>
      <c r="Q12" s="213">
        <f t="shared" si="4"/>
        <v>1195433.3699999999</v>
      </c>
      <c r="R12" s="489">
        <f t="shared" si="5"/>
        <v>20.4465</v>
      </c>
      <c r="S12" s="42">
        <f>(Q12*R12)+'Saldos Cash'!$L$76+'Saldos Cash'!$L$95</f>
        <v>24442428.399704996</v>
      </c>
      <c r="T12" s="490"/>
      <c r="U12" s="42">
        <f t="shared" si="2"/>
        <v>1195433.3699999999</v>
      </c>
      <c r="V12" s="489">
        <v>20.4465</v>
      </c>
      <c r="W12" s="42">
        <f t="shared" si="3"/>
        <v>-493953.06848400086</v>
      </c>
    </row>
    <row r="13" spans="1:23">
      <c r="A13" s="1">
        <v>4</v>
      </c>
      <c r="B13" s="4"/>
      <c r="C13" s="53" t="s">
        <v>71</v>
      </c>
      <c r="D13" s="213">
        <f>+'Saldos Cash'!L20+'Saldos Cash'!L39+'Saldos Cash'!L58+'Saldos Cash'!L115+'Saldos Cash'!L134</f>
        <v>1748145.73</v>
      </c>
      <c r="E13" s="489">
        <v>19.863199999999999</v>
      </c>
      <c r="F13" s="42">
        <f>(D13*E13)+'Saldos Cash'!$L$77+'Saldos Cash'!$L$96</f>
        <v>34723768.264136001</v>
      </c>
      <c r="G13" s="490"/>
      <c r="H13" s="42">
        <f t="shared" si="0"/>
        <v>1748145.73</v>
      </c>
      <c r="I13" s="489">
        <f>TC!F36</f>
        <v>20.567</v>
      </c>
      <c r="J13" s="42">
        <f t="shared" si="1"/>
        <v>1001337.8741440028</v>
      </c>
      <c r="N13" s="1">
        <v>4</v>
      </c>
      <c r="O13" s="4"/>
      <c r="P13" s="53" t="s">
        <v>71</v>
      </c>
      <c r="Q13" s="213">
        <f t="shared" si="4"/>
        <v>1748145.73</v>
      </c>
      <c r="R13" s="489">
        <f t="shared" si="5"/>
        <v>19.863199999999999</v>
      </c>
      <c r="S13" s="42">
        <f>(Q13*R13)+'Saldos Cash'!$L$77+'Saldos Cash'!$L$96</f>
        <v>34723768.264136001</v>
      </c>
      <c r="T13" s="490"/>
      <c r="U13" s="42">
        <f t="shared" si="2"/>
        <v>1748145.73</v>
      </c>
      <c r="V13" s="489">
        <v>19.863199999999999</v>
      </c>
      <c r="W13" s="42">
        <f t="shared" si="3"/>
        <v>-1019693.4043089971</v>
      </c>
    </row>
    <row r="14" spans="1:23">
      <c r="A14" s="1">
        <v>5</v>
      </c>
      <c r="B14" s="4"/>
      <c r="C14" s="53" t="s">
        <v>72</v>
      </c>
      <c r="D14" s="213">
        <f>+'Saldos Cash'!L21+'Saldos Cash'!L40+'Saldos Cash'!L59+'Saldos Cash'!L116+'Saldos Cash'!L135</f>
        <v>1213348.2400000002</v>
      </c>
      <c r="E14" s="489">
        <v>20.567</v>
      </c>
      <c r="F14" s="42">
        <f>(D14*E14)+'Saldos Cash'!$L$78+'Saldos Cash'!$L$97</f>
        <v>24954933.252080005</v>
      </c>
      <c r="G14" s="490"/>
      <c r="H14" s="42">
        <f t="shared" si="0"/>
        <v>1213348.2400000002</v>
      </c>
      <c r="I14" s="489">
        <f>+TC!G37</f>
        <v>19.596499999999999</v>
      </c>
      <c r="J14" s="42">
        <f t="shared" si="1"/>
        <v>-1177554.4669200033</v>
      </c>
      <c r="N14" s="1">
        <v>5</v>
      </c>
      <c r="O14" s="4"/>
      <c r="P14" s="53" t="s">
        <v>72</v>
      </c>
      <c r="Q14" s="213">
        <f t="shared" si="4"/>
        <v>1213348.2400000002</v>
      </c>
      <c r="R14" s="489">
        <f t="shared" si="5"/>
        <v>20.567</v>
      </c>
      <c r="S14" s="42">
        <f>(Q14*R14)+'Saldos Cash'!$L$78+'Saldos Cash'!$L$97</f>
        <v>24954933.252080005</v>
      </c>
      <c r="T14" s="490"/>
      <c r="U14" s="42">
        <f t="shared" si="2"/>
        <v>1213348.2400000002</v>
      </c>
      <c r="V14" s="489">
        <v>20.567</v>
      </c>
      <c r="W14" s="42">
        <f t="shared" si="3"/>
        <v>853954.4913120009</v>
      </c>
    </row>
    <row r="15" spans="1:23">
      <c r="A15" s="1">
        <v>6</v>
      </c>
      <c r="B15" s="4"/>
      <c r="C15" s="53" t="s">
        <v>73</v>
      </c>
      <c r="D15" s="213">
        <f>+'Saldos Cash'!L22+'Saldos Cash'!L41+'Saldos Cash'!L60+'Saldos Cash'!L117+'Saldos Cash'!L136</f>
        <v>1170075.3600000001</v>
      </c>
      <c r="E15" s="489">
        <v>19.4953</v>
      </c>
      <c r="F15" s="42">
        <f>(D15*E15)+'Saldos Cash'!$L$79+'Saldos Cash'!$L$98</f>
        <v>22810970.165808003</v>
      </c>
      <c r="G15" s="490"/>
      <c r="H15" s="42">
        <f t="shared" si="0"/>
        <v>1170075.3600000001</v>
      </c>
      <c r="I15" s="489">
        <f>+TC!H36</f>
        <v>19.9847</v>
      </c>
      <c r="J15" s="42">
        <f t="shared" si="1"/>
        <v>454223.25475200266</v>
      </c>
      <c r="N15" s="1">
        <v>6</v>
      </c>
      <c r="O15" s="4"/>
      <c r="P15" s="53" t="s">
        <v>73</v>
      </c>
      <c r="Q15" s="213">
        <f t="shared" si="4"/>
        <v>1170075.3600000001</v>
      </c>
      <c r="R15" s="489">
        <f t="shared" si="5"/>
        <v>19.4953</v>
      </c>
      <c r="S15" s="42">
        <f>(Q15*R15)+'Saldos Cash'!$L$79+'Saldos Cash'!$L$98</f>
        <v>22810970.165808003</v>
      </c>
      <c r="T15" s="490"/>
      <c r="U15" s="42">
        <f t="shared" si="2"/>
        <v>1170075.3600000001</v>
      </c>
      <c r="V15" s="489">
        <v>19.4953</v>
      </c>
      <c r="W15" s="42">
        <f t="shared" si="3"/>
        <v>-1253969.7633119971</v>
      </c>
    </row>
    <row r="16" spans="1:23">
      <c r="A16" s="1">
        <v>7</v>
      </c>
      <c r="B16" s="4"/>
      <c r="C16" s="53" t="s">
        <v>74</v>
      </c>
      <c r="D16" s="213">
        <f>+'Saldos Cash'!L23+'Saldos Cash'!L42+'Saldos Cash'!L61+'Saldos Cash'!L118+'Saldos Cash'!L137</f>
        <v>1164749.6600000001</v>
      </c>
      <c r="E16" s="489">
        <v>20.144300000000001</v>
      </c>
      <c r="F16" s="42">
        <f>(D16*E16)+'Saldos Cash'!$L$80+'Saldos Cash'!$L$99</f>
        <v>23463066.575938005</v>
      </c>
      <c r="G16" s="490"/>
      <c r="H16" s="42">
        <f t="shared" si="0"/>
        <v>1164749.6600000001</v>
      </c>
      <c r="I16" s="489">
        <f>TC!I37</f>
        <v>20.377800000000001</v>
      </c>
      <c r="J16" s="42">
        <f t="shared" si="1"/>
        <v>457863.09134600312</v>
      </c>
      <c r="N16" s="1">
        <v>7</v>
      </c>
      <c r="O16" s="4"/>
      <c r="P16" s="53" t="s">
        <v>74</v>
      </c>
      <c r="Q16" s="213">
        <f t="shared" si="4"/>
        <v>1164749.6600000001</v>
      </c>
      <c r="R16" s="489">
        <f t="shared" si="5"/>
        <v>20.144300000000001</v>
      </c>
      <c r="S16" s="42">
        <f>(Q16*R16)+'Saldos Cash'!$L$80+'Saldos Cash'!$L$99</f>
        <v>23463066.575938005</v>
      </c>
      <c r="T16" s="490"/>
      <c r="U16" s="42">
        <f t="shared" si="2"/>
        <v>1164749.6600000001</v>
      </c>
      <c r="V16" s="489">
        <v>20.144300000000001</v>
      </c>
      <c r="W16" s="42">
        <f t="shared" si="3"/>
        <v>755922.52934000269</v>
      </c>
    </row>
    <row r="17" spans="1:23">
      <c r="A17" s="1">
        <v>8</v>
      </c>
      <c r="B17" s="4"/>
      <c r="C17" s="53" t="s">
        <v>75</v>
      </c>
      <c r="D17" s="213">
        <f>+'Saldos Cash'!L24+'Saldos Cash'!L43+'Saldos Cash'!L62+'Saldos Cash'!L119+'Saldos Cash'!L138</f>
        <v>1258850.28</v>
      </c>
      <c r="E17" s="489">
        <v>20.377800000000001</v>
      </c>
      <c r="F17" s="42">
        <f>(D17*E17)+'Saldos Cash'!$L$81+'Saldos Cash'!$L$100</f>
        <v>25652599.235784002</v>
      </c>
      <c r="G17" s="490"/>
      <c r="H17" s="42">
        <f t="shared" si="0"/>
        <v>1258850.28</v>
      </c>
      <c r="I17" s="489">
        <f>+TC!J37</f>
        <v>19.994499999999999</v>
      </c>
      <c r="J17" s="42">
        <f t="shared" si="1"/>
        <v>-482517.31232400239</v>
      </c>
      <c r="N17" s="1">
        <v>8</v>
      </c>
      <c r="O17" s="4"/>
      <c r="P17" s="53" t="s">
        <v>75</v>
      </c>
      <c r="Q17" s="213">
        <f t="shared" si="4"/>
        <v>1258850.28</v>
      </c>
      <c r="R17" s="489">
        <f t="shared" si="5"/>
        <v>20.377800000000001</v>
      </c>
      <c r="S17" s="42">
        <f>(Q17*R17)+'Saldos Cash'!$L$81+'Saldos Cash'!$L$100</f>
        <v>25652599.235784002</v>
      </c>
      <c r="T17" s="490"/>
      <c r="U17" s="42">
        <f t="shared" si="2"/>
        <v>1258850.28</v>
      </c>
      <c r="V17" s="489">
        <v>20.377800000000001</v>
      </c>
      <c r="W17" s="42">
        <f t="shared" si="3"/>
        <v>293941.54038000107</v>
      </c>
    </row>
    <row r="18" spans="1:23">
      <c r="A18" s="1">
        <v>9</v>
      </c>
      <c r="B18" s="4"/>
      <c r="C18" s="53" t="s">
        <v>76</v>
      </c>
      <c r="D18" s="213">
        <f>+'Saldos Cash'!L25+'Saldos Cash'!L44+'Saldos Cash'!L63+'Saldos Cash'!L120+'Saldos Cash'!L139</f>
        <v>1246590.8799999999</v>
      </c>
      <c r="E18" s="489">
        <v>20.1465</v>
      </c>
      <c r="F18" s="42">
        <f>(D18*E18)+'Saldos Cash'!$L$82+'Saldos Cash'!$L$101</f>
        <v>25114443.163919996</v>
      </c>
      <c r="G18" s="490"/>
      <c r="H18" s="42">
        <f t="shared" si="0"/>
        <v>1246590.8799999999</v>
      </c>
      <c r="I18" s="489">
        <f>+TC!K36</f>
        <v>20.305800000000001</v>
      </c>
      <c r="J18" s="42">
        <f t="shared" si="1"/>
        <v>388063.74094400555</v>
      </c>
      <c r="N18" s="1">
        <v>9</v>
      </c>
      <c r="O18" s="4"/>
      <c r="P18" s="53" t="s">
        <v>76</v>
      </c>
      <c r="Q18" s="213">
        <f t="shared" si="4"/>
        <v>1246590.8799999999</v>
      </c>
      <c r="R18" s="489">
        <f t="shared" si="5"/>
        <v>20.1465</v>
      </c>
      <c r="S18" s="42">
        <f>(Q18*R18)+'Saldos Cash'!$L$82+'Saldos Cash'!$L$101</f>
        <v>25114443.163919996</v>
      </c>
      <c r="T18" s="490"/>
      <c r="U18" s="42">
        <f t="shared" si="2"/>
        <v>1246590.8799999999</v>
      </c>
      <c r="V18" s="489">
        <v>20.1465</v>
      </c>
      <c r="W18" s="42">
        <f t="shared" si="3"/>
        <v>-288336.47054400295</v>
      </c>
    </row>
    <row r="19" spans="1:23">
      <c r="A19" s="1">
        <v>10</v>
      </c>
      <c r="B19" s="4"/>
      <c r="C19" s="53" t="s">
        <v>77</v>
      </c>
      <c r="D19" s="213">
        <f>+'Saldos Cash'!L26+'Saldos Cash'!L45+'Saldos Cash'!L64+'Saldos Cash'!L121+'Saldos Cash'!L140</f>
        <v>1091104.1500100002</v>
      </c>
      <c r="E19" s="489">
        <v>20.192699999999999</v>
      </c>
      <c r="F19" s="42">
        <f>(D19*E19)+'Saldos Cash'!$L$83+'Saldos Cash'!$L$102</f>
        <v>22032338.769906931</v>
      </c>
      <c r="G19" s="490"/>
      <c r="H19" s="42">
        <f t="shared" si="0"/>
        <v>1091104.1500100002</v>
      </c>
      <c r="I19" s="489">
        <f>+TC!L37</f>
        <v>19.836500000000001</v>
      </c>
      <c r="J19" s="42">
        <f t="shared" si="1"/>
        <v>-512055.17759969458</v>
      </c>
      <c r="N19" s="1">
        <v>10</v>
      </c>
      <c r="O19" s="4"/>
      <c r="P19" s="53" t="s">
        <v>77</v>
      </c>
      <c r="Q19" s="213">
        <f t="shared" si="4"/>
        <v>1091104.1500100002</v>
      </c>
      <c r="R19" s="489">
        <f t="shared" ref="R19:R20" si="6">E19</f>
        <v>20.192699999999999</v>
      </c>
      <c r="S19" s="42">
        <f>(Q19*R19)+'Saldos Cash'!$L$83+'Saldos Cash'!$L$102</f>
        <v>22032338.769906931</v>
      </c>
      <c r="T19" s="490"/>
      <c r="U19" s="42">
        <f t="shared" si="2"/>
        <v>1091104.1500100002</v>
      </c>
      <c r="V19" s="489">
        <v>20.192699999999999</v>
      </c>
      <c r="W19" s="42">
        <f t="shared" si="3"/>
        <v>50409.011730462313</v>
      </c>
    </row>
    <row r="20" spans="1:23">
      <c r="A20" s="1">
        <v>11</v>
      </c>
      <c r="B20" s="4"/>
      <c r="C20" s="53" t="s">
        <v>78</v>
      </c>
      <c r="D20" s="213">
        <f>+'Saldos Cash'!L27+'Saldos Cash'!L46+'Saldos Cash'!L65+'Saldos Cash'!L122+'Saldos Cash'!L141</f>
        <v>1281797.53</v>
      </c>
      <c r="E20" s="489">
        <v>19.830300000000001</v>
      </c>
      <c r="F20" s="42">
        <f>(D20*E20)+'Saldos Cash'!$L$84+'Saldos Cash'!$L$103</f>
        <v>25418429.559159003</v>
      </c>
      <c r="G20" s="490"/>
      <c r="H20" s="42">
        <f t="shared" si="0"/>
        <v>1281797.53</v>
      </c>
      <c r="I20" s="489">
        <f>+TC!M36</f>
        <v>19.324999999999999</v>
      </c>
      <c r="J20" s="42">
        <f t="shared" si="1"/>
        <v>-655639.43659500033</v>
      </c>
      <c r="N20" s="1">
        <v>11</v>
      </c>
      <c r="O20" s="4"/>
      <c r="P20" s="53" t="s">
        <v>78</v>
      </c>
      <c r="Q20" s="213">
        <f t="shared" si="4"/>
        <v>1281797.53</v>
      </c>
      <c r="R20" s="489">
        <f t="shared" si="6"/>
        <v>19.830300000000001</v>
      </c>
      <c r="S20" s="42">
        <f>(Q20*R20)+'Saldos Cash'!$L$84+'Saldos Cash'!$L$103</f>
        <v>25418429.559159003</v>
      </c>
      <c r="T20" s="490"/>
      <c r="U20" s="42">
        <f t="shared" si="2"/>
        <v>1281797.53</v>
      </c>
      <c r="V20" s="489">
        <v>19.830300000000001</v>
      </c>
      <c r="W20" s="42">
        <f t="shared" si="3"/>
        <v>-464523.42487199605</v>
      </c>
    </row>
    <row r="21" spans="1:23">
      <c r="A21" s="1">
        <v>12</v>
      </c>
      <c r="B21" s="4"/>
      <c r="C21" s="53" t="s">
        <v>79</v>
      </c>
      <c r="D21" s="213">
        <f>+'Saldos Cash'!L28+'Saldos Cash'!L47+'Saldos Cash'!L66+'Saldos Cash'!L123+'Saldos Cash'!L142</f>
        <v>1262084.74</v>
      </c>
      <c r="E21" s="489">
        <v>19.216000000000001</v>
      </c>
      <c r="F21" s="42">
        <f>(D21*E21)+'Saldos Cash'!$L$85+'Saldos Cash'!$L$104</f>
        <v>24252220.363840003</v>
      </c>
      <c r="G21" s="490"/>
      <c r="H21" s="42">
        <f t="shared" si="0"/>
        <v>1262084.74</v>
      </c>
      <c r="I21" s="489">
        <f>+TC!N37</f>
        <v>19.361499999999999</v>
      </c>
      <c r="J21" s="42">
        <f t="shared" si="1"/>
        <v>46066.093010000885</v>
      </c>
      <c r="N21" s="1">
        <v>12</v>
      </c>
      <c r="O21" s="4"/>
      <c r="P21" s="53" t="s">
        <v>79</v>
      </c>
      <c r="Q21" s="213">
        <f t="shared" si="4"/>
        <v>1262084.74</v>
      </c>
      <c r="R21" s="489">
        <f t="shared" ref="R21" si="7">E21</f>
        <v>19.216000000000001</v>
      </c>
      <c r="S21" s="42">
        <f>(Q21*R21)+'Saldos Cash'!$L$85+'Saldos Cash'!$L$104</f>
        <v>24252220.363840003</v>
      </c>
      <c r="T21" s="490"/>
      <c r="U21" s="42">
        <f t="shared" si="2"/>
        <v>1262084.74</v>
      </c>
      <c r="V21" s="489">
        <v>19.216000000000001</v>
      </c>
      <c r="W21" s="42">
        <f t="shared" si="3"/>
        <v>-775298.65578199923</v>
      </c>
    </row>
    <row r="22" spans="1:23">
      <c r="A22" s="1"/>
      <c r="B22" s="4"/>
      <c r="C22" s="4"/>
      <c r="D22" s="213"/>
      <c r="E22" s="491"/>
      <c r="F22" s="213"/>
      <c r="G22" s="213"/>
      <c r="H22" s="4"/>
      <c r="I22" s="4"/>
      <c r="J22" s="213"/>
      <c r="N22" s="1"/>
      <c r="O22" s="4"/>
      <c r="P22" s="4"/>
      <c r="Q22" s="213"/>
      <c r="R22" s="491"/>
      <c r="S22" s="213"/>
      <c r="T22" s="213"/>
      <c r="U22" s="4"/>
      <c r="V22" s="4"/>
      <c r="W22" s="213"/>
    </row>
    <row r="23" spans="1:23">
      <c r="A23" s="1"/>
      <c r="B23" s="4"/>
      <c r="C23" s="90"/>
      <c r="D23" s="90"/>
      <c r="E23" s="492" t="s">
        <v>80</v>
      </c>
      <c r="F23" s="493">
        <f>SUM(F10:F22)</f>
        <v>301887802.92360193</v>
      </c>
      <c r="G23" s="494"/>
      <c r="H23" s="495"/>
      <c r="I23" s="119" t="s">
        <v>81</v>
      </c>
      <c r="J23" s="496">
        <f>SUM(J10:J22)</f>
        <v>-1185262.346773684</v>
      </c>
      <c r="N23" s="1"/>
      <c r="O23" s="4"/>
      <c r="P23" s="90"/>
      <c r="Q23" s="90"/>
      <c r="R23" s="492" t="s">
        <v>80</v>
      </c>
      <c r="S23" s="493">
        <f>SUM(S10:S22)</f>
        <v>301887802.92360193</v>
      </c>
      <c r="T23" s="494"/>
      <c r="U23" s="495"/>
      <c r="V23" s="119" t="s">
        <v>81</v>
      </c>
      <c r="W23" s="496">
        <f>SUM(W10:W22)</f>
        <v>-3377591.6315805241</v>
      </c>
    </row>
    <row r="24" spans="1:23">
      <c r="A24" s="1"/>
      <c r="B24" s="4"/>
      <c r="C24" s="4"/>
      <c r="D24" s="4"/>
      <c r="E24" s="497" t="s">
        <v>82</v>
      </c>
      <c r="F24" s="213">
        <f>IF(I47+I48=0,0,I48-I47+1)</f>
        <v>12</v>
      </c>
      <c r="G24" s="213"/>
      <c r="H24" s="4"/>
      <c r="I24" s="4"/>
      <c r="J24" s="4"/>
      <c r="N24" s="1"/>
      <c r="O24" s="4"/>
      <c r="P24" s="4"/>
      <c r="Q24" s="4"/>
      <c r="R24" s="497" t="s">
        <v>82</v>
      </c>
      <c r="S24" s="213">
        <f>IF(V47+V48=0,0,V48-V47+1)</f>
        <v>12</v>
      </c>
      <c r="T24" s="213"/>
      <c r="U24" s="4"/>
      <c r="V24" s="4"/>
      <c r="W24" s="4"/>
    </row>
    <row r="25" spans="1:23">
      <c r="A25" s="1"/>
      <c r="B25" s="4"/>
      <c r="C25" s="90"/>
      <c r="D25" s="90"/>
      <c r="E25" s="492" t="s">
        <v>83</v>
      </c>
      <c r="F25" s="493">
        <f>IF(F24=0,0,F23/F24)</f>
        <v>25157316.910300162</v>
      </c>
      <c r="G25" s="213"/>
      <c r="H25" s="4"/>
      <c r="I25" s="4"/>
      <c r="J25" s="4"/>
      <c r="N25" s="1"/>
      <c r="O25" s="4"/>
      <c r="P25" s="90"/>
      <c r="Q25" s="90"/>
      <c r="R25" s="492" t="s">
        <v>83</v>
      </c>
      <c r="S25" s="493">
        <f>IF(S24=0,0,S23/S24)</f>
        <v>25157316.910300162</v>
      </c>
      <c r="T25" s="213"/>
      <c r="U25" s="4"/>
      <c r="V25" s="4"/>
      <c r="W25" s="4"/>
    </row>
    <row r="26" spans="1:23">
      <c r="A26" s="1"/>
      <c r="B26" s="4"/>
      <c r="C26" s="4"/>
      <c r="D26" s="4"/>
      <c r="E26" s="497" t="s">
        <v>84</v>
      </c>
      <c r="F26" s="491">
        <f>IF(TRUNC(J50/J51,4)-1&lt;0,0,TRUNC(J50/J51,4)-1)</f>
        <v>7.8100000000000058E-2</v>
      </c>
      <c r="G26" s="213"/>
      <c r="H26" s="4"/>
      <c r="I26" s="4"/>
      <c r="J26" s="4"/>
      <c r="N26" s="1"/>
      <c r="O26" s="4"/>
      <c r="P26" s="4"/>
      <c r="Q26" s="4"/>
      <c r="R26" s="497" t="s">
        <v>84</v>
      </c>
      <c r="S26" s="491">
        <f>IF(TRUNC(W50/W51,4)-1&lt;0,0,TRUNC(W50/W51,4)-1)</f>
        <v>7.8100000000000058E-2</v>
      </c>
      <c r="T26" s="213"/>
      <c r="U26" s="4"/>
      <c r="V26" s="4"/>
      <c r="W26" s="4"/>
    </row>
    <row r="27" spans="1:23">
      <c r="A27" s="1"/>
      <c r="B27" s="4"/>
      <c r="C27" s="498"/>
      <c r="D27" s="498"/>
      <c r="E27" s="119" t="s">
        <v>349</v>
      </c>
      <c r="F27" s="496">
        <f>-F25*F26</f>
        <v>-1964786.4506944441</v>
      </c>
      <c r="G27" s="490"/>
      <c r="H27" s="4"/>
      <c r="I27" s="4"/>
      <c r="J27" s="4"/>
      <c r="N27" s="1"/>
      <c r="O27" s="4"/>
      <c r="P27" s="498"/>
      <c r="Q27" s="498"/>
      <c r="R27" s="119" t="s">
        <v>349</v>
      </c>
      <c r="S27" s="496">
        <f>-S25*S26</f>
        <v>-1964786.4506944441</v>
      </c>
      <c r="T27" s="490"/>
      <c r="U27" s="4"/>
      <c r="V27" s="4"/>
      <c r="W27" s="4"/>
    </row>
    <row r="28" spans="1:23">
      <c r="A28" s="1"/>
      <c r="B28" s="1"/>
      <c r="C28" s="1"/>
      <c r="D28" s="1"/>
      <c r="E28" s="1"/>
      <c r="F28" s="1"/>
      <c r="G28" s="1"/>
      <c r="H28" s="1"/>
      <c r="I28" s="1"/>
      <c r="J28" s="1"/>
      <c r="N28" s="1"/>
      <c r="O28" s="1"/>
      <c r="P28" s="1"/>
      <c r="Q28" s="1"/>
      <c r="R28" s="1"/>
      <c r="S28" s="1"/>
      <c r="T28" s="1"/>
      <c r="U28" s="1"/>
      <c r="V28" s="1"/>
      <c r="W28" s="1"/>
    </row>
    <row r="29" spans="1:23">
      <c r="A29" s="1"/>
      <c r="B29" s="1"/>
      <c r="C29" s="1"/>
      <c r="D29" s="1"/>
      <c r="E29" s="1"/>
      <c r="F29" s="1"/>
      <c r="G29" s="1"/>
      <c r="H29" s="1"/>
      <c r="I29" s="1"/>
      <c r="J29" s="1"/>
      <c r="N29" s="1"/>
      <c r="O29" s="1"/>
      <c r="P29" s="1"/>
      <c r="Q29" s="1"/>
      <c r="R29" s="1"/>
      <c r="S29" s="1"/>
      <c r="T29" s="1"/>
      <c r="U29" s="1"/>
      <c r="V29" s="1"/>
      <c r="W29" s="1"/>
    </row>
    <row r="30" spans="1:23">
      <c r="A30" s="1"/>
      <c r="B30" s="1"/>
      <c r="C30" s="1"/>
      <c r="D30" s="1"/>
      <c r="E30" s="1"/>
      <c r="F30" s="1"/>
      <c r="G30" s="1"/>
      <c r="H30" s="1"/>
      <c r="I30" s="1"/>
      <c r="J30" s="1"/>
      <c r="N30" s="1"/>
      <c r="O30" s="1"/>
      <c r="P30" s="1"/>
      <c r="Q30" s="1"/>
      <c r="R30" s="1"/>
      <c r="S30" s="1"/>
      <c r="T30" s="1"/>
      <c r="U30" s="1"/>
      <c r="V30" s="1"/>
      <c r="W30" s="1"/>
    </row>
    <row r="31" spans="1:23">
      <c r="A31" s="1"/>
      <c r="B31" s="1"/>
      <c r="C31" s="1"/>
      <c r="D31" s="1"/>
      <c r="E31" s="1"/>
      <c r="F31" s="1"/>
      <c r="G31" s="1"/>
      <c r="H31" s="1"/>
      <c r="I31" s="1"/>
      <c r="J31" s="1"/>
      <c r="N31" s="1"/>
      <c r="O31" s="1"/>
      <c r="P31" s="1"/>
      <c r="Q31" s="1"/>
      <c r="R31" s="1"/>
      <c r="S31" s="1"/>
      <c r="T31" s="1"/>
      <c r="U31" s="1"/>
      <c r="V31" s="1"/>
      <c r="W31" s="1"/>
    </row>
    <row r="32" spans="1:23">
      <c r="A32" s="1"/>
      <c r="B32" s="1"/>
      <c r="C32" s="1"/>
      <c r="D32" s="1"/>
      <c r="E32" s="1"/>
      <c r="F32" s="1"/>
      <c r="G32" s="1"/>
      <c r="H32" s="1"/>
      <c r="I32" s="1"/>
      <c r="J32" s="1"/>
      <c r="N32" s="1"/>
      <c r="O32" s="1"/>
      <c r="P32" s="1"/>
      <c r="Q32" s="1"/>
      <c r="R32" s="1"/>
      <c r="S32" s="1"/>
      <c r="T32" s="1"/>
      <c r="U32" s="1"/>
      <c r="V32" s="1"/>
      <c r="W32" s="1"/>
    </row>
    <row r="33" spans="1:23">
      <c r="A33" s="1"/>
      <c r="B33" s="1"/>
      <c r="C33" s="1"/>
      <c r="D33" s="1"/>
      <c r="E33" s="1"/>
      <c r="F33" s="1"/>
      <c r="G33" s="1"/>
      <c r="H33" s="1"/>
      <c r="I33" s="1"/>
      <c r="J33" s="1"/>
      <c r="N33" s="1"/>
      <c r="O33" s="1"/>
      <c r="P33" s="1"/>
      <c r="Q33" s="1"/>
      <c r="R33" s="1"/>
      <c r="S33" s="1"/>
      <c r="T33" s="1"/>
      <c r="U33" s="1"/>
      <c r="V33" s="1"/>
      <c r="W33" s="1"/>
    </row>
    <row r="34" spans="1:23">
      <c r="A34" s="1"/>
      <c r="B34" s="1"/>
      <c r="C34" s="1"/>
      <c r="D34" s="1"/>
      <c r="E34" s="1"/>
      <c r="F34" s="1"/>
      <c r="G34" s="1"/>
      <c r="H34" s="499">
        <f>IF(F10=0,"NO",A10)</f>
        <v>1</v>
      </c>
      <c r="I34" s="500">
        <f>IF(H34="NO",0,1)</f>
        <v>1</v>
      </c>
      <c r="J34" s="1"/>
      <c r="N34" s="1"/>
      <c r="O34" s="1"/>
      <c r="Q34" s="1"/>
      <c r="R34" s="1"/>
      <c r="S34" s="1"/>
      <c r="T34" s="1"/>
      <c r="U34" s="499">
        <f t="shared" ref="U34:U45" si="8">IF(S10=0,"NO",N10)</f>
        <v>1</v>
      </c>
      <c r="V34" s="500">
        <f t="shared" ref="V34:V45" si="9">IF(U34="NO",0,1)</f>
        <v>1</v>
      </c>
      <c r="W34" s="1"/>
    </row>
    <row r="35" spans="1:23">
      <c r="A35" s="1"/>
      <c r="B35" s="1"/>
      <c r="C35" s="1"/>
      <c r="D35" s="1"/>
      <c r="E35" s="1"/>
      <c r="F35" s="1"/>
      <c r="G35" s="1"/>
      <c r="H35" s="499">
        <f t="shared" ref="H35:H45" si="10">IF(F11=0,"NO",A11)</f>
        <v>2</v>
      </c>
      <c r="I35" s="500">
        <f t="shared" ref="I35:I45" si="11">IF(H35="NO",0,1)</f>
        <v>1</v>
      </c>
      <c r="J35" s="1"/>
      <c r="N35" s="1"/>
      <c r="O35" s="1"/>
      <c r="Q35" s="1"/>
      <c r="R35" s="1"/>
      <c r="S35" s="1"/>
      <c r="T35" s="1"/>
      <c r="U35" s="499">
        <f t="shared" si="8"/>
        <v>2</v>
      </c>
      <c r="V35" s="500">
        <f t="shared" si="9"/>
        <v>1</v>
      </c>
      <c r="W35" s="1"/>
    </row>
    <row r="36" spans="1:23">
      <c r="A36" s="1"/>
      <c r="B36" s="1"/>
      <c r="C36" s="1"/>
      <c r="D36" s="1"/>
      <c r="E36" s="1"/>
      <c r="F36" s="1"/>
      <c r="G36" s="1"/>
      <c r="H36" s="499">
        <f t="shared" si="10"/>
        <v>3</v>
      </c>
      <c r="I36" s="500">
        <f t="shared" si="11"/>
        <v>1</v>
      </c>
      <c r="J36" s="1"/>
      <c r="N36" s="1"/>
      <c r="O36" s="1"/>
      <c r="P36" s="1"/>
      <c r="Q36" s="1"/>
      <c r="R36" s="1"/>
      <c r="S36" s="1"/>
      <c r="T36" s="1"/>
      <c r="U36" s="499">
        <f t="shared" si="8"/>
        <v>3</v>
      </c>
      <c r="V36" s="500">
        <f t="shared" si="9"/>
        <v>1</v>
      </c>
      <c r="W36" s="1"/>
    </row>
    <row r="37" spans="1:23">
      <c r="A37" s="1"/>
      <c r="B37" s="1"/>
      <c r="C37" s="1"/>
      <c r="D37" s="1"/>
      <c r="E37" s="1"/>
      <c r="F37" s="1"/>
      <c r="G37" s="1"/>
      <c r="H37" s="499">
        <f t="shared" si="10"/>
        <v>4</v>
      </c>
      <c r="I37" s="500">
        <f t="shared" si="11"/>
        <v>1</v>
      </c>
      <c r="J37" s="1"/>
      <c r="N37" s="1"/>
      <c r="O37" s="1"/>
      <c r="P37" s="1"/>
      <c r="Q37" s="1"/>
      <c r="R37" s="1"/>
      <c r="S37" s="1"/>
      <c r="T37" s="1"/>
      <c r="U37" s="499">
        <f t="shared" si="8"/>
        <v>4</v>
      </c>
      <c r="V37" s="500">
        <f t="shared" si="9"/>
        <v>1</v>
      </c>
      <c r="W37" s="1"/>
    </row>
    <row r="38" spans="1:23">
      <c r="A38" s="1"/>
      <c r="B38" s="1"/>
      <c r="C38" s="1"/>
      <c r="D38" s="1"/>
      <c r="E38" s="1"/>
      <c r="F38" s="1"/>
      <c r="G38" s="1"/>
      <c r="H38" s="499">
        <f t="shared" si="10"/>
        <v>5</v>
      </c>
      <c r="I38" s="500">
        <f t="shared" si="11"/>
        <v>1</v>
      </c>
      <c r="J38" s="1"/>
      <c r="N38" s="1"/>
      <c r="O38" s="1"/>
      <c r="P38" s="1"/>
      <c r="Q38" s="1"/>
      <c r="R38" s="1"/>
      <c r="S38" s="1"/>
      <c r="T38" s="1"/>
      <c r="U38" s="499">
        <f t="shared" si="8"/>
        <v>5</v>
      </c>
      <c r="V38" s="500">
        <f t="shared" si="9"/>
        <v>1</v>
      </c>
      <c r="W38" s="1"/>
    </row>
    <row r="39" spans="1:23">
      <c r="A39" s="1"/>
      <c r="B39" s="1"/>
      <c r="C39" s="1"/>
      <c r="D39" s="1"/>
      <c r="E39" s="1"/>
      <c r="F39" s="1"/>
      <c r="G39" s="1"/>
      <c r="H39" s="499">
        <f t="shared" si="10"/>
        <v>6</v>
      </c>
      <c r="I39" s="500">
        <f t="shared" si="11"/>
        <v>1</v>
      </c>
      <c r="J39" s="1"/>
      <c r="N39" s="1"/>
      <c r="O39" s="1"/>
      <c r="P39" s="1"/>
      <c r="Q39" s="1"/>
      <c r="R39" s="1"/>
      <c r="S39" s="1"/>
      <c r="T39" s="1"/>
      <c r="U39" s="499">
        <f t="shared" si="8"/>
        <v>6</v>
      </c>
      <c r="V39" s="500">
        <f t="shared" si="9"/>
        <v>1</v>
      </c>
      <c r="W39" s="1"/>
    </row>
    <row r="40" spans="1:23">
      <c r="A40" s="1"/>
      <c r="B40" s="1"/>
      <c r="C40" s="1"/>
      <c r="D40" s="1"/>
      <c r="E40" s="1"/>
      <c r="F40" s="1"/>
      <c r="G40" s="1"/>
      <c r="H40" s="499">
        <f t="shared" si="10"/>
        <v>7</v>
      </c>
      <c r="I40" s="500">
        <f t="shared" si="11"/>
        <v>1</v>
      </c>
      <c r="J40" s="1"/>
      <c r="N40" s="1"/>
      <c r="O40" s="1"/>
      <c r="P40" s="1"/>
      <c r="Q40" s="1"/>
      <c r="R40" s="1"/>
      <c r="S40" s="1"/>
      <c r="T40" s="1"/>
      <c r="U40" s="499">
        <f t="shared" si="8"/>
        <v>7</v>
      </c>
      <c r="V40" s="500">
        <f t="shared" si="9"/>
        <v>1</v>
      </c>
      <c r="W40" s="1"/>
    </row>
    <row r="41" spans="1:23">
      <c r="A41" s="1"/>
      <c r="B41" s="1"/>
      <c r="C41" s="1"/>
      <c r="D41" s="1"/>
      <c r="E41" s="1"/>
      <c r="F41" s="1"/>
      <c r="G41" s="1"/>
      <c r="H41" s="499">
        <f t="shared" si="10"/>
        <v>8</v>
      </c>
      <c r="I41" s="500">
        <f t="shared" si="11"/>
        <v>1</v>
      </c>
      <c r="J41" s="4"/>
      <c r="N41" s="1"/>
      <c r="O41" s="1"/>
      <c r="P41" s="1"/>
      <c r="Q41" s="1"/>
      <c r="R41" s="1"/>
      <c r="S41" s="1"/>
      <c r="T41" s="1"/>
      <c r="U41" s="499">
        <f t="shared" si="8"/>
        <v>8</v>
      </c>
      <c r="V41" s="500">
        <f t="shared" si="9"/>
        <v>1</v>
      </c>
      <c r="W41" s="4"/>
    </row>
    <row r="42" spans="1:23">
      <c r="A42" s="1"/>
      <c r="B42" s="1"/>
      <c r="C42" s="1"/>
      <c r="D42" s="1"/>
      <c r="E42" s="1"/>
      <c r="F42" s="1"/>
      <c r="G42" s="1"/>
      <c r="H42" s="499">
        <f t="shared" si="10"/>
        <v>9</v>
      </c>
      <c r="I42" s="500">
        <f t="shared" si="11"/>
        <v>1</v>
      </c>
      <c r="J42" s="1"/>
      <c r="N42" s="1"/>
      <c r="O42" s="1"/>
      <c r="P42" s="1"/>
      <c r="Q42" s="1"/>
      <c r="R42" s="1"/>
      <c r="S42" s="1"/>
      <c r="T42" s="1"/>
      <c r="U42" s="499">
        <f t="shared" si="8"/>
        <v>9</v>
      </c>
      <c r="V42" s="500">
        <f t="shared" si="9"/>
        <v>1</v>
      </c>
      <c r="W42" s="1"/>
    </row>
    <row r="43" spans="1:23">
      <c r="A43" s="1"/>
      <c r="B43" s="1"/>
      <c r="C43" s="1"/>
      <c r="D43" s="1"/>
      <c r="E43" s="1"/>
      <c r="F43" s="1"/>
      <c r="G43" s="1"/>
      <c r="H43" s="499">
        <f t="shared" si="10"/>
        <v>10</v>
      </c>
      <c r="I43" s="500">
        <f t="shared" si="11"/>
        <v>1</v>
      </c>
      <c r="J43" s="1"/>
      <c r="N43" s="1"/>
      <c r="O43" s="1"/>
      <c r="P43" s="1"/>
      <c r="Q43" s="1"/>
      <c r="R43" s="1"/>
      <c r="S43" s="1"/>
      <c r="T43" s="1"/>
      <c r="U43" s="499">
        <f t="shared" si="8"/>
        <v>10</v>
      </c>
      <c r="V43" s="500">
        <f t="shared" si="9"/>
        <v>1</v>
      </c>
      <c r="W43" s="1"/>
    </row>
    <row r="44" spans="1:23">
      <c r="A44" s="1"/>
      <c r="B44" s="1"/>
      <c r="C44" s="1"/>
      <c r="D44" s="1"/>
      <c r="E44" s="1"/>
      <c r="F44" s="1"/>
      <c r="G44" s="1"/>
      <c r="H44" s="499">
        <f t="shared" si="10"/>
        <v>11</v>
      </c>
      <c r="I44" s="500">
        <f t="shared" si="11"/>
        <v>1</v>
      </c>
      <c r="J44" s="1"/>
      <c r="N44" s="1"/>
      <c r="O44" s="1"/>
      <c r="P44" s="1"/>
      <c r="Q44" s="1"/>
      <c r="R44" s="1"/>
      <c r="S44" s="1"/>
      <c r="T44" s="1"/>
      <c r="U44" s="499">
        <f t="shared" si="8"/>
        <v>11</v>
      </c>
      <c r="V44" s="500">
        <f t="shared" si="9"/>
        <v>1</v>
      </c>
      <c r="W44" s="1"/>
    </row>
    <row r="45" spans="1:23">
      <c r="A45" s="1"/>
      <c r="B45" s="1"/>
      <c r="C45" s="1"/>
      <c r="D45" s="1"/>
      <c r="E45" s="1"/>
      <c r="F45" s="1"/>
      <c r="G45" s="1"/>
      <c r="H45" s="499">
        <f t="shared" si="10"/>
        <v>12</v>
      </c>
      <c r="I45" s="500">
        <f t="shared" si="11"/>
        <v>1</v>
      </c>
      <c r="J45" s="1"/>
      <c r="N45" s="1"/>
      <c r="O45" s="1"/>
      <c r="P45" s="1"/>
      <c r="Q45" s="1"/>
      <c r="R45" s="1"/>
      <c r="S45" s="1"/>
      <c r="T45" s="1"/>
      <c r="U45" s="499">
        <f t="shared" si="8"/>
        <v>12</v>
      </c>
      <c r="V45" s="500">
        <f t="shared" si="9"/>
        <v>1</v>
      </c>
      <c r="W45" s="1"/>
    </row>
    <row r="46" spans="1:23">
      <c r="A46" s="1"/>
      <c r="B46" s="1"/>
      <c r="C46" s="1"/>
      <c r="D46" s="1"/>
      <c r="E46" s="1"/>
      <c r="F46" s="1"/>
      <c r="G46" s="1"/>
      <c r="H46" s="4"/>
      <c r="I46" s="4"/>
      <c r="J46" s="1"/>
      <c r="N46" s="1"/>
      <c r="O46" s="1"/>
      <c r="P46" s="1"/>
      <c r="Q46" s="1"/>
      <c r="R46" s="1"/>
      <c r="S46" s="1"/>
      <c r="T46" s="1"/>
      <c r="U46" s="4"/>
      <c r="V46" s="4"/>
      <c r="W46" s="1"/>
    </row>
    <row r="47" spans="1:23">
      <c r="A47" s="1"/>
      <c r="B47" s="1"/>
      <c r="C47" s="1"/>
      <c r="D47" s="1"/>
      <c r="E47" s="1"/>
      <c r="F47" s="1"/>
      <c r="G47" s="1"/>
      <c r="H47" s="501" t="s">
        <v>190</v>
      </c>
      <c r="I47" s="500">
        <f>MIN(H34:H45)</f>
        <v>1</v>
      </c>
      <c r="J47" s="502"/>
      <c r="N47" s="1"/>
      <c r="O47" s="1"/>
      <c r="P47" s="1"/>
      <c r="Q47" s="1"/>
      <c r="R47" s="1"/>
      <c r="S47" s="1"/>
      <c r="T47" s="1"/>
      <c r="U47" s="501" t="s">
        <v>190</v>
      </c>
      <c r="V47" s="500">
        <f>MIN(U34:U45)</f>
        <v>1</v>
      </c>
      <c r="W47" s="502"/>
    </row>
    <row r="48" spans="1:23">
      <c r="A48" s="1"/>
      <c r="B48" s="1"/>
      <c r="C48" s="1"/>
      <c r="D48" s="1"/>
      <c r="E48" s="1"/>
      <c r="F48" s="1"/>
      <c r="G48" s="1"/>
      <c r="H48" s="501" t="s">
        <v>191</v>
      </c>
      <c r="I48" s="500">
        <f>MAX(H34:H45)</f>
        <v>12</v>
      </c>
      <c r="J48" s="502"/>
      <c r="N48" s="1"/>
      <c r="O48" s="1"/>
      <c r="P48" s="1"/>
      <c r="Q48" s="1"/>
      <c r="R48" s="1"/>
      <c r="S48" s="1"/>
      <c r="T48" s="1"/>
      <c r="U48" s="501" t="s">
        <v>191</v>
      </c>
      <c r="V48" s="500">
        <f>MAX(U34:U45)</f>
        <v>12</v>
      </c>
      <c r="W48" s="502"/>
    </row>
    <row r="49" spans="1:23">
      <c r="A49" s="1"/>
      <c r="B49" s="1"/>
      <c r="C49" s="1"/>
      <c r="D49" s="1"/>
      <c r="E49" s="1"/>
      <c r="F49" s="1"/>
      <c r="G49" s="1"/>
      <c r="H49" s="130"/>
      <c r="I49" s="1"/>
      <c r="J49" s="1"/>
      <c r="N49" s="1"/>
      <c r="O49" s="1"/>
      <c r="P49" s="1"/>
      <c r="Q49" s="1"/>
      <c r="R49" s="1"/>
      <c r="S49" s="1"/>
      <c r="T49" s="1"/>
      <c r="U49" s="130"/>
      <c r="V49" s="1"/>
      <c r="W49" s="1"/>
    </row>
    <row r="50" spans="1:23">
      <c r="A50" s="1"/>
      <c r="B50" s="1"/>
      <c r="C50" s="1"/>
      <c r="D50" s="1"/>
      <c r="E50" s="1"/>
      <c r="F50" s="1"/>
      <c r="G50" s="1"/>
      <c r="H50" s="501" t="s">
        <v>192</v>
      </c>
      <c r="I50" s="505">
        <v>2022</v>
      </c>
      <c r="J50" s="503">
        <f>VLOOKUP(I50,INPC!$B$6:$O$30,MAX(H34:H45)+2)</f>
        <v>126.47799999999999</v>
      </c>
      <c r="N50" s="1"/>
      <c r="O50" s="1"/>
      <c r="P50" s="1"/>
      <c r="Q50" s="1"/>
      <c r="R50" s="1"/>
      <c r="S50" s="1"/>
      <c r="T50" s="1"/>
      <c r="U50" s="501" t="s">
        <v>192</v>
      </c>
      <c r="V50" s="505">
        <v>2022</v>
      </c>
      <c r="W50" s="503">
        <f>VLOOKUP(V50,INPC!$B$6:$O$30,MAX(U34:U45)+2)</f>
        <v>126.47799999999999</v>
      </c>
    </row>
    <row r="51" spans="1:23">
      <c r="A51" s="1"/>
      <c r="B51" s="1"/>
      <c r="C51" s="1"/>
      <c r="D51" s="1"/>
      <c r="E51" s="1"/>
      <c r="F51" s="1"/>
      <c r="G51" s="1"/>
      <c r="H51" s="501" t="s">
        <v>193</v>
      </c>
      <c r="I51" s="505">
        <v>2021</v>
      </c>
      <c r="J51" s="503">
        <f>VLOOKUP(I51,INPC!$B$6:$O$32,14)</f>
        <v>117.30800000000001</v>
      </c>
      <c r="N51" s="1"/>
      <c r="O51" s="1"/>
      <c r="P51" s="1"/>
      <c r="Q51" s="1"/>
      <c r="R51" s="1"/>
      <c r="S51" s="1"/>
      <c r="T51" s="1"/>
      <c r="U51" s="501" t="s">
        <v>193</v>
      </c>
      <c r="V51" s="505">
        <v>2021</v>
      </c>
      <c r="W51" s="503">
        <f>VLOOKUP(V51,INPC!$B$6:$O$32,14)</f>
        <v>117.30800000000001</v>
      </c>
    </row>
    <row r="52" spans="1:23">
      <c r="A52" s="1"/>
      <c r="B52" s="1"/>
      <c r="C52" s="1"/>
      <c r="D52" s="1"/>
      <c r="E52" s="1"/>
      <c r="F52" s="1"/>
      <c r="G52" s="1"/>
      <c r="H52" s="1"/>
      <c r="I52" s="504" t="s">
        <v>526</v>
      </c>
      <c r="J52" s="1"/>
      <c r="N52" s="1"/>
      <c r="O52" s="1"/>
      <c r="P52" s="1"/>
      <c r="Q52" s="1"/>
      <c r="R52" s="1"/>
      <c r="S52" s="1"/>
      <c r="T52" s="1"/>
      <c r="U52" s="1"/>
      <c r="V52" s="504" t="s">
        <v>526</v>
      </c>
      <c r="W52" s="1"/>
    </row>
    <row r="55" spans="1:23" ht="22" customHeight="1">
      <c r="H55" s="506" t="s">
        <v>590</v>
      </c>
      <c r="I55" s="506"/>
    </row>
    <row r="56" spans="1:23" ht="22" customHeight="1">
      <c r="H56" t="s">
        <v>588</v>
      </c>
    </row>
    <row r="57" spans="1:23" ht="22" customHeight="1">
      <c r="H57" t="s">
        <v>589</v>
      </c>
    </row>
  </sheetData>
  <mergeCells count="6">
    <mergeCell ref="C2:J2"/>
    <mergeCell ref="P2:W2"/>
    <mergeCell ref="C4:F4"/>
    <mergeCell ref="H4:J4"/>
    <mergeCell ref="P4:S4"/>
    <mergeCell ref="U4:W4"/>
  </mergeCells>
  <printOptions horizontalCentered="1" verticalCentered="1"/>
  <pageMargins left="0.7" right="0.7" top="0.75" bottom="0.75" header="0.3" footer="0.3"/>
  <pageSetup scale="58"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3:N143"/>
  <sheetViews>
    <sheetView view="pageBreakPreview" topLeftCell="B11" zoomScaleNormal="80" zoomScaleSheetLayoutView="100" workbookViewId="0">
      <selection activeCell="G14" sqref="G14"/>
    </sheetView>
  </sheetViews>
  <sheetFormatPr baseColWidth="10" defaultColWidth="10.83203125" defaultRowHeight="23" customHeight="1"/>
  <cols>
    <col min="1" max="1" width="10.83203125" style="134"/>
    <col min="2" max="2" width="21.33203125" style="134" customWidth="1"/>
    <col min="3" max="9" width="23" style="134" customWidth="1"/>
    <col min="10" max="11" width="23" style="134" hidden="1" customWidth="1"/>
    <col min="12" max="12" width="21.33203125" style="134" customWidth="1"/>
    <col min="13" max="13" width="10.83203125" style="134"/>
    <col min="14" max="14" width="21" style="134" customWidth="1"/>
    <col min="15" max="22" width="18.83203125" style="134" customWidth="1"/>
    <col min="23" max="16384" width="10.83203125" style="134"/>
  </cols>
  <sheetData>
    <row r="3" spans="2:14" ht="23" hidden="1" customHeight="1">
      <c r="B3" s="212" t="s">
        <v>202</v>
      </c>
    </row>
    <row r="4" spans="2:14" ht="23" hidden="1" customHeight="1">
      <c r="B4" s="134" t="s">
        <v>203</v>
      </c>
    </row>
    <row r="5" spans="2:14" ht="23" hidden="1" customHeight="1">
      <c r="B5" s="134" t="s">
        <v>204</v>
      </c>
    </row>
    <row r="6" spans="2:14" ht="23" hidden="1" customHeight="1">
      <c r="B6" s="134" t="s">
        <v>205</v>
      </c>
    </row>
    <row r="7" spans="2:14" ht="23" hidden="1" customHeight="1">
      <c r="B7" s="134" t="s">
        <v>64</v>
      </c>
    </row>
    <row r="8" spans="2:14" ht="23" hidden="1" customHeight="1">
      <c r="M8" s="140"/>
    </row>
    <row r="9" spans="2:14" ht="23" customHeight="1">
      <c r="M9" s="140"/>
    </row>
    <row r="10" spans="2:14" ht="23" customHeight="1">
      <c r="B10" s="761" t="str">
        <f>+AAI!C4</f>
        <v>DETERMINACIÓN DEL AJUSTE ANUAL POR INFLACIÓN CONFORME AL TÍTULO IV DE LA LISR</v>
      </c>
      <c r="C10" s="761"/>
      <c r="D10" s="761"/>
      <c r="E10" s="761"/>
      <c r="F10" s="761"/>
      <c r="G10" s="761"/>
      <c r="H10" s="761"/>
      <c r="I10" s="761"/>
      <c r="J10" s="761"/>
      <c r="K10" s="761"/>
      <c r="L10" s="761"/>
      <c r="M10" s="140"/>
    </row>
    <row r="11" spans="2:14" ht="23" customHeight="1">
      <c r="B11" s="766" t="str">
        <f>+AAI!C5</f>
        <v>INGRESOS ACUMULABLES CONFORME AL TÍTULO IV, CAPÍTULO VI DE LA LISR</v>
      </c>
      <c r="C11" s="766"/>
      <c r="D11" s="766"/>
      <c r="E11" s="766"/>
      <c r="F11" s="766"/>
      <c r="M11" s="140"/>
    </row>
    <row r="12" spans="2:14" ht="23" customHeight="1">
      <c r="B12" s="332" t="s">
        <v>459</v>
      </c>
      <c r="C12" s="22" t="s">
        <v>673</v>
      </c>
      <c r="D12" s="332"/>
      <c r="E12" s="332"/>
      <c r="F12" s="332"/>
      <c r="G12" s="332"/>
      <c r="H12" s="332"/>
      <c r="I12" s="332"/>
      <c r="J12" s="332"/>
      <c r="K12" s="332"/>
      <c r="L12" s="332"/>
      <c r="M12" s="140"/>
    </row>
    <row r="13" spans="2:14" ht="23" customHeight="1">
      <c r="B13" s="140"/>
      <c r="C13" s="763" t="s">
        <v>219</v>
      </c>
      <c r="D13" s="763"/>
      <c r="E13" s="763"/>
      <c r="F13" s="763"/>
      <c r="G13" s="763"/>
      <c r="H13" s="763"/>
      <c r="I13" s="763"/>
      <c r="J13" s="763"/>
      <c r="K13" s="763"/>
      <c r="L13" s="763"/>
      <c r="M13" s="140"/>
      <c r="N13" s="765" t="s">
        <v>353</v>
      </c>
    </row>
    <row r="14" spans="2:14" ht="23" customHeight="1">
      <c r="B14" s="214"/>
      <c r="C14" s="217" t="s">
        <v>953</v>
      </c>
      <c r="D14" s="217" t="s">
        <v>955</v>
      </c>
      <c r="E14" s="217" t="s">
        <v>956</v>
      </c>
      <c r="F14" s="217" t="s">
        <v>957</v>
      </c>
      <c r="G14" s="654" t="s">
        <v>959</v>
      </c>
      <c r="H14" s="217" t="s">
        <v>952</v>
      </c>
      <c r="I14" s="217" t="s">
        <v>851</v>
      </c>
      <c r="J14" s="217" t="s">
        <v>66</v>
      </c>
      <c r="K14" s="217" t="s">
        <v>66</v>
      </c>
      <c r="L14" s="764" t="s">
        <v>69</v>
      </c>
      <c r="M14" s="140"/>
      <c r="N14" s="765"/>
    </row>
    <row r="15" spans="2:14" ht="23" customHeight="1">
      <c r="C15" s="217" t="s">
        <v>680</v>
      </c>
      <c r="D15" s="217" t="s">
        <v>680</v>
      </c>
      <c r="E15" s="217" t="s">
        <v>680</v>
      </c>
      <c r="F15" s="217" t="s">
        <v>680</v>
      </c>
      <c r="G15" s="217" t="s">
        <v>680</v>
      </c>
      <c r="H15" s="217" t="s">
        <v>680</v>
      </c>
      <c r="I15" s="217" t="s">
        <v>680</v>
      </c>
      <c r="J15" s="217" t="s">
        <v>68</v>
      </c>
      <c r="K15" s="217" t="s">
        <v>68</v>
      </c>
      <c r="L15" s="764"/>
      <c r="M15" s="140"/>
      <c r="N15" s="220">
        <f>+L16+L35+L54+L111+L130</f>
        <v>1190315.29</v>
      </c>
    </row>
    <row r="16" spans="2:14" ht="23" customHeight="1">
      <c r="B16" s="218" t="s">
        <v>350</v>
      </c>
      <c r="C16" s="219">
        <v>201340.32</v>
      </c>
      <c r="D16" s="219">
        <v>0</v>
      </c>
      <c r="E16" s="219">
        <v>7362.93</v>
      </c>
      <c r="F16" s="219">
        <v>1356.17</v>
      </c>
      <c r="G16" s="219">
        <v>0</v>
      </c>
      <c r="H16" s="219">
        <v>730533.09</v>
      </c>
      <c r="I16" s="219">
        <v>249722.78</v>
      </c>
      <c r="J16" s="219"/>
      <c r="K16" s="219"/>
      <c r="L16" s="219">
        <f t="shared" ref="L16:L28" si="0">SUM(C16:K16)</f>
        <v>1190315.29</v>
      </c>
      <c r="M16" s="140"/>
    </row>
    <row r="17" spans="2:14" ht="23" customHeight="1">
      <c r="B17" s="218" t="s">
        <v>65</v>
      </c>
      <c r="C17" s="219">
        <v>197866.45</v>
      </c>
      <c r="D17" s="219">
        <v>0</v>
      </c>
      <c r="E17" s="219">
        <v>5066.8</v>
      </c>
      <c r="F17" s="219">
        <v>0</v>
      </c>
      <c r="G17" s="219">
        <v>0</v>
      </c>
      <c r="H17" s="219">
        <v>730553.91</v>
      </c>
      <c r="I17" s="219">
        <v>251968.49</v>
      </c>
      <c r="J17" s="219"/>
      <c r="K17" s="219"/>
      <c r="L17" s="219">
        <f t="shared" si="0"/>
        <v>1185455.6499999999</v>
      </c>
      <c r="M17" s="140"/>
    </row>
    <row r="18" spans="2:14" ht="23" customHeight="1">
      <c r="B18" s="218" t="s">
        <v>67</v>
      </c>
      <c r="C18" s="219">
        <v>180186.16</v>
      </c>
      <c r="D18" s="219">
        <v>0</v>
      </c>
      <c r="E18" s="219">
        <v>5066.8</v>
      </c>
      <c r="F18" s="219">
        <v>0</v>
      </c>
      <c r="G18" s="219">
        <v>0</v>
      </c>
      <c r="H18" s="219">
        <v>730570.65</v>
      </c>
      <c r="I18" s="219">
        <v>268380.99</v>
      </c>
      <c r="J18" s="219"/>
      <c r="K18" s="219"/>
      <c r="L18" s="219">
        <f t="shared" si="0"/>
        <v>1184204.6000000001</v>
      </c>
      <c r="M18" s="140"/>
    </row>
    <row r="19" spans="2:14" ht="23" customHeight="1">
      <c r="B19" s="218" t="s">
        <v>70</v>
      </c>
      <c r="C19" s="219">
        <v>178479.74</v>
      </c>
      <c r="D19" s="219">
        <v>0</v>
      </c>
      <c r="E19" s="219">
        <v>5066.8</v>
      </c>
      <c r="F19" s="219">
        <v>0</v>
      </c>
      <c r="G19" s="219">
        <v>0</v>
      </c>
      <c r="H19" s="219">
        <v>730618.91</v>
      </c>
      <c r="I19" s="219">
        <v>281267.92</v>
      </c>
      <c r="J19" s="219"/>
      <c r="K19" s="219"/>
      <c r="L19" s="219">
        <f t="shared" si="0"/>
        <v>1195433.3699999999</v>
      </c>
      <c r="M19" s="140"/>
    </row>
    <row r="20" spans="2:14" ht="23" customHeight="1">
      <c r="B20" s="218" t="s">
        <v>71</v>
      </c>
      <c r="C20" s="219">
        <v>203655.66</v>
      </c>
      <c r="D20" s="219">
        <v>0</v>
      </c>
      <c r="E20" s="219">
        <v>0</v>
      </c>
      <c r="F20" s="219">
        <v>0</v>
      </c>
      <c r="G20" s="219">
        <v>523844.38</v>
      </c>
      <c r="H20" s="219">
        <v>730719.65</v>
      </c>
      <c r="I20" s="219">
        <v>289926.03999999998</v>
      </c>
      <c r="J20" s="219"/>
      <c r="K20" s="219"/>
      <c r="L20" s="219">
        <f t="shared" si="0"/>
        <v>1748145.73</v>
      </c>
      <c r="M20" s="140"/>
    </row>
    <row r="21" spans="2:14" ht="23" customHeight="1">
      <c r="B21" s="218" t="s">
        <v>72</v>
      </c>
      <c r="C21" s="219">
        <v>180529.41</v>
      </c>
      <c r="D21" s="219">
        <v>6184.98</v>
      </c>
      <c r="E21" s="219">
        <v>5126.67</v>
      </c>
      <c r="F21" s="219">
        <v>4016</v>
      </c>
      <c r="G21" s="219">
        <v>0</v>
      </c>
      <c r="H21" s="219">
        <v>730903.68</v>
      </c>
      <c r="I21" s="219">
        <v>286587.5</v>
      </c>
      <c r="J21" s="219"/>
      <c r="K21" s="219"/>
      <c r="L21" s="219">
        <f t="shared" si="0"/>
        <v>1213348.2400000002</v>
      </c>
      <c r="M21" s="140"/>
    </row>
    <row r="22" spans="2:14" ht="23" customHeight="1">
      <c r="B22" s="218" t="s">
        <v>73</v>
      </c>
      <c r="C22" s="219">
        <v>163237.88</v>
      </c>
      <c r="D22" s="219">
        <v>30</v>
      </c>
      <c r="E22" s="219">
        <v>5126.67</v>
      </c>
      <c r="F22" s="219">
        <v>10315.06</v>
      </c>
      <c r="G22" s="219">
        <v>0</v>
      </c>
      <c r="H22" s="219">
        <v>731076.53</v>
      </c>
      <c r="I22" s="219">
        <v>260289.22</v>
      </c>
      <c r="J22" s="219"/>
      <c r="K22" s="219"/>
      <c r="L22" s="219">
        <f t="shared" si="0"/>
        <v>1170075.3600000001</v>
      </c>
      <c r="M22" s="140"/>
    </row>
    <row r="23" spans="2:14" ht="23" customHeight="1">
      <c r="B23" s="218" t="s">
        <v>74</v>
      </c>
      <c r="C23" s="219">
        <v>184912.14</v>
      </c>
      <c r="D23" s="219">
        <v>0</v>
      </c>
      <c r="E23" s="219">
        <v>4302.38</v>
      </c>
      <c r="F23" s="219">
        <v>0</v>
      </c>
      <c r="G23" s="219">
        <v>0</v>
      </c>
      <c r="H23" s="219">
        <v>731342.76</v>
      </c>
      <c r="I23" s="219">
        <v>244192.38</v>
      </c>
      <c r="J23" s="219"/>
      <c r="K23" s="219"/>
      <c r="L23" s="219">
        <f t="shared" si="0"/>
        <v>1164749.6600000001</v>
      </c>
      <c r="M23" s="140"/>
    </row>
    <row r="24" spans="2:14" ht="23" customHeight="1">
      <c r="B24" s="218" t="s">
        <v>75</v>
      </c>
      <c r="C24" s="219">
        <v>167926.22</v>
      </c>
      <c r="D24" s="219">
        <v>0</v>
      </c>
      <c r="E24" s="219">
        <v>104302.38</v>
      </c>
      <c r="F24" s="219">
        <v>0</v>
      </c>
      <c r="G24" s="219">
        <v>0</v>
      </c>
      <c r="H24" s="219">
        <v>731843.7</v>
      </c>
      <c r="I24" s="219">
        <v>254777.98</v>
      </c>
      <c r="J24" s="219"/>
      <c r="K24" s="219"/>
      <c r="L24" s="219">
        <f t="shared" si="0"/>
        <v>1258850.28</v>
      </c>
      <c r="M24" s="140"/>
    </row>
    <row r="25" spans="2:14" ht="23" customHeight="1">
      <c r="B25" s="218" t="s">
        <v>76</v>
      </c>
      <c r="C25" s="163">
        <v>152030.67000000001</v>
      </c>
      <c r="D25" s="219">
        <v>0</v>
      </c>
      <c r="E25" s="219">
        <v>94120.16</v>
      </c>
      <c r="F25" s="219">
        <v>4406.08</v>
      </c>
      <c r="G25" s="219">
        <v>0</v>
      </c>
      <c r="H25" s="219">
        <f>478798.83+253559.88</f>
        <v>732358.71</v>
      </c>
      <c r="I25" s="219">
        <f>21220.75+242454.51</f>
        <v>263675.26</v>
      </c>
      <c r="J25" s="219"/>
      <c r="K25" s="219"/>
      <c r="L25" s="219">
        <f t="shared" si="0"/>
        <v>1246590.8799999999</v>
      </c>
      <c r="M25" s="140"/>
      <c r="N25" s="140"/>
    </row>
    <row r="26" spans="2:14" ht="23" customHeight="1">
      <c r="B26" s="218" t="s">
        <v>77</v>
      </c>
      <c r="C26" s="163">
        <v>1.0000000000000001E-5</v>
      </c>
      <c r="D26" s="219">
        <v>0</v>
      </c>
      <c r="E26" s="219">
        <v>99540.24</v>
      </c>
      <c r="F26" s="219">
        <v>0</v>
      </c>
      <c r="G26" s="219">
        <v>0</v>
      </c>
      <c r="H26" s="219">
        <f>461293.55+271722.77</f>
        <v>733016.32000000007</v>
      </c>
      <c r="I26" s="219">
        <f>29796.16+228751.43</f>
        <v>258547.59</v>
      </c>
      <c r="J26" s="219"/>
      <c r="K26" s="219"/>
      <c r="L26" s="219">
        <f t="shared" si="0"/>
        <v>1091104.1500100002</v>
      </c>
      <c r="M26" s="140"/>
      <c r="N26" s="140"/>
    </row>
    <row r="27" spans="2:14" ht="23" customHeight="1">
      <c r="B27" s="218" t="s">
        <v>78</v>
      </c>
      <c r="C27" s="163">
        <v>176781.77</v>
      </c>
      <c r="D27" s="219">
        <v>0</v>
      </c>
      <c r="E27" s="219">
        <v>99540.24</v>
      </c>
      <c r="F27" s="219">
        <v>0</v>
      </c>
      <c r="G27" s="219">
        <v>0</v>
      </c>
      <c r="H27" s="219">
        <v>734442.1</v>
      </c>
      <c r="I27" s="219">
        <f>269781.75+1251.67</f>
        <v>271033.42</v>
      </c>
      <c r="J27" s="219"/>
      <c r="K27" s="219"/>
      <c r="L27" s="219">
        <f t="shared" si="0"/>
        <v>1281797.53</v>
      </c>
    </row>
    <row r="28" spans="2:14" ht="23" customHeight="1">
      <c r="B28" s="218" t="s">
        <v>79</v>
      </c>
      <c r="C28" s="163">
        <v>163789.57999999999</v>
      </c>
      <c r="D28" s="219">
        <v>0</v>
      </c>
      <c r="E28" s="219">
        <v>74842.149999999994</v>
      </c>
      <c r="F28" s="219">
        <v>3738.08</v>
      </c>
      <c r="G28" s="219">
        <v>0</v>
      </c>
      <c r="H28" s="219">
        <v>736636.47</v>
      </c>
      <c r="I28" s="219">
        <v>283078.46000000002</v>
      </c>
      <c r="J28" s="219"/>
      <c r="K28" s="219"/>
      <c r="L28" s="219">
        <f t="shared" si="0"/>
        <v>1262084.74</v>
      </c>
    </row>
    <row r="29" spans="2:14" ht="23" customHeight="1">
      <c r="B29" s="1"/>
      <c r="C29" s="140"/>
      <c r="D29" s="140"/>
      <c r="E29" s="140"/>
      <c r="F29" s="140"/>
      <c r="G29" s="140"/>
      <c r="H29" s="140"/>
      <c r="I29" s="140"/>
      <c r="J29" s="140"/>
      <c r="K29" s="140"/>
      <c r="L29" s="221">
        <f>SUM(L17:L28)</f>
        <v>15001840.19001</v>
      </c>
    </row>
    <row r="30" spans="2:14" ht="23" customHeight="1">
      <c r="C30" s="140"/>
      <c r="D30" s="140"/>
      <c r="E30" s="140"/>
      <c r="F30" s="140"/>
      <c r="G30" s="140"/>
      <c r="H30" s="140"/>
      <c r="I30" s="140"/>
      <c r="J30" s="140"/>
      <c r="K30" s="140"/>
      <c r="L30" s="140"/>
    </row>
    <row r="31" spans="2:14" ht="23" hidden="1" customHeight="1">
      <c r="C31" s="140"/>
      <c r="D31" s="140"/>
      <c r="E31" s="140"/>
      <c r="F31" s="140"/>
      <c r="G31" s="140"/>
      <c r="H31" s="140"/>
      <c r="I31" s="140"/>
      <c r="J31" s="140"/>
      <c r="K31" s="140"/>
      <c r="L31" s="140"/>
    </row>
    <row r="32" spans="2:14" ht="23" hidden="1" customHeight="1">
      <c r="B32" s="140"/>
      <c r="C32" s="763" t="s">
        <v>219</v>
      </c>
      <c r="D32" s="763"/>
      <c r="E32" s="763"/>
      <c r="F32" s="763"/>
      <c r="G32" s="763"/>
      <c r="H32" s="763"/>
      <c r="I32" s="763"/>
      <c r="J32" s="763"/>
      <c r="K32" s="763"/>
      <c r="L32" s="763"/>
    </row>
    <row r="33" spans="2:12" ht="23" hidden="1" customHeight="1">
      <c r="B33" s="214"/>
      <c r="C33" s="217" t="s">
        <v>66</v>
      </c>
      <c r="D33" s="217" t="s">
        <v>66</v>
      </c>
      <c r="E33" s="217" t="s">
        <v>66</v>
      </c>
      <c r="F33" s="217" t="s">
        <v>66</v>
      </c>
      <c r="G33" s="217" t="s">
        <v>66</v>
      </c>
      <c r="H33" s="217" t="s">
        <v>66</v>
      </c>
      <c r="I33" s="217" t="s">
        <v>66</v>
      </c>
      <c r="J33" s="217" t="s">
        <v>66</v>
      </c>
      <c r="K33" s="217" t="s">
        <v>66</v>
      </c>
      <c r="L33" s="764" t="s">
        <v>69</v>
      </c>
    </row>
    <row r="34" spans="2:12" ht="23" hidden="1" customHeight="1">
      <c r="C34" s="217" t="s">
        <v>68</v>
      </c>
      <c r="D34" s="217" t="s">
        <v>68</v>
      </c>
      <c r="E34" s="217" t="s">
        <v>68</v>
      </c>
      <c r="F34" s="217" t="s">
        <v>68</v>
      </c>
      <c r="G34" s="217" t="s">
        <v>68</v>
      </c>
      <c r="H34" s="217" t="s">
        <v>68</v>
      </c>
      <c r="I34" s="217" t="s">
        <v>68</v>
      </c>
      <c r="J34" s="217" t="s">
        <v>68</v>
      </c>
      <c r="K34" s="217" t="s">
        <v>68</v>
      </c>
      <c r="L34" s="764"/>
    </row>
    <row r="35" spans="2:12" ht="23" hidden="1" customHeight="1">
      <c r="B35" s="218" t="s">
        <v>350</v>
      </c>
      <c r="C35" s="219"/>
      <c r="D35" s="219"/>
      <c r="E35" s="219"/>
      <c r="F35" s="219"/>
      <c r="G35" s="219"/>
      <c r="H35" s="219"/>
      <c r="I35" s="219"/>
      <c r="J35" s="219"/>
      <c r="K35" s="219"/>
      <c r="L35" s="219">
        <f t="shared" ref="L35:L47" si="1">SUM(C35:K35)</f>
        <v>0</v>
      </c>
    </row>
    <row r="36" spans="2:12" ht="23" hidden="1" customHeight="1">
      <c r="B36" s="218" t="s">
        <v>65</v>
      </c>
      <c r="C36" s="219"/>
      <c r="D36" s="219"/>
      <c r="E36" s="219"/>
      <c r="F36" s="219"/>
      <c r="G36" s="219"/>
      <c r="H36" s="219"/>
      <c r="I36" s="219"/>
      <c r="J36" s="219"/>
      <c r="K36" s="219"/>
      <c r="L36" s="219">
        <f t="shared" si="1"/>
        <v>0</v>
      </c>
    </row>
    <row r="37" spans="2:12" ht="23" hidden="1" customHeight="1">
      <c r="B37" s="218" t="s">
        <v>67</v>
      </c>
      <c r="C37" s="219"/>
      <c r="D37" s="219"/>
      <c r="E37" s="219"/>
      <c r="F37" s="219"/>
      <c r="G37" s="219"/>
      <c r="H37" s="219"/>
      <c r="I37" s="219"/>
      <c r="J37" s="219"/>
      <c r="K37" s="219"/>
      <c r="L37" s="219">
        <f t="shared" si="1"/>
        <v>0</v>
      </c>
    </row>
    <row r="38" spans="2:12" ht="23" hidden="1" customHeight="1">
      <c r="B38" s="218" t="s">
        <v>70</v>
      </c>
      <c r="C38" s="219"/>
      <c r="D38" s="219"/>
      <c r="E38" s="219"/>
      <c r="F38" s="219"/>
      <c r="G38" s="219"/>
      <c r="H38" s="219"/>
      <c r="I38" s="219"/>
      <c r="J38" s="219"/>
      <c r="K38" s="219"/>
      <c r="L38" s="219">
        <f t="shared" si="1"/>
        <v>0</v>
      </c>
    </row>
    <row r="39" spans="2:12" ht="23" hidden="1" customHeight="1">
      <c r="B39" s="218" t="s">
        <v>71</v>
      </c>
      <c r="C39" s="219"/>
      <c r="D39" s="219"/>
      <c r="E39" s="219"/>
      <c r="F39" s="219"/>
      <c r="G39" s="219"/>
      <c r="H39" s="219"/>
      <c r="I39" s="219"/>
      <c r="J39" s="219"/>
      <c r="K39" s="219"/>
      <c r="L39" s="219">
        <f t="shared" si="1"/>
        <v>0</v>
      </c>
    </row>
    <row r="40" spans="2:12" ht="23" hidden="1" customHeight="1">
      <c r="B40" s="218" t="s">
        <v>72</v>
      </c>
      <c r="C40" s="219"/>
      <c r="D40" s="219"/>
      <c r="E40" s="219"/>
      <c r="F40" s="219"/>
      <c r="G40" s="219"/>
      <c r="H40" s="219"/>
      <c r="I40" s="219"/>
      <c r="J40" s="219"/>
      <c r="K40" s="219"/>
      <c r="L40" s="219">
        <f t="shared" si="1"/>
        <v>0</v>
      </c>
    </row>
    <row r="41" spans="2:12" ht="23" hidden="1" customHeight="1">
      <c r="B41" s="218" t="s">
        <v>73</v>
      </c>
      <c r="C41" s="219"/>
      <c r="D41" s="219"/>
      <c r="E41" s="219"/>
      <c r="F41" s="219"/>
      <c r="G41" s="219"/>
      <c r="H41" s="219"/>
      <c r="I41" s="219"/>
      <c r="J41" s="219"/>
      <c r="K41" s="219"/>
      <c r="L41" s="219">
        <f t="shared" si="1"/>
        <v>0</v>
      </c>
    </row>
    <row r="42" spans="2:12" ht="23" hidden="1" customHeight="1">
      <c r="B42" s="218" t="s">
        <v>74</v>
      </c>
      <c r="C42" s="219"/>
      <c r="D42" s="219"/>
      <c r="E42" s="219"/>
      <c r="F42" s="219"/>
      <c r="G42" s="219"/>
      <c r="H42" s="219"/>
      <c r="I42" s="219"/>
      <c r="J42" s="219"/>
      <c r="K42" s="219"/>
      <c r="L42" s="219">
        <f t="shared" si="1"/>
        <v>0</v>
      </c>
    </row>
    <row r="43" spans="2:12" ht="23" hidden="1" customHeight="1">
      <c r="B43" s="218" t="s">
        <v>75</v>
      </c>
      <c r="C43" s="219"/>
      <c r="D43" s="219"/>
      <c r="E43" s="219"/>
      <c r="F43" s="219"/>
      <c r="G43" s="219"/>
      <c r="H43" s="219"/>
      <c r="I43" s="219"/>
      <c r="J43" s="219"/>
      <c r="K43" s="219"/>
      <c r="L43" s="219">
        <f t="shared" si="1"/>
        <v>0</v>
      </c>
    </row>
    <row r="44" spans="2:12" ht="23" hidden="1" customHeight="1">
      <c r="B44" s="218" t="s">
        <v>76</v>
      </c>
      <c r="C44" s="219"/>
      <c r="D44" s="219"/>
      <c r="E44" s="219"/>
      <c r="F44" s="219"/>
      <c r="G44" s="219"/>
      <c r="H44" s="219"/>
      <c r="I44" s="219"/>
      <c r="J44" s="219"/>
      <c r="K44" s="219"/>
      <c r="L44" s="219">
        <f t="shared" si="1"/>
        <v>0</v>
      </c>
    </row>
    <row r="45" spans="2:12" ht="23" hidden="1" customHeight="1">
      <c r="B45" s="218" t="s">
        <v>77</v>
      </c>
      <c r="C45" s="219"/>
      <c r="D45" s="219"/>
      <c r="E45" s="219"/>
      <c r="F45" s="219"/>
      <c r="G45" s="219"/>
      <c r="H45" s="219"/>
      <c r="I45" s="219"/>
      <c r="J45" s="219"/>
      <c r="K45" s="219"/>
      <c r="L45" s="219">
        <f t="shared" si="1"/>
        <v>0</v>
      </c>
    </row>
    <row r="46" spans="2:12" ht="23" hidden="1" customHeight="1">
      <c r="B46" s="218" t="s">
        <v>78</v>
      </c>
      <c r="C46" s="219"/>
      <c r="D46" s="219"/>
      <c r="E46" s="219"/>
      <c r="F46" s="219"/>
      <c r="G46" s="219"/>
      <c r="H46" s="219"/>
      <c r="I46" s="219"/>
      <c r="J46" s="219"/>
      <c r="K46" s="219"/>
      <c r="L46" s="219">
        <f t="shared" si="1"/>
        <v>0</v>
      </c>
    </row>
    <row r="47" spans="2:12" ht="23" hidden="1" customHeight="1">
      <c r="B47" s="218" t="s">
        <v>79</v>
      </c>
      <c r="C47" s="219"/>
      <c r="D47" s="219"/>
      <c r="E47" s="219"/>
      <c r="F47" s="219"/>
      <c r="G47" s="219"/>
      <c r="H47" s="219"/>
      <c r="I47" s="219"/>
      <c r="J47" s="219"/>
      <c r="K47" s="219"/>
      <c r="L47" s="219">
        <f t="shared" si="1"/>
        <v>0</v>
      </c>
    </row>
    <row r="48" spans="2:12" ht="23" hidden="1" customHeight="1">
      <c r="B48" s="1"/>
      <c r="C48" s="140"/>
      <c r="D48" s="140"/>
      <c r="E48" s="140"/>
      <c r="F48" s="140"/>
      <c r="G48" s="140"/>
      <c r="H48" s="140"/>
      <c r="I48" s="140"/>
      <c r="J48" s="140"/>
      <c r="K48" s="140"/>
      <c r="L48" s="221">
        <f>SUM(L36:L47)</f>
        <v>0</v>
      </c>
    </row>
    <row r="49" spans="2:12" ht="23" hidden="1" customHeight="1">
      <c r="C49" s="140"/>
      <c r="D49" s="140"/>
      <c r="E49" s="140"/>
      <c r="F49" s="140"/>
      <c r="G49" s="140"/>
      <c r="H49" s="140"/>
      <c r="I49" s="140"/>
      <c r="J49" s="140"/>
      <c r="K49" s="140"/>
      <c r="L49" s="140"/>
    </row>
    <row r="50" spans="2:12" ht="23" hidden="1" customHeight="1">
      <c r="C50" s="140"/>
      <c r="D50" s="140"/>
      <c r="E50" s="140"/>
      <c r="F50" s="140"/>
      <c r="G50" s="140"/>
      <c r="H50" s="140"/>
      <c r="I50" s="140"/>
      <c r="J50" s="140"/>
      <c r="K50" s="140"/>
      <c r="L50" s="140"/>
    </row>
    <row r="51" spans="2:12" ht="23" hidden="1" customHeight="1">
      <c r="B51" s="140"/>
      <c r="C51" s="763" t="s">
        <v>219</v>
      </c>
      <c r="D51" s="763"/>
      <c r="E51" s="763"/>
      <c r="F51" s="763"/>
      <c r="G51" s="763"/>
      <c r="H51" s="763"/>
      <c r="I51" s="763"/>
      <c r="J51" s="763"/>
      <c r="K51" s="763"/>
      <c r="L51" s="763"/>
    </row>
    <row r="52" spans="2:12" ht="23" hidden="1" customHeight="1">
      <c r="B52" s="214"/>
      <c r="C52" s="217" t="s">
        <v>66</v>
      </c>
      <c r="D52" s="217" t="s">
        <v>66</v>
      </c>
      <c r="E52" s="217" t="s">
        <v>66</v>
      </c>
      <c r="F52" s="217" t="s">
        <v>66</v>
      </c>
      <c r="G52" s="217" t="s">
        <v>66</v>
      </c>
      <c r="H52" s="217" t="s">
        <v>66</v>
      </c>
      <c r="I52" s="217" t="s">
        <v>66</v>
      </c>
      <c r="J52" s="217" t="s">
        <v>66</v>
      </c>
      <c r="K52" s="217" t="s">
        <v>66</v>
      </c>
      <c r="L52" s="764" t="s">
        <v>69</v>
      </c>
    </row>
    <row r="53" spans="2:12" ht="23" hidden="1" customHeight="1">
      <c r="C53" s="217" t="s">
        <v>68</v>
      </c>
      <c r="D53" s="217" t="s">
        <v>68</v>
      </c>
      <c r="E53" s="217" t="s">
        <v>68</v>
      </c>
      <c r="F53" s="217" t="s">
        <v>68</v>
      </c>
      <c r="G53" s="217" t="s">
        <v>68</v>
      </c>
      <c r="H53" s="217" t="s">
        <v>68</v>
      </c>
      <c r="I53" s="217" t="s">
        <v>68</v>
      </c>
      <c r="J53" s="217" t="s">
        <v>68</v>
      </c>
      <c r="K53" s="217" t="s">
        <v>68</v>
      </c>
      <c r="L53" s="764"/>
    </row>
    <row r="54" spans="2:12" ht="23" hidden="1" customHeight="1">
      <c r="B54" s="218" t="s">
        <v>350</v>
      </c>
      <c r="C54" s="219"/>
      <c r="D54" s="219"/>
      <c r="E54" s="219"/>
      <c r="F54" s="219"/>
      <c r="G54" s="219"/>
      <c r="H54" s="219"/>
      <c r="I54" s="219"/>
      <c r="J54" s="219"/>
      <c r="K54" s="219"/>
      <c r="L54" s="219">
        <f t="shared" ref="L54:L66" si="2">SUM(C54:K54)</f>
        <v>0</v>
      </c>
    </row>
    <row r="55" spans="2:12" ht="23" hidden="1" customHeight="1">
      <c r="B55" s="218" t="s">
        <v>65</v>
      </c>
      <c r="C55" s="219"/>
      <c r="D55" s="219"/>
      <c r="E55" s="219"/>
      <c r="F55" s="219"/>
      <c r="G55" s="219"/>
      <c r="H55" s="219"/>
      <c r="I55" s="219"/>
      <c r="J55" s="219"/>
      <c r="K55" s="219"/>
      <c r="L55" s="219">
        <f t="shared" si="2"/>
        <v>0</v>
      </c>
    </row>
    <row r="56" spans="2:12" ht="23" hidden="1" customHeight="1">
      <c r="B56" s="218" t="s">
        <v>67</v>
      </c>
      <c r="C56" s="219"/>
      <c r="D56" s="219"/>
      <c r="E56" s="219"/>
      <c r="F56" s="219"/>
      <c r="G56" s="219"/>
      <c r="H56" s="219"/>
      <c r="I56" s="219"/>
      <c r="J56" s="219"/>
      <c r="K56" s="219"/>
      <c r="L56" s="219">
        <f t="shared" si="2"/>
        <v>0</v>
      </c>
    </row>
    <row r="57" spans="2:12" ht="23" hidden="1" customHeight="1">
      <c r="B57" s="218" t="s">
        <v>70</v>
      </c>
      <c r="C57" s="219"/>
      <c r="D57" s="219"/>
      <c r="E57" s="219"/>
      <c r="F57" s="219"/>
      <c r="G57" s="219"/>
      <c r="H57" s="219"/>
      <c r="I57" s="219"/>
      <c r="J57" s="219"/>
      <c r="K57" s="219"/>
      <c r="L57" s="219">
        <f t="shared" si="2"/>
        <v>0</v>
      </c>
    </row>
    <row r="58" spans="2:12" ht="23" hidden="1" customHeight="1">
      <c r="B58" s="218" t="s">
        <v>71</v>
      </c>
      <c r="C58" s="219"/>
      <c r="D58" s="219"/>
      <c r="E58" s="219"/>
      <c r="F58" s="219"/>
      <c r="G58" s="219"/>
      <c r="H58" s="219"/>
      <c r="I58" s="219"/>
      <c r="J58" s="219"/>
      <c r="K58" s="219"/>
      <c r="L58" s="219">
        <f t="shared" si="2"/>
        <v>0</v>
      </c>
    </row>
    <row r="59" spans="2:12" ht="23" hidden="1" customHeight="1">
      <c r="B59" s="218" t="s">
        <v>72</v>
      </c>
      <c r="C59" s="219"/>
      <c r="D59" s="219"/>
      <c r="E59" s="219"/>
      <c r="F59" s="219"/>
      <c r="G59" s="219"/>
      <c r="H59" s="219"/>
      <c r="I59" s="219"/>
      <c r="J59" s="219"/>
      <c r="K59" s="219"/>
      <c r="L59" s="219">
        <f t="shared" si="2"/>
        <v>0</v>
      </c>
    </row>
    <row r="60" spans="2:12" ht="23" hidden="1" customHeight="1">
      <c r="B60" s="218" t="s">
        <v>73</v>
      </c>
      <c r="C60" s="219"/>
      <c r="D60" s="219"/>
      <c r="E60" s="219"/>
      <c r="F60" s="219"/>
      <c r="G60" s="219"/>
      <c r="H60" s="219"/>
      <c r="I60" s="219"/>
      <c r="J60" s="219"/>
      <c r="K60" s="219"/>
      <c r="L60" s="219">
        <f t="shared" si="2"/>
        <v>0</v>
      </c>
    </row>
    <row r="61" spans="2:12" ht="23" hidden="1" customHeight="1">
      <c r="B61" s="218" t="s">
        <v>74</v>
      </c>
      <c r="C61" s="219"/>
      <c r="D61" s="219"/>
      <c r="E61" s="219"/>
      <c r="F61" s="219"/>
      <c r="G61" s="219"/>
      <c r="H61" s="219"/>
      <c r="I61" s="219"/>
      <c r="J61" s="219"/>
      <c r="K61" s="219"/>
      <c r="L61" s="219">
        <f t="shared" si="2"/>
        <v>0</v>
      </c>
    </row>
    <row r="62" spans="2:12" ht="23" hidden="1" customHeight="1">
      <c r="B62" s="218" t="s">
        <v>75</v>
      </c>
      <c r="C62" s="219"/>
      <c r="D62" s="219"/>
      <c r="E62" s="219"/>
      <c r="F62" s="219"/>
      <c r="G62" s="219"/>
      <c r="H62" s="219"/>
      <c r="I62" s="219"/>
      <c r="J62" s="219"/>
      <c r="K62" s="219"/>
      <c r="L62" s="219">
        <f t="shared" si="2"/>
        <v>0</v>
      </c>
    </row>
    <row r="63" spans="2:12" ht="23" hidden="1" customHeight="1">
      <c r="B63" s="218" t="s">
        <v>76</v>
      </c>
      <c r="C63" s="219"/>
      <c r="D63" s="219"/>
      <c r="E63" s="219"/>
      <c r="F63" s="219"/>
      <c r="G63" s="219"/>
      <c r="H63" s="219"/>
      <c r="I63" s="219"/>
      <c r="J63" s="219"/>
      <c r="K63" s="219"/>
      <c r="L63" s="219">
        <f t="shared" si="2"/>
        <v>0</v>
      </c>
    </row>
    <row r="64" spans="2:12" ht="23" hidden="1" customHeight="1">
      <c r="B64" s="218" t="s">
        <v>77</v>
      </c>
      <c r="C64" s="219"/>
      <c r="D64" s="219"/>
      <c r="E64" s="219"/>
      <c r="F64" s="219"/>
      <c r="G64" s="219"/>
      <c r="H64" s="219"/>
      <c r="I64" s="219"/>
      <c r="J64" s="219"/>
      <c r="K64" s="219"/>
      <c r="L64" s="219">
        <f t="shared" si="2"/>
        <v>0</v>
      </c>
    </row>
    <row r="65" spans="2:12" ht="23" hidden="1" customHeight="1">
      <c r="B65" s="218" t="s">
        <v>78</v>
      </c>
      <c r="C65" s="219"/>
      <c r="D65" s="219"/>
      <c r="E65" s="219"/>
      <c r="F65" s="219"/>
      <c r="G65" s="219"/>
      <c r="H65" s="219"/>
      <c r="I65" s="219"/>
      <c r="J65" s="219"/>
      <c r="K65" s="219"/>
      <c r="L65" s="219">
        <f t="shared" si="2"/>
        <v>0</v>
      </c>
    </row>
    <row r="66" spans="2:12" ht="23" hidden="1" customHeight="1">
      <c r="B66" s="218" t="s">
        <v>79</v>
      </c>
      <c r="C66" s="219"/>
      <c r="D66" s="219"/>
      <c r="E66" s="219"/>
      <c r="F66" s="219"/>
      <c r="G66" s="219"/>
      <c r="H66" s="219"/>
      <c r="I66" s="219"/>
      <c r="J66" s="219"/>
      <c r="K66" s="219"/>
      <c r="L66" s="219">
        <f t="shared" si="2"/>
        <v>0</v>
      </c>
    </row>
    <row r="67" spans="2:12" ht="23" hidden="1" customHeight="1">
      <c r="B67" s="1"/>
      <c r="C67" s="140"/>
      <c r="D67" s="140"/>
      <c r="E67" s="140"/>
      <c r="F67" s="140"/>
      <c r="G67" s="140"/>
      <c r="H67" s="140"/>
      <c r="I67" s="140"/>
      <c r="J67" s="140"/>
      <c r="K67" s="140"/>
      <c r="L67" s="221">
        <f>SUM(L55:L66)</f>
        <v>0</v>
      </c>
    </row>
    <row r="68" spans="2:12" ht="23" hidden="1" customHeight="1">
      <c r="C68" s="140"/>
      <c r="D68" s="140"/>
      <c r="E68" s="140"/>
      <c r="F68" s="140"/>
      <c r="G68" s="140"/>
      <c r="H68" s="140"/>
      <c r="I68" s="140"/>
      <c r="J68" s="140"/>
      <c r="K68" s="140"/>
      <c r="L68" s="140"/>
    </row>
    <row r="69" spans="2:12" ht="23" hidden="1" customHeight="1">
      <c r="C69" s="140"/>
      <c r="D69" s="140"/>
      <c r="E69" s="140"/>
      <c r="F69" s="140"/>
      <c r="G69" s="140"/>
      <c r="H69" s="140"/>
      <c r="I69" s="140"/>
      <c r="J69" s="140"/>
      <c r="K69" s="140"/>
      <c r="L69" s="140"/>
    </row>
    <row r="70" spans="2:12" ht="23" hidden="1" customHeight="1">
      <c r="B70" s="140"/>
      <c r="C70" s="763" t="s">
        <v>220</v>
      </c>
      <c r="D70" s="763"/>
      <c r="E70" s="763"/>
      <c r="F70" s="763"/>
      <c r="G70" s="763"/>
      <c r="H70" s="763"/>
      <c r="I70" s="763"/>
      <c r="J70" s="763"/>
      <c r="K70" s="763"/>
      <c r="L70" s="763"/>
    </row>
    <row r="71" spans="2:12" ht="23" hidden="1" customHeight="1">
      <c r="B71" s="214"/>
      <c r="C71" s="217" t="s">
        <v>66</v>
      </c>
      <c r="D71" s="217" t="s">
        <v>66</v>
      </c>
      <c r="E71" s="217" t="s">
        <v>66</v>
      </c>
      <c r="F71" s="217" t="s">
        <v>66</v>
      </c>
      <c r="G71" s="217" t="s">
        <v>66</v>
      </c>
      <c r="H71" s="217" t="s">
        <v>66</v>
      </c>
      <c r="I71" s="217" t="s">
        <v>66</v>
      </c>
      <c r="J71" s="217" t="s">
        <v>66</v>
      </c>
      <c r="K71" s="217" t="s">
        <v>66</v>
      </c>
      <c r="L71" s="764" t="s">
        <v>69</v>
      </c>
    </row>
    <row r="72" spans="2:12" ht="23" hidden="1" customHeight="1">
      <c r="C72" s="217" t="s">
        <v>68</v>
      </c>
      <c r="D72" s="217" t="s">
        <v>68</v>
      </c>
      <c r="E72" s="217" t="s">
        <v>68</v>
      </c>
      <c r="F72" s="217" t="s">
        <v>68</v>
      </c>
      <c r="G72" s="217" t="s">
        <v>68</v>
      </c>
      <c r="H72" s="217" t="s">
        <v>68</v>
      </c>
      <c r="I72" s="217" t="s">
        <v>68</v>
      </c>
      <c r="J72" s="217" t="s">
        <v>68</v>
      </c>
      <c r="K72" s="217" t="s">
        <v>68</v>
      </c>
      <c r="L72" s="764"/>
    </row>
    <row r="73" spans="2:12" ht="23" hidden="1" customHeight="1">
      <c r="B73" s="218" t="s">
        <v>350</v>
      </c>
      <c r="C73" s="219"/>
      <c r="D73" s="219"/>
      <c r="E73" s="219"/>
      <c r="F73" s="219"/>
      <c r="G73" s="219"/>
      <c r="H73" s="219"/>
      <c r="I73" s="219"/>
      <c r="J73" s="219"/>
      <c r="K73" s="219"/>
      <c r="L73" s="219">
        <f t="shared" ref="L73:L85" si="3">SUM(C73:K73)</f>
        <v>0</v>
      </c>
    </row>
    <row r="74" spans="2:12" ht="23" hidden="1" customHeight="1">
      <c r="B74" s="218" t="s">
        <v>65</v>
      </c>
      <c r="C74" s="219"/>
      <c r="D74" s="219"/>
      <c r="E74" s="219"/>
      <c r="F74" s="219"/>
      <c r="G74" s="219"/>
      <c r="H74" s="219"/>
      <c r="I74" s="219"/>
      <c r="J74" s="219"/>
      <c r="K74" s="219"/>
      <c r="L74" s="219">
        <f t="shared" si="3"/>
        <v>0</v>
      </c>
    </row>
    <row r="75" spans="2:12" ht="23" hidden="1" customHeight="1">
      <c r="B75" s="218" t="s">
        <v>67</v>
      </c>
      <c r="C75" s="219"/>
      <c r="D75" s="219"/>
      <c r="E75" s="219"/>
      <c r="F75" s="219"/>
      <c r="G75" s="219"/>
      <c r="H75" s="219"/>
      <c r="I75" s="219"/>
      <c r="J75" s="219"/>
      <c r="K75" s="219"/>
      <c r="L75" s="219">
        <f t="shared" si="3"/>
        <v>0</v>
      </c>
    </row>
    <row r="76" spans="2:12" ht="23" hidden="1" customHeight="1">
      <c r="B76" s="218" t="s">
        <v>70</v>
      </c>
      <c r="C76" s="219"/>
      <c r="D76" s="219"/>
      <c r="E76" s="219"/>
      <c r="F76" s="219"/>
      <c r="G76" s="219"/>
      <c r="H76" s="219"/>
      <c r="I76" s="219"/>
      <c r="J76" s="219"/>
      <c r="K76" s="219"/>
      <c r="L76" s="219">
        <f t="shared" si="3"/>
        <v>0</v>
      </c>
    </row>
    <row r="77" spans="2:12" ht="23" hidden="1" customHeight="1">
      <c r="B77" s="218" t="s">
        <v>71</v>
      </c>
      <c r="C77" s="219"/>
      <c r="D77" s="219"/>
      <c r="E77" s="219"/>
      <c r="F77" s="219"/>
      <c r="G77" s="219"/>
      <c r="H77" s="219"/>
      <c r="I77" s="219"/>
      <c r="J77" s="219"/>
      <c r="K77" s="219"/>
      <c r="L77" s="219">
        <f t="shared" si="3"/>
        <v>0</v>
      </c>
    </row>
    <row r="78" spans="2:12" ht="23" hidden="1" customHeight="1">
      <c r="B78" s="218" t="s">
        <v>72</v>
      </c>
      <c r="C78" s="219"/>
      <c r="D78" s="219"/>
      <c r="E78" s="219"/>
      <c r="F78" s="219"/>
      <c r="G78" s="219"/>
      <c r="H78" s="219"/>
      <c r="I78" s="219"/>
      <c r="J78" s="219"/>
      <c r="K78" s="219"/>
      <c r="L78" s="219">
        <f t="shared" si="3"/>
        <v>0</v>
      </c>
    </row>
    <row r="79" spans="2:12" ht="23" hidden="1" customHeight="1">
      <c r="B79" s="218" t="s">
        <v>73</v>
      </c>
      <c r="C79" s="219"/>
      <c r="D79" s="219"/>
      <c r="E79" s="219"/>
      <c r="F79" s="219"/>
      <c r="G79" s="219"/>
      <c r="H79" s="219"/>
      <c r="I79" s="219"/>
      <c r="J79" s="219"/>
      <c r="K79" s="219"/>
      <c r="L79" s="219">
        <f t="shared" si="3"/>
        <v>0</v>
      </c>
    </row>
    <row r="80" spans="2:12" ht="23" hidden="1" customHeight="1">
      <c r="B80" s="218" t="s">
        <v>74</v>
      </c>
      <c r="C80" s="219"/>
      <c r="D80" s="219"/>
      <c r="E80" s="219"/>
      <c r="F80" s="219"/>
      <c r="G80" s="219"/>
      <c r="H80" s="219"/>
      <c r="I80" s="219"/>
      <c r="J80" s="219"/>
      <c r="K80" s="219"/>
      <c r="L80" s="219">
        <f t="shared" si="3"/>
        <v>0</v>
      </c>
    </row>
    <row r="81" spans="2:12" ht="23" hidden="1" customHeight="1">
      <c r="B81" s="218" t="s">
        <v>75</v>
      </c>
      <c r="C81" s="219"/>
      <c r="D81" s="219"/>
      <c r="E81" s="219"/>
      <c r="F81" s="219"/>
      <c r="G81" s="219"/>
      <c r="H81" s="219"/>
      <c r="I81" s="219"/>
      <c r="J81" s="219"/>
      <c r="K81" s="219"/>
      <c r="L81" s="219">
        <f t="shared" si="3"/>
        <v>0</v>
      </c>
    </row>
    <row r="82" spans="2:12" ht="23" hidden="1" customHeight="1">
      <c r="B82" s="218" t="s">
        <v>76</v>
      </c>
      <c r="C82" s="219"/>
      <c r="D82" s="219"/>
      <c r="E82" s="219"/>
      <c r="F82" s="219"/>
      <c r="G82" s="219"/>
      <c r="H82" s="219"/>
      <c r="I82" s="219"/>
      <c r="J82" s="219"/>
      <c r="K82" s="219"/>
      <c r="L82" s="219">
        <f t="shared" si="3"/>
        <v>0</v>
      </c>
    </row>
    <row r="83" spans="2:12" ht="23" hidden="1" customHeight="1">
      <c r="B83" s="218" t="s">
        <v>77</v>
      </c>
      <c r="C83" s="219"/>
      <c r="D83" s="219"/>
      <c r="E83" s="219"/>
      <c r="F83" s="219"/>
      <c r="G83" s="219"/>
      <c r="H83" s="219"/>
      <c r="I83" s="219"/>
      <c r="J83" s="219"/>
      <c r="K83" s="219"/>
      <c r="L83" s="219">
        <f t="shared" si="3"/>
        <v>0</v>
      </c>
    </row>
    <row r="84" spans="2:12" ht="23" hidden="1" customHeight="1">
      <c r="B84" s="218" t="s">
        <v>78</v>
      </c>
      <c r="C84" s="219"/>
      <c r="D84" s="219"/>
      <c r="E84" s="219"/>
      <c r="F84" s="219"/>
      <c r="G84" s="219"/>
      <c r="H84" s="219"/>
      <c r="I84" s="219"/>
      <c r="J84" s="219"/>
      <c r="K84" s="219"/>
      <c r="L84" s="219">
        <f t="shared" si="3"/>
        <v>0</v>
      </c>
    </row>
    <row r="85" spans="2:12" ht="23" hidden="1" customHeight="1">
      <c r="B85" s="218" t="s">
        <v>79</v>
      </c>
      <c r="C85" s="219"/>
      <c r="D85" s="219"/>
      <c r="E85" s="219"/>
      <c r="F85" s="219"/>
      <c r="G85" s="219"/>
      <c r="H85" s="219"/>
      <c r="I85" s="219"/>
      <c r="J85" s="219"/>
      <c r="K85" s="219"/>
      <c r="L85" s="219">
        <f t="shared" si="3"/>
        <v>0</v>
      </c>
    </row>
    <row r="86" spans="2:12" ht="23" hidden="1" customHeight="1">
      <c r="B86" s="1"/>
      <c r="C86" s="140"/>
      <c r="D86" s="140"/>
      <c r="E86" s="140"/>
      <c r="F86" s="140"/>
      <c r="G86" s="140"/>
      <c r="H86" s="140"/>
      <c r="I86" s="140"/>
      <c r="J86" s="140"/>
      <c r="K86" s="140"/>
      <c r="L86" s="221">
        <f>SUM(L74:L85)</f>
        <v>0</v>
      </c>
    </row>
    <row r="87" spans="2:12" ht="23" hidden="1" customHeight="1"/>
    <row r="88" spans="2:12" ht="23" hidden="1" customHeight="1"/>
    <row r="89" spans="2:12" ht="23" hidden="1" customHeight="1">
      <c r="B89" s="140"/>
      <c r="C89" s="763" t="s">
        <v>220</v>
      </c>
      <c r="D89" s="763"/>
      <c r="E89" s="763"/>
      <c r="F89" s="763"/>
      <c r="G89" s="763"/>
      <c r="H89" s="763"/>
      <c r="I89" s="763"/>
      <c r="J89" s="763"/>
      <c r="K89" s="763"/>
      <c r="L89" s="763"/>
    </row>
    <row r="90" spans="2:12" ht="23" hidden="1" customHeight="1">
      <c r="B90" s="214"/>
      <c r="C90" s="217" t="s">
        <v>66</v>
      </c>
      <c r="D90" s="217" t="s">
        <v>66</v>
      </c>
      <c r="E90" s="217" t="s">
        <v>66</v>
      </c>
      <c r="F90" s="217" t="s">
        <v>66</v>
      </c>
      <c r="G90" s="217" t="s">
        <v>66</v>
      </c>
      <c r="H90" s="217" t="s">
        <v>66</v>
      </c>
      <c r="I90" s="217" t="s">
        <v>66</v>
      </c>
      <c r="J90" s="217" t="s">
        <v>66</v>
      </c>
      <c r="K90" s="217" t="s">
        <v>66</v>
      </c>
      <c r="L90" s="764" t="s">
        <v>69</v>
      </c>
    </row>
    <row r="91" spans="2:12" ht="23" hidden="1" customHeight="1">
      <c r="C91" s="217" t="s">
        <v>68</v>
      </c>
      <c r="D91" s="217" t="s">
        <v>68</v>
      </c>
      <c r="E91" s="217" t="s">
        <v>68</v>
      </c>
      <c r="F91" s="217" t="s">
        <v>68</v>
      </c>
      <c r="G91" s="217" t="s">
        <v>68</v>
      </c>
      <c r="H91" s="217" t="s">
        <v>68</v>
      </c>
      <c r="I91" s="217" t="s">
        <v>68</v>
      </c>
      <c r="J91" s="217" t="s">
        <v>68</v>
      </c>
      <c r="K91" s="217" t="s">
        <v>68</v>
      </c>
      <c r="L91" s="764"/>
    </row>
    <row r="92" spans="2:12" ht="23" hidden="1" customHeight="1">
      <c r="B92" s="218" t="s">
        <v>350</v>
      </c>
      <c r="C92" s="219"/>
      <c r="D92" s="219"/>
      <c r="E92" s="219"/>
      <c r="F92" s="219"/>
      <c r="G92" s="219"/>
      <c r="H92" s="219"/>
      <c r="I92" s="219"/>
      <c r="J92" s="219"/>
      <c r="K92" s="219"/>
      <c r="L92" s="219">
        <f t="shared" ref="L92:L104" si="4">SUM(C92:K92)</f>
        <v>0</v>
      </c>
    </row>
    <row r="93" spans="2:12" ht="23" hidden="1" customHeight="1">
      <c r="B93" s="218" t="s">
        <v>65</v>
      </c>
      <c r="C93" s="219"/>
      <c r="D93" s="219"/>
      <c r="E93" s="219"/>
      <c r="F93" s="219"/>
      <c r="G93" s="219"/>
      <c r="H93" s="219"/>
      <c r="I93" s="219"/>
      <c r="J93" s="219"/>
      <c r="K93" s="219"/>
      <c r="L93" s="219">
        <f t="shared" si="4"/>
        <v>0</v>
      </c>
    </row>
    <row r="94" spans="2:12" ht="23" hidden="1" customHeight="1">
      <c r="B94" s="218" t="s">
        <v>67</v>
      </c>
      <c r="C94" s="219"/>
      <c r="D94" s="219"/>
      <c r="E94" s="219"/>
      <c r="F94" s="219"/>
      <c r="G94" s="219"/>
      <c r="H94" s="219"/>
      <c r="I94" s="219"/>
      <c r="J94" s="219"/>
      <c r="K94" s="219"/>
      <c r="L94" s="219">
        <f t="shared" si="4"/>
        <v>0</v>
      </c>
    </row>
    <row r="95" spans="2:12" ht="23" hidden="1" customHeight="1">
      <c r="B95" s="218" t="s">
        <v>70</v>
      </c>
      <c r="C95" s="219"/>
      <c r="D95" s="219"/>
      <c r="E95" s="219"/>
      <c r="F95" s="219"/>
      <c r="G95" s="219"/>
      <c r="H95" s="219"/>
      <c r="I95" s="219"/>
      <c r="J95" s="219"/>
      <c r="K95" s="219"/>
      <c r="L95" s="219">
        <f t="shared" si="4"/>
        <v>0</v>
      </c>
    </row>
    <row r="96" spans="2:12" ht="23" hidden="1" customHeight="1">
      <c r="B96" s="218" t="s">
        <v>71</v>
      </c>
      <c r="C96" s="219"/>
      <c r="D96" s="219"/>
      <c r="E96" s="219"/>
      <c r="F96" s="219"/>
      <c r="G96" s="219"/>
      <c r="H96" s="219"/>
      <c r="I96" s="219"/>
      <c r="J96" s="219"/>
      <c r="K96" s="219"/>
      <c r="L96" s="219">
        <f t="shared" si="4"/>
        <v>0</v>
      </c>
    </row>
    <row r="97" spans="2:12" ht="23" hidden="1" customHeight="1">
      <c r="B97" s="218" t="s">
        <v>72</v>
      </c>
      <c r="C97" s="219"/>
      <c r="D97" s="219"/>
      <c r="E97" s="219"/>
      <c r="F97" s="219"/>
      <c r="G97" s="219"/>
      <c r="H97" s="219"/>
      <c r="I97" s="219"/>
      <c r="J97" s="219"/>
      <c r="K97" s="219"/>
      <c r="L97" s="219">
        <f t="shared" si="4"/>
        <v>0</v>
      </c>
    </row>
    <row r="98" spans="2:12" ht="23" hidden="1" customHeight="1">
      <c r="B98" s="218" t="s">
        <v>73</v>
      </c>
      <c r="C98" s="219"/>
      <c r="D98" s="219"/>
      <c r="E98" s="219"/>
      <c r="F98" s="219"/>
      <c r="G98" s="219"/>
      <c r="H98" s="219"/>
      <c r="I98" s="219"/>
      <c r="J98" s="219"/>
      <c r="K98" s="219"/>
      <c r="L98" s="219">
        <f t="shared" si="4"/>
        <v>0</v>
      </c>
    </row>
    <row r="99" spans="2:12" ht="23" hidden="1" customHeight="1">
      <c r="B99" s="218" t="s">
        <v>74</v>
      </c>
      <c r="C99" s="219"/>
      <c r="D99" s="219"/>
      <c r="E99" s="219"/>
      <c r="F99" s="219"/>
      <c r="G99" s="219"/>
      <c r="H99" s="219"/>
      <c r="I99" s="219"/>
      <c r="J99" s="219"/>
      <c r="K99" s="219"/>
      <c r="L99" s="219">
        <f t="shared" si="4"/>
        <v>0</v>
      </c>
    </row>
    <row r="100" spans="2:12" ht="23" hidden="1" customHeight="1">
      <c r="B100" s="218" t="s">
        <v>75</v>
      </c>
      <c r="C100" s="219"/>
      <c r="D100" s="219"/>
      <c r="E100" s="219"/>
      <c r="F100" s="219"/>
      <c r="G100" s="219"/>
      <c r="H100" s="219"/>
      <c r="I100" s="219"/>
      <c r="J100" s="219"/>
      <c r="K100" s="219"/>
      <c r="L100" s="219">
        <f t="shared" si="4"/>
        <v>0</v>
      </c>
    </row>
    <row r="101" spans="2:12" ht="23" hidden="1" customHeight="1">
      <c r="B101" s="218" t="s">
        <v>76</v>
      </c>
      <c r="C101" s="219"/>
      <c r="D101" s="219"/>
      <c r="E101" s="219"/>
      <c r="F101" s="219"/>
      <c r="G101" s="219"/>
      <c r="H101" s="219"/>
      <c r="I101" s="219"/>
      <c r="J101" s="219"/>
      <c r="K101" s="219"/>
      <c r="L101" s="219">
        <f t="shared" si="4"/>
        <v>0</v>
      </c>
    </row>
    <row r="102" spans="2:12" ht="23" hidden="1" customHeight="1">
      <c r="B102" s="218" t="s">
        <v>77</v>
      </c>
      <c r="C102" s="219"/>
      <c r="D102" s="219"/>
      <c r="E102" s="219"/>
      <c r="F102" s="219"/>
      <c r="G102" s="219"/>
      <c r="H102" s="219"/>
      <c r="I102" s="219"/>
      <c r="J102" s="219"/>
      <c r="K102" s="219"/>
      <c r="L102" s="219">
        <f t="shared" si="4"/>
        <v>0</v>
      </c>
    </row>
    <row r="103" spans="2:12" ht="23" hidden="1" customHeight="1">
      <c r="B103" s="218" t="s">
        <v>78</v>
      </c>
      <c r="C103" s="219"/>
      <c r="D103" s="219"/>
      <c r="E103" s="219"/>
      <c r="F103" s="219"/>
      <c r="G103" s="219"/>
      <c r="H103" s="219"/>
      <c r="I103" s="219"/>
      <c r="J103" s="219"/>
      <c r="K103" s="219"/>
      <c r="L103" s="219">
        <f t="shared" si="4"/>
        <v>0</v>
      </c>
    </row>
    <row r="104" spans="2:12" ht="23" hidden="1" customHeight="1">
      <c r="B104" s="218" t="s">
        <v>79</v>
      </c>
      <c r="C104" s="219"/>
      <c r="D104" s="219"/>
      <c r="E104" s="219"/>
      <c r="F104" s="219"/>
      <c r="G104" s="219"/>
      <c r="H104" s="219"/>
      <c r="I104" s="219"/>
      <c r="J104" s="219"/>
      <c r="K104" s="219"/>
      <c r="L104" s="219">
        <f t="shared" si="4"/>
        <v>0</v>
      </c>
    </row>
    <row r="105" spans="2:12" ht="23" hidden="1" customHeight="1">
      <c r="B105" s="1"/>
      <c r="C105" s="140"/>
      <c r="D105" s="140"/>
      <c r="E105" s="140"/>
      <c r="F105" s="140"/>
      <c r="G105" s="140"/>
      <c r="H105" s="140"/>
      <c r="I105" s="140"/>
      <c r="J105" s="140"/>
      <c r="K105" s="140"/>
      <c r="L105" s="221">
        <f>SUM(L93:L104)</f>
        <v>0</v>
      </c>
    </row>
    <row r="106" spans="2:12" ht="23" hidden="1" customHeight="1"/>
    <row r="107" spans="2:12" ht="23" hidden="1" customHeight="1"/>
    <row r="108" spans="2:12" ht="23" hidden="1" customHeight="1">
      <c r="B108" s="140"/>
      <c r="C108" s="763" t="s">
        <v>351</v>
      </c>
      <c r="D108" s="763"/>
      <c r="E108" s="763"/>
      <c r="F108" s="763"/>
      <c r="G108" s="763"/>
      <c r="H108" s="763"/>
      <c r="I108" s="763"/>
      <c r="J108" s="763"/>
      <c r="K108" s="763"/>
      <c r="L108" s="763"/>
    </row>
    <row r="109" spans="2:12" ht="23" hidden="1" customHeight="1">
      <c r="B109" s="214"/>
      <c r="C109" s="217" t="s">
        <v>66</v>
      </c>
      <c r="D109" s="217" t="s">
        <v>66</v>
      </c>
      <c r="E109" s="217" t="s">
        <v>66</v>
      </c>
      <c r="F109" s="217" t="s">
        <v>66</v>
      </c>
      <c r="G109" s="217" t="s">
        <v>66</v>
      </c>
      <c r="H109" s="217" t="s">
        <v>66</v>
      </c>
      <c r="I109" s="217" t="s">
        <v>66</v>
      </c>
      <c r="J109" s="217" t="s">
        <v>66</v>
      </c>
      <c r="K109" s="217" t="s">
        <v>66</v>
      </c>
      <c r="L109" s="764" t="s">
        <v>69</v>
      </c>
    </row>
    <row r="110" spans="2:12" ht="23" hidden="1" customHeight="1">
      <c r="C110" s="217" t="s">
        <v>68</v>
      </c>
      <c r="D110" s="217" t="s">
        <v>68</v>
      </c>
      <c r="E110" s="217" t="s">
        <v>68</v>
      </c>
      <c r="F110" s="217" t="s">
        <v>68</v>
      </c>
      <c r="G110" s="217" t="s">
        <v>68</v>
      </c>
      <c r="H110" s="217" t="s">
        <v>68</v>
      </c>
      <c r="I110" s="217" t="s">
        <v>68</v>
      </c>
      <c r="J110" s="217" t="s">
        <v>68</v>
      </c>
      <c r="K110" s="217" t="s">
        <v>68</v>
      </c>
      <c r="L110" s="764"/>
    </row>
    <row r="111" spans="2:12" ht="23" hidden="1" customHeight="1">
      <c r="B111" s="218" t="s">
        <v>350</v>
      </c>
      <c r="C111" s="219"/>
      <c r="D111" s="219"/>
      <c r="E111" s="219"/>
      <c r="F111" s="219"/>
      <c r="G111" s="219"/>
      <c r="H111" s="219"/>
      <c r="I111" s="219"/>
      <c r="J111" s="219"/>
      <c r="K111" s="219"/>
      <c r="L111" s="219">
        <f t="shared" ref="L111:L123" si="5">SUM(C111:K111)</f>
        <v>0</v>
      </c>
    </row>
    <row r="112" spans="2:12" ht="23" hidden="1" customHeight="1">
      <c r="B112" s="218" t="s">
        <v>65</v>
      </c>
      <c r="C112" s="219"/>
      <c r="D112" s="219"/>
      <c r="E112" s="219"/>
      <c r="F112" s="219"/>
      <c r="G112" s="219"/>
      <c r="H112" s="219"/>
      <c r="I112" s="219"/>
      <c r="J112" s="219"/>
      <c r="K112" s="219"/>
      <c r="L112" s="219">
        <f t="shared" si="5"/>
        <v>0</v>
      </c>
    </row>
    <row r="113" spans="2:12" ht="23" hidden="1" customHeight="1">
      <c r="B113" s="218" t="s">
        <v>67</v>
      </c>
      <c r="C113" s="219"/>
      <c r="D113" s="219"/>
      <c r="E113" s="219"/>
      <c r="F113" s="219"/>
      <c r="G113" s="219"/>
      <c r="H113" s="219"/>
      <c r="I113" s="219"/>
      <c r="J113" s="219"/>
      <c r="K113" s="219"/>
      <c r="L113" s="219">
        <f t="shared" si="5"/>
        <v>0</v>
      </c>
    </row>
    <row r="114" spans="2:12" ht="23" hidden="1" customHeight="1">
      <c r="B114" s="218" t="s">
        <v>70</v>
      </c>
      <c r="C114" s="219"/>
      <c r="D114" s="219"/>
      <c r="E114" s="219"/>
      <c r="F114" s="219"/>
      <c r="G114" s="219"/>
      <c r="H114" s="219"/>
      <c r="I114" s="219"/>
      <c r="J114" s="219"/>
      <c r="K114" s="219"/>
      <c r="L114" s="219">
        <f t="shared" si="5"/>
        <v>0</v>
      </c>
    </row>
    <row r="115" spans="2:12" ht="23" hidden="1" customHeight="1">
      <c r="B115" s="218" t="s">
        <v>71</v>
      </c>
      <c r="C115" s="219"/>
      <c r="D115" s="219"/>
      <c r="E115" s="219"/>
      <c r="F115" s="219"/>
      <c r="G115" s="219"/>
      <c r="H115" s="219"/>
      <c r="I115" s="219"/>
      <c r="J115" s="219"/>
      <c r="K115" s="219"/>
      <c r="L115" s="219">
        <f t="shared" si="5"/>
        <v>0</v>
      </c>
    </row>
    <row r="116" spans="2:12" ht="23" hidden="1" customHeight="1">
      <c r="B116" s="218" t="s">
        <v>72</v>
      </c>
      <c r="C116" s="219"/>
      <c r="D116" s="219"/>
      <c r="E116" s="219"/>
      <c r="F116" s="219"/>
      <c r="G116" s="219"/>
      <c r="H116" s="219"/>
      <c r="I116" s="219"/>
      <c r="J116" s="219"/>
      <c r="K116" s="219"/>
      <c r="L116" s="219">
        <f t="shared" si="5"/>
        <v>0</v>
      </c>
    </row>
    <row r="117" spans="2:12" ht="23" hidden="1" customHeight="1">
      <c r="B117" s="218" t="s">
        <v>73</v>
      </c>
      <c r="C117" s="219"/>
      <c r="D117" s="219"/>
      <c r="E117" s="219"/>
      <c r="F117" s="219"/>
      <c r="G117" s="219"/>
      <c r="H117" s="219"/>
      <c r="I117" s="219"/>
      <c r="J117" s="219"/>
      <c r="K117" s="219"/>
      <c r="L117" s="219">
        <f t="shared" si="5"/>
        <v>0</v>
      </c>
    </row>
    <row r="118" spans="2:12" ht="23" hidden="1" customHeight="1">
      <c r="B118" s="218" t="s">
        <v>74</v>
      </c>
      <c r="C118" s="219"/>
      <c r="D118" s="219"/>
      <c r="E118" s="219"/>
      <c r="F118" s="219"/>
      <c r="G118" s="219"/>
      <c r="H118" s="219"/>
      <c r="I118" s="219"/>
      <c r="J118" s="219"/>
      <c r="K118" s="219"/>
      <c r="L118" s="219">
        <f t="shared" si="5"/>
        <v>0</v>
      </c>
    </row>
    <row r="119" spans="2:12" ht="23" hidden="1" customHeight="1">
      <c r="B119" s="218" t="s">
        <v>75</v>
      </c>
      <c r="C119" s="219"/>
      <c r="D119" s="219"/>
      <c r="E119" s="219"/>
      <c r="F119" s="219"/>
      <c r="G119" s="219"/>
      <c r="H119" s="219"/>
      <c r="I119" s="219"/>
      <c r="J119" s="219"/>
      <c r="K119" s="219"/>
      <c r="L119" s="219">
        <f t="shared" si="5"/>
        <v>0</v>
      </c>
    </row>
    <row r="120" spans="2:12" ht="23" hidden="1" customHeight="1">
      <c r="B120" s="218" t="s">
        <v>76</v>
      </c>
      <c r="C120" s="219"/>
      <c r="D120" s="219"/>
      <c r="E120" s="219"/>
      <c r="F120" s="219"/>
      <c r="G120" s="219"/>
      <c r="H120" s="219"/>
      <c r="I120" s="219"/>
      <c r="J120" s="219"/>
      <c r="K120" s="219"/>
      <c r="L120" s="219">
        <f t="shared" si="5"/>
        <v>0</v>
      </c>
    </row>
    <row r="121" spans="2:12" ht="23" hidden="1" customHeight="1">
      <c r="B121" s="218" t="s">
        <v>77</v>
      </c>
      <c r="C121" s="219"/>
      <c r="D121" s="219"/>
      <c r="E121" s="219"/>
      <c r="F121" s="219"/>
      <c r="G121" s="219"/>
      <c r="H121" s="219"/>
      <c r="I121" s="219"/>
      <c r="J121" s="219"/>
      <c r="K121" s="219"/>
      <c r="L121" s="219">
        <f t="shared" si="5"/>
        <v>0</v>
      </c>
    </row>
    <row r="122" spans="2:12" ht="23" hidden="1" customHeight="1">
      <c r="B122" s="218" t="s">
        <v>78</v>
      </c>
      <c r="C122" s="219"/>
      <c r="D122" s="219"/>
      <c r="E122" s="219"/>
      <c r="F122" s="219"/>
      <c r="G122" s="219"/>
      <c r="H122" s="219"/>
      <c r="I122" s="219"/>
      <c r="J122" s="219"/>
      <c r="K122" s="219"/>
      <c r="L122" s="219">
        <f t="shared" si="5"/>
        <v>0</v>
      </c>
    </row>
    <row r="123" spans="2:12" ht="23" hidden="1" customHeight="1">
      <c r="B123" s="218" t="s">
        <v>79</v>
      </c>
      <c r="C123" s="219"/>
      <c r="D123" s="219"/>
      <c r="E123" s="219"/>
      <c r="F123" s="219"/>
      <c r="G123" s="219"/>
      <c r="H123" s="219"/>
      <c r="I123" s="219"/>
      <c r="J123" s="219"/>
      <c r="K123" s="219"/>
      <c r="L123" s="219">
        <f t="shared" si="5"/>
        <v>0</v>
      </c>
    </row>
    <row r="124" spans="2:12" ht="23" hidden="1" customHeight="1">
      <c r="B124" s="1"/>
      <c r="C124" s="140"/>
      <c r="D124" s="140"/>
      <c r="E124" s="140"/>
      <c r="F124" s="140"/>
      <c r="G124" s="140"/>
      <c r="H124" s="140"/>
      <c r="I124" s="140"/>
      <c r="J124" s="140"/>
      <c r="K124" s="140"/>
      <c r="L124" s="221">
        <f>SUM(L112:L123)</f>
        <v>0</v>
      </c>
    </row>
    <row r="125" spans="2:12" ht="23" hidden="1" customHeight="1"/>
    <row r="126" spans="2:12" ht="23" hidden="1" customHeight="1"/>
    <row r="127" spans="2:12" ht="23" hidden="1" customHeight="1">
      <c r="B127" s="140"/>
      <c r="C127" s="763" t="s">
        <v>352</v>
      </c>
      <c r="D127" s="763"/>
      <c r="E127" s="763"/>
      <c r="F127" s="763"/>
      <c r="G127" s="763"/>
      <c r="H127" s="763"/>
      <c r="I127" s="763"/>
      <c r="J127" s="763"/>
      <c r="K127" s="763"/>
      <c r="L127" s="763"/>
    </row>
    <row r="128" spans="2:12" ht="23" hidden="1" customHeight="1">
      <c r="B128" s="214"/>
      <c r="C128" s="217" t="s">
        <v>66</v>
      </c>
      <c r="D128" s="217" t="s">
        <v>66</v>
      </c>
      <c r="E128" s="217" t="s">
        <v>66</v>
      </c>
      <c r="F128" s="217" t="s">
        <v>66</v>
      </c>
      <c r="G128" s="217" t="s">
        <v>66</v>
      </c>
      <c r="H128" s="217" t="s">
        <v>66</v>
      </c>
      <c r="I128" s="217" t="s">
        <v>66</v>
      </c>
      <c r="J128" s="217" t="s">
        <v>66</v>
      </c>
      <c r="K128" s="217" t="s">
        <v>66</v>
      </c>
      <c r="L128" s="764" t="s">
        <v>69</v>
      </c>
    </row>
    <row r="129" spans="2:12" ht="23" hidden="1" customHeight="1">
      <c r="C129" s="217" t="s">
        <v>68</v>
      </c>
      <c r="D129" s="217" t="s">
        <v>68</v>
      </c>
      <c r="E129" s="217" t="s">
        <v>68</v>
      </c>
      <c r="F129" s="217" t="s">
        <v>68</v>
      </c>
      <c r="G129" s="217" t="s">
        <v>68</v>
      </c>
      <c r="H129" s="217" t="s">
        <v>68</v>
      </c>
      <c r="I129" s="217" t="s">
        <v>68</v>
      </c>
      <c r="J129" s="217" t="s">
        <v>68</v>
      </c>
      <c r="K129" s="217" t="s">
        <v>68</v>
      </c>
      <c r="L129" s="764"/>
    </row>
    <row r="130" spans="2:12" ht="23" hidden="1" customHeight="1">
      <c r="B130" s="218" t="s">
        <v>350</v>
      </c>
      <c r="C130" s="219"/>
      <c r="D130" s="219"/>
      <c r="E130" s="219"/>
      <c r="F130" s="219"/>
      <c r="G130" s="219"/>
      <c r="H130" s="219"/>
      <c r="I130" s="219"/>
      <c r="J130" s="219"/>
      <c r="K130" s="219"/>
      <c r="L130" s="219">
        <f t="shared" ref="L130:L142" si="6">SUM(C130:K130)</f>
        <v>0</v>
      </c>
    </row>
    <row r="131" spans="2:12" ht="23" hidden="1" customHeight="1">
      <c r="B131" s="218" t="s">
        <v>65</v>
      </c>
      <c r="C131" s="219"/>
      <c r="D131" s="219"/>
      <c r="E131" s="219"/>
      <c r="F131" s="219"/>
      <c r="G131" s="219"/>
      <c r="H131" s="219"/>
      <c r="I131" s="219"/>
      <c r="J131" s="219"/>
      <c r="K131" s="219"/>
      <c r="L131" s="219">
        <f t="shared" si="6"/>
        <v>0</v>
      </c>
    </row>
    <row r="132" spans="2:12" ht="23" hidden="1" customHeight="1">
      <c r="B132" s="218" t="s">
        <v>67</v>
      </c>
      <c r="C132" s="219"/>
      <c r="D132" s="219"/>
      <c r="E132" s="219"/>
      <c r="F132" s="219"/>
      <c r="G132" s="219"/>
      <c r="H132" s="219"/>
      <c r="I132" s="219"/>
      <c r="J132" s="219"/>
      <c r="K132" s="219"/>
      <c r="L132" s="219">
        <f t="shared" si="6"/>
        <v>0</v>
      </c>
    </row>
    <row r="133" spans="2:12" ht="23" hidden="1" customHeight="1">
      <c r="B133" s="218" t="s">
        <v>70</v>
      </c>
      <c r="C133" s="219"/>
      <c r="D133" s="219"/>
      <c r="E133" s="219"/>
      <c r="F133" s="219"/>
      <c r="G133" s="219"/>
      <c r="H133" s="219"/>
      <c r="I133" s="219"/>
      <c r="J133" s="219"/>
      <c r="K133" s="219"/>
      <c r="L133" s="219">
        <f t="shared" si="6"/>
        <v>0</v>
      </c>
    </row>
    <row r="134" spans="2:12" ht="23" hidden="1" customHeight="1">
      <c r="B134" s="218" t="s">
        <v>71</v>
      </c>
      <c r="C134" s="219"/>
      <c r="D134" s="219"/>
      <c r="E134" s="219"/>
      <c r="F134" s="219"/>
      <c r="G134" s="219"/>
      <c r="H134" s="219"/>
      <c r="I134" s="219"/>
      <c r="J134" s="219"/>
      <c r="K134" s="219"/>
      <c r="L134" s="219">
        <f t="shared" si="6"/>
        <v>0</v>
      </c>
    </row>
    <row r="135" spans="2:12" ht="23" hidden="1" customHeight="1">
      <c r="B135" s="218" t="s">
        <v>72</v>
      </c>
      <c r="C135" s="219"/>
      <c r="D135" s="219"/>
      <c r="E135" s="219"/>
      <c r="F135" s="219"/>
      <c r="G135" s="219"/>
      <c r="H135" s="219"/>
      <c r="I135" s="219"/>
      <c r="J135" s="219"/>
      <c r="K135" s="219"/>
      <c r="L135" s="219">
        <f t="shared" si="6"/>
        <v>0</v>
      </c>
    </row>
    <row r="136" spans="2:12" ht="23" hidden="1" customHeight="1">
      <c r="B136" s="218" t="s">
        <v>73</v>
      </c>
      <c r="C136" s="219"/>
      <c r="D136" s="219"/>
      <c r="E136" s="219"/>
      <c r="F136" s="219"/>
      <c r="G136" s="219"/>
      <c r="H136" s="219"/>
      <c r="I136" s="219"/>
      <c r="J136" s="219"/>
      <c r="K136" s="219"/>
      <c r="L136" s="219">
        <f t="shared" si="6"/>
        <v>0</v>
      </c>
    </row>
    <row r="137" spans="2:12" ht="23" hidden="1" customHeight="1">
      <c r="B137" s="218" t="s">
        <v>74</v>
      </c>
      <c r="C137" s="219"/>
      <c r="D137" s="219"/>
      <c r="E137" s="219"/>
      <c r="F137" s="219"/>
      <c r="G137" s="219"/>
      <c r="H137" s="219"/>
      <c r="I137" s="219"/>
      <c r="J137" s="219"/>
      <c r="K137" s="219"/>
      <c r="L137" s="219">
        <f t="shared" si="6"/>
        <v>0</v>
      </c>
    </row>
    <row r="138" spans="2:12" ht="23" hidden="1" customHeight="1">
      <c r="B138" s="218" t="s">
        <v>75</v>
      </c>
      <c r="C138" s="219"/>
      <c r="D138" s="219"/>
      <c r="E138" s="219"/>
      <c r="F138" s="219"/>
      <c r="G138" s="219"/>
      <c r="H138" s="219"/>
      <c r="I138" s="219"/>
      <c r="J138" s="219"/>
      <c r="K138" s="219"/>
      <c r="L138" s="219">
        <f t="shared" si="6"/>
        <v>0</v>
      </c>
    </row>
    <row r="139" spans="2:12" ht="23" hidden="1" customHeight="1">
      <c r="B139" s="218" t="s">
        <v>76</v>
      </c>
      <c r="C139" s="219"/>
      <c r="D139" s="219"/>
      <c r="E139" s="219"/>
      <c r="F139" s="219"/>
      <c r="G139" s="219"/>
      <c r="H139" s="219"/>
      <c r="I139" s="219"/>
      <c r="J139" s="219"/>
      <c r="K139" s="219"/>
      <c r="L139" s="219">
        <f t="shared" si="6"/>
        <v>0</v>
      </c>
    </row>
    <row r="140" spans="2:12" ht="23" hidden="1" customHeight="1">
      <c r="B140" s="218" t="s">
        <v>77</v>
      </c>
      <c r="C140" s="219"/>
      <c r="D140" s="219"/>
      <c r="E140" s="219"/>
      <c r="F140" s="219"/>
      <c r="G140" s="219"/>
      <c r="H140" s="219"/>
      <c r="I140" s="219"/>
      <c r="J140" s="219"/>
      <c r="K140" s="219"/>
      <c r="L140" s="219">
        <f t="shared" si="6"/>
        <v>0</v>
      </c>
    </row>
    <row r="141" spans="2:12" ht="23" hidden="1" customHeight="1">
      <c r="B141" s="218" t="s">
        <v>78</v>
      </c>
      <c r="C141" s="219"/>
      <c r="D141" s="219"/>
      <c r="E141" s="219"/>
      <c r="F141" s="219"/>
      <c r="G141" s="219"/>
      <c r="H141" s="219"/>
      <c r="I141" s="219"/>
      <c r="J141" s="219"/>
      <c r="K141" s="219"/>
      <c r="L141" s="219">
        <f t="shared" si="6"/>
        <v>0</v>
      </c>
    </row>
    <row r="142" spans="2:12" ht="23" hidden="1" customHeight="1">
      <c r="B142" s="218" t="s">
        <v>79</v>
      </c>
      <c r="C142" s="219"/>
      <c r="D142" s="219"/>
      <c r="E142" s="219"/>
      <c r="F142" s="219"/>
      <c r="G142" s="219"/>
      <c r="H142" s="219"/>
      <c r="I142" s="219"/>
      <c r="J142" s="219"/>
      <c r="K142" s="219"/>
      <c r="L142" s="219">
        <f t="shared" si="6"/>
        <v>0</v>
      </c>
    </row>
    <row r="143" spans="2:12" ht="23" hidden="1" customHeight="1">
      <c r="B143" s="1"/>
      <c r="C143" s="140"/>
      <c r="D143" s="140"/>
      <c r="E143" s="140"/>
      <c r="F143" s="140"/>
      <c r="G143" s="140"/>
      <c r="H143" s="140"/>
      <c r="I143" s="140"/>
      <c r="J143" s="140"/>
      <c r="K143" s="140"/>
      <c r="L143" s="221">
        <f>SUM(L131:L142)</f>
        <v>0</v>
      </c>
    </row>
  </sheetData>
  <sheetProtection formatCells="0" formatColumns="0" formatRows="0" insertColumns="0" insertRows="0" deleteColumns="0" deleteRows="0"/>
  <mergeCells count="17">
    <mergeCell ref="N13:N14"/>
    <mergeCell ref="B11:F11"/>
    <mergeCell ref="B10:L10"/>
    <mergeCell ref="C108:L108"/>
    <mergeCell ref="L109:L110"/>
    <mergeCell ref="C32:L32"/>
    <mergeCell ref="L33:L34"/>
    <mergeCell ref="C51:L51"/>
    <mergeCell ref="L52:L53"/>
    <mergeCell ref="L14:L15"/>
    <mergeCell ref="C70:L70"/>
    <mergeCell ref="C13:L13"/>
    <mergeCell ref="C127:L127"/>
    <mergeCell ref="L128:L129"/>
    <mergeCell ref="C89:L89"/>
    <mergeCell ref="L90:L91"/>
    <mergeCell ref="L71:L72"/>
  </mergeCells>
  <phoneticPr fontId="8" type="noConversion"/>
  <printOptions horizontalCentered="1"/>
  <pageMargins left="0.7" right="0.7" top="0.75" bottom="0.75" header="0.3" footer="0.3"/>
  <pageSetup scale="34" orientation="portrait" horizontalDpi="1200" verticalDpi="1200" r:id="rId1"/>
  <rowBreaks count="1" manualBreakCount="1">
    <brk id="124"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7B16-8255-F643-B53F-4D6C436EADE3}">
  <sheetPr>
    <pageSetUpPr fitToPage="1"/>
  </sheetPr>
  <dimension ref="B2:N74"/>
  <sheetViews>
    <sheetView view="pageBreakPreview" zoomScale="110" zoomScaleNormal="100" zoomScaleSheetLayoutView="110" workbookViewId="0">
      <selection activeCell="C15" sqref="C15"/>
    </sheetView>
  </sheetViews>
  <sheetFormatPr baseColWidth="10" defaultColWidth="10.83203125" defaultRowHeight="16"/>
  <cols>
    <col min="1" max="1" width="10.83203125" style="378"/>
    <col min="2" max="2" width="41.5" style="378" customWidth="1"/>
    <col min="3" max="14" width="12.5" style="378" customWidth="1"/>
    <col min="15" max="16384" width="10.83203125" style="378"/>
  </cols>
  <sheetData>
    <row r="2" spans="2:14" ht="31" customHeight="1">
      <c r="B2" s="768" t="s">
        <v>530</v>
      </c>
      <c r="C2" s="768"/>
      <c r="D2" s="768"/>
      <c r="E2" s="768"/>
      <c r="F2" s="768"/>
      <c r="G2" s="768"/>
      <c r="H2" s="768"/>
      <c r="I2" s="768"/>
      <c r="J2" s="768"/>
      <c r="K2" s="768"/>
      <c r="L2" s="768"/>
    </row>
    <row r="3" spans="2:14">
      <c r="B3" s="769"/>
      <c r="C3" s="769"/>
      <c r="D3" s="769"/>
      <c r="E3" s="769"/>
      <c r="F3" s="769"/>
      <c r="G3" s="769"/>
      <c r="H3" s="769"/>
      <c r="I3" s="769"/>
    </row>
    <row r="4" spans="2:14">
      <c r="B4" s="379" t="s">
        <v>443</v>
      </c>
      <c r="C4" s="379" t="s">
        <v>673</v>
      </c>
      <c r="D4" s="379"/>
      <c r="E4" s="380"/>
      <c r="F4" s="380"/>
      <c r="G4" s="380"/>
      <c r="H4" s="380"/>
      <c r="I4" s="380"/>
      <c r="J4" s="380"/>
      <c r="K4" s="380"/>
      <c r="L4" s="380"/>
      <c r="M4" s="380"/>
      <c r="N4" s="380"/>
    </row>
    <row r="5" spans="2:14">
      <c r="B5" s="767" t="s">
        <v>527</v>
      </c>
      <c r="C5" s="767"/>
      <c r="D5" s="767"/>
      <c r="E5" s="767"/>
      <c r="F5" s="767"/>
      <c r="G5" s="767"/>
      <c r="H5" s="767"/>
      <c r="I5" s="767"/>
      <c r="J5" s="767"/>
      <c r="K5" s="767"/>
      <c r="L5" s="767"/>
      <c r="M5" s="767"/>
      <c r="N5" s="767"/>
    </row>
    <row r="7" spans="2:14">
      <c r="B7" s="381" t="s">
        <v>528</v>
      </c>
      <c r="C7" s="381" t="s">
        <v>115</v>
      </c>
      <c r="D7" s="381" t="s">
        <v>67</v>
      </c>
      <c r="E7" s="381" t="s">
        <v>70</v>
      </c>
      <c r="F7" s="381" t="s">
        <v>71</v>
      </c>
      <c r="G7" s="381" t="s">
        <v>72</v>
      </c>
      <c r="H7" s="381" t="s">
        <v>73</v>
      </c>
      <c r="I7" s="381" t="s">
        <v>74</v>
      </c>
      <c r="J7" s="381" t="s">
        <v>75</v>
      </c>
      <c r="K7" s="381" t="s">
        <v>76</v>
      </c>
      <c r="L7" s="381" t="s">
        <v>77</v>
      </c>
      <c r="M7" s="381" t="s">
        <v>78</v>
      </c>
      <c r="N7" s="381" t="s">
        <v>79</v>
      </c>
    </row>
    <row r="8" spans="2:14">
      <c r="B8" s="382"/>
      <c r="C8" s="382"/>
      <c r="D8" s="382"/>
      <c r="E8" s="382"/>
      <c r="F8" s="382"/>
      <c r="G8" s="382"/>
      <c r="H8" s="382"/>
      <c r="I8" s="382"/>
      <c r="J8" s="382"/>
      <c r="K8" s="382"/>
      <c r="L8" s="382"/>
      <c r="M8" s="382"/>
      <c r="N8" s="382"/>
    </row>
    <row r="9" spans="2:14">
      <c r="B9" s="382"/>
      <c r="C9" s="382"/>
      <c r="D9" s="382"/>
      <c r="E9" s="382"/>
      <c r="F9" s="382"/>
      <c r="G9" s="382"/>
      <c r="H9" s="382"/>
      <c r="I9" s="382"/>
      <c r="J9" s="382"/>
      <c r="K9" s="382"/>
      <c r="L9" s="382"/>
      <c r="M9" s="382"/>
      <c r="N9" s="382"/>
    </row>
    <row r="10" spans="2:14">
      <c r="B10" s="382"/>
      <c r="C10" s="382"/>
      <c r="D10" s="382"/>
      <c r="E10" s="382"/>
      <c r="F10" s="382"/>
      <c r="G10" s="382"/>
      <c r="H10" s="382"/>
      <c r="I10" s="382"/>
      <c r="J10" s="382"/>
      <c r="K10" s="382"/>
      <c r="L10" s="382"/>
      <c r="M10" s="382"/>
      <c r="N10" s="382"/>
    </row>
    <row r="11" spans="2:14">
      <c r="B11" s="382"/>
      <c r="C11" s="382"/>
      <c r="D11" s="382"/>
      <c r="E11" s="382"/>
      <c r="F11" s="382"/>
      <c r="G11" s="382"/>
      <c r="H11" s="382"/>
      <c r="I11" s="382"/>
      <c r="J11" s="382"/>
      <c r="K11" s="382"/>
      <c r="L11" s="382"/>
      <c r="M11" s="382"/>
      <c r="N11" s="382"/>
    </row>
    <row r="12" spans="2:14">
      <c r="B12" s="382"/>
      <c r="C12" s="382"/>
      <c r="D12" s="382"/>
      <c r="E12" s="382"/>
      <c r="F12" s="382"/>
      <c r="G12" s="382"/>
      <c r="H12" s="382"/>
      <c r="I12" s="382"/>
      <c r="J12" s="382"/>
      <c r="K12" s="382"/>
      <c r="L12" s="382"/>
      <c r="M12" s="382"/>
      <c r="N12" s="382"/>
    </row>
    <row r="13" spans="2:14">
      <c r="B13" s="382"/>
      <c r="C13" s="382"/>
      <c r="D13" s="382"/>
      <c r="E13" s="382"/>
      <c r="F13" s="382"/>
      <c r="G13" s="382"/>
      <c r="H13" s="382"/>
      <c r="I13" s="382"/>
      <c r="J13" s="382"/>
      <c r="K13" s="382"/>
      <c r="L13" s="382"/>
      <c r="M13" s="382"/>
      <c r="N13" s="382"/>
    </row>
    <row r="14" spans="2:14">
      <c r="B14" s="383" t="s">
        <v>529</v>
      </c>
      <c r="C14" s="384">
        <f>SUM(C9:C13)</f>
        <v>0</v>
      </c>
      <c r="D14" s="384">
        <f t="shared" ref="D14:N14" si="0">SUM(D9:D13)</f>
        <v>0</v>
      </c>
      <c r="E14" s="384">
        <f t="shared" si="0"/>
        <v>0</v>
      </c>
      <c r="F14" s="384">
        <f t="shared" si="0"/>
        <v>0</v>
      </c>
      <c r="G14" s="384">
        <f t="shared" si="0"/>
        <v>0</v>
      </c>
      <c r="H14" s="384">
        <f t="shared" si="0"/>
        <v>0</v>
      </c>
      <c r="I14" s="384">
        <f t="shared" si="0"/>
        <v>0</v>
      </c>
      <c r="J14" s="384">
        <f t="shared" si="0"/>
        <v>0</v>
      </c>
      <c r="K14" s="384">
        <f t="shared" si="0"/>
        <v>0</v>
      </c>
      <c r="L14" s="384">
        <f t="shared" si="0"/>
        <v>0</v>
      </c>
      <c r="M14" s="384">
        <f t="shared" si="0"/>
        <v>0</v>
      </c>
      <c r="N14" s="384">
        <f t="shared" si="0"/>
        <v>0</v>
      </c>
    </row>
    <row r="16" spans="2:14">
      <c r="B16" s="767" t="s">
        <v>527</v>
      </c>
      <c r="C16" s="767"/>
      <c r="D16" s="767"/>
      <c r="E16" s="767"/>
      <c r="F16" s="767"/>
      <c r="G16" s="767"/>
      <c r="H16" s="767"/>
      <c r="I16" s="767"/>
      <c r="J16" s="767"/>
      <c r="K16" s="767"/>
      <c r="L16" s="767"/>
      <c r="M16" s="767"/>
      <c r="N16" s="767"/>
    </row>
    <row r="17" spans="2:14">
      <c r="B17" s="381" t="s">
        <v>528</v>
      </c>
      <c r="C17" s="381" t="s">
        <v>115</v>
      </c>
      <c r="D17" s="381" t="s">
        <v>67</v>
      </c>
      <c r="E17" s="381" t="s">
        <v>70</v>
      </c>
      <c r="F17" s="381" t="s">
        <v>71</v>
      </c>
      <c r="G17" s="381" t="s">
        <v>72</v>
      </c>
      <c r="H17" s="381" t="s">
        <v>73</v>
      </c>
      <c r="I17" s="381" t="s">
        <v>74</v>
      </c>
      <c r="J17" s="381" t="s">
        <v>75</v>
      </c>
      <c r="K17" s="381" t="s">
        <v>76</v>
      </c>
      <c r="L17" s="381" t="s">
        <v>77</v>
      </c>
      <c r="M17" s="381" t="s">
        <v>78</v>
      </c>
      <c r="N17" s="381" t="s">
        <v>79</v>
      </c>
    </row>
    <row r="18" spans="2:14">
      <c r="B18" s="382"/>
      <c r="C18" s="382"/>
      <c r="D18" s="382"/>
      <c r="E18" s="382"/>
      <c r="F18" s="382"/>
      <c r="G18" s="382"/>
      <c r="H18" s="382"/>
      <c r="I18" s="382"/>
      <c r="J18" s="382"/>
      <c r="K18" s="382"/>
      <c r="L18" s="382"/>
      <c r="M18" s="382"/>
      <c r="N18" s="382"/>
    </row>
    <row r="19" spans="2:14">
      <c r="B19" s="382"/>
      <c r="C19" s="382"/>
      <c r="D19" s="382"/>
      <c r="E19" s="382"/>
      <c r="F19" s="382"/>
      <c r="G19" s="382"/>
      <c r="H19" s="382"/>
      <c r="I19" s="382"/>
      <c r="J19" s="382"/>
      <c r="K19" s="382"/>
      <c r="L19" s="382"/>
      <c r="M19" s="382"/>
      <c r="N19" s="382"/>
    </row>
    <row r="20" spans="2:14">
      <c r="B20" s="382"/>
      <c r="C20" s="382"/>
      <c r="D20" s="382"/>
      <c r="E20" s="382"/>
      <c r="F20" s="382"/>
      <c r="G20" s="382"/>
      <c r="H20" s="382"/>
      <c r="I20" s="382"/>
      <c r="J20" s="382"/>
      <c r="K20" s="382"/>
      <c r="L20" s="382"/>
      <c r="M20" s="382"/>
      <c r="N20" s="382"/>
    </row>
    <row r="21" spans="2:14">
      <c r="B21" s="382"/>
      <c r="C21" s="382"/>
      <c r="D21" s="382"/>
      <c r="E21" s="382"/>
      <c r="F21" s="382"/>
      <c r="G21" s="382"/>
      <c r="H21" s="382"/>
      <c r="I21" s="382"/>
      <c r="J21" s="382"/>
      <c r="K21" s="382"/>
      <c r="L21" s="382"/>
      <c r="M21" s="382"/>
      <c r="N21" s="382"/>
    </row>
    <row r="22" spans="2:14">
      <c r="B22" s="382"/>
      <c r="C22" s="382"/>
      <c r="D22" s="382"/>
      <c r="E22" s="382"/>
      <c r="F22" s="382"/>
      <c r="G22" s="382"/>
      <c r="H22" s="382"/>
      <c r="I22" s="382"/>
      <c r="J22" s="382"/>
      <c r="K22" s="382"/>
      <c r="L22" s="382"/>
      <c r="M22" s="382"/>
      <c r="N22" s="382"/>
    </row>
    <row r="23" spans="2:14">
      <c r="B23" s="382"/>
      <c r="C23" s="382"/>
      <c r="D23" s="382"/>
      <c r="E23" s="382"/>
      <c r="F23" s="382"/>
      <c r="G23" s="382"/>
      <c r="H23" s="382"/>
      <c r="I23" s="382"/>
      <c r="J23" s="382"/>
      <c r="K23" s="382"/>
      <c r="L23" s="382"/>
      <c r="M23" s="382"/>
      <c r="N23" s="382"/>
    </row>
    <row r="24" spans="2:14">
      <c r="B24" s="383" t="s">
        <v>529</v>
      </c>
      <c r="C24" s="384">
        <f>SUM(C19:C23)</f>
        <v>0</v>
      </c>
      <c r="D24" s="384">
        <f t="shared" ref="D24:N24" si="1">SUM(D19:D23)</f>
        <v>0</v>
      </c>
      <c r="E24" s="384">
        <f t="shared" si="1"/>
        <v>0</v>
      </c>
      <c r="F24" s="384">
        <f t="shared" si="1"/>
        <v>0</v>
      </c>
      <c r="G24" s="384">
        <f t="shared" si="1"/>
        <v>0</v>
      </c>
      <c r="H24" s="384">
        <f t="shared" si="1"/>
        <v>0</v>
      </c>
      <c r="I24" s="384">
        <f t="shared" si="1"/>
        <v>0</v>
      </c>
      <c r="J24" s="384">
        <f t="shared" si="1"/>
        <v>0</v>
      </c>
      <c r="K24" s="384">
        <f t="shared" si="1"/>
        <v>0</v>
      </c>
      <c r="L24" s="384">
        <f t="shared" si="1"/>
        <v>0</v>
      </c>
      <c r="M24" s="384">
        <f t="shared" si="1"/>
        <v>0</v>
      </c>
      <c r="N24" s="384">
        <f t="shared" si="1"/>
        <v>0</v>
      </c>
    </row>
    <row r="26" spans="2:14">
      <c r="B26" s="767" t="s">
        <v>527</v>
      </c>
      <c r="C26" s="767"/>
      <c r="D26" s="767"/>
      <c r="E26" s="767"/>
      <c r="F26" s="767"/>
      <c r="G26" s="767"/>
      <c r="H26" s="767"/>
      <c r="I26" s="767"/>
      <c r="J26" s="767"/>
      <c r="K26" s="767"/>
      <c r="L26" s="767"/>
      <c r="M26" s="767"/>
      <c r="N26" s="767"/>
    </row>
    <row r="27" spans="2:14">
      <c r="B27" s="381" t="s">
        <v>528</v>
      </c>
      <c r="C27" s="381" t="s">
        <v>115</v>
      </c>
      <c r="D27" s="381" t="s">
        <v>67</v>
      </c>
      <c r="E27" s="381" t="s">
        <v>70</v>
      </c>
      <c r="F27" s="381" t="s">
        <v>71</v>
      </c>
      <c r="G27" s="381" t="s">
        <v>72</v>
      </c>
      <c r="H27" s="381" t="s">
        <v>73</v>
      </c>
      <c r="I27" s="381" t="s">
        <v>74</v>
      </c>
      <c r="J27" s="381" t="s">
        <v>75</v>
      </c>
      <c r="K27" s="381" t="s">
        <v>76</v>
      </c>
      <c r="L27" s="381" t="s">
        <v>77</v>
      </c>
      <c r="M27" s="381" t="s">
        <v>78</v>
      </c>
      <c r="N27" s="381" t="s">
        <v>79</v>
      </c>
    </row>
    <row r="28" spans="2:14">
      <c r="B28" s="382"/>
      <c r="C28" s="382"/>
      <c r="D28" s="382"/>
      <c r="E28" s="382"/>
      <c r="F28" s="382"/>
      <c r="G28" s="382"/>
      <c r="H28" s="382"/>
      <c r="I28" s="382"/>
      <c r="J28" s="382"/>
      <c r="K28" s="382"/>
      <c r="L28" s="382"/>
      <c r="M28" s="382"/>
      <c r="N28" s="382"/>
    </row>
    <row r="29" spans="2:14">
      <c r="B29" s="382"/>
      <c r="C29" s="382"/>
      <c r="D29" s="382"/>
      <c r="E29" s="382"/>
      <c r="F29" s="382"/>
      <c r="G29" s="382"/>
      <c r="H29" s="382"/>
      <c r="I29" s="382"/>
      <c r="J29" s="382"/>
      <c r="K29" s="382"/>
      <c r="L29" s="382"/>
      <c r="M29" s="382"/>
      <c r="N29" s="382"/>
    </row>
    <row r="30" spans="2:14">
      <c r="B30" s="382"/>
      <c r="C30" s="382"/>
      <c r="D30" s="382"/>
      <c r="E30" s="382"/>
      <c r="F30" s="382"/>
      <c r="G30" s="382"/>
      <c r="H30" s="382"/>
      <c r="I30" s="382"/>
      <c r="J30" s="382"/>
      <c r="K30" s="382"/>
      <c r="L30" s="382"/>
      <c r="M30" s="382"/>
      <c r="N30" s="382"/>
    </row>
    <row r="31" spans="2:14">
      <c r="B31" s="382"/>
      <c r="C31" s="382"/>
      <c r="D31" s="382"/>
      <c r="E31" s="382"/>
      <c r="F31" s="382"/>
      <c r="G31" s="382"/>
      <c r="H31" s="382"/>
      <c r="I31" s="382"/>
      <c r="J31" s="382"/>
      <c r="K31" s="382"/>
      <c r="L31" s="382"/>
      <c r="M31" s="382"/>
      <c r="N31" s="382"/>
    </row>
    <row r="32" spans="2:14">
      <c r="B32" s="382"/>
      <c r="C32" s="382"/>
      <c r="D32" s="382"/>
      <c r="E32" s="382"/>
      <c r="F32" s="382"/>
      <c r="G32" s="382"/>
      <c r="H32" s="382"/>
      <c r="I32" s="382"/>
      <c r="J32" s="382"/>
      <c r="K32" s="382"/>
      <c r="L32" s="382"/>
      <c r="M32" s="382"/>
      <c r="N32" s="382"/>
    </row>
    <row r="33" spans="2:14">
      <c r="B33" s="382"/>
      <c r="C33" s="382"/>
      <c r="D33" s="382"/>
      <c r="E33" s="382"/>
      <c r="F33" s="382"/>
      <c r="G33" s="382"/>
      <c r="H33" s="382"/>
      <c r="I33" s="382"/>
      <c r="J33" s="382"/>
      <c r="K33" s="382"/>
      <c r="L33" s="382"/>
      <c r="M33" s="382"/>
      <c r="N33" s="382"/>
    </row>
    <row r="34" spans="2:14">
      <c r="B34" s="383" t="s">
        <v>529</v>
      </c>
      <c r="C34" s="384">
        <f t="shared" ref="C34:N34" si="2">SUM(C29:C33)</f>
        <v>0</v>
      </c>
      <c r="D34" s="384">
        <f t="shared" si="2"/>
        <v>0</v>
      </c>
      <c r="E34" s="384">
        <f t="shared" si="2"/>
        <v>0</v>
      </c>
      <c r="F34" s="384">
        <f t="shared" si="2"/>
        <v>0</v>
      </c>
      <c r="G34" s="384">
        <f t="shared" si="2"/>
        <v>0</v>
      </c>
      <c r="H34" s="384">
        <f t="shared" si="2"/>
        <v>0</v>
      </c>
      <c r="I34" s="384">
        <f t="shared" si="2"/>
        <v>0</v>
      </c>
      <c r="J34" s="384">
        <f t="shared" si="2"/>
        <v>0</v>
      </c>
      <c r="K34" s="384">
        <f t="shared" si="2"/>
        <v>0</v>
      </c>
      <c r="L34" s="384">
        <f t="shared" si="2"/>
        <v>0</v>
      </c>
      <c r="M34" s="384">
        <f t="shared" si="2"/>
        <v>0</v>
      </c>
      <c r="N34" s="384">
        <f t="shared" si="2"/>
        <v>0</v>
      </c>
    </row>
    <row r="36" spans="2:14">
      <c r="B36" s="767" t="s">
        <v>527</v>
      </c>
      <c r="C36" s="767"/>
      <c r="D36" s="767"/>
      <c r="E36" s="767"/>
      <c r="F36" s="767"/>
      <c r="G36" s="767"/>
      <c r="H36" s="767"/>
      <c r="I36" s="767"/>
      <c r="J36" s="767"/>
      <c r="K36" s="767"/>
      <c r="L36" s="767"/>
      <c r="M36" s="767"/>
      <c r="N36" s="767"/>
    </row>
    <row r="37" spans="2:14">
      <c r="B37" s="381" t="s">
        <v>528</v>
      </c>
      <c r="C37" s="381" t="s">
        <v>115</v>
      </c>
      <c r="D37" s="381" t="s">
        <v>67</v>
      </c>
      <c r="E37" s="381" t="s">
        <v>70</v>
      </c>
      <c r="F37" s="381" t="s">
        <v>71</v>
      </c>
      <c r="G37" s="381" t="s">
        <v>72</v>
      </c>
      <c r="H37" s="381" t="s">
        <v>73</v>
      </c>
      <c r="I37" s="381" t="s">
        <v>74</v>
      </c>
      <c r="J37" s="381" t="s">
        <v>75</v>
      </c>
      <c r="K37" s="381" t="s">
        <v>76</v>
      </c>
      <c r="L37" s="381" t="s">
        <v>77</v>
      </c>
      <c r="M37" s="381" t="s">
        <v>78</v>
      </c>
      <c r="N37" s="381" t="s">
        <v>79</v>
      </c>
    </row>
    <row r="38" spans="2:14">
      <c r="B38" s="382"/>
      <c r="C38" s="382"/>
      <c r="D38" s="382"/>
      <c r="E38" s="382"/>
      <c r="F38" s="382"/>
      <c r="G38" s="382"/>
      <c r="H38" s="382"/>
      <c r="I38" s="382"/>
      <c r="J38" s="382"/>
      <c r="K38" s="382"/>
      <c r="L38" s="382"/>
      <c r="M38" s="382"/>
      <c r="N38" s="382"/>
    </row>
    <row r="39" spans="2:14">
      <c r="B39" s="382"/>
      <c r="C39" s="382"/>
      <c r="D39" s="382"/>
      <c r="E39" s="382"/>
      <c r="F39" s="382"/>
      <c r="G39" s="382"/>
      <c r="H39" s="382"/>
      <c r="I39" s="382"/>
      <c r="J39" s="382"/>
      <c r="K39" s="382"/>
      <c r="L39" s="382"/>
      <c r="M39" s="382"/>
      <c r="N39" s="382"/>
    </row>
    <row r="40" spans="2:14">
      <c r="B40" s="382"/>
      <c r="C40" s="382"/>
      <c r="D40" s="382"/>
      <c r="E40" s="382"/>
      <c r="F40" s="382"/>
      <c r="G40" s="382"/>
      <c r="H40" s="382"/>
      <c r="I40" s="382"/>
      <c r="J40" s="382"/>
      <c r="K40" s="382"/>
      <c r="L40" s="382"/>
      <c r="M40" s="382"/>
      <c r="N40" s="382"/>
    </row>
    <row r="41" spans="2:14">
      <c r="B41" s="382"/>
      <c r="C41" s="382"/>
      <c r="D41" s="382"/>
      <c r="E41" s="382"/>
      <c r="F41" s="382"/>
      <c r="G41" s="382"/>
      <c r="H41" s="382"/>
      <c r="I41" s="382"/>
      <c r="J41" s="382"/>
      <c r="K41" s="382"/>
      <c r="L41" s="382"/>
      <c r="M41" s="382"/>
      <c r="N41" s="382"/>
    </row>
    <row r="42" spans="2:14">
      <c r="B42" s="382"/>
      <c r="C42" s="382"/>
      <c r="D42" s="382"/>
      <c r="E42" s="382"/>
      <c r="F42" s="382"/>
      <c r="G42" s="382"/>
      <c r="H42" s="382"/>
      <c r="I42" s="382"/>
      <c r="J42" s="382"/>
      <c r="K42" s="382"/>
      <c r="L42" s="382"/>
      <c r="M42" s="382"/>
      <c r="N42" s="382"/>
    </row>
    <row r="43" spans="2:14">
      <c r="B43" s="382"/>
      <c r="C43" s="382"/>
      <c r="D43" s="382"/>
      <c r="E43" s="382"/>
      <c r="F43" s="382"/>
      <c r="G43" s="382"/>
      <c r="H43" s="382"/>
      <c r="I43" s="382"/>
      <c r="J43" s="382"/>
      <c r="K43" s="382"/>
      <c r="L43" s="382"/>
      <c r="M43" s="382"/>
      <c r="N43" s="382"/>
    </row>
    <row r="44" spans="2:14">
      <c r="B44" s="383" t="s">
        <v>529</v>
      </c>
      <c r="C44" s="384">
        <f>SUM(C39:C43)</f>
        <v>0</v>
      </c>
      <c r="D44" s="384">
        <f t="shared" ref="D44:N44" si="3">SUM(D39:D43)</f>
        <v>0</v>
      </c>
      <c r="E44" s="384">
        <f t="shared" si="3"/>
        <v>0</v>
      </c>
      <c r="F44" s="384">
        <f t="shared" si="3"/>
        <v>0</v>
      </c>
      <c r="G44" s="384">
        <f t="shared" si="3"/>
        <v>0</v>
      </c>
      <c r="H44" s="384">
        <f t="shared" si="3"/>
        <v>0</v>
      </c>
      <c r="I44" s="384">
        <f t="shared" si="3"/>
        <v>0</v>
      </c>
      <c r="J44" s="384">
        <f t="shared" si="3"/>
        <v>0</v>
      </c>
      <c r="K44" s="384">
        <f t="shared" si="3"/>
        <v>0</v>
      </c>
      <c r="L44" s="384">
        <f t="shared" si="3"/>
        <v>0</v>
      </c>
      <c r="M44" s="384">
        <f t="shared" si="3"/>
        <v>0</v>
      </c>
      <c r="N44" s="384">
        <f t="shared" si="3"/>
        <v>0</v>
      </c>
    </row>
    <row r="46" spans="2:14">
      <c r="B46" s="767" t="s">
        <v>527</v>
      </c>
      <c r="C46" s="767"/>
      <c r="D46" s="767"/>
      <c r="E46" s="767"/>
      <c r="F46" s="767"/>
      <c r="G46" s="767"/>
      <c r="H46" s="767"/>
      <c r="I46" s="767"/>
      <c r="J46" s="767"/>
      <c r="K46" s="767"/>
      <c r="L46" s="767"/>
      <c r="M46" s="767"/>
      <c r="N46" s="767"/>
    </row>
    <row r="47" spans="2:14">
      <c r="B47" s="381" t="s">
        <v>528</v>
      </c>
      <c r="C47" s="381" t="s">
        <v>115</v>
      </c>
      <c r="D47" s="381" t="s">
        <v>67</v>
      </c>
      <c r="E47" s="381" t="s">
        <v>70</v>
      </c>
      <c r="F47" s="381" t="s">
        <v>71</v>
      </c>
      <c r="G47" s="381" t="s">
        <v>72</v>
      </c>
      <c r="H47" s="381" t="s">
        <v>73</v>
      </c>
      <c r="I47" s="381" t="s">
        <v>74</v>
      </c>
      <c r="J47" s="381" t="s">
        <v>75</v>
      </c>
      <c r="K47" s="381" t="s">
        <v>76</v>
      </c>
      <c r="L47" s="381" t="s">
        <v>77</v>
      </c>
      <c r="M47" s="381" t="s">
        <v>78</v>
      </c>
      <c r="N47" s="381" t="s">
        <v>79</v>
      </c>
    </row>
    <row r="48" spans="2:14">
      <c r="B48" s="382"/>
      <c r="C48" s="382"/>
      <c r="D48" s="382"/>
      <c r="E48" s="382"/>
      <c r="F48" s="382"/>
      <c r="G48" s="382"/>
      <c r="H48" s="382"/>
      <c r="I48" s="382"/>
      <c r="J48" s="382"/>
      <c r="K48" s="382"/>
      <c r="L48" s="382"/>
      <c r="M48" s="382"/>
      <c r="N48" s="382"/>
    </row>
    <row r="49" spans="2:14">
      <c r="B49" s="382"/>
      <c r="C49" s="382"/>
      <c r="D49" s="382"/>
      <c r="E49" s="382"/>
      <c r="F49" s="382"/>
      <c r="G49" s="382"/>
      <c r="H49" s="382"/>
      <c r="I49" s="382"/>
      <c r="J49" s="382"/>
      <c r="K49" s="382"/>
      <c r="L49" s="382"/>
      <c r="M49" s="382"/>
      <c r="N49" s="382"/>
    </row>
    <row r="50" spans="2:14">
      <c r="B50" s="382"/>
      <c r="C50" s="382"/>
      <c r="D50" s="382"/>
      <c r="E50" s="382"/>
      <c r="F50" s="382"/>
      <c r="G50" s="382"/>
      <c r="H50" s="382"/>
      <c r="I50" s="382"/>
      <c r="J50" s="382"/>
      <c r="K50" s="382"/>
      <c r="L50" s="382"/>
      <c r="M50" s="382"/>
      <c r="N50" s="382"/>
    </row>
    <row r="51" spans="2:14">
      <c r="B51" s="382"/>
      <c r="C51" s="382"/>
      <c r="D51" s="382"/>
      <c r="E51" s="382"/>
      <c r="F51" s="382"/>
      <c r="G51" s="382"/>
      <c r="H51" s="382"/>
      <c r="I51" s="382"/>
      <c r="J51" s="382"/>
      <c r="K51" s="382"/>
      <c r="L51" s="382"/>
      <c r="M51" s="382"/>
      <c r="N51" s="382"/>
    </row>
    <row r="52" spans="2:14">
      <c r="B52" s="382"/>
      <c r="C52" s="382"/>
      <c r="D52" s="382"/>
      <c r="E52" s="382"/>
      <c r="F52" s="382"/>
      <c r="G52" s="382"/>
      <c r="H52" s="382"/>
      <c r="I52" s="382"/>
      <c r="J52" s="382"/>
      <c r="K52" s="382"/>
      <c r="L52" s="382"/>
      <c r="M52" s="382"/>
      <c r="N52" s="382"/>
    </row>
    <row r="53" spans="2:14">
      <c r="B53" s="382"/>
      <c r="C53" s="382"/>
      <c r="D53" s="382"/>
      <c r="E53" s="382"/>
      <c r="F53" s="382"/>
      <c r="G53" s="382"/>
      <c r="H53" s="382"/>
      <c r="I53" s="382"/>
      <c r="J53" s="382"/>
      <c r="K53" s="382"/>
      <c r="L53" s="382"/>
      <c r="M53" s="382"/>
      <c r="N53" s="382"/>
    </row>
    <row r="54" spans="2:14">
      <c r="B54" s="383" t="s">
        <v>529</v>
      </c>
      <c r="C54" s="384">
        <f>SUM(C49:C53)</f>
        <v>0</v>
      </c>
      <c r="D54" s="384">
        <f t="shared" ref="D54:N54" si="4">SUM(D49:D53)</f>
        <v>0</v>
      </c>
      <c r="E54" s="384">
        <f t="shared" si="4"/>
        <v>0</v>
      </c>
      <c r="F54" s="384">
        <f t="shared" si="4"/>
        <v>0</v>
      </c>
      <c r="G54" s="384">
        <f t="shared" si="4"/>
        <v>0</v>
      </c>
      <c r="H54" s="384">
        <f t="shared" si="4"/>
        <v>0</v>
      </c>
      <c r="I54" s="384">
        <f t="shared" si="4"/>
        <v>0</v>
      </c>
      <c r="J54" s="384">
        <f t="shared" si="4"/>
        <v>0</v>
      </c>
      <c r="K54" s="384">
        <f t="shared" si="4"/>
        <v>0</v>
      </c>
      <c r="L54" s="384">
        <f t="shared" si="4"/>
        <v>0</v>
      </c>
      <c r="M54" s="384">
        <f t="shared" si="4"/>
        <v>0</v>
      </c>
      <c r="N54" s="384">
        <f t="shared" si="4"/>
        <v>0</v>
      </c>
    </row>
    <row r="56" spans="2:14">
      <c r="B56" s="767" t="s">
        <v>527</v>
      </c>
      <c r="C56" s="767"/>
      <c r="D56" s="767"/>
      <c r="E56" s="767"/>
      <c r="F56" s="767"/>
      <c r="G56" s="767"/>
      <c r="H56" s="767"/>
      <c r="I56" s="767"/>
      <c r="J56" s="767"/>
      <c r="K56" s="767"/>
      <c r="L56" s="767"/>
      <c r="M56" s="767"/>
      <c r="N56" s="767"/>
    </row>
    <row r="57" spans="2:14">
      <c r="B57" s="381" t="s">
        <v>528</v>
      </c>
      <c r="C57" s="381" t="s">
        <v>115</v>
      </c>
      <c r="D57" s="381" t="s">
        <v>67</v>
      </c>
      <c r="E57" s="381" t="s">
        <v>70</v>
      </c>
      <c r="F57" s="381" t="s">
        <v>71</v>
      </c>
      <c r="G57" s="381" t="s">
        <v>72</v>
      </c>
      <c r="H57" s="381" t="s">
        <v>73</v>
      </c>
      <c r="I57" s="381" t="s">
        <v>74</v>
      </c>
      <c r="J57" s="381" t="s">
        <v>75</v>
      </c>
      <c r="K57" s="381" t="s">
        <v>76</v>
      </c>
      <c r="L57" s="381" t="s">
        <v>77</v>
      </c>
      <c r="M57" s="381" t="s">
        <v>78</v>
      </c>
      <c r="N57" s="381" t="s">
        <v>79</v>
      </c>
    </row>
    <row r="58" spans="2:14">
      <c r="B58" s="382"/>
      <c r="C58" s="382"/>
      <c r="D58" s="382"/>
      <c r="E58" s="382"/>
      <c r="F58" s="382"/>
      <c r="G58" s="382"/>
      <c r="H58" s="382"/>
      <c r="I58" s="382"/>
      <c r="J58" s="382"/>
      <c r="K58" s="382"/>
      <c r="L58" s="382"/>
      <c r="M58" s="382"/>
      <c r="N58" s="382"/>
    </row>
    <row r="59" spans="2:14">
      <c r="B59" s="382"/>
      <c r="C59" s="382"/>
      <c r="D59" s="382"/>
      <c r="E59" s="382"/>
      <c r="F59" s="382"/>
      <c r="G59" s="382"/>
      <c r="H59" s="382"/>
      <c r="I59" s="382"/>
      <c r="J59" s="382"/>
      <c r="K59" s="382"/>
      <c r="L59" s="382"/>
      <c r="M59" s="382"/>
      <c r="N59" s="382"/>
    </row>
    <row r="60" spans="2:14">
      <c r="B60" s="382"/>
      <c r="C60" s="382"/>
      <c r="D60" s="382"/>
      <c r="E60" s="382"/>
      <c r="F60" s="382"/>
      <c r="G60" s="382"/>
      <c r="H60" s="382"/>
      <c r="I60" s="382"/>
      <c r="J60" s="382"/>
      <c r="K60" s="382"/>
      <c r="L60" s="382"/>
      <c r="M60" s="382"/>
      <c r="N60" s="382"/>
    </row>
    <row r="61" spans="2:14">
      <c r="B61" s="382"/>
      <c r="C61" s="382"/>
      <c r="D61" s="382"/>
      <c r="E61" s="382"/>
      <c r="F61" s="382"/>
      <c r="G61" s="382"/>
      <c r="H61" s="382"/>
      <c r="I61" s="382"/>
      <c r="J61" s="382"/>
      <c r="K61" s="382"/>
      <c r="L61" s="382"/>
      <c r="M61" s="382"/>
      <c r="N61" s="382"/>
    </row>
    <row r="62" spans="2:14">
      <c r="B62" s="382"/>
      <c r="C62" s="382"/>
      <c r="D62" s="382"/>
      <c r="E62" s="382"/>
      <c r="F62" s="382"/>
      <c r="G62" s="382"/>
      <c r="H62" s="382"/>
      <c r="I62" s="382"/>
      <c r="J62" s="382"/>
      <c r="K62" s="382"/>
      <c r="L62" s="382"/>
      <c r="M62" s="382"/>
      <c r="N62" s="382"/>
    </row>
    <row r="63" spans="2:14">
      <c r="B63" s="382"/>
      <c r="C63" s="382"/>
      <c r="D63" s="382"/>
      <c r="E63" s="382"/>
      <c r="F63" s="382"/>
      <c r="G63" s="382"/>
      <c r="H63" s="382"/>
      <c r="I63" s="382"/>
      <c r="J63" s="382"/>
      <c r="K63" s="382"/>
      <c r="L63" s="382"/>
      <c r="M63" s="382"/>
      <c r="N63" s="382"/>
    </row>
    <row r="64" spans="2:14">
      <c r="B64" s="383" t="s">
        <v>529</v>
      </c>
      <c r="C64" s="384">
        <f>SUM(C59:C63)</f>
        <v>0</v>
      </c>
      <c r="D64" s="384">
        <f t="shared" ref="D64:N64" si="5">SUM(D59:D63)</f>
        <v>0</v>
      </c>
      <c r="E64" s="384">
        <f t="shared" si="5"/>
        <v>0</v>
      </c>
      <c r="F64" s="384">
        <f t="shared" si="5"/>
        <v>0</v>
      </c>
      <c r="G64" s="384">
        <f t="shared" si="5"/>
        <v>0</v>
      </c>
      <c r="H64" s="384">
        <f t="shared" si="5"/>
        <v>0</v>
      </c>
      <c r="I64" s="384">
        <f t="shared" si="5"/>
        <v>0</v>
      </c>
      <c r="J64" s="384">
        <f t="shared" si="5"/>
        <v>0</v>
      </c>
      <c r="K64" s="384">
        <f t="shared" si="5"/>
        <v>0</v>
      </c>
      <c r="L64" s="384">
        <f t="shared" si="5"/>
        <v>0</v>
      </c>
      <c r="M64" s="384">
        <f t="shared" si="5"/>
        <v>0</v>
      </c>
      <c r="N64" s="384">
        <f t="shared" si="5"/>
        <v>0</v>
      </c>
    </row>
    <row r="66" spans="2:14">
      <c r="B66" s="767" t="s">
        <v>527</v>
      </c>
      <c r="C66" s="767"/>
      <c r="D66" s="767"/>
      <c r="E66" s="767"/>
      <c r="F66" s="767"/>
      <c r="G66" s="767"/>
      <c r="H66" s="767"/>
      <c r="I66" s="767"/>
      <c r="J66" s="767"/>
      <c r="K66" s="767"/>
      <c r="L66" s="767"/>
      <c r="M66" s="767"/>
      <c r="N66" s="767"/>
    </row>
    <row r="67" spans="2:14">
      <c r="B67" s="381" t="s">
        <v>528</v>
      </c>
      <c r="C67" s="381" t="s">
        <v>115</v>
      </c>
      <c r="D67" s="381" t="s">
        <v>67</v>
      </c>
      <c r="E67" s="381" t="s">
        <v>70</v>
      </c>
      <c r="F67" s="381" t="s">
        <v>71</v>
      </c>
      <c r="G67" s="381" t="s">
        <v>72</v>
      </c>
      <c r="H67" s="381" t="s">
        <v>73</v>
      </c>
      <c r="I67" s="381" t="s">
        <v>74</v>
      </c>
      <c r="J67" s="381" t="s">
        <v>75</v>
      </c>
      <c r="K67" s="381" t="s">
        <v>76</v>
      </c>
      <c r="L67" s="381" t="s">
        <v>77</v>
      </c>
      <c r="M67" s="381" t="s">
        <v>78</v>
      </c>
      <c r="N67" s="381" t="s">
        <v>79</v>
      </c>
    </row>
    <row r="68" spans="2:14">
      <c r="B68" s="382"/>
      <c r="C68" s="382"/>
      <c r="D68" s="382"/>
      <c r="E68" s="382"/>
      <c r="F68" s="382"/>
      <c r="G68" s="382"/>
      <c r="H68" s="382"/>
      <c r="I68" s="382"/>
      <c r="J68" s="382"/>
      <c r="K68" s="382"/>
      <c r="L68" s="382"/>
      <c r="M68" s="382"/>
      <c r="N68" s="382"/>
    </row>
    <row r="69" spans="2:14">
      <c r="B69" s="382"/>
      <c r="C69" s="382"/>
      <c r="D69" s="382"/>
      <c r="E69" s="382"/>
      <c r="F69" s="382"/>
      <c r="G69" s="382"/>
      <c r="H69" s="382"/>
      <c r="I69" s="382"/>
      <c r="J69" s="382"/>
      <c r="K69" s="382"/>
      <c r="L69" s="382"/>
      <c r="M69" s="382"/>
      <c r="N69" s="382"/>
    </row>
    <row r="70" spans="2:14">
      <c r="B70" s="382"/>
      <c r="C70" s="382"/>
      <c r="D70" s="382"/>
      <c r="E70" s="382"/>
      <c r="F70" s="382"/>
      <c r="G70" s="382"/>
      <c r="H70" s="382"/>
      <c r="I70" s="382"/>
      <c r="J70" s="382"/>
      <c r="K70" s="382"/>
      <c r="L70" s="382"/>
      <c r="M70" s="382"/>
      <c r="N70" s="382"/>
    </row>
    <row r="71" spans="2:14">
      <c r="B71" s="382"/>
      <c r="C71" s="382"/>
      <c r="D71" s="382"/>
      <c r="E71" s="382"/>
      <c r="F71" s="382"/>
      <c r="G71" s="382"/>
      <c r="H71" s="382"/>
      <c r="I71" s="382"/>
      <c r="J71" s="382"/>
      <c r="K71" s="382"/>
      <c r="L71" s="382"/>
      <c r="M71" s="382"/>
      <c r="N71" s="382"/>
    </row>
    <row r="72" spans="2:14">
      <c r="B72" s="382"/>
      <c r="C72" s="382"/>
      <c r="D72" s="382"/>
      <c r="E72" s="382"/>
      <c r="F72" s="382"/>
      <c r="G72" s="382"/>
      <c r="H72" s="382"/>
      <c r="I72" s="382"/>
      <c r="J72" s="382"/>
      <c r="K72" s="382"/>
      <c r="L72" s="382"/>
      <c r="M72" s="382"/>
      <c r="N72" s="382"/>
    </row>
    <row r="73" spans="2:14">
      <c r="B73" s="382"/>
      <c r="C73" s="382"/>
      <c r="D73" s="382"/>
      <c r="E73" s="382"/>
      <c r="F73" s="382"/>
      <c r="G73" s="382"/>
      <c r="H73" s="382"/>
      <c r="I73" s="382"/>
      <c r="J73" s="382"/>
      <c r="K73" s="382"/>
      <c r="L73" s="382"/>
      <c r="M73" s="382"/>
      <c r="N73" s="382"/>
    </row>
    <row r="74" spans="2:14">
      <c r="B74" s="383" t="s">
        <v>529</v>
      </c>
      <c r="C74" s="384">
        <f>SUM(C69:C73)</f>
        <v>0</v>
      </c>
      <c r="D74" s="384">
        <f t="shared" ref="D74:N74" si="6">SUM(D69:D73)</f>
        <v>0</v>
      </c>
      <c r="E74" s="384">
        <f t="shared" si="6"/>
        <v>0</v>
      </c>
      <c r="F74" s="384">
        <f t="shared" si="6"/>
        <v>0</v>
      </c>
      <c r="G74" s="384">
        <f t="shared" si="6"/>
        <v>0</v>
      </c>
      <c r="H74" s="384">
        <f t="shared" si="6"/>
        <v>0</v>
      </c>
      <c r="I74" s="384">
        <f t="shared" si="6"/>
        <v>0</v>
      </c>
      <c r="J74" s="384">
        <f t="shared" si="6"/>
        <v>0</v>
      </c>
      <c r="K74" s="384">
        <f t="shared" si="6"/>
        <v>0</v>
      </c>
      <c r="L74" s="384">
        <f t="shared" si="6"/>
        <v>0</v>
      </c>
      <c r="M74" s="384">
        <f t="shared" si="6"/>
        <v>0</v>
      </c>
      <c r="N74" s="384">
        <f t="shared" si="6"/>
        <v>0</v>
      </c>
    </row>
  </sheetData>
  <mergeCells count="9">
    <mergeCell ref="B46:N46"/>
    <mergeCell ref="B56:N56"/>
    <mergeCell ref="B66:N66"/>
    <mergeCell ref="B2:L2"/>
    <mergeCell ref="B3:I3"/>
    <mergeCell ref="B5:N5"/>
    <mergeCell ref="B16:N16"/>
    <mergeCell ref="B26:N26"/>
    <mergeCell ref="B36:N36"/>
  </mergeCells>
  <pageMargins left="0.7" right="0.7" top="0.75" bottom="0.75" header="0.3" footer="0.3"/>
  <pageSetup scale="44"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1:D17"/>
  <sheetViews>
    <sheetView view="pageBreakPreview" zoomScale="150" zoomScaleNormal="100" zoomScaleSheetLayoutView="150" workbookViewId="0">
      <selection activeCell="D9" sqref="D9"/>
    </sheetView>
  </sheetViews>
  <sheetFormatPr baseColWidth="10" defaultColWidth="10.83203125" defaultRowHeight="20" customHeight="1"/>
  <cols>
    <col min="1" max="1" width="10.83203125" style="1"/>
    <col min="2" max="2" width="4.33203125" style="1" customWidth="1"/>
    <col min="3" max="3" width="94.6640625" style="1" customWidth="1"/>
    <col min="4" max="4" width="21.83203125" style="1" customWidth="1"/>
    <col min="5" max="16384" width="10.83203125" style="1"/>
  </cols>
  <sheetData>
    <row r="1" spans="2:4" ht="23" customHeight="1"/>
    <row r="2" spans="2:4" ht="45" customHeight="1">
      <c r="C2" s="752" t="s">
        <v>458</v>
      </c>
      <c r="D2" s="752"/>
    </row>
    <row r="3" spans="2:4" ht="23" customHeight="1">
      <c r="C3" s="759" t="s">
        <v>669</v>
      </c>
      <c r="D3" s="759"/>
    </row>
    <row r="4" spans="2:4" ht="14" customHeight="1">
      <c r="C4" s="24" t="s">
        <v>672</v>
      </c>
      <c r="D4" s="24"/>
    </row>
    <row r="5" spans="2:4" ht="23" customHeight="1">
      <c r="C5" s="133"/>
      <c r="D5" s="133"/>
    </row>
    <row r="6" spans="2:4" ht="23" customHeight="1">
      <c r="C6" s="222" t="s">
        <v>85</v>
      </c>
      <c r="D6" s="223">
        <f>'Saldos Cash'!N15</f>
        <v>1190315.29</v>
      </c>
    </row>
    <row r="7" spans="2:4" ht="23" customHeight="1">
      <c r="C7" s="512" t="s">
        <v>86</v>
      </c>
      <c r="D7" s="511">
        <f>+TC!C7</f>
        <v>20.515699999999999</v>
      </c>
    </row>
    <row r="8" spans="2:4" ht="23" customHeight="1">
      <c r="C8" s="329" t="s">
        <v>87</v>
      </c>
      <c r="D8" s="330">
        <f>+D6*D7</f>
        <v>24420151.395052999</v>
      </c>
    </row>
    <row r="9" spans="2:4" ht="23" customHeight="1">
      <c r="C9" s="222" t="s">
        <v>677</v>
      </c>
      <c r="D9" s="513">
        <v>0</v>
      </c>
    </row>
    <row r="10" spans="2:4" ht="46" customHeight="1">
      <c r="B10" s="224"/>
      <c r="C10" s="226" t="s">
        <v>88</v>
      </c>
      <c r="D10" s="227">
        <f>D8*D9</f>
        <v>0</v>
      </c>
    </row>
    <row r="11" spans="2:4" ht="23" customHeight="1"/>
    <row r="12" spans="2:4" ht="23" customHeight="1"/>
    <row r="13" spans="2:4" ht="23" customHeight="1"/>
    <row r="14" spans="2:4" ht="23" customHeight="1">
      <c r="B14" s="225" t="s">
        <v>89</v>
      </c>
    </row>
    <row r="15" spans="2:4" ht="23" customHeight="1">
      <c r="B15" s="222" t="s">
        <v>90</v>
      </c>
    </row>
    <row r="16" spans="2:4" ht="23" customHeight="1">
      <c r="B16" s="222" t="s">
        <v>677</v>
      </c>
      <c r="C16" s="41"/>
    </row>
    <row r="17" spans="2:4" ht="43" customHeight="1">
      <c r="B17" s="770" t="s">
        <v>88</v>
      </c>
      <c r="C17" s="770"/>
      <c r="D17" s="770"/>
    </row>
  </sheetData>
  <sheetProtection algorithmName="SHA-512" hashValue="XaneLe/OCARiszhK8W1HtYLsXEYvHdMjOiuF5to6ViJdHcqivC+yd4betE2CV3YfpuaEyWQ2qLWQPTC34QPgoQ==" saltValue="GxccxFNgzHQjGSr/401O+A==" spinCount="100000" sheet="1" formatCells="0"/>
  <mergeCells count="3">
    <mergeCell ref="C3:D3"/>
    <mergeCell ref="B17:D17"/>
    <mergeCell ref="C2:D2"/>
  </mergeCells>
  <phoneticPr fontId="8" type="noConversion"/>
  <printOptions horizontalCentered="1"/>
  <pageMargins left="0.7" right="0.7" top="0.75" bottom="0.75" header="0.3" footer="0.3"/>
  <pageSetup scale="98"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2:P46"/>
  <sheetViews>
    <sheetView view="pageBreakPreview" zoomScale="110" zoomScaleNormal="100" zoomScaleSheetLayoutView="110" workbookViewId="0">
      <pane ySplit="6" topLeftCell="A7" activePane="bottomLeft" state="frozen"/>
      <selection pane="bottomLeft" activeCell="J8" sqref="J8"/>
    </sheetView>
  </sheetViews>
  <sheetFormatPr baseColWidth="10" defaultColWidth="10.83203125" defaultRowHeight="23" customHeight="1"/>
  <cols>
    <col min="1" max="1" width="10.83203125" style="134"/>
    <col min="2" max="2" width="14.83203125" style="134" customWidth="1"/>
    <col min="3" max="3" width="18.5" style="134" customWidth="1"/>
    <col min="4" max="4" width="14.83203125" style="134" customWidth="1"/>
    <col min="5" max="5" width="64.6640625" style="134" customWidth="1"/>
    <col min="6" max="7" width="18.83203125" style="134" customWidth="1"/>
    <col min="8" max="8" width="21.1640625" style="134" customWidth="1"/>
    <col min="9" max="9" width="20.5" style="134" customWidth="1"/>
    <col min="10" max="10" width="18.83203125" style="134" customWidth="1"/>
    <col min="11" max="11" width="19.6640625" style="134" customWidth="1"/>
    <col min="12" max="15" width="10.83203125" style="134"/>
    <col min="16" max="16" width="26.6640625" style="134" customWidth="1"/>
    <col min="17" max="16384" width="10.83203125" style="134"/>
  </cols>
  <sheetData>
    <row r="2" spans="2:16" ht="23" customHeight="1">
      <c r="B2" s="771" t="s">
        <v>645</v>
      </c>
      <c r="C2" s="771"/>
      <c r="D2" s="771"/>
      <c r="E2" s="771"/>
      <c r="F2" s="771"/>
      <c r="G2" s="771"/>
      <c r="H2" s="771"/>
      <c r="I2" s="771"/>
      <c r="J2" s="771"/>
      <c r="K2" s="771"/>
      <c r="P2" s="204" t="s">
        <v>637</v>
      </c>
    </row>
    <row r="3" spans="2:16" ht="23" customHeight="1">
      <c r="B3" s="759" t="s">
        <v>646</v>
      </c>
      <c r="C3" s="759"/>
      <c r="D3" s="759"/>
      <c r="E3" s="759"/>
      <c r="F3" s="759"/>
      <c r="G3" s="759"/>
      <c r="H3" s="759"/>
      <c r="I3" s="759"/>
      <c r="J3" s="759"/>
      <c r="K3" s="759"/>
      <c r="P3" s="228" t="s">
        <v>638</v>
      </c>
    </row>
    <row r="4" spans="2:16" ht="14" customHeight="1">
      <c r="B4" s="24" t="s">
        <v>443</v>
      </c>
      <c r="C4" s="24" t="s">
        <v>673</v>
      </c>
      <c r="D4" s="24"/>
      <c r="E4" s="24"/>
      <c r="F4" s="24"/>
      <c r="G4" s="24"/>
      <c r="H4" s="24"/>
      <c r="I4" s="24"/>
      <c r="J4" s="24"/>
      <c r="K4" s="24"/>
      <c r="P4" s="228"/>
    </row>
    <row r="5" spans="2:16" ht="23" customHeight="1">
      <c r="B5" s="156"/>
      <c r="C5" s="156"/>
      <c r="D5" s="157"/>
      <c r="E5" s="157"/>
      <c r="F5" s="156"/>
      <c r="G5" s="157"/>
      <c r="H5" s="157"/>
      <c r="I5" s="157"/>
      <c r="J5" s="157"/>
      <c r="K5" s="157"/>
      <c r="P5" s="228"/>
    </row>
    <row r="6" spans="2:16" s="154" customFormat="1" ht="30">
      <c r="B6" s="153" t="s">
        <v>178</v>
      </c>
      <c r="C6" s="153" t="s">
        <v>53</v>
      </c>
      <c r="D6" s="120" t="s">
        <v>54</v>
      </c>
      <c r="E6" s="120" t="s">
        <v>63</v>
      </c>
      <c r="F6" s="120" t="s">
        <v>208</v>
      </c>
      <c r="G6" s="120" t="s">
        <v>209</v>
      </c>
      <c r="H6" s="120" t="s">
        <v>56</v>
      </c>
      <c r="I6" s="120" t="s">
        <v>57</v>
      </c>
      <c r="J6" s="120" t="s">
        <v>361</v>
      </c>
      <c r="K6" s="120" t="s">
        <v>58</v>
      </c>
      <c r="P6" s="244"/>
    </row>
    <row r="7" spans="2:16" ht="23" customHeight="1">
      <c r="B7" s="76"/>
      <c r="C7" s="76"/>
      <c r="D7" s="145"/>
      <c r="E7" s="140"/>
      <c r="F7" s="76"/>
      <c r="G7" s="141"/>
      <c r="H7" s="143"/>
      <c r="I7" s="144"/>
      <c r="J7" s="143"/>
      <c r="K7" s="144"/>
      <c r="P7" s="228"/>
    </row>
    <row r="8" spans="2:16" ht="23" customHeight="1">
      <c r="B8" s="7" t="s">
        <v>3</v>
      </c>
      <c r="C8" s="7"/>
      <c r="D8" s="159"/>
      <c r="E8" s="229"/>
      <c r="F8" s="7"/>
      <c r="G8" s="163"/>
      <c r="H8" s="162">
        <f>IF(F8=0,0,IF(F8="MXN",1/HLOOKUP(YEAR(D8)+(MONTH(D8)/100),TC!$5:$37,DAY(D8)+2,FALSE),VLOOKUP(F8,Equivalencia!$1:$23,((MAX(Equivalencia!$3:$3)-YEAR(D8))*14)+MONTH(D8)+2,FALSE)))</f>
        <v>0</v>
      </c>
      <c r="I8" s="163">
        <f>+H8*G8</f>
        <v>0</v>
      </c>
      <c r="J8" s="162">
        <f>IF(D8=0,0,HLOOKUP(YEAR(D8)+(MONTH(D8)/100),TC!$5:$37,DAY(D8)+2,FALSE))</f>
        <v>0</v>
      </c>
      <c r="K8" s="163">
        <f t="shared" ref="K8:K13" si="0">+I8*J8</f>
        <v>0</v>
      </c>
      <c r="P8" s="228"/>
    </row>
    <row r="9" spans="2:16" ht="23" customHeight="1">
      <c r="B9" s="7" t="s">
        <v>4</v>
      </c>
      <c r="C9" s="7"/>
      <c r="D9" s="159"/>
      <c r="E9" s="229"/>
      <c r="F9" s="7"/>
      <c r="G9" s="163"/>
      <c r="H9" s="162">
        <f>IF(F9=0,0,IF(F9="MXN",1/HLOOKUP(YEAR(D9)+(MONTH(D9)/100),TC!$5:$37,DAY(D9)+2,FALSE),VLOOKUP(F9,Equivalencia!$1:$23,((MAX(Equivalencia!$3:$3)-YEAR(D9))*14)+MONTH(D9)+2,FALSE)))</f>
        <v>0</v>
      </c>
      <c r="I9" s="163">
        <f t="shared" ref="I9:I13" si="1">+H9*G9</f>
        <v>0</v>
      </c>
      <c r="J9" s="162">
        <f>IF(D9=0,0,HLOOKUP(YEAR(D9)+(MONTH(D9)/100),TC!$5:$37,DAY(D9)+2,FALSE))</f>
        <v>0</v>
      </c>
      <c r="K9" s="163">
        <f t="shared" si="0"/>
        <v>0</v>
      </c>
      <c r="P9" s="228"/>
    </row>
    <row r="10" spans="2:16" ht="23" customHeight="1">
      <c r="B10" s="7" t="s">
        <v>5</v>
      </c>
      <c r="C10" s="7"/>
      <c r="D10" s="159"/>
      <c r="E10" s="229"/>
      <c r="F10" s="7"/>
      <c r="G10" s="163"/>
      <c r="H10" s="162">
        <f>IF(F10=0,0,IF(F10="MXN",1/HLOOKUP(YEAR(D10)+(MONTH(D10)/100),TC!$5:$37,DAY(D10)+2,FALSE),VLOOKUP(F10,Equivalencia!$1:$23,((MAX(Equivalencia!$3:$3)-YEAR(D10))*14)+MONTH(D10)+2,FALSE)))</f>
        <v>0</v>
      </c>
      <c r="I10" s="163">
        <f t="shared" si="1"/>
        <v>0</v>
      </c>
      <c r="J10" s="162">
        <f>IF(D10=0,0,HLOOKUP(YEAR(D10)+(MONTH(D10)/100),TC!$5:$37,DAY(D10)+2,FALSE))</f>
        <v>0</v>
      </c>
      <c r="K10" s="163">
        <f t="shared" si="0"/>
        <v>0</v>
      </c>
      <c r="P10" s="228"/>
    </row>
    <row r="11" spans="2:16" ht="23" customHeight="1">
      <c r="B11" s="7" t="s">
        <v>6</v>
      </c>
      <c r="C11" s="7"/>
      <c r="D11" s="159"/>
      <c r="E11" s="229"/>
      <c r="F11" s="7"/>
      <c r="G11" s="163"/>
      <c r="H11" s="162">
        <f>IF(F11=0,0,IF(F11="MXN",1/HLOOKUP(YEAR(D11)+(MONTH(D11)/100),TC!$5:$37,DAY(D11)+2,FALSE),VLOOKUP(F11,Equivalencia!$1:$23,((MAX(Equivalencia!$3:$3)-YEAR(D11))*14)+MONTH(D11)+2,FALSE)))</f>
        <v>0</v>
      </c>
      <c r="I11" s="163">
        <f t="shared" si="1"/>
        <v>0</v>
      </c>
      <c r="J11" s="162">
        <f>IF(D11=0,0,HLOOKUP(YEAR(D11)+(MONTH(D11)/100),TC!$5:$37,DAY(D11)+2,FALSE))</f>
        <v>0</v>
      </c>
      <c r="K11" s="163">
        <f t="shared" si="0"/>
        <v>0</v>
      </c>
      <c r="P11" s="228"/>
    </row>
    <row r="12" spans="2:16" ht="23" customHeight="1">
      <c r="B12" s="7" t="s">
        <v>7</v>
      </c>
      <c r="C12" s="7"/>
      <c r="D12" s="159"/>
      <c r="E12" s="229"/>
      <c r="F12" s="7"/>
      <c r="G12" s="163"/>
      <c r="H12" s="162">
        <f>IF(F12=0,0,IF(F12="MXN",1/HLOOKUP(YEAR(D12)+(MONTH(D12)/100),TC!$5:$37,DAY(D12)+2,FALSE),VLOOKUP(F12,Equivalencia!$1:$23,((MAX(Equivalencia!$3:$3)-YEAR(D12))*14)+MONTH(D12)+2,FALSE)))</f>
        <v>0</v>
      </c>
      <c r="I12" s="163">
        <f t="shared" si="1"/>
        <v>0</v>
      </c>
      <c r="J12" s="162">
        <f>IF(D12=0,0,HLOOKUP(YEAR(D12)+(MONTH(D12)/100),TC!$5:$37,DAY(D12)+2,FALSE))</f>
        <v>0</v>
      </c>
      <c r="K12" s="163">
        <f t="shared" si="0"/>
        <v>0</v>
      </c>
    </row>
    <row r="13" spans="2:16" ht="23" customHeight="1">
      <c r="B13" s="7" t="s">
        <v>8</v>
      </c>
      <c r="C13" s="7"/>
      <c r="D13" s="159"/>
      <c r="E13" s="229"/>
      <c r="F13" s="7"/>
      <c r="G13" s="163"/>
      <c r="H13" s="162">
        <f>IF(F13=0,0,IF(F13="MXN",1/HLOOKUP(YEAR(D13)+(MONTH(D13)/100),TC!$5:$37,DAY(D13)+2,FALSE),VLOOKUP(F13,Equivalencia!$1:$23,((MAX(Equivalencia!$3:$3)-YEAR(D13))*14)+MONTH(D13)+2,FALSE)))</f>
        <v>0</v>
      </c>
      <c r="I13" s="163">
        <f t="shared" si="1"/>
        <v>0</v>
      </c>
      <c r="J13" s="162">
        <f>IF(D13=0,0,HLOOKUP(YEAR(D13)+(MONTH(D13)/100),TC!$5:$37,DAY(D13)+2,FALSE))</f>
        <v>0</v>
      </c>
      <c r="K13" s="163">
        <f t="shared" si="0"/>
        <v>0</v>
      </c>
    </row>
    <row r="14" spans="2:16" ht="23" customHeight="1">
      <c r="B14" s="45"/>
      <c r="C14" s="45"/>
      <c r="D14" s="76"/>
      <c r="E14" s="140"/>
      <c r="F14" s="76"/>
      <c r="G14" s="142"/>
      <c r="H14" s="143"/>
      <c r="I14" s="142"/>
      <c r="J14" s="143"/>
      <c r="K14" s="144"/>
    </row>
    <row r="15" spans="2:16" ht="23" customHeight="1">
      <c r="B15" s="164" t="s">
        <v>94</v>
      </c>
      <c r="C15" s="164"/>
      <c r="D15" s="230"/>
      <c r="E15" s="231"/>
      <c r="F15" s="230"/>
      <c r="G15" s="231">
        <f>SUM(G7:G14)</f>
        <v>0</v>
      </c>
      <c r="H15" s="231"/>
      <c r="I15" s="231">
        <f>SUM(I7:I14)</f>
        <v>0</v>
      </c>
      <c r="J15" s="231"/>
      <c r="K15" s="231">
        <f>SUM(K7:K14)</f>
        <v>0</v>
      </c>
    </row>
    <row r="16" spans="2:16" ht="23" customHeight="1">
      <c r="B16" s="204"/>
      <c r="C16" s="204"/>
      <c r="F16" s="204"/>
      <c r="G16" s="206"/>
    </row>
    <row r="17" spans="2:11" ht="46" customHeight="1">
      <c r="B17" s="204"/>
      <c r="C17" s="204"/>
      <c r="F17" s="204"/>
      <c r="G17" s="206"/>
    </row>
    <row r="18" spans="2:11" ht="30">
      <c r="B18" s="204"/>
      <c r="C18" s="204"/>
      <c r="F18" s="204"/>
      <c r="G18" s="188"/>
      <c r="H18" s="1"/>
      <c r="I18" s="175" t="s">
        <v>354</v>
      </c>
      <c r="J18" s="177"/>
      <c r="K18" s="175" t="s">
        <v>355</v>
      </c>
    </row>
    <row r="19" spans="2:11" ht="23" customHeight="1">
      <c r="B19" s="204"/>
      <c r="C19" s="204"/>
      <c r="F19" s="204"/>
      <c r="G19" s="188"/>
      <c r="H19" s="1"/>
      <c r="I19" s="146"/>
      <c r="J19" s="141"/>
      <c r="K19" s="146"/>
    </row>
    <row r="20" spans="2:11" ht="23" customHeight="1">
      <c r="B20" s="204"/>
      <c r="C20" s="204"/>
      <c r="E20" s="178" t="s">
        <v>187</v>
      </c>
      <c r="F20" s="179" t="str">
        <f>Cuentas!B6</f>
        <v>AR2XXXX3387-0008</v>
      </c>
      <c r="G20" s="180">
        <f>SUMIF($B$7:$B$532,F20,$G$7:$G$532)</f>
        <v>0</v>
      </c>
      <c r="H20" s="181"/>
      <c r="I20" s="180">
        <f t="shared" ref="I20:I40" si="2">SUMIF($B$7:$B$532,F20,$I$7:$I$532)</f>
        <v>0</v>
      </c>
      <c r="J20" s="200"/>
      <c r="K20" s="180">
        <f t="shared" ref="K20:K40" si="3">SUMIF($B$7:$B$532,F20,$K$7:$K$532)</f>
        <v>0</v>
      </c>
    </row>
    <row r="21" spans="2:11" ht="23" customHeight="1">
      <c r="B21" s="204"/>
      <c r="C21" s="204"/>
      <c r="E21" s="178" t="s">
        <v>187</v>
      </c>
      <c r="F21" s="179" t="str">
        <f>Cuentas!B7</f>
        <v>AR2XXXX3387-0003</v>
      </c>
      <c r="G21" s="180">
        <f t="shared" ref="G21:G40" si="4">SUMIF($B$7:$B$532,F21,$G$7:$G$532)</f>
        <v>0</v>
      </c>
      <c r="H21" s="181"/>
      <c r="I21" s="180">
        <f t="shared" si="2"/>
        <v>0</v>
      </c>
      <c r="J21" s="200"/>
      <c r="K21" s="180">
        <f t="shared" si="3"/>
        <v>0</v>
      </c>
    </row>
    <row r="22" spans="2:11" ht="23" customHeight="1">
      <c r="B22" s="204"/>
      <c r="C22" s="204"/>
      <c r="E22" s="178" t="s">
        <v>187</v>
      </c>
      <c r="F22" s="179" t="str">
        <f>Cuentas!B8</f>
        <v>029-2XXX1-9</v>
      </c>
      <c r="G22" s="180">
        <f t="shared" si="4"/>
        <v>0</v>
      </c>
      <c r="H22" s="181"/>
      <c r="I22" s="180">
        <f t="shared" si="2"/>
        <v>0</v>
      </c>
      <c r="J22" s="200"/>
      <c r="K22" s="180">
        <f t="shared" si="3"/>
        <v>0</v>
      </c>
    </row>
    <row r="23" spans="2:11" ht="23" customHeight="1">
      <c r="B23" s="204"/>
      <c r="C23" s="204"/>
      <c r="E23" s="178" t="s">
        <v>187</v>
      </c>
      <c r="F23" s="179" t="str">
        <f>Cuentas!B9</f>
        <v>029-2XXX2-7</v>
      </c>
      <c r="G23" s="180">
        <f t="shared" si="4"/>
        <v>0</v>
      </c>
      <c r="H23" s="181"/>
      <c r="I23" s="180">
        <f t="shared" si="2"/>
        <v>0</v>
      </c>
      <c r="J23" s="200"/>
      <c r="K23" s="180">
        <f t="shared" si="3"/>
        <v>0</v>
      </c>
    </row>
    <row r="24" spans="2:11" ht="23" customHeight="1">
      <c r="B24" s="204"/>
      <c r="C24" s="204"/>
      <c r="E24" s="178" t="s">
        <v>187</v>
      </c>
      <c r="F24" s="179" t="str">
        <f>Cuentas!B10</f>
        <v>029-2XXX3-5</v>
      </c>
      <c r="G24" s="180">
        <f t="shared" si="4"/>
        <v>0</v>
      </c>
      <c r="H24" s="181"/>
      <c r="I24" s="180">
        <f t="shared" si="2"/>
        <v>0</v>
      </c>
      <c r="J24" s="200"/>
      <c r="K24" s="180">
        <f t="shared" si="3"/>
        <v>0</v>
      </c>
    </row>
    <row r="25" spans="2:11" ht="23" customHeight="1">
      <c r="B25" s="204"/>
      <c r="C25" s="204"/>
      <c r="E25" s="178" t="s">
        <v>187</v>
      </c>
      <c r="F25" s="179" t="str">
        <f>Cuentas!B11</f>
        <v>F</v>
      </c>
      <c r="G25" s="180">
        <f t="shared" si="4"/>
        <v>0</v>
      </c>
      <c r="H25" s="181"/>
      <c r="I25" s="180">
        <f t="shared" si="2"/>
        <v>0</v>
      </c>
      <c r="J25" s="200"/>
      <c r="K25" s="180">
        <f t="shared" si="3"/>
        <v>0</v>
      </c>
    </row>
    <row r="26" spans="2:11" ht="23" customHeight="1">
      <c r="B26" s="204"/>
      <c r="C26" s="204"/>
      <c r="E26" s="178" t="s">
        <v>187</v>
      </c>
      <c r="F26" s="179" t="str">
        <f>Cuentas!B12</f>
        <v>G</v>
      </c>
      <c r="G26" s="180">
        <f t="shared" si="4"/>
        <v>0</v>
      </c>
      <c r="H26" s="181"/>
      <c r="I26" s="180">
        <f t="shared" si="2"/>
        <v>0</v>
      </c>
      <c r="J26" s="200"/>
      <c r="K26" s="180">
        <f t="shared" si="3"/>
        <v>0</v>
      </c>
    </row>
    <row r="27" spans="2:11" ht="23" customHeight="1">
      <c r="B27" s="204"/>
      <c r="C27" s="204"/>
      <c r="E27" s="178" t="s">
        <v>187</v>
      </c>
      <c r="F27" s="179" t="str">
        <f>Cuentas!B13</f>
        <v>H</v>
      </c>
      <c r="G27" s="180">
        <f t="shared" si="4"/>
        <v>0</v>
      </c>
      <c r="H27" s="181"/>
      <c r="I27" s="180">
        <f t="shared" si="2"/>
        <v>0</v>
      </c>
      <c r="J27" s="200"/>
      <c r="K27" s="180">
        <f t="shared" si="3"/>
        <v>0</v>
      </c>
    </row>
    <row r="28" spans="2:11" ht="23" customHeight="1">
      <c r="B28" s="204"/>
      <c r="C28" s="204"/>
      <c r="E28" s="178" t="s">
        <v>187</v>
      </c>
      <c r="F28" s="179" t="str">
        <f>Cuentas!B14</f>
        <v>I</v>
      </c>
      <c r="G28" s="180">
        <f t="shared" si="4"/>
        <v>0</v>
      </c>
      <c r="H28" s="181"/>
      <c r="I28" s="180">
        <f t="shared" si="2"/>
        <v>0</v>
      </c>
      <c r="J28" s="200"/>
      <c r="K28" s="180">
        <f t="shared" si="3"/>
        <v>0</v>
      </c>
    </row>
    <row r="29" spans="2:11" ht="23" customHeight="1">
      <c r="B29" s="204"/>
      <c r="C29" s="204"/>
      <c r="E29" s="178" t="s">
        <v>187</v>
      </c>
      <c r="F29" s="179" t="str">
        <f>Cuentas!B15</f>
        <v>J</v>
      </c>
      <c r="G29" s="180">
        <f t="shared" si="4"/>
        <v>0</v>
      </c>
      <c r="H29" s="181"/>
      <c r="I29" s="180">
        <f t="shared" si="2"/>
        <v>0</v>
      </c>
      <c r="J29" s="200"/>
      <c r="K29" s="180">
        <f t="shared" si="3"/>
        <v>0</v>
      </c>
    </row>
    <row r="30" spans="2:11" ht="23" customHeight="1">
      <c r="B30" s="204"/>
      <c r="C30" s="204"/>
      <c r="E30" s="178" t="s">
        <v>187</v>
      </c>
      <c r="F30" s="179" t="str">
        <f>Cuentas!B16</f>
        <v>K</v>
      </c>
      <c r="G30" s="180">
        <f t="shared" si="4"/>
        <v>0</v>
      </c>
      <c r="H30" s="181"/>
      <c r="I30" s="180">
        <f t="shared" si="2"/>
        <v>0</v>
      </c>
      <c r="J30" s="200"/>
      <c r="K30" s="180">
        <f t="shared" si="3"/>
        <v>0</v>
      </c>
    </row>
    <row r="31" spans="2:11" ht="23" customHeight="1">
      <c r="B31" s="204"/>
      <c r="C31" s="204"/>
      <c r="E31" s="178" t="s">
        <v>187</v>
      </c>
      <c r="F31" s="179" t="str">
        <f>Cuentas!B17</f>
        <v>L</v>
      </c>
      <c r="G31" s="180">
        <f t="shared" si="4"/>
        <v>0</v>
      </c>
      <c r="H31" s="181"/>
      <c r="I31" s="180">
        <f t="shared" si="2"/>
        <v>0</v>
      </c>
      <c r="J31" s="200"/>
      <c r="K31" s="180">
        <f t="shared" si="3"/>
        <v>0</v>
      </c>
    </row>
    <row r="32" spans="2:11" ht="23" customHeight="1">
      <c r="B32" s="204"/>
      <c r="C32" s="204"/>
      <c r="E32" s="178" t="s">
        <v>187</v>
      </c>
      <c r="F32" s="179" t="str">
        <f>Cuentas!B18</f>
        <v>M</v>
      </c>
      <c r="G32" s="180">
        <f t="shared" si="4"/>
        <v>0</v>
      </c>
      <c r="H32" s="181"/>
      <c r="I32" s="180">
        <f t="shared" si="2"/>
        <v>0</v>
      </c>
      <c r="J32" s="200"/>
      <c r="K32" s="180">
        <f t="shared" si="3"/>
        <v>0</v>
      </c>
    </row>
    <row r="33" spans="2:11" ht="23" customHeight="1">
      <c r="B33" s="204"/>
      <c r="C33" s="204"/>
      <c r="E33" s="178" t="s">
        <v>187</v>
      </c>
      <c r="F33" s="179" t="str">
        <f>Cuentas!B19</f>
        <v>N</v>
      </c>
      <c r="G33" s="180">
        <f t="shared" si="4"/>
        <v>0</v>
      </c>
      <c r="H33" s="181"/>
      <c r="I33" s="180">
        <f t="shared" si="2"/>
        <v>0</v>
      </c>
      <c r="J33" s="200"/>
      <c r="K33" s="180">
        <f t="shared" si="3"/>
        <v>0</v>
      </c>
    </row>
    <row r="34" spans="2:11" ht="23" customHeight="1">
      <c r="B34" s="204"/>
      <c r="C34" s="204"/>
      <c r="E34" s="178" t="s">
        <v>187</v>
      </c>
      <c r="F34" s="179" t="str">
        <f>Cuentas!B20</f>
        <v>O</v>
      </c>
      <c r="G34" s="180">
        <f t="shared" si="4"/>
        <v>0</v>
      </c>
      <c r="H34" s="181"/>
      <c r="I34" s="180">
        <f t="shared" si="2"/>
        <v>0</v>
      </c>
      <c r="J34" s="200"/>
      <c r="K34" s="180">
        <f t="shared" si="3"/>
        <v>0</v>
      </c>
    </row>
    <row r="35" spans="2:11" ht="23" customHeight="1">
      <c r="B35" s="204"/>
      <c r="C35" s="204"/>
      <c r="E35" s="178" t="s">
        <v>187</v>
      </c>
      <c r="F35" s="179" t="str">
        <f>Cuentas!B21</f>
        <v>P</v>
      </c>
      <c r="G35" s="180">
        <f t="shared" si="4"/>
        <v>0</v>
      </c>
      <c r="H35" s="181"/>
      <c r="I35" s="180">
        <f t="shared" si="2"/>
        <v>0</v>
      </c>
      <c r="J35" s="200"/>
      <c r="K35" s="180">
        <f t="shared" si="3"/>
        <v>0</v>
      </c>
    </row>
    <row r="36" spans="2:11" ht="23" customHeight="1">
      <c r="B36" s="204"/>
      <c r="C36" s="204"/>
      <c r="E36" s="178" t="s">
        <v>187</v>
      </c>
      <c r="F36" s="179" t="str">
        <f>Cuentas!B22</f>
        <v>Q</v>
      </c>
      <c r="G36" s="180">
        <f t="shared" si="4"/>
        <v>0</v>
      </c>
      <c r="H36" s="181"/>
      <c r="I36" s="180">
        <f t="shared" si="2"/>
        <v>0</v>
      </c>
      <c r="J36" s="200"/>
      <c r="K36" s="180">
        <f t="shared" si="3"/>
        <v>0</v>
      </c>
    </row>
    <row r="37" spans="2:11" ht="23" customHeight="1">
      <c r="B37" s="204"/>
      <c r="C37" s="204"/>
      <c r="E37" s="178" t="s">
        <v>187</v>
      </c>
      <c r="F37" s="179" t="str">
        <f>Cuentas!B23</f>
        <v>R</v>
      </c>
      <c r="G37" s="180">
        <f t="shared" si="4"/>
        <v>0</v>
      </c>
      <c r="H37" s="181"/>
      <c r="I37" s="180">
        <f t="shared" si="2"/>
        <v>0</v>
      </c>
      <c r="J37" s="200"/>
      <c r="K37" s="180">
        <f t="shared" si="3"/>
        <v>0</v>
      </c>
    </row>
    <row r="38" spans="2:11" ht="23" customHeight="1">
      <c r="B38" s="204"/>
      <c r="C38" s="204"/>
      <c r="E38" s="178" t="s">
        <v>187</v>
      </c>
      <c r="F38" s="179" t="str">
        <f>Cuentas!B24</f>
        <v>S</v>
      </c>
      <c r="G38" s="180">
        <f t="shared" si="4"/>
        <v>0</v>
      </c>
      <c r="H38" s="181"/>
      <c r="I38" s="180">
        <f t="shared" si="2"/>
        <v>0</v>
      </c>
      <c r="J38" s="200"/>
      <c r="K38" s="180">
        <f t="shared" si="3"/>
        <v>0</v>
      </c>
    </row>
    <row r="39" spans="2:11" ht="23" customHeight="1">
      <c r="B39" s="204"/>
      <c r="C39" s="204"/>
      <c r="E39" s="178" t="s">
        <v>187</v>
      </c>
      <c r="F39" s="179" t="str">
        <f>Cuentas!B25</f>
        <v>T</v>
      </c>
      <c r="G39" s="180">
        <f t="shared" si="4"/>
        <v>0</v>
      </c>
      <c r="H39" s="181"/>
      <c r="I39" s="180">
        <f t="shared" si="2"/>
        <v>0</v>
      </c>
      <c r="J39" s="200"/>
      <c r="K39" s="180">
        <f t="shared" si="3"/>
        <v>0</v>
      </c>
    </row>
    <row r="40" spans="2:11" ht="23" customHeight="1">
      <c r="B40" s="204"/>
      <c r="C40" s="204"/>
      <c r="E40" s="178" t="s">
        <v>187</v>
      </c>
      <c r="F40" s="179" t="str">
        <f>Cuentas!B26</f>
        <v>U</v>
      </c>
      <c r="G40" s="180">
        <f t="shared" si="4"/>
        <v>0</v>
      </c>
      <c r="H40" s="181"/>
      <c r="I40" s="180">
        <f t="shared" si="2"/>
        <v>0</v>
      </c>
      <c r="J40" s="200"/>
      <c r="K40" s="180">
        <f t="shared" si="3"/>
        <v>0</v>
      </c>
    </row>
    <row r="41" spans="2:11" ht="23" customHeight="1">
      <c r="B41" s="204"/>
      <c r="C41" s="204"/>
      <c r="G41" s="41"/>
      <c r="H41" s="1"/>
      <c r="I41" s="148"/>
      <c r="J41" s="1"/>
      <c r="K41" s="148"/>
    </row>
    <row r="42" spans="2:11" ht="23" customHeight="1">
      <c r="B42" s="204"/>
      <c r="C42" s="204"/>
      <c r="E42" s="184"/>
      <c r="F42" s="119" t="s">
        <v>366</v>
      </c>
      <c r="G42" s="232">
        <f>SUM(G19:G41)</f>
        <v>0</v>
      </c>
      <c r="H42" s="184"/>
      <c r="I42" s="232">
        <f>SUM(I19:I41)</f>
        <v>0</v>
      </c>
      <c r="J42" s="233"/>
      <c r="K42" s="232">
        <f>SUM(K19:K41)</f>
        <v>0</v>
      </c>
    </row>
    <row r="46" spans="2:11" ht="23" customHeight="1">
      <c r="B46" s="212" t="s">
        <v>231</v>
      </c>
      <c r="C46" s="212"/>
    </row>
  </sheetData>
  <sheetProtection algorithmName="SHA-512" hashValue="rcdj+Y4kNnB21h+iwBlm3sTQDrfDiGJ75fDq2LjyNfrwGyyHjBDXbC/HFUiB9LwmcASsrIkGtDtyCleChi09DA==" saltValue="rzBWFE+G5XDm6q9jzcOjoQ==" spinCount="100000" sheet="1" formatCells="0" formatColumns="0" formatRows="0" insertColumns="0" insertRows="0" deleteColumns="0" deleteRows="0"/>
  <autoFilter ref="B6:K13" xr:uid="{858EC88D-96B8-E842-8F0B-0D4CE5DF6EB3}"/>
  <mergeCells count="2">
    <mergeCell ref="B2:K2"/>
    <mergeCell ref="B3:K3"/>
  </mergeCells>
  <phoneticPr fontId="8" type="noConversion"/>
  <dataValidations disablePrompts="1" count="1">
    <dataValidation type="list" allowBlank="1" showInputMessage="1" showErrorMessage="1" sqref="C8:C13" xr:uid="{D24E8E9D-AF18-9542-A3C9-AAB9AFD55598}">
      <formula1>Otros_Ingresos</formula1>
    </dataValidation>
  </dataValidations>
  <printOptions horizontalCentered="1"/>
  <pageMargins left="0.70000000000000007" right="0.70000000000000007" top="0.75000000000000011" bottom="0.75000000000000011" header="0.30000000000000004" footer="0.30000000000000004"/>
  <pageSetup scale="49" fitToHeight="3"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promptTitle="OJO:" prompt="Selecciona una moneda" xr:uid="{5033CFDF-CC54-C04B-962F-7B4931411A1F}">
          <x14:formula1>
            <xm:f>Equivalencia!$A$4:$A$23</xm:f>
          </x14:formula1>
          <xm:sqref>F8:F13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2:R60"/>
  <sheetViews>
    <sheetView view="pageBreakPreview" zoomScaleNormal="90" zoomScaleSheetLayoutView="100" workbookViewId="0">
      <pane ySplit="6" topLeftCell="A7" activePane="bottomLeft" state="frozen"/>
      <selection pane="bottomLeft" activeCell="C5" sqref="C5"/>
    </sheetView>
  </sheetViews>
  <sheetFormatPr baseColWidth="10" defaultColWidth="11.5" defaultRowHeight="23" customHeight="1"/>
  <cols>
    <col min="1" max="1" width="11.5" style="1"/>
    <col min="2" max="2" width="28.33203125" style="1" customWidth="1"/>
    <col min="3" max="3" width="10.5" style="1" customWidth="1"/>
    <col min="4" max="4" width="45.6640625" style="1" customWidth="1"/>
    <col min="5" max="5" width="18.5" style="1" customWidth="1"/>
    <col min="6" max="6" width="21.33203125" style="1" customWidth="1"/>
    <col min="7" max="7" width="14.6640625" style="1" customWidth="1"/>
    <col min="8" max="8" width="21.1640625" style="1" customWidth="1"/>
    <col min="9" max="9" width="20.6640625" style="1" customWidth="1"/>
    <col min="10" max="10" width="3.83203125" style="1" customWidth="1"/>
    <col min="11" max="11" width="17.83203125" style="1" customWidth="1"/>
    <col min="12" max="12" width="3.5" style="1" customWidth="1"/>
    <col min="13" max="14" width="20.83203125" style="1" customWidth="1"/>
    <col min="15" max="15" width="16.33203125" style="1" customWidth="1"/>
    <col min="16" max="17" width="20.83203125" style="1" customWidth="1"/>
    <col min="18" max="18" width="2.1640625" style="1" customWidth="1"/>
    <col min="19" max="16384" width="11.5" style="1"/>
  </cols>
  <sheetData>
    <row r="2" spans="2:18" ht="23" customHeight="1">
      <c r="B2" s="758" t="s">
        <v>639</v>
      </c>
      <c r="C2" s="758"/>
      <c r="D2" s="758"/>
      <c r="E2" s="758"/>
      <c r="F2" s="758"/>
      <c r="G2" s="758"/>
      <c r="H2" s="758"/>
      <c r="I2" s="758"/>
      <c r="J2" s="758"/>
      <c r="K2" s="758"/>
      <c r="L2" s="758"/>
      <c r="M2" s="758"/>
      <c r="N2" s="758"/>
      <c r="O2" s="758"/>
      <c r="P2" s="758"/>
      <c r="Q2" s="758"/>
      <c r="R2" s="758"/>
    </row>
    <row r="3" spans="2:18" ht="23" customHeight="1">
      <c r="B3" s="759" t="s">
        <v>647</v>
      </c>
      <c r="C3" s="759"/>
      <c r="D3" s="759"/>
      <c r="E3" s="759"/>
      <c r="F3" s="759"/>
      <c r="G3" s="759"/>
      <c r="H3" s="759"/>
      <c r="I3" s="759"/>
      <c r="J3" s="759"/>
      <c r="K3" s="759"/>
      <c r="L3" s="759"/>
      <c r="M3" s="759"/>
      <c r="N3" s="759"/>
      <c r="O3" s="759"/>
      <c r="P3" s="759"/>
      <c r="Q3" s="759"/>
      <c r="R3" s="759"/>
    </row>
    <row r="4" spans="2:18" ht="14" customHeight="1">
      <c r="B4" s="24" t="s">
        <v>443</v>
      </c>
      <c r="C4" s="24" t="s">
        <v>673</v>
      </c>
      <c r="D4" s="24"/>
      <c r="E4" s="24"/>
      <c r="F4" s="24"/>
      <c r="G4" s="24"/>
      <c r="H4" s="24"/>
      <c r="I4" s="24"/>
      <c r="J4" s="24"/>
      <c r="K4" s="24"/>
      <c r="L4" s="24"/>
      <c r="M4" s="24"/>
      <c r="N4" s="24"/>
      <c r="O4" s="24"/>
      <c r="P4" s="24"/>
      <c r="Q4" s="24"/>
      <c r="R4" s="60"/>
    </row>
    <row r="5" spans="2:18" ht="23" customHeight="1">
      <c r="B5" s="116"/>
      <c r="C5" s="116"/>
      <c r="D5" s="116"/>
      <c r="E5" s="116"/>
      <c r="F5" s="116"/>
      <c r="G5" s="239"/>
      <c r="H5" s="239"/>
      <c r="I5" s="239"/>
      <c r="J5" s="239"/>
      <c r="K5" s="116"/>
      <c r="L5" s="116"/>
      <c r="M5" s="116"/>
      <c r="N5" s="239"/>
      <c r="O5" s="239"/>
      <c r="P5" s="239"/>
      <c r="Q5" s="239"/>
      <c r="R5" s="4"/>
    </row>
    <row r="6" spans="2:18" s="85" customFormat="1" ht="30">
      <c r="B6" s="153" t="s">
        <v>178</v>
      </c>
      <c r="C6" s="120" t="s">
        <v>54</v>
      </c>
      <c r="D6" s="120" t="s">
        <v>91</v>
      </c>
      <c r="E6" s="120" t="s">
        <v>208</v>
      </c>
      <c r="F6" s="120" t="s">
        <v>170</v>
      </c>
      <c r="G6" s="120" t="s">
        <v>92</v>
      </c>
      <c r="H6" s="120" t="s">
        <v>359</v>
      </c>
      <c r="I6" s="120" t="s">
        <v>360</v>
      </c>
      <c r="J6" s="120"/>
      <c r="K6" s="120" t="s">
        <v>361</v>
      </c>
      <c r="L6" s="120"/>
      <c r="M6" s="120" t="s">
        <v>423</v>
      </c>
      <c r="N6" s="120" t="s">
        <v>370</v>
      </c>
      <c r="O6" s="120" t="s">
        <v>93</v>
      </c>
      <c r="P6" s="120" t="s">
        <v>424</v>
      </c>
      <c r="Q6" s="120" t="s">
        <v>422</v>
      </c>
      <c r="R6" s="120"/>
    </row>
    <row r="7" spans="2:18" ht="23" customHeight="1">
      <c r="B7" s="203"/>
      <c r="C7" s="12"/>
      <c r="D7" s="12"/>
      <c r="E7" s="12"/>
      <c r="F7" s="12"/>
      <c r="G7" s="12"/>
      <c r="H7" s="12"/>
      <c r="I7" s="12"/>
      <c r="J7" s="12"/>
      <c r="K7" s="12"/>
      <c r="L7" s="12"/>
      <c r="M7" s="12"/>
      <c r="N7" s="12"/>
      <c r="O7" s="12"/>
      <c r="P7" s="12"/>
      <c r="Q7" s="12"/>
      <c r="R7" s="12"/>
    </row>
    <row r="8" spans="2:18" s="134" customFormat="1" ht="23" customHeight="1">
      <c r="B8" s="7" t="str">
        <f>Cuentas!$B$6</f>
        <v>AR2XXXX3387-0008</v>
      </c>
      <c r="C8" s="159"/>
      <c r="D8" s="249"/>
      <c r="E8" s="252"/>
      <c r="F8" s="250"/>
      <c r="G8" s="7">
        <v>1.4286000000000001</v>
      </c>
      <c r="H8" s="251">
        <f t="shared" ref="H8:H28" si="0">IF(E8="USD",G8*F8,IF(E8="MXN",0,0))</f>
        <v>0</v>
      </c>
      <c r="I8" s="251">
        <f>IF(E8="USD",0,IF(E8="MXN",F8*G8,0))</f>
        <v>0</v>
      </c>
      <c r="J8" s="251"/>
      <c r="K8" s="162">
        <f>IF(C8=0,0,HLOOKUP(YEAR(C8)+(MONTH(C8)/100),TC!$5:$37,DAY(C8)+2,FALSE))</f>
        <v>0</v>
      </c>
      <c r="L8" s="253"/>
      <c r="M8" s="163">
        <f>+IF(E8="USD",H8,IF(E8="MXN",I8/K8,0))</f>
        <v>0</v>
      </c>
      <c r="N8" s="250">
        <f>IF(E8="USD",H8*K8,IF(E8="MXN",I8,0))</f>
        <v>0</v>
      </c>
      <c r="O8" s="254">
        <v>0.3</v>
      </c>
      <c r="P8" s="255">
        <f>+M8*O8</f>
        <v>0</v>
      </c>
      <c r="Q8" s="255">
        <f>N8*O8</f>
        <v>0</v>
      </c>
      <c r="R8" s="236"/>
    </row>
    <row r="9" spans="2:18" s="134" customFormat="1" ht="23" customHeight="1">
      <c r="B9" s="7" t="str">
        <f>Cuentas!$B$6</f>
        <v>AR2XXXX3387-0008</v>
      </c>
      <c r="C9" s="159"/>
      <c r="D9" s="249"/>
      <c r="E9" s="252"/>
      <c r="F9" s="250"/>
      <c r="G9" s="7">
        <v>1.4286000000000001</v>
      </c>
      <c r="H9" s="251">
        <f t="shared" si="0"/>
        <v>0</v>
      </c>
      <c r="I9" s="251">
        <f t="shared" ref="I9:I28" si="1">IF(E9="USD",0,IF(E9="MXN",F9*G9,0))</f>
        <v>0</v>
      </c>
      <c r="J9" s="251"/>
      <c r="K9" s="162">
        <f>IF(C9=0,0,HLOOKUP(YEAR(C9)+(MONTH(C9)/100),TC!$5:$37,DAY(C9)+2,FALSE))</f>
        <v>0</v>
      </c>
      <c r="L9" s="253"/>
      <c r="M9" s="163">
        <f t="shared" ref="M9:M28" si="2">+IF(E9="USD",H9,IF(E9="MXN",I9/K9,0))</f>
        <v>0</v>
      </c>
      <c r="N9" s="250">
        <f>IF(E9="USD",H9*K9,IF(E9="MXN",I9,0))</f>
        <v>0</v>
      </c>
      <c r="O9" s="254">
        <v>0.3</v>
      </c>
      <c r="P9" s="255">
        <f>+M9*O9</f>
        <v>0</v>
      </c>
      <c r="Q9" s="255">
        <f t="shared" ref="Q9:Q28" si="3">N9*O9</f>
        <v>0</v>
      </c>
      <c r="R9" s="236"/>
    </row>
    <row r="10" spans="2:18" s="134" customFormat="1" ht="23" customHeight="1">
      <c r="B10" s="7" t="str">
        <f>Cuentas!$B$6</f>
        <v>AR2XXXX3387-0008</v>
      </c>
      <c r="C10" s="159"/>
      <c r="D10" s="249"/>
      <c r="E10" s="252"/>
      <c r="F10" s="250"/>
      <c r="G10" s="7">
        <v>1.4286000000000001</v>
      </c>
      <c r="H10" s="251">
        <f t="shared" si="0"/>
        <v>0</v>
      </c>
      <c r="I10" s="251">
        <f t="shared" si="1"/>
        <v>0</v>
      </c>
      <c r="J10" s="251"/>
      <c r="K10" s="162">
        <f>IF(C10=0,0,HLOOKUP(YEAR(C10)+(MONTH(C10)/100),TC!$5:$37,DAY(C10)+2,FALSE))</f>
        <v>0</v>
      </c>
      <c r="L10" s="253"/>
      <c r="M10" s="163">
        <f t="shared" si="2"/>
        <v>0</v>
      </c>
      <c r="N10" s="250">
        <f t="shared" ref="N10:N27" si="4">IF(E10="USD",H10*K10,IF(E10="MXN",I10,0))</f>
        <v>0</v>
      </c>
      <c r="O10" s="254">
        <v>0.3</v>
      </c>
      <c r="P10" s="255">
        <f t="shared" ref="P10:P28" si="5">+M10*O10</f>
        <v>0</v>
      </c>
      <c r="Q10" s="255">
        <f t="shared" si="3"/>
        <v>0</v>
      </c>
      <c r="R10" s="236"/>
    </row>
    <row r="11" spans="2:18" s="134" customFormat="1" ht="23" customHeight="1">
      <c r="B11" s="7" t="str">
        <f>Cuentas!$B$7</f>
        <v>AR2XXXX3387-0003</v>
      </c>
      <c r="C11" s="159"/>
      <c r="D11" s="249"/>
      <c r="E11" s="252"/>
      <c r="F11" s="250"/>
      <c r="G11" s="7">
        <v>1.4286000000000001</v>
      </c>
      <c r="H11" s="251">
        <f t="shared" si="0"/>
        <v>0</v>
      </c>
      <c r="I11" s="251">
        <f t="shared" si="1"/>
        <v>0</v>
      </c>
      <c r="J11" s="251"/>
      <c r="K11" s="162">
        <f>IF(C11=0,0,HLOOKUP(YEAR(C11)+(MONTH(C11)/100),TC!$5:$37,DAY(C11)+2,FALSE))</f>
        <v>0</v>
      </c>
      <c r="L11" s="253"/>
      <c r="M11" s="163">
        <f t="shared" si="2"/>
        <v>0</v>
      </c>
      <c r="N11" s="250">
        <f t="shared" si="4"/>
        <v>0</v>
      </c>
      <c r="O11" s="254">
        <v>0.3</v>
      </c>
      <c r="P11" s="255">
        <f t="shared" si="5"/>
        <v>0</v>
      </c>
      <c r="Q11" s="255">
        <f t="shared" si="3"/>
        <v>0</v>
      </c>
      <c r="R11" s="236"/>
    </row>
    <row r="12" spans="2:18" s="134" customFormat="1" ht="23" customHeight="1">
      <c r="B12" s="7" t="str">
        <f>Cuentas!$B$7</f>
        <v>AR2XXXX3387-0003</v>
      </c>
      <c r="C12" s="159"/>
      <c r="D12" s="249"/>
      <c r="E12" s="252"/>
      <c r="F12" s="250"/>
      <c r="G12" s="7">
        <v>1.4286000000000001</v>
      </c>
      <c r="H12" s="251">
        <f t="shared" si="0"/>
        <v>0</v>
      </c>
      <c r="I12" s="251">
        <f t="shared" si="1"/>
        <v>0</v>
      </c>
      <c r="J12" s="251"/>
      <c r="K12" s="162">
        <f>IF(C12=0,0,HLOOKUP(YEAR(C12)+(MONTH(C12)/100),TC!$5:$37,DAY(C12)+2,FALSE))</f>
        <v>0</v>
      </c>
      <c r="L12" s="253"/>
      <c r="M12" s="163">
        <f t="shared" si="2"/>
        <v>0</v>
      </c>
      <c r="N12" s="250">
        <f t="shared" si="4"/>
        <v>0</v>
      </c>
      <c r="O12" s="254">
        <v>0.3</v>
      </c>
      <c r="P12" s="255">
        <f t="shared" si="5"/>
        <v>0</v>
      </c>
      <c r="Q12" s="255">
        <f t="shared" si="3"/>
        <v>0</v>
      </c>
      <c r="R12" s="236"/>
    </row>
    <row r="13" spans="2:18" s="134" customFormat="1" ht="23" customHeight="1">
      <c r="B13" s="7" t="str">
        <f>Cuentas!$B$7</f>
        <v>AR2XXXX3387-0003</v>
      </c>
      <c r="C13" s="159"/>
      <c r="D13" s="249"/>
      <c r="E13" s="252"/>
      <c r="F13" s="250"/>
      <c r="G13" s="7">
        <v>1.4286000000000001</v>
      </c>
      <c r="H13" s="251">
        <f t="shared" si="0"/>
        <v>0</v>
      </c>
      <c r="I13" s="251">
        <f t="shared" si="1"/>
        <v>0</v>
      </c>
      <c r="J13" s="251"/>
      <c r="K13" s="162">
        <f>IF(C13=0,0,HLOOKUP(YEAR(C13)+(MONTH(C13)/100),TC!$5:$37,DAY(C13)+2,FALSE))</f>
        <v>0</v>
      </c>
      <c r="L13" s="253"/>
      <c r="M13" s="163">
        <f t="shared" si="2"/>
        <v>0</v>
      </c>
      <c r="N13" s="250">
        <f t="shared" si="4"/>
        <v>0</v>
      </c>
      <c r="O13" s="254">
        <v>0.3</v>
      </c>
      <c r="P13" s="255">
        <f t="shared" si="5"/>
        <v>0</v>
      </c>
      <c r="Q13" s="255">
        <f t="shared" si="3"/>
        <v>0</v>
      </c>
      <c r="R13" s="236"/>
    </row>
    <row r="14" spans="2:18" s="134" customFormat="1" ht="23" customHeight="1">
      <c r="B14" s="7" t="str">
        <f>Cuentas!$B$8</f>
        <v>029-2XXX1-9</v>
      </c>
      <c r="C14" s="159"/>
      <c r="D14" s="249"/>
      <c r="E14" s="252"/>
      <c r="F14" s="250"/>
      <c r="G14" s="7">
        <v>1.4286000000000001</v>
      </c>
      <c r="H14" s="251">
        <f t="shared" si="0"/>
        <v>0</v>
      </c>
      <c r="I14" s="251">
        <f t="shared" si="1"/>
        <v>0</v>
      </c>
      <c r="J14" s="251"/>
      <c r="K14" s="162">
        <f>IF(C14=0,0,HLOOKUP(YEAR(C14)+(MONTH(C14)/100),TC!$5:$37,DAY(C14)+2,FALSE))</f>
        <v>0</v>
      </c>
      <c r="L14" s="253"/>
      <c r="M14" s="163">
        <f t="shared" si="2"/>
        <v>0</v>
      </c>
      <c r="N14" s="250">
        <f t="shared" si="4"/>
        <v>0</v>
      </c>
      <c r="O14" s="254">
        <v>0.3</v>
      </c>
      <c r="P14" s="255">
        <f t="shared" si="5"/>
        <v>0</v>
      </c>
      <c r="Q14" s="255">
        <f t="shared" si="3"/>
        <v>0</v>
      </c>
      <c r="R14" s="236"/>
    </row>
    <row r="15" spans="2:18" s="134" customFormat="1" ht="23" customHeight="1">
      <c r="B15" s="7" t="str">
        <f>Cuentas!$B$8</f>
        <v>029-2XXX1-9</v>
      </c>
      <c r="C15" s="159"/>
      <c r="D15" s="249"/>
      <c r="E15" s="252"/>
      <c r="F15" s="250"/>
      <c r="G15" s="7">
        <v>1.4286000000000001</v>
      </c>
      <c r="H15" s="251">
        <f t="shared" si="0"/>
        <v>0</v>
      </c>
      <c r="I15" s="251">
        <f t="shared" si="1"/>
        <v>0</v>
      </c>
      <c r="J15" s="251"/>
      <c r="K15" s="162">
        <f>IF(C15=0,0,HLOOKUP(YEAR(C15)+(MONTH(C15)/100),TC!$5:$37,DAY(C15)+2,FALSE))</f>
        <v>0</v>
      </c>
      <c r="L15" s="253"/>
      <c r="M15" s="163">
        <f t="shared" si="2"/>
        <v>0</v>
      </c>
      <c r="N15" s="250">
        <f t="shared" si="4"/>
        <v>0</v>
      </c>
      <c r="O15" s="254">
        <v>0.3</v>
      </c>
      <c r="P15" s="255">
        <f t="shared" si="5"/>
        <v>0</v>
      </c>
      <c r="Q15" s="255">
        <f t="shared" si="3"/>
        <v>0</v>
      </c>
      <c r="R15" s="236"/>
    </row>
    <row r="16" spans="2:18" s="134" customFormat="1" ht="23" customHeight="1">
      <c r="B16" s="7" t="str">
        <f>Cuentas!$B$8</f>
        <v>029-2XXX1-9</v>
      </c>
      <c r="C16" s="159"/>
      <c r="D16" s="249"/>
      <c r="E16" s="252"/>
      <c r="F16" s="250"/>
      <c r="G16" s="7">
        <v>1.4286000000000001</v>
      </c>
      <c r="H16" s="251">
        <f t="shared" si="0"/>
        <v>0</v>
      </c>
      <c r="I16" s="251">
        <f t="shared" si="1"/>
        <v>0</v>
      </c>
      <c r="J16" s="251"/>
      <c r="K16" s="162">
        <f>IF(C16=0,0,HLOOKUP(YEAR(C16)+(MONTH(C16)/100),TC!$5:$37,DAY(C16)+2,FALSE))</f>
        <v>0</v>
      </c>
      <c r="L16" s="253"/>
      <c r="M16" s="163">
        <f t="shared" si="2"/>
        <v>0</v>
      </c>
      <c r="N16" s="250">
        <f t="shared" si="4"/>
        <v>0</v>
      </c>
      <c r="O16" s="254">
        <v>0.3</v>
      </c>
      <c r="P16" s="255">
        <f t="shared" si="5"/>
        <v>0</v>
      </c>
      <c r="Q16" s="255">
        <f t="shared" si="3"/>
        <v>0</v>
      </c>
      <c r="R16" s="236"/>
    </row>
    <row r="17" spans="2:18" s="134" customFormat="1" ht="23" customHeight="1">
      <c r="B17" s="7" t="str">
        <f>Cuentas!$B$9</f>
        <v>029-2XXX2-7</v>
      </c>
      <c r="C17" s="159"/>
      <c r="D17" s="249"/>
      <c r="E17" s="252"/>
      <c r="F17" s="250"/>
      <c r="G17" s="7">
        <v>1.4286000000000001</v>
      </c>
      <c r="H17" s="251">
        <f t="shared" si="0"/>
        <v>0</v>
      </c>
      <c r="I17" s="251">
        <f t="shared" si="1"/>
        <v>0</v>
      </c>
      <c r="J17" s="251"/>
      <c r="K17" s="162">
        <f>IF(C17=0,0,HLOOKUP(YEAR(C17)+(MONTH(C17)/100),TC!$5:$37,DAY(C17)+2,FALSE))</f>
        <v>0</v>
      </c>
      <c r="L17" s="253"/>
      <c r="M17" s="163">
        <f t="shared" si="2"/>
        <v>0</v>
      </c>
      <c r="N17" s="250">
        <f t="shared" si="4"/>
        <v>0</v>
      </c>
      <c r="O17" s="254">
        <v>0.3</v>
      </c>
      <c r="P17" s="255">
        <f t="shared" si="5"/>
        <v>0</v>
      </c>
      <c r="Q17" s="255">
        <f t="shared" si="3"/>
        <v>0</v>
      </c>
      <c r="R17" s="236"/>
    </row>
    <row r="18" spans="2:18" s="134" customFormat="1" ht="23" customHeight="1">
      <c r="B18" s="7" t="str">
        <f>Cuentas!$B$9</f>
        <v>029-2XXX2-7</v>
      </c>
      <c r="C18" s="159"/>
      <c r="D18" s="249"/>
      <c r="E18" s="252"/>
      <c r="F18" s="250"/>
      <c r="G18" s="7">
        <v>1.4286000000000001</v>
      </c>
      <c r="H18" s="251">
        <f t="shared" si="0"/>
        <v>0</v>
      </c>
      <c r="I18" s="251">
        <f t="shared" si="1"/>
        <v>0</v>
      </c>
      <c r="J18" s="251"/>
      <c r="K18" s="162">
        <f>IF(C18=0,0,HLOOKUP(YEAR(C18)+(MONTH(C18)/100),TC!$5:$37,DAY(C18)+2,FALSE))</f>
        <v>0</v>
      </c>
      <c r="L18" s="253"/>
      <c r="M18" s="163">
        <f t="shared" si="2"/>
        <v>0</v>
      </c>
      <c r="N18" s="250">
        <f t="shared" si="4"/>
        <v>0</v>
      </c>
      <c r="O18" s="254">
        <v>0.3</v>
      </c>
      <c r="P18" s="255">
        <f t="shared" si="5"/>
        <v>0</v>
      </c>
      <c r="Q18" s="255">
        <f t="shared" si="3"/>
        <v>0</v>
      </c>
      <c r="R18" s="236"/>
    </row>
    <row r="19" spans="2:18" s="134" customFormat="1" ht="23" customHeight="1">
      <c r="B19" s="7" t="str">
        <f>Cuentas!$B$9</f>
        <v>029-2XXX2-7</v>
      </c>
      <c r="C19" s="159"/>
      <c r="D19" s="249"/>
      <c r="E19" s="252"/>
      <c r="F19" s="250"/>
      <c r="G19" s="7">
        <v>1.4286000000000001</v>
      </c>
      <c r="H19" s="251">
        <f t="shared" si="0"/>
        <v>0</v>
      </c>
      <c r="I19" s="251">
        <f t="shared" si="1"/>
        <v>0</v>
      </c>
      <c r="J19" s="251"/>
      <c r="K19" s="162">
        <f>IF(C19=0,0,HLOOKUP(YEAR(C19)+(MONTH(C19)/100),TC!$5:$37,DAY(C19)+2,FALSE))</f>
        <v>0</v>
      </c>
      <c r="L19" s="253"/>
      <c r="M19" s="163">
        <f t="shared" si="2"/>
        <v>0</v>
      </c>
      <c r="N19" s="250">
        <f t="shared" si="4"/>
        <v>0</v>
      </c>
      <c r="O19" s="254">
        <v>0.3</v>
      </c>
      <c r="P19" s="255">
        <f t="shared" si="5"/>
        <v>0</v>
      </c>
      <c r="Q19" s="255">
        <f t="shared" si="3"/>
        <v>0</v>
      </c>
      <c r="R19" s="236"/>
    </row>
    <row r="20" spans="2:18" s="134" customFormat="1" ht="23" customHeight="1">
      <c r="B20" s="7" t="str">
        <f>Cuentas!$B$10</f>
        <v>029-2XXX3-5</v>
      </c>
      <c r="C20" s="159"/>
      <c r="D20" s="249"/>
      <c r="E20" s="252"/>
      <c r="F20" s="250"/>
      <c r="G20" s="7">
        <v>1.4286000000000001</v>
      </c>
      <c r="H20" s="251">
        <f t="shared" si="0"/>
        <v>0</v>
      </c>
      <c r="I20" s="251">
        <f t="shared" si="1"/>
        <v>0</v>
      </c>
      <c r="J20" s="251"/>
      <c r="K20" s="162">
        <f>IF(C20=0,0,HLOOKUP(YEAR(C20)+(MONTH(C20)/100),TC!$5:$37,DAY(C20)+2,FALSE))</f>
        <v>0</v>
      </c>
      <c r="L20" s="253"/>
      <c r="M20" s="163">
        <f t="shared" si="2"/>
        <v>0</v>
      </c>
      <c r="N20" s="250">
        <f t="shared" si="4"/>
        <v>0</v>
      </c>
      <c r="O20" s="254">
        <v>0.3</v>
      </c>
      <c r="P20" s="255">
        <f t="shared" si="5"/>
        <v>0</v>
      </c>
      <c r="Q20" s="255">
        <f t="shared" si="3"/>
        <v>0</v>
      </c>
      <c r="R20" s="236"/>
    </row>
    <row r="21" spans="2:18" s="134" customFormat="1" ht="23" customHeight="1">
      <c r="B21" s="7" t="str">
        <f>Cuentas!$B$10</f>
        <v>029-2XXX3-5</v>
      </c>
      <c r="C21" s="159"/>
      <c r="D21" s="249"/>
      <c r="E21" s="252"/>
      <c r="F21" s="250"/>
      <c r="G21" s="7">
        <v>1.4286000000000001</v>
      </c>
      <c r="H21" s="251">
        <f t="shared" si="0"/>
        <v>0</v>
      </c>
      <c r="I21" s="251">
        <f t="shared" si="1"/>
        <v>0</v>
      </c>
      <c r="J21" s="251"/>
      <c r="K21" s="162">
        <f>IF(C21=0,0,HLOOKUP(YEAR(C21)+(MONTH(C21)/100),TC!$5:$37,DAY(C21)+2,FALSE))</f>
        <v>0</v>
      </c>
      <c r="L21" s="253"/>
      <c r="M21" s="163">
        <f t="shared" si="2"/>
        <v>0</v>
      </c>
      <c r="N21" s="250">
        <f t="shared" si="4"/>
        <v>0</v>
      </c>
      <c r="O21" s="254">
        <v>0.3</v>
      </c>
      <c r="P21" s="255">
        <f t="shared" si="5"/>
        <v>0</v>
      </c>
      <c r="Q21" s="255">
        <f t="shared" si="3"/>
        <v>0</v>
      </c>
      <c r="R21" s="236"/>
    </row>
    <row r="22" spans="2:18" s="134" customFormat="1" ht="23" customHeight="1">
      <c r="B22" s="7" t="str">
        <f>Cuentas!$B$10</f>
        <v>029-2XXX3-5</v>
      </c>
      <c r="C22" s="159"/>
      <c r="D22" s="249"/>
      <c r="E22" s="252"/>
      <c r="F22" s="250"/>
      <c r="G22" s="7">
        <v>1.4286000000000001</v>
      </c>
      <c r="H22" s="251">
        <f t="shared" si="0"/>
        <v>0</v>
      </c>
      <c r="I22" s="251">
        <f t="shared" si="1"/>
        <v>0</v>
      </c>
      <c r="J22" s="251"/>
      <c r="K22" s="162">
        <f>IF(C22=0,0,HLOOKUP(YEAR(C22)+(MONTH(C22)/100),TC!$5:$37,DAY(C22)+2,FALSE))</f>
        <v>0</v>
      </c>
      <c r="L22" s="253"/>
      <c r="M22" s="163">
        <f t="shared" si="2"/>
        <v>0</v>
      </c>
      <c r="N22" s="250">
        <f t="shared" si="4"/>
        <v>0</v>
      </c>
      <c r="O22" s="254">
        <v>0.3</v>
      </c>
      <c r="P22" s="255">
        <f t="shared" si="5"/>
        <v>0</v>
      </c>
      <c r="Q22" s="255">
        <f t="shared" si="3"/>
        <v>0</v>
      </c>
      <c r="R22" s="236"/>
    </row>
    <row r="23" spans="2:18" s="134" customFormat="1" ht="23" customHeight="1">
      <c r="B23" s="7" t="str">
        <f>Cuentas!$B$11</f>
        <v>F</v>
      </c>
      <c r="C23" s="159"/>
      <c r="D23" s="249"/>
      <c r="E23" s="252"/>
      <c r="F23" s="250"/>
      <c r="G23" s="7">
        <v>1.4286000000000001</v>
      </c>
      <c r="H23" s="251">
        <f t="shared" si="0"/>
        <v>0</v>
      </c>
      <c r="I23" s="251">
        <f t="shared" si="1"/>
        <v>0</v>
      </c>
      <c r="J23" s="251"/>
      <c r="K23" s="162">
        <f>IF(C23=0,0,HLOOKUP(YEAR(C23)+(MONTH(C23)/100),TC!$5:$37,DAY(C23)+2,FALSE))</f>
        <v>0</v>
      </c>
      <c r="L23" s="253"/>
      <c r="M23" s="163">
        <f t="shared" si="2"/>
        <v>0</v>
      </c>
      <c r="N23" s="250">
        <f t="shared" si="4"/>
        <v>0</v>
      </c>
      <c r="O23" s="254">
        <v>0.3</v>
      </c>
      <c r="P23" s="255">
        <f t="shared" si="5"/>
        <v>0</v>
      </c>
      <c r="Q23" s="255">
        <f t="shared" si="3"/>
        <v>0</v>
      </c>
      <c r="R23" s="236"/>
    </row>
    <row r="24" spans="2:18" s="134" customFormat="1" ht="23" customHeight="1">
      <c r="B24" s="7" t="str">
        <f>Cuentas!$B$11</f>
        <v>F</v>
      </c>
      <c r="C24" s="159"/>
      <c r="D24" s="249"/>
      <c r="E24" s="252"/>
      <c r="F24" s="250"/>
      <c r="G24" s="7">
        <v>1.4286000000000001</v>
      </c>
      <c r="H24" s="251">
        <f t="shared" si="0"/>
        <v>0</v>
      </c>
      <c r="I24" s="251">
        <f t="shared" si="1"/>
        <v>0</v>
      </c>
      <c r="J24" s="251"/>
      <c r="K24" s="162">
        <f>IF(C24=0,0,HLOOKUP(YEAR(C24)+(MONTH(C24)/100),TC!$5:$37,DAY(C24)+2,FALSE))</f>
        <v>0</v>
      </c>
      <c r="L24" s="253"/>
      <c r="M24" s="163">
        <f t="shared" si="2"/>
        <v>0</v>
      </c>
      <c r="N24" s="250">
        <f t="shared" si="4"/>
        <v>0</v>
      </c>
      <c r="O24" s="254">
        <v>0.3</v>
      </c>
      <c r="P24" s="255">
        <f t="shared" si="5"/>
        <v>0</v>
      </c>
      <c r="Q24" s="255">
        <f t="shared" si="3"/>
        <v>0</v>
      </c>
      <c r="R24" s="236"/>
    </row>
    <row r="25" spans="2:18" s="134" customFormat="1" ht="23" customHeight="1">
      <c r="B25" s="7" t="str">
        <f>Cuentas!$B$11</f>
        <v>F</v>
      </c>
      <c r="C25" s="159"/>
      <c r="D25" s="249"/>
      <c r="E25" s="252"/>
      <c r="F25" s="250"/>
      <c r="G25" s="7">
        <v>1.4286000000000001</v>
      </c>
      <c r="H25" s="251">
        <f t="shared" si="0"/>
        <v>0</v>
      </c>
      <c r="I25" s="251">
        <f t="shared" si="1"/>
        <v>0</v>
      </c>
      <c r="J25" s="251"/>
      <c r="K25" s="162">
        <f>IF(C25=0,0,HLOOKUP(YEAR(C25)+(MONTH(C25)/100),TC!$5:$37,DAY(C25)+2,FALSE))</f>
        <v>0</v>
      </c>
      <c r="L25" s="253"/>
      <c r="M25" s="163">
        <f t="shared" si="2"/>
        <v>0</v>
      </c>
      <c r="N25" s="250">
        <f t="shared" si="4"/>
        <v>0</v>
      </c>
      <c r="O25" s="254">
        <v>0.3</v>
      </c>
      <c r="P25" s="255">
        <f t="shared" si="5"/>
        <v>0</v>
      </c>
      <c r="Q25" s="255">
        <f t="shared" si="3"/>
        <v>0</v>
      </c>
      <c r="R25" s="236"/>
    </row>
    <row r="26" spans="2:18" s="134" customFormat="1" ht="23" customHeight="1">
      <c r="B26" s="7" t="str">
        <f>Cuentas!$B$12</f>
        <v>G</v>
      </c>
      <c r="C26" s="159"/>
      <c r="D26" s="249"/>
      <c r="E26" s="252"/>
      <c r="F26" s="250"/>
      <c r="G26" s="7">
        <v>1.4286000000000001</v>
      </c>
      <c r="H26" s="251">
        <f t="shared" si="0"/>
        <v>0</v>
      </c>
      <c r="I26" s="251">
        <f t="shared" si="1"/>
        <v>0</v>
      </c>
      <c r="J26" s="251"/>
      <c r="K26" s="162">
        <f>IF(C26=0,0,HLOOKUP(YEAR(C26)+(MONTH(C26)/100),TC!$5:$37,DAY(C26)+2,FALSE))</f>
        <v>0</v>
      </c>
      <c r="L26" s="253"/>
      <c r="M26" s="163">
        <f t="shared" si="2"/>
        <v>0</v>
      </c>
      <c r="N26" s="250">
        <f t="shared" si="4"/>
        <v>0</v>
      </c>
      <c r="O26" s="254">
        <v>0.3</v>
      </c>
      <c r="P26" s="255">
        <f t="shared" si="5"/>
        <v>0</v>
      </c>
      <c r="Q26" s="255">
        <f t="shared" si="3"/>
        <v>0</v>
      </c>
      <c r="R26" s="236"/>
    </row>
    <row r="27" spans="2:18" s="134" customFormat="1" ht="23" customHeight="1">
      <c r="B27" s="7" t="str">
        <f>Cuentas!$B$12</f>
        <v>G</v>
      </c>
      <c r="C27" s="159"/>
      <c r="D27" s="249"/>
      <c r="E27" s="252"/>
      <c r="F27" s="250"/>
      <c r="G27" s="7">
        <v>1.4286000000000001</v>
      </c>
      <c r="H27" s="251">
        <f t="shared" si="0"/>
        <v>0</v>
      </c>
      <c r="I27" s="251">
        <f t="shared" si="1"/>
        <v>0</v>
      </c>
      <c r="J27" s="251"/>
      <c r="K27" s="162">
        <f>IF(C27=0,0,HLOOKUP(YEAR(C27)+(MONTH(C27)/100),TC!$5:$37,DAY(C27)+2,FALSE))</f>
        <v>0</v>
      </c>
      <c r="L27" s="253"/>
      <c r="M27" s="163">
        <f t="shared" si="2"/>
        <v>0</v>
      </c>
      <c r="N27" s="250">
        <f t="shared" si="4"/>
        <v>0</v>
      </c>
      <c r="O27" s="254">
        <v>0.3</v>
      </c>
      <c r="P27" s="255">
        <f t="shared" si="5"/>
        <v>0</v>
      </c>
      <c r="Q27" s="255">
        <f t="shared" si="3"/>
        <v>0</v>
      </c>
      <c r="R27" s="236"/>
    </row>
    <row r="28" spans="2:18" s="134" customFormat="1" ht="23" customHeight="1">
      <c r="B28" s="7" t="str">
        <f>Cuentas!$B$12</f>
        <v>G</v>
      </c>
      <c r="C28" s="159"/>
      <c r="D28" s="249"/>
      <c r="E28" s="252"/>
      <c r="F28" s="250"/>
      <c r="G28" s="7">
        <v>1.4286000000000001</v>
      </c>
      <c r="H28" s="251">
        <f t="shared" si="0"/>
        <v>0</v>
      </c>
      <c r="I28" s="251">
        <f t="shared" si="1"/>
        <v>0</v>
      </c>
      <c r="J28" s="251"/>
      <c r="K28" s="162">
        <f>IF(C28=0,0,HLOOKUP(YEAR(C28)+(MONTH(C28)/100),TC!$5:$37,DAY(C28)+2,FALSE))</f>
        <v>0</v>
      </c>
      <c r="L28" s="253"/>
      <c r="M28" s="163">
        <f t="shared" si="2"/>
        <v>0</v>
      </c>
      <c r="N28" s="250">
        <f t="shared" ref="N28" si="6">IF(E28="USD",H28*K28,IF(E28="MXN",I28,0))</f>
        <v>0</v>
      </c>
      <c r="O28" s="254">
        <v>0.3</v>
      </c>
      <c r="P28" s="255">
        <f t="shared" si="5"/>
        <v>0</v>
      </c>
      <c r="Q28" s="255">
        <f t="shared" si="3"/>
        <v>0</v>
      </c>
      <c r="R28" s="236"/>
    </row>
    <row r="29" spans="2:18" s="134" customFormat="1" ht="23" customHeight="1">
      <c r="B29" s="76"/>
      <c r="C29" s="145"/>
      <c r="D29" s="45"/>
      <c r="E29" s="234"/>
      <c r="F29" s="144"/>
      <c r="G29" s="76"/>
      <c r="H29" s="235"/>
      <c r="I29" s="235"/>
      <c r="J29" s="235"/>
      <c r="K29" s="143"/>
      <c r="L29" s="143"/>
      <c r="M29" s="143"/>
      <c r="N29" s="144"/>
      <c r="O29" s="236"/>
      <c r="P29" s="236"/>
      <c r="Q29" s="237"/>
      <c r="R29" s="236"/>
    </row>
    <row r="30" spans="2:18" ht="23" customHeight="1">
      <c r="B30" s="164" t="s">
        <v>367</v>
      </c>
      <c r="C30" s="240"/>
      <c r="D30" s="231"/>
      <c r="E30" s="230"/>
      <c r="F30" s="241">
        <f>SUM(F7:F29)</f>
        <v>0</v>
      </c>
      <c r="G30" s="168"/>
      <c r="H30" s="241">
        <f>SUM(H7:H29)</f>
        <v>0</v>
      </c>
      <c r="I30" s="241">
        <f>SUM(I7:I29)</f>
        <v>0</v>
      </c>
      <c r="J30" s="241"/>
      <c r="K30" s="231"/>
      <c r="L30" s="231"/>
      <c r="M30" s="241">
        <f>SUM(M7:M29)</f>
        <v>0</v>
      </c>
      <c r="N30" s="241">
        <f>SUM(N7:N29)</f>
        <v>0</v>
      </c>
      <c r="O30" s="168"/>
      <c r="P30" s="241">
        <f>SUM(P7:P29)</f>
        <v>0</v>
      </c>
      <c r="Q30" s="241">
        <f>SUM(Q7:Q29)</f>
        <v>0</v>
      </c>
      <c r="R30" s="140"/>
    </row>
    <row r="33" spans="3:17" s="85" customFormat="1" ht="45">
      <c r="F33" s="120" t="s">
        <v>356</v>
      </c>
      <c r="H33" s="120" t="s">
        <v>357</v>
      </c>
      <c r="I33" s="120" t="s">
        <v>358</v>
      </c>
      <c r="M33" s="120" t="s">
        <v>357</v>
      </c>
      <c r="N33" s="120" t="s">
        <v>358</v>
      </c>
      <c r="P33" s="120" t="s">
        <v>426</v>
      </c>
      <c r="Q33" s="120" t="s">
        <v>425</v>
      </c>
    </row>
    <row r="35" spans="3:17" ht="23" customHeight="1">
      <c r="C35" s="200"/>
      <c r="D35" s="245" t="s">
        <v>368</v>
      </c>
      <c r="E35" s="179" t="str">
        <f>Cuentas!B6</f>
        <v>AR2XXXX3387-0008</v>
      </c>
      <c r="F35" s="246">
        <f>+SUMIF($B$7:$B$701,E35,$F$7:$F$701)</f>
        <v>0</v>
      </c>
      <c r="G35" s="200"/>
      <c r="H35" s="246">
        <f>+SUMIF($B$7:$B$701,E35,$H$7:$H$701)</f>
        <v>0</v>
      </c>
      <c r="I35" s="246">
        <f>+SUMIF($B$7:$B$701,E35,$I$7:$I$701)</f>
        <v>0</v>
      </c>
      <c r="J35" s="200"/>
      <c r="K35" s="200"/>
      <c r="L35" s="200"/>
      <c r="M35" s="246">
        <f>+SUMIF($B$7:$B$701,E35,$M$7:$M$701)</f>
        <v>0</v>
      </c>
      <c r="N35" s="246">
        <f>+SUMIF($B$7:$B$701,E35,$N$7:$N$701)</f>
        <v>0</v>
      </c>
      <c r="O35" s="200"/>
      <c r="P35" s="246">
        <f>+SUMIF($B$7:$B$701,E35,$P$7:$P$701)</f>
        <v>0</v>
      </c>
      <c r="Q35" s="246">
        <f>+SUMIF($B$7:$B$701,E35,$Q$7:$Q$701)</f>
        <v>0</v>
      </c>
    </row>
    <row r="36" spans="3:17" ht="23" customHeight="1">
      <c r="C36" s="200"/>
      <c r="D36" s="245" t="s">
        <v>368</v>
      </c>
      <c r="E36" s="179" t="str">
        <f>Cuentas!B7</f>
        <v>AR2XXXX3387-0003</v>
      </c>
      <c r="F36" s="246">
        <f t="shared" ref="F36:F55" si="7">+SUMIF($B$7:$B$701,E36,$F$7:$F$701)</f>
        <v>0</v>
      </c>
      <c r="G36" s="200"/>
      <c r="H36" s="246">
        <f t="shared" ref="H36:H55" si="8">+SUMIF($B$7:$B$701,E36,$H$7:$H$701)</f>
        <v>0</v>
      </c>
      <c r="I36" s="246">
        <f t="shared" ref="I36:I55" si="9">+SUMIF($B$7:$B$701,E36,$I$7:$I$701)</f>
        <v>0</v>
      </c>
      <c r="J36" s="200"/>
      <c r="K36" s="200"/>
      <c r="L36" s="200"/>
      <c r="M36" s="246">
        <f t="shared" ref="M36:M55" si="10">+SUMIF($B$7:$B$701,E36,$M$7:$M$701)</f>
        <v>0</v>
      </c>
      <c r="N36" s="246">
        <f t="shared" ref="N36:N55" si="11">+SUMIF($B$7:$B$701,E36,$N$7:$N$701)</f>
        <v>0</v>
      </c>
      <c r="O36" s="200"/>
      <c r="P36" s="246">
        <f t="shared" ref="P36:P55" si="12">+SUMIF($B$7:$B$701,E36,$P$7:$P$701)</f>
        <v>0</v>
      </c>
      <c r="Q36" s="246">
        <f t="shared" ref="Q36:Q55" si="13">+SUMIF($B$7:$B$701,E36,$Q$7:$Q$701)</f>
        <v>0</v>
      </c>
    </row>
    <row r="37" spans="3:17" ht="23" customHeight="1">
      <c r="C37" s="200"/>
      <c r="D37" s="245" t="s">
        <v>368</v>
      </c>
      <c r="E37" s="179" t="str">
        <f>Cuentas!B8</f>
        <v>029-2XXX1-9</v>
      </c>
      <c r="F37" s="246">
        <f t="shared" si="7"/>
        <v>0</v>
      </c>
      <c r="G37" s="200"/>
      <c r="H37" s="246">
        <f t="shared" si="8"/>
        <v>0</v>
      </c>
      <c r="I37" s="246">
        <f t="shared" si="9"/>
        <v>0</v>
      </c>
      <c r="J37" s="200"/>
      <c r="K37" s="200"/>
      <c r="L37" s="200"/>
      <c r="M37" s="246">
        <f t="shared" si="10"/>
        <v>0</v>
      </c>
      <c r="N37" s="246">
        <f t="shared" si="11"/>
        <v>0</v>
      </c>
      <c r="O37" s="200"/>
      <c r="P37" s="246">
        <f t="shared" si="12"/>
        <v>0</v>
      </c>
      <c r="Q37" s="246">
        <f t="shared" si="13"/>
        <v>0</v>
      </c>
    </row>
    <row r="38" spans="3:17" ht="23" customHeight="1">
      <c r="C38" s="200"/>
      <c r="D38" s="245" t="s">
        <v>368</v>
      </c>
      <c r="E38" s="179" t="str">
        <f>Cuentas!B9</f>
        <v>029-2XXX2-7</v>
      </c>
      <c r="F38" s="246">
        <f t="shared" si="7"/>
        <v>0</v>
      </c>
      <c r="G38" s="200"/>
      <c r="H38" s="246">
        <f t="shared" si="8"/>
        <v>0</v>
      </c>
      <c r="I38" s="246">
        <f t="shared" si="9"/>
        <v>0</v>
      </c>
      <c r="J38" s="200"/>
      <c r="K38" s="200"/>
      <c r="L38" s="200"/>
      <c r="M38" s="246">
        <f t="shared" si="10"/>
        <v>0</v>
      </c>
      <c r="N38" s="246">
        <f t="shared" si="11"/>
        <v>0</v>
      </c>
      <c r="O38" s="200"/>
      <c r="P38" s="246">
        <f t="shared" si="12"/>
        <v>0</v>
      </c>
      <c r="Q38" s="246">
        <f t="shared" si="13"/>
        <v>0</v>
      </c>
    </row>
    <row r="39" spans="3:17" ht="23" customHeight="1">
      <c r="C39" s="200"/>
      <c r="D39" s="245" t="s">
        <v>368</v>
      </c>
      <c r="E39" s="179" t="str">
        <f>Cuentas!B10</f>
        <v>029-2XXX3-5</v>
      </c>
      <c r="F39" s="246">
        <f t="shared" si="7"/>
        <v>0</v>
      </c>
      <c r="G39" s="200"/>
      <c r="H39" s="246">
        <f t="shared" si="8"/>
        <v>0</v>
      </c>
      <c r="I39" s="246">
        <f t="shared" si="9"/>
        <v>0</v>
      </c>
      <c r="J39" s="200"/>
      <c r="K39" s="200"/>
      <c r="L39" s="200"/>
      <c r="M39" s="246">
        <f t="shared" si="10"/>
        <v>0</v>
      </c>
      <c r="N39" s="246">
        <f t="shared" si="11"/>
        <v>0</v>
      </c>
      <c r="O39" s="200"/>
      <c r="P39" s="246">
        <f t="shared" si="12"/>
        <v>0</v>
      </c>
      <c r="Q39" s="246">
        <f t="shared" si="13"/>
        <v>0</v>
      </c>
    </row>
    <row r="40" spans="3:17" ht="23" customHeight="1">
      <c r="C40" s="200"/>
      <c r="D40" s="245" t="s">
        <v>368</v>
      </c>
      <c r="E40" s="179" t="str">
        <f>Cuentas!B11</f>
        <v>F</v>
      </c>
      <c r="F40" s="246">
        <f t="shared" si="7"/>
        <v>0</v>
      </c>
      <c r="G40" s="200"/>
      <c r="H40" s="246">
        <f t="shared" si="8"/>
        <v>0</v>
      </c>
      <c r="I40" s="246">
        <f t="shared" si="9"/>
        <v>0</v>
      </c>
      <c r="J40" s="200"/>
      <c r="K40" s="200"/>
      <c r="L40" s="200"/>
      <c r="M40" s="246">
        <f t="shared" si="10"/>
        <v>0</v>
      </c>
      <c r="N40" s="246">
        <f t="shared" si="11"/>
        <v>0</v>
      </c>
      <c r="O40" s="200"/>
      <c r="P40" s="246">
        <f t="shared" si="12"/>
        <v>0</v>
      </c>
      <c r="Q40" s="246">
        <f t="shared" si="13"/>
        <v>0</v>
      </c>
    </row>
    <row r="41" spans="3:17" ht="23" customHeight="1">
      <c r="C41" s="200"/>
      <c r="D41" s="245" t="s">
        <v>368</v>
      </c>
      <c r="E41" s="179" t="str">
        <f>Cuentas!B12</f>
        <v>G</v>
      </c>
      <c r="F41" s="246">
        <f t="shared" si="7"/>
        <v>0</v>
      </c>
      <c r="G41" s="200"/>
      <c r="H41" s="246">
        <f t="shared" si="8"/>
        <v>0</v>
      </c>
      <c r="I41" s="246">
        <f t="shared" si="9"/>
        <v>0</v>
      </c>
      <c r="J41" s="200"/>
      <c r="K41" s="200"/>
      <c r="L41" s="200"/>
      <c r="M41" s="246">
        <f t="shared" si="10"/>
        <v>0</v>
      </c>
      <c r="N41" s="246">
        <f t="shared" si="11"/>
        <v>0</v>
      </c>
      <c r="O41" s="200"/>
      <c r="P41" s="246">
        <f t="shared" si="12"/>
        <v>0</v>
      </c>
      <c r="Q41" s="246">
        <f t="shared" si="13"/>
        <v>0</v>
      </c>
    </row>
    <row r="42" spans="3:17" ht="23" customHeight="1">
      <c r="C42" s="200"/>
      <c r="D42" s="245" t="s">
        <v>368</v>
      </c>
      <c r="E42" s="179" t="str">
        <f>Cuentas!B13</f>
        <v>H</v>
      </c>
      <c r="F42" s="246">
        <f t="shared" si="7"/>
        <v>0</v>
      </c>
      <c r="G42" s="200"/>
      <c r="H42" s="246">
        <f t="shared" si="8"/>
        <v>0</v>
      </c>
      <c r="I42" s="246">
        <f t="shared" si="9"/>
        <v>0</v>
      </c>
      <c r="J42" s="200"/>
      <c r="K42" s="200"/>
      <c r="L42" s="200"/>
      <c r="M42" s="246">
        <f t="shared" si="10"/>
        <v>0</v>
      </c>
      <c r="N42" s="246">
        <f t="shared" si="11"/>
        <v>0</v>
      </c>
      <c r="O42" s="200"/>
      <c r="P42" s="246">
        <f t="shared" si="12"/>
        <v>0</v>
      </c>
      <c r="Q42" s="246">
        <f t="shared" si="13"/>
        <v>0</v>
      </c>
    </row>
    <row r="43" spans="3:17" ht="23" customHeight="1">
      <c r="C43" s="200"/>
      <c r="D43" s="245" t="s">
        <v>368</v>
      </c>
      <c r="E43" s="179" t="str">
        <f>Cuentas!B14</f>
        <v>I</v>
      </c>
      <c r="F43" s="246">
        <f t="shared" si="7"/>
        <v>0</v>
      </c>
      <c r="G43" s="200"/>
      <c r="H43" s="246">
        <f t="shared" si="8"/>
        <v>0</v>
      </c>
      <c r="I43" s="246">
        <f t="shared" si="9"/>
        <v>0</v>
      </c>
      <c r="J43" s="200"/>
      <c r="K43" s="200"/>
      <c r="L43" s="200"/>
      <c r="M43" s="246">
        <f t="shared" si="10"/>
        <v>0</v>
      </c>
      <c r="N43" s="246">
        <f t="shared" si="11"/>
        <v>0</v>
      </c>
      <c r="O43" s="200"/>
      <c r="P43" s="246">
        <f t="shared" si="12"/>
        <v>0</v>
      </c>
      <c r="Q43" s="246">
        <f t="shared" si="13"/>
        <v>0</v>
      </c>
    </row>
    <row r="44" spans="3:17" ht="23" customHeight="1">
      <c r="C44" s="200"/>
      <c r="D44" s="245" t="s">
        <v>368</v>
      </c>
      <c r="E44" s="179" t="str">
        <f>Cuentas!B15</f>
        <v>J</v>
      </c>
      <c r="F44" s="246">
        <f t="shared" si="7"/>
        <v>0</v>
      </c>
      <c r="G44" s="200"/>
      <c r="H44" s="246">
        <f t="shared" si="8"/>
        <v>0</v>
      </c>
      <c r="I44" s="246">
        <f t="shared" si="9"/>
        <v>0</v>
      </c>
      <c r="J44" s="200"/>
      <c r="K44" s="200"/>
      <c r="L44" s="200"/>
      <c r="M44" s="246">
        <f t="shared" si="10"/>
        <v>0</v>
      </c>
      <c r="N44" s="246">
        <f t="shared" si="11"/>
        <v>0</v>
      </c>
      <c r="O44" s="200"/>
      <c r="P44" s="246">
        <f t="shared" si="12"/>
        <v>0</v>
      </c>
      <c r="Q44" s="246">
        <f t="shared" si="13"/>
        <v>0</v>
      </c>
    </row>
    <row r="45" spans="3:17" ht="23" customHeight="1">
      <c r="C45" s="200"/>
      <c r="D45" s="245" t="s">
        <v>368</v>
      </c>
      <c r="E45" s="179" t="str">
        <f>Cuentas!B16</f>
        <v>K</v>
      </c>
      <c r="F45" s="246">
        <f t="shared" si="7"/>
        <v>0</v>
      </c>
      <c r="G45" s="200"/>
      <c r="H45" s="246">
        <f t="shared" si="8"/>
        <v>0</v>
      </c>
      <c r="I45" s="246">
        <f t="shared" si="9"/>
        <v>0</v>
      </c>
      <c r="J45" s="200"/>
      <c r="K45" s="200"/>
      <c r="L45" s="200"/>
      <c r="M45" s="246">
        <f t="shared" si="10"/>
        <v>0</v>
      </c>
      <c r="N45" s="246">
        <f t="shared" si="11"/>
        <v>0</v>
      </c>
      <c r="O45" s="200"/>
      <c r="P45" s="246">
        <f t="shared" si="12"/>
        <v>0</v>
      </c>
      <c r="Q45" s="246">
        <f t="shared" si="13"/>
        <v>0</v>
      </c>
    </row>
    <row r="46" spans="3:17" ht="23" customHeight="1">
      <c r="C46" s="200"/>
      <c r="D46" s="245" t="s">
        <v>368</v>
      </c>
      <c r="E46" s="179" t="str">
        <f>Cuentas!B17</f>
        <v>L</v>
      </c>
      <c r="F46" s="246">
        <f t="shared" si="7"/>
        <v>0</v>
      </c>
      <c r="G46" s="200"/>
      <c r="H46" s="246">
        <f t="shared" si="8"/>
        <v>0</v>
      </c>
      <c r="I46" s="246">
        <f t="shared" si="9"/>
        <v>0</v>
      </c>
      <c r="J46" s="200"/>
      <c r="K46" s="200"/>
      <c r="L46" s="200"/>
      <c r="M46" s="246">
        <f t="shared" si="10"/>
        <v>0</v>
      </c>
      <c r="N46" s="246">
        <f t="shared" si="11"/>
        <v>0</v>
      </c>
      <c r="O46" s="200"/>
      <c r="P46" s="246">
        <f t="shared" si="12"/>
        <v>0</v>
      </c>
      <c r="Q46" s="246">
        <f t="shared" si="13"/>
        <v>0</v>
      </c>
    </row>
    <row r="47" spans="3:17" ht="23" customHeight="1">
      <c r="C47" s="200"/>
      <c r="D47" s="245" t="s">
        <v>368</v>
      </c>
      <c r="E47" s="179" t="str">
        <f>Cuentas!B18</f>
        <v>M</v>
      </c>
      <c r="F47" s="246">
        <f t="shared" si="7"/>
        <v>0</v>
      </c>
      <c r="G47" s="200"/>
      <c r="H47" s="246">
        <f t="shared" si="8"/>
        <v>0</v>
      </c>
      <c r="I47" s="246">
        <f t="shared" si="9"/>
        <v>0</v>
      </c>
      <c r="J47" s="200"/>
      <c r="K47" s="200"/>
      <c r="L47" s="200"/>
      <c r="M47" s="246">
        <f t="shared" si="10"/>
        <v>0</v>
      </c>
      <c r="N47" s="246">
        <f t="shared" si="11"/>
        <v>0</v>
      </c>
      <c r="O47" s="200"/>
      <c r="P47" s="246">
        <f t="shared" si="12"/>
        <v>0</v>
      </c>
      <c r="Q47" s="246">
        <f t="shared" si="13"/>
        <v>0</v>
      </c>
    </row>
    <row r="48" spans="3:17" ht="23" customHeight="1">
      <c r="C48" s="200"/>
      <c r="D48" s="245" t="s">
        <v>368</v>
      </c>
      <c r="E48" s="179" t="str">
        <f>Cuentas!B19</f>
        <v>N</v>
      </c>
      <c r="F48" s="246">
        <f t="shared" si="7"/>
        <v>0</v>
      </c>
      <c r="G48" s="200"/>
      <c r="H48" s="246">
        <f t="shared" si="8"/>
        <v>0</v>
      </c>
      <c r="I48" s="246">
        <f t="shared" si="9"/>
        <v>0</v>
      </c>
      <c r="J48" s="200"/>
      <c r="K48" s="200"/>
      <c r="L48" s="200"/>
      <c r="M48" s="246">
        <f t="shared" si="10"/>
        <v>0</v>
      </c>
      <c r="N48" s="246">
        <f t="shared" si="11"/>
        <v>0</v>
      </c>
      <c r="O48" s="200"/>
      <c r="P48" s="246">
        <f t="shared" si="12"/>
        <v>0</v>
      </c>
      <c r="Q48" s="246">
        <f t="shared" si="13"/>
        <v>0</v>
      </c>
    </row>
    <row r="49" spans="2:17" ht="23" customHeight="1">
      <c r="C49" s="200"/>
      <c r="D49" s="245" t="s">
        <v>368</v>
      </c>
      <c r="E49" s="179" t="str">
        <f>Cuentas!B20</f>
        <v>O</v>
      </c>
      <c r="F49" s="246">
        <f t="shared" si="7"/>
        <v>0</v>
      </c>
      <c r="G49" s="200"/>
      <c r="H49" s="246">
        <f t="shared" si="8"/>
        <v>0</v>
      </c>
      <c r="I49" s="246">
        <f t="shared" si="9"/>
        <v>0</v>
      </c>
      <c r="J49" s="200"/>
      <c r="K49" s="200"/>
      <c r="L49" s="200"/>
      <c r="M49" s="246">
        <f t="shared" si="10"/>
        <v>0</v>
      </c>
      <c r="N49" s="246">
        <f t="shared" si="11"/>
        <v>0</v>
      </c>
      <c r="O49" s="200"/>
      <c r="P49" s="246">
        <f t="shared" si="12"/>
        <v>0</v>
      </c>
      <c r="Q49" s="246">
        <f t="shared" si="13"/>
        <v>0</v>
      </c>
    </row>
    <row r="50" spans="2:17" ht="23" customHeight="1">
      <c r="C50" s="200"/>
      <c r="D50" s="245" t="s">
        <v>368</v>
      </c>
      <c r="E50" s="179" t="str">
        <f>Cuentas!B21</f>
        <v>P</v>
      </c>
      <c r="F50" s="246">
        <f t="shared" si="7"/>
        <v>0</v>
      </c>
      <c r="G50" s="200"/>
      <c r="H50" s="246">
        <f t="shared" si="8"/>
        <v>0</v>
      </c>
      <c r="I50" s="246">
        <f t="shared" si="9"/>
        <v>0</v>
      </c>
      <c r="J50" s="200"/>
      <c r="K50" s="200"/>
      <c r="L50" s="200"/>
      <c r="M50" s="246">
        <f t="shared" si="10"/>
        <v>0</v>
      </c>
      <c r="N50" s="246">
        <f t="shared" si="11"/>
        <v>0</v>
      </c>
      <c r="O50" s="200"/>
      <c r="P50" s="246">
        <f t="shared" si="12"/>
        <v>0</v>
      </c>
      <c r="Q50" s="246">
        <f t="shared" si="13"/>
        <v>0</v>
      </c>
    </row>
    <row r="51" spans="2:17" ht="23" customHeight="1">
      <c r="C51" s="200"/>
      <c r="D51" s="245" t="s">
        <v>368</v>
      </c>
      <c r="E51" s="179" t="str">
        <f>Cuentas!B22</f>
        <v>Q</v>
      </c>
      <c r="F51" s="246">
        <f t="shared" si="7"/>
        <v>0</v>
      </c>
      <c r="G51" s="200"/>
      <c r="H51" s="246">
        <f t="shared" si="8"/>
        <v>0</v>
      </c>
      <c r="I51" s="246">
        <f t="shared" si="9"/>
        <v>0</v>
      </c>
      <c r="J51" s="200"/>
      <c r="K51" s="200"/>
      <c r="L51" s="200"/>
      <c r="M51" s="246">
        <f t="shared" si="10"/>
        <v>0</v>
      </c>
      <c r="N51" s="246">
        <f t="shared" si="11"/>
        <v>0</v>
      </c>
      <c r="O51" s="200"/>
      <c r="P51" s="246">
        <f t="shared" si="12"/>
        <v>0</v>
      </c>
      <c r="Q51" s="246">
        <f t="shared" si="13"/>
        <v>0</v>
      </c>
    </row>
    <row r="52" spans="2:17" ht="23" customHeight="1">
      <c r="C52" s="200"/>
      <c r="D52" s="245" t="s">
        <v>368</v>
      </c>
      <c r="E52" s="179" t="str">
        <f>Cuentas!B23</f>
        <v>R</v>
      </c>
      <c r="F52" s="246">
        <f t="shared" si="7"/>
        <v>0</v>
      </c>
      <c r="G52" s="200"/>
      <c r="H52" s="246">
        <f t="shared" si="8"/>
        <v>0</v>
      </c>
      <c r="I52" s="246">
        <f t="shared" si="9"/>
        <v>0</v>
      </c>
      <c r="J52" s="200"/>
      <c r="K52" s="200"/>
      <c r="L52" s="200"/>
      <c r="M52" s="246">
        <f t="shared" si="10"/>
        <v>0</v>
      </c>
      <c r="N52" s="246">
        <f t="shared" si="11"/>
        <v>0</v>
      </c>
      <c r="O52" s="200"/>
      <c r="P52" s="246">
        <f t="shared" si="12"/>
        <v>0</v>
      </c>
      <c r="Q52" s="246">
        <f t="shared" si="13"/>
        <v>0</v>
      </c>
    </row>
    <row r="53" spans="2:17" ht="23" customHeight="1">
      <c r="C53" s="200"/>
      <c r="D53" s="245" t="s">
        <v>368</v>
      </c>
      <c r="E53" s="179" t="str">
        <f>Cuentas!B24</f>
        <v>S</v>
      </c>
      <c r="F53" s="246">
        <f t="shared" si="7"/>
        <v>0</v>
      </c>
      <c r="G53" s="200"/>
      <c r="H53" s="246">
        <f t="shared" si="8"/>
        <v>0</v>
      </c>
      <c r="I53" s="246">
        <f t="shared" si="9"/>
        <v>0</v>
      </c>
      <c r="J53" s="200"/>
      <c r="K53" s="200"/>
      <c r="L53" s="200"/>
      <c r="M53" s="246">
        <f t="shared" si="10"/>
        <v>0</v>
      </c>
      <c r="N53" s="246">
        <f t="shared" si="11"/>
        <v>0</v>
      </c>
      <c r="O53" s="200"/>
      <c r="P53" s="246">
        <f t="shared" si="12"/>
        <v>0</v>
      </c>
      <c r="Q53" s="246">
        <f t="shared" si="13"/>
        <v>0</v>
      </c>
    </row>
    <row r="54" spans="2:17" ht="23" customHeight="1">
      <c r="C54" s="200"/>
      <c r="D54" s="245" t="s">
        <v>368</v>
      </c>
      <c r="E54" s="179" t="str">
        <f>Cuentas!B25</f>
        <v>T</v>
      </c>
      <c r="F54" s="246">
        <f t="shared" si="7"/>
        <v>0</v>
      </c>
      <c r="G54" s="200"/>
      <c r="H54" s="246">
        <f t="shared" si="8"/>
        <v>0</v>
      </c>
      <c r="I54" s="246">
        <f t="shared" si="9"/>
        <v>0</v>
      </c>
      <c r="J54" s="200"/>
      <c r="K54" s="200"/>
      <c r="L54" s="200"/>
      <c r="M54" s="246">
        <f t="shared" si="10"/>
        <v>0</v>
      </c>
      <c r="N54" s="246">
        <f t="shared" si="11"/>
        <v>0</v>
      </c>
      <c r="O54" s="200"/>
      <c r="P54" s="246">
        <f t="shared" si="12"/>
        <v>0</v>
      </c>
      <c r="Q54" s="246">
        <f t="shared" si="13"/>
        <v>0</v>
      </c>
    </row>
    <row r="55" spans="2:17" ht="23" customHeight="1">
      <c r="C55" s="200"/>
      <c r="D55" s="245" t="s">
        <v>368</v>
      </c>
      <c r="E55" s="179" t="str">
        <f>Cuentas!B26</f>
        <v>U</v>
      </c>
      <c r="F55" s="246">
        <f t="shared" si="7"/>
        <v>0</v>
      </c>
      <c r="G55" s="200"/>
      <c r="H55" s="246">
        <f t="shared" si="8"/>
        <v>0</v>
      </c>
      <c r="I55" s="246">
        <f t="shared" si="9"/>
        <v>0</v>
      </c>
      <c r="J55" s="200"/>
      <c r="K55" s="200"/>
      <c r="L55" s="200"/>
      <c r="M55" s="246">
        <f t="shared" si="10"/>
        <v>0</v>
      </c>
      <c r="N55" s="246">
        <f t="shared" si="11"/>
        <v>0</v>
      </c>
      <c r="O55" s="200"/>
      <c r="P55" s="246">
        <f t="shared" si="12"/>
        <v>0</v>
      </c>
      <c r="Q55" s="246">
        <f t="shared" si="13"/>
        <v>0</v>
      </c>
    </row>
    <row r="56" spans="2:17" ht="23" customHeight="1">
      <c r="F56" s="238"/>
      <c r="H56" s="238"/>
      <c r="I56" s="238"/>
      <c r="M56" s="118"/>
      <c r="N56" s="238"/>
      <c r="Q56" s="238"/>
    </row>
    <row r="57" spans="2:17" ht="23" customHeight="1">
      <c r="D57" s="103"/>
      <c r="E57" s="242" t="s">
        <v>369</v>
      </c>
      <c r="F57" s="243">
        <f>SUM(F35:F55)</f>
        <v>0</v>
      </c>
      <c r="G57" s="103"/>
      <c r="H57" s="243">
        <f>SUM(H35:H55)</f>
        <v>0</v>
      </c>
      <c r="I57" s="243">
        <f>SUM(I35:I55)</f>
        <v>0</v>
      </c>
      <c r="J57" s="103"/>
      <c r="K57" s="103"/>
      <c r="L57" s="103"/>
      <c r="M57" s="243">
        <f>SUM(M35:M55)</f>
        <v>0</v>
      </c>
      <c r="N57" s="243">
        <f>SUM(N35:N55)</f>
        <v>0</v>
      </c>
      <c r="O57" s="103"/>
      <c r="P57" s="243">
        <f>SUM(P35:P55)</f>
        <v>0</v>
      </c>
      <c r="Q57" s="243">
        <f>SUM(Q35:Q55)</f>
        <v>0</v>
      </c>
    </row>
    <row r="60" spans="2:17" ht="23" customHeight="1">
      <c r="B60" s="2" t="s">
        <v>12</v>
      </c>
    </row>
  </sheetData>
  <sheetProtection algorithmName="SHA-512" hashValue="0tkb+mMxWmPGhpd5iBXNC5k7wKtnw1Y+CW0OdVwaSKzuxxvvdXn5veJHGMkUpW3xb4HNV1hRVLPmAqM+UUvtEg==" saltValue="u14LvNqrARj0YLSp0U7Pyw==" spinCount="100000" sheet="1" formatCells="0" formatColumns="0" formatRows="0" insertColumns="0" insertRows="0" deleteColumns="0" deleteRows="0" autoFilter="0"/>
  <autoFilter ref="B6:Q28" xr:uid="{4FD0E62E-B096-6E4E-999E-D73E22018AF9}"/>
  <mergeCells count="2">
    <mergeCell ref="B2:R2"/>
    <mergeCell ref="B3:R3"/>
  </mergeCells>
  <phoneticPr fontId="8" type="noConversion"/>
  <dataValidations count="1">
    <dataValidation type="list" allowBlank="1" showInputMessage="1" showErrorMessage="1" promptTitle="OJO:" prompt="Selecciona una moneda" sqref="E29" xr:uid="{00000000-0002-0000-0900-000000000000}">
      <formula1>Monedas_Dividendos</formula1>
    </dataValidation>
  </dataValidations>
  <printOptions horizontalCentered="1"/>
  <pageMargins left="0.25" right="0.25" top="0.75" bottom="0.75" header="0.3" footer="0.3"/>
  <pageSetup scale="40"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525A2F86-AAF6-1B4F-88D8-2044CDF47EE4}">
          <x14:formula1>
            <xm:f>Equivalencia!$A$4:$A$23</xm:f>
          </x14:formula1>
          <xm:sqref>E8:E28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82C2F-7AEA-4E49-977F-A6E3B06153A5}">
  <sheetPr>
    <pageSetUpPr fitToPage="1"/>
  </sheetPr>
  <dimension ref="B2:K60"/>
  <sheetViews>
    <sheetView view="pageBreakPreview" zoomScale="80" zoomScaleNormal="90" zoomScaleSheetLayoutView="80" workbookViewId="0">
      <pane ySplit="6" topLeftCell="A7" activePane="bottomLeft" state="frozen"/>
      <selection pane="bottomLeft" activeCell="C5" sqref="C5"/>
    </sheetView>
  </sheetViews>
  <sheetFormatPr baseColWidth="10" defaultColWidth="11.5" defaultRowHeight="23" customHeight="1"/>
  <cols>
    <col min="1" max="1" width="11.5" style="1"/>
    <col min="2" max="3" width="28.33203125" style="1" customWidth="1"/>
    <col min="4" max="4" width="17.6640625" style="1" customWidth="1"/>
    <col min="5" max="5" width="45.6640625" style="1" customWidth="1"/>
    <col min="6" max="6" width="18.5" style="1" customWidth="1"/>
    <col min="7" max="8" width="21.33203125" style="1" customWidth="1"/>
    <col min="9" max="9" width="17.83203125" style="1" customWidth="1"/>
    <col min="10" max="10" width="20.83203125" style="1" customWidth="1"/>
    <col min="11" max="11" width="2.1640625" style="1" customWidth="1"/>
    <col min="12" max="16384" width="11.5" style="1"/>
  </cols>
  <sheetData>
    <row r="2" spans="2:11" ht="23" customHeight="1">
      <c r="B2" s="328"/>
      <c r="C2" s="328"/>
      <c r="D2" s="328"/>
      <c r="E2" s="328"/>
      <c r="F2" s="328"/>
      <c r="G2" s="328"/>
      <c r="H2" s="328"/>
      <c r="I2" s="328"/>
      <c r="J2" s="328"/>
      <c r="K2" s="328"/>
    </row>
    <row r="3" spans="2:11" ht="23" customHeight="1">
      <c r="B3" s="556" t="s">
        <v>648</v>
      </c>
      <c r="C3" s="556"/>
      <c r="D3" s="53"/>
      <c r="E3" s="53"/>
      <c r="F3" s="53"/>
      <c r="G3" s="53"/>
      <c r="H3" s="53"/>
      <c r="I3" s="53"/>
      <c r="J3" s="53"/>
      <c r="K3" s="53"/>
    </row>
    <row r="4" spans="2:11" ht="14" customHeight="1">
      <c r="B4" s="24" t="s">
        <v>443</v>
      </c>
      <c r="C4" s="24" t="s">
        <v>673</v>
      </c>
      <c r="D4" s="24"/>
      <c r="E4" s="24"/>
      <c r="F4" s="24"/>
      <c r="G4" s="24"/>
      <c r="H4" s="24"/>
      <c r="I4" s="24"/>
      <c r="J4" s="24"/>
      <c r="K4" s="60"/>
    </row>
    <row r="5" spans="2:11" ht="23" customHeight="1">
      <c r="B5" s="116"/>
      <c r="C5" s="116"/>
      <c r="D5" s="116"/>
      <c r="E5" s="116"/>
      <c r="F5" s="116"/>
      <c r="G5" s="116"/>
      <c r="H5" s="116"/>
      <c r="I5" s="116"/>
      <c r="J5" s="116"/>
      <c r="K5" s="4"/>
    </row>
    <row r="6" spans="2:11" s="85" customFormat="1" ht="30">
      <c r="B6" s="153" t="s">
        <v>178</v>
      </c>
      <c r="C6" s="153" t="s">
        <v>53</v>
      </c>
      <c r="D6" s="120" t="s">
        <v>54</v>
      </c>
      <c r="E6" s="120" t="s">
        <v>91</v>
      </c>
      <c r="F6" s="120" t="s">
        <v>208</v>
      </c>
      <c r="G6" s="120" t="s">
        <v>540</v>
      </c>
      <c r="H6" s="120" t="s">
        <v>56</v>
      </c>
      <c r="I6" s="120" t="s">
        <v>361</v>
      </c>
      <c r="J6" s="120" t="s">
        <v>541</v>
      </c>
      <c r="K6" s="120"/>
    </row>
    <row r="7" spans="2:11" ht="23" customHeight="1">
      <c r="B7" s="203"/>
      <c r="C7" s="203"/>
      <c r="D7" s="12"/>
      <c r="E7" s="12"/>
      <c r="F7" s="12"/>
      <c r="G7" s="12"/>
      <c r="H7" s="12"/>
      <c r="I7" s="12"/>
      <c r="J7" s="12"/>
      <c r="K7" s="12"/>
    </row>
    <row r="8" spans="2:11" s="134" customFormat="1" ht="23" customHeight="1">
      <c r="B8" s="7" t="str">
        <f>Cuentas!$B$6</f>
        <v>AR2XXXX3387-0008</v>
      </c>
      <c r="C8" s="7"/>
      <c r="D8" s="159"/>
      <c r="E8" s="249"/>
      <c r="F8" s="252"/>
      <c r="G8" s="250"/>
      <c r="H8" s="162">
        <f>IF(F8=0,0,IF(F8="MXN",1/HLOOKUP(YEAR(D8)+(MONTH(D8)/100),TC!$5:$437,DAY(D8)+2,FALSE),VLOOKUP(F8,Equivalencia!$1:$23,((MAX(Equivalencia!$3:$3)-YEAR(D8))*14)+MONTH(D8)+2,FALSE)))</f>
        <v>0</v>
      </c>
      <c r="I8" s="162">
        <f>IF(D8=0,0,HLOOKUP(YEAR(D8)+(MONTH(D8)/100),TC!$5:$37,DAY(D8)+2,FALSE))</f>
        <v>0</v>
      </c>
      <c r="J8" s="163">
        <f>G8*H8*I8</f>
        <v>0</v>
      </c>
      <c r="K8" s="236"/>
    </row>
    <row r="9" spans="2:11" s="134" customFormat="1" ht="23" customHeight="1">
      <c r="B9" s="7" t="str">
        <f>Cuentas!$B$6</f>
        <v>AR2XXXX3387-0008</v>
      </c>
      <c r="C9" s="7"/>
      <c r="D9" s="159"/>
      <c r="E9" s="249"/>
      <c r="F9" s="252"/>
      <c r="G9" s="250"/>
      <c r="H9" s="162">
        <f>IF(F9=0,0,IF(F9="MXN",1/HLOOKUP(YEAR(D9)+(MONTH(D9)/100),TC!$5:$437,DAY(D9)+2,FALSE),VLOOKUP(F9,Equivalencia!$1:$23,((MAX(Equivalencia!$3:$3)-YEAR(D9))*14)+MONTH(D9)+2,FALSE)))</f>
        <v>0</v>
      </c>
      <c r="I9" s="162">
        <f>IF(D9=0,0,HLOOKUP(YEAR(D9)+(MONTH(D9)/100),TC!$5:$37,DAY(D9)+2,FALSE))</f>
        <v>0</v>
      </c>
      <c r="J9" s="163">
        <f t="shared" ref="J9:J28" si="0">G9*H9*I9</f>
        <v>0</v>
      </c>
      <c r="K9" s="236"/>
    </row>
    <row r="10" spans="2:11" s="134" customFormat="1" ht="23" customHeight="1">
      <c r="B10" s="7" t="str">
        <f>Cuentas!$B$6</f>
        <v>AR2XXXX3387-0008</v>
      </c>
      <c r="C10" s="7"/>
      <c r="D10" s="159"/>
      <c r="E10" s="249"/>
      <c r="F10" s="252"/>
      <c r="G10" s="250"/>
      <c r="H10" s="162">
        <f>IF(F10=0,0,IF(F10="MXN",1/HLOOKUP(YEAR(D10)+(MONTH(D10)/100),TC!$5:$437,DAY(D10)+2,FALSE),VLOOKUP(F10,Equivalencia!$1:$23,((MAX(Equivalencia!$3:$3)-YEAR(D10))*14)+MONTH(D10)+2,FALSE)))</f>
        <v>0</v>
      </c>
      <c r="I10" s="162">
        <f>IF(D10=0,0,HLOOKUP(YEAR(D10)+(MONTH(D10)/100),TC!$5:$37,DAY(D10)+2,FALSE))</f>
        <v>0</v>
      </c>
      <c r="J10" s="163">
        <f t="shared" si="0"/>
        <v>0</v>
      </c>
      <c r="K10" s="236"/>
    </row>
    <row r="11" spans="2:11" s="134" customFormat="1" ht="23" customHeight="1">
      <c r="B11" s="7" t="str">
        <f>Cuentas!$B$7</f>
        <v>AR2XXXX3387-0003</v>
      </c>
      <c r="C11" s="7"/>
      <c r="D11" s="159"/>
      <c r="E11" s="249"/>
      <c r="F11" s="252"/>
      <c r="G11" s="250"/>
      <c r="H11" s="162">
        <f>IF(F11=0,0,IF(F11="MXN",1/HLOOKUP(YEAR(D11)+(MONTH(D11)/100),TC!$5:$437,DAY(D11)+2,FALSE),VLOOKUP(F11,Equivalencia!$1:$23,((MAX(Equivalencia!$3:$3)-YEAR(D11))*14)+MONTH(D11)+2,FALSE)))</f>
        <v>0</v>
      </c>
      <c r="I11" s="162">
        <f>IF(D11=0,0,HLOOKUP(YEAR(D11)+(MONTH(D11)/100),TC!$5:$37,DAY(D11)+2,FALSE))</f>
        <v>0</v>
      </c>
      <c r="J11" s="163">
        <f t="shared" si="0"/>
        <v>0</v>
      </c>
      <c r="K11" s="236"/>
    </row>
    <row r="12" spans="2:11" s="134" customFormat="1" ht="23" customHeight="1">
      <c r="B12" s="7" t="str">
        <f>Cuentas!$B$7</f>
        <v>AR2XXXX3387-0003</v>
      </c>
      <c r="C12" s="7"/>
      <c r="D12" s="159"/>
      <c r="E12" s="249"/>
      <c r="F12" s="252"/>
      <c r="G12" s="250"/>
      <c r="H12" s="162">
        <f>IF(F12=0,0,IF(F12="MXN",1/HLOOKUP(YEAR(D12)+(MONTH(D12)/100),TC!$5:$437,DAY(D12)+2,FALSE),VLOOKUP(F12,Equivalencia!$1:$23,((MAX(Equivalencia!$3:$3)-YEAR(D12))*14)+MONTH(D12)+2,FALSE)))</f>
        <v>0</v>
      </c>
      <c r="I12" s="162">
        <f>IF(D12=0,0,HLOOKUP(YEAR(D12)+(MONTH(D12)/100),TC!$5:$37,DAY(D12)+2,FALSE))</f>
        <v>0</v>
      </c>
      <c r="J12" s="163">
        <f t="shared" si="0"/>
        <v>0</v>
      </c>
      <c r="K12" s="236"/>
    </row>
    <row r="13" spans="2:11" s="134" customFormat="1" ht="23" customHeight="1">
      <c r="B13" s="7" t="str">
        <f>Cuentas!$B$7</f>
        <v>AR2XXXX3387-0003</v>
      </c>
      <c r="C13" s="7"/>
      <c r="D13" s="159"/>
      <c r="E13" s="249"/>
      <c r="F13" s="252"/>
      <c r="G13" s="250"/>
      <c r="H13" s="162">
        <f>IF(F13=0,0,IF(F13="MXN",1/HLOOKUP(YEAR(D13)+(MONTH(D13)/100),TC!$5:$437,DAY(D13)+2,FALSE),VLOOKUP(F13,Equivalencia!$1:$23,((MAX(Equivalencia!$3:$3)-YEAR(D13))*14)+MONTH(D13)+2,FALSE)))</f>
        <v>0</v>
      </c>
      <c r="I13" s="162">
        <f>IF(D13=0,0,HLOOKUP(YEAR(D13)+(MONTH(D13)/100),TC!$5:$37,DAY(D13)+2,FALSE))</f>
        <v>0</v>
      </c>
      <c r="J13" s="163">
        <f t="shared" si="0"/>
        <v>0</v>
      </c>
      <c r="K13" s="236"/>
    </row>
    <row r="14" spans="2:11" s="134" customFormat="1" ht="23" customHeight="1">
      <c r="B14" s="7" t="str">
        <f>Cuentas!$B$8</f>
        <v>029-2XXX1-9</v>
      </c>
      <c r="C14" s="7"/>
      <c r="D14" s="159"/>
      <c r="E14" s="249"/>
      <c r="F14" s="252"/>
      <c r="G14" s="250"/>
      <c r="H14" s="162">
        <f>IF(F14=0,0,IF(F14="MXN",1/HLOOKUP(YEAR(D14)+(MONTH(D14)/100),TC!$5:$437,DAY(D14)+2,FALSE),VLOOKUP(F14,Equivalencia!$1:$23,((MAX(Equivalencia!$3:$3)-YEAR(D14))*14)+MONTH(D14)+2,FALSE)))</f>
        <v>0</v>
      </c>
      <c r="I14" s="162">
        <f>IF(D14=0,0,HLOOKUP(YEAR(D14)+(MONTH(D14)/100),TC!$5:$37,DAY(D14)+2,FALSE))</f>
        <v>0</v>
      </c>
      <c r="J14" s="163">
        <f t="shared" si="0"/>
        <v>0</v>
      </c>
      <c r="K14" s="236"/>
    </row>
    <row r="15" spans="2:11" s="134" customFormat="1" ht="23" customHeight="1">
      <c r="B15" s="7" t="str">
        <f>Cuentas!$B$8</f>
        <v>029-2XXX1-9</v>
      </c>
      <c r="C15" s="7"/>
      <c r="D15" s="159"/>
      <c r="E15" s="249"/>
      <c r="F15" s="252"/>
      <c r="G15" s="250"/>
      <c r="H15" s="162">
        <f>IF(F15=0,0,IF(F15="MXN",1/HLOOKUP(YEAR(D15)+(MONTH(D15)/100),TC!$5:$437,DAY(D15)+2,FALSE),VLOOKUP(F15,Equivalencia!$1:$23,((MAX(Equivalencia!$3:$3)-YEAR(D15))*14)+MONTH(D15)+2,FALSE)))</f>
        <v>0</v>
      </c>
      <c r="I15" s="162">
        <f>IF(D15=0,0,HLOOKUP(YEAR(D15)+(MONTH(D15)/100),TC!$5:$37,DAY(D15)+2,FALSE))</f>
        <v>0</v>
      </c>
      <c r="J15" s="163">
        <f t="shared" si="0"/>
        <v>0</v>
      </c>
      <c r="K15" s="236"/>
    </row>
    <row r="16" spans="2:11" s="134" customFormat="1" ht="23" customHeight="1">
      <c r="B16" s="7" t="str">
        <f>Cuentas!$B$8</f>
        <v>029-2XXX1-9</v>
      </c>
      <c r="C16" s="7"/>
      <c r="D16" s="159"/>
      <c r="E16" s="249"/>
      <c r="F16" s="252"/>
      <c r="G16" s="250"/>
      <c r="H16" s="162">
        <f>IF(F16=0,0,IF(F16="MXN",1/HLOOKUP(YEAR(D16)+(MONTH(D16)/100),TC!$5:$437,DAY(D16)+2,FALSE),VLOOKUP(F16,Equivalencia!$1:$23,((MAX(Equivalencia!$3:$3)-YEAR(D16))*14)+MONTH(D16)+2,FALSE)))</f>
        <v>0</v>
      </c>
      <c r="I16" s="162">
        <f>IF(D16=0,0,HLOOKUP(YEAR(D16)+(MONTH(D16)/100),TC!$5:$37,DAY(D16)+2,FALSE))</f>
        <v>0</v>
      </c>
      <c r="J16" s="163">
        <f t="shared" si="0"/>
        <v>0</v>
      </c>
      <c r="K16" s="236"/>
    </row>
    <row r="17" spans="2:11" s="134" customFormat="1" ht="23" customHeight="1">
      <c r="B17" s="7" t="str">
        <f>Cuentas!$B$9</f>
        <v>029-2XXX2-7</v>
      </c>
      <c r="C17" s="7"/>
      <c r="D17" s="159"/>
      <c r="E17" s="249"/>
      <c r="F17" s="252"/>
      <c r="G17" s="250"/>
      <c r="H17" s="162">
        <f>IF(F17=0,0,IF(F17="MXN",1/HLOOKUP(YEAR(D17)+(MONTH(D17)/100),TC!$5:$437,DAY(D17)+2,FALSE),VLOOKUP(F17,Equivalencia!$1:$23,((MAX(Equivalencia!$3:$3)-YEAR(D17))*14)+MONTH(D17)+2,FALSE)))</f>
        <v>0</v>
      </c>
      <c r="I17" s="162">
        <f>IF(D17=0,0,HLOOKUP(YEAR(D17)+(MONTH(D17)/100),TC!$5:$37,DAY(D17)+2,FALSE))</f>
        <v>0</v>
      </c>
      <c r="J17" s="163">
        <f t="shared" si="0"/>
        <v>0</v>
      </c>
      <c r="K17" s="236"/>
    </row>
    <row r="18" spans="2:11" s="134" customFormat="1" ht="23" customHeight="1">
      <c r="B18" s="7" t="str">
        <f>Cuentas!$B$9</f>
        <v>029-2XXX2-7</v>
      </c>
      <c r="C18" s="7"/>
      <c r="D18" s="159"/>
      <c r="E18" s="249"/>
      <c r="F18" s="252"/>
      <c r="G18" s="250"/>
      <c r="H18" s="162">
        <f>IF(F18=0,0,IF(F18="MXN",1/HLOOKUP(YEAR(D18)+(MONTH(D18)/100),TC!$5:$437,DAY(D18)+2,FALSE),VLOOKUP(F18,Equivalencia!$1:$23,((MAX(Equivalencia!$3:$3)-YEAR(D18))*14)+MONTH(D18)+2,FALSE)))</f>
        <v>0</v>
      </c>
      <c r="I18" s="162">
        <f>IF(D18=0,0,HLOOKUP(YEAR(D18)+(MONTH(D18)/100),TC!$5:$37,DAY(D18)+2,FALSE))</f>
        <v>0</v>
      </c>
      <c r="J18" s="163">
        <f t="shared" si="0"/>
        <v>0</v>
      </c>
      <c r="K18" s="236"/>
    </row>
    <row r="19" spans="2:11" s="134" customFormat="1" ht="23" customHeight="1">
      <c r="B19" s="7" t="str">
        <f>Cuentas!$B$9</f>
        <v>029-2XXX2-7</v>
      </c>
      <c r="C19" s="7"/>
      <c r="D19" s="159"/>
      <c r="E19" s="249"/>
      <c r="F19" s="252"/>
      <c r="G19" s="250"/>
      <c r="H19" s="162">
        <f>IF(F19=0,0,IF(F19="MXN",1/HLOOKUP(YEAR(D19)+(MONTH(D19)/100),TC!$5:$437,DAY(D19)+2,FALSE),VLOOKUP(F19,Equivalencia!$1:$23,((MAX(Equivalencia!$3:$3)-YEAR(D19))*14)+MONTH(D19)+2,FALSE)))</f>
        <v>0</v>
      </c>
      <c r="I19" s="162">
        <f>IF(D19=0,0,HLOOKUP(YEAR(D19)+(MONTH(D19)/100),TC!$5:$37,DAY(D19)+2,FALSE))</f>
        <v>0</v>
      </c>
      <c r="J19" s="163">
        <f t="shared" si="0"/>
        <v>0</v>
      </c>
      <c r="K19" s="236"/>
    </row>
    <row r="20" spans="2:11" s="134" customFormat="1" ht="23" customHeight="1">
      <c r="B20" s="7" t="str">
        <f>Cuentas!$B$10</f>
        <v>029-2XXX3-5</v>
      </c>
      <c r="C20" s="7"/>
      <c r="D20" s="159"/>
      <c r="E20" s="249"/>
      <c r="F20" s="252"/>
      <c r="G20" s="250"/>
      <c r="H20" s="162">
        <f>IF(F20=0,0,IF(F20="MXN",1/HLOOKUP(YEAR(D20)+(MONTH(D20)/100),TC!$5:$437,DAY(D20)+2,FALSE),VLOOKUP(F20,Equivalencia!$1:$23,((MAX(Equivalencia!$3:$3)-YEAR(D20))*14)+MONTH(D20)+2,FALSE)))</f>
        <v>0</v>
      </c>
      <c r="I20" s="162">
        <f>IF(D20=0,0,HLOOKUP(YEAR(D20)+(MONTH(D20)/100),TC!$5:$37,DAY(D20)+2,FALSE))</f>
        <v>0</v>
      </c>
      <c r="J20" s="163">
        <f t="shared" si="0"/>
        <v>0</v>
      </c>
      <c r="K20" s="236"/>
    </row>
    <row r="21" spans="2:11" s="134" customFormat="1" ht="23" customHeight="1">
      <c r="B21" s="7" t="str">
        <f>Cuentas!$B$10</f>
        <v>029-2XXX3-5</v>
      </c>
      <c r="C21" s="7"/>
      <c r="D21" s="159"/>
      <c r="E21" s="249"/>
      <c r="F21" s="252"/>
      <c r="G21" s="250"/>
      <c r="H21" s="162">
        <f>IF(F21=0,0,IF(F21="MXN",1/HLOOKUP(YEAR(D21)+(MONTH(D21)/100),TC!$5:$437,DAY(D21)+2,FALSE),VLOOKUP(F21,Equivalencia!$1:$23,((MAX(Equivalencia!$3:$3)-YEAR(D21))*14)+MONTH(D21)+2,FALSE)))</f>
        <v>0</v>
      </c>
      <c r="I21" s="162">
        <f>IF(D21=0,0,HLOOKUP(YEAR(D21)+(MONTH(D21)/100),TC!$5:$37,DAY(D21)+2,FALSE))</f>
        <v>0</v>
      </c>
      <c r="J21" s="163">
        <f t="shared" si="0"/>
        <v>0</v>
      </c>
      <c r="K21" s="236"/>
    </row>
    <row r="22" spans="2:11" s="134" customFormat="1" ht="23" customHeight="1">
      <c r="B22" s="7" t="str">
        <f>Cuentas!$B$10</f>
        <v>029-2XXX3-5</v>
      </c>
      <c r="C22" s="7"/>
      <c r="D22" s="159"/>
      <c r="E22" s="249"/>
      <c r="F22" s="252"/>
      <c r="G22" s="250"/>
      <c r="H22" s="162">
        <f>IF(F22=0,0,IF(F22="MXN",1/HLOOKUP(YEAR(D22)+(MONTH(D22)/100),TC!$5:$437,DAY(D22)+2,FALSE),VLOOKUP(F22,Equivalencia!$1:$23,((MAX(Equivalencia!$3:$3)-YEAR(D22))*14)+MONTH(D22)+2,FALSE)))</f>
        <v>0</v>
      </c>
      <c r="I22" s="162">
        <f>IF(D22=0,0,HLOOKUP(YEAR(D22)+(MONTH(D22)/100),TC!$5:$37,DAY(D22)+2,FALSE))</f>
        <v>0</v>
      </c>
      <c r="J22" s="163">
        <f t="shared" si="0"/>
        <v>0</v>
      </c>
      <c r="K22" s="236"/>
    </row>
    <row r="23" spans="2:11" s="134" customFormat="1" ht="23" customHeight="1">
      <c r="B23" s="7" t="str">
        <f>Cuentas!$B$11</f>
        <v>F</v>
      </c>
      <c r="C23" s="7"/>
      <c r="D23" s="159"/>
      <c r="E23" s="249"/>
      <c r="F23" s="252"/>
      <c r="G23" s="250"/>
      <c r="H23" s="162">
        <f>IF(F23=0,0,IF(F23="MXN",1/HLOOKUP(YEAR(D23)+(MONTH(D23)/100),TC!$5:$437,DAY(D23)+2,FALSE),VLOOKUP(F23,Equivalencia!$1:$23,((MAX(Equivalencia!$3:$3)-YEAR(D23))*14)+MONTH(D23)+2,FALSE)))</f>
        <v>0</v>
      </c>
      <c r="I23" s="162">
        <f>IF(D23=0,0,HLOOKUP(YEAR(D23)+(MONTH(D23)/100),TC!$5:$37,DAY(D23)+2,FALSE))</f>
        <v>0</v>
      </c>
      <c r="J23" s="163">
        <f t="shared" si="0"/>
        <v>0</v>
      </c>
      <c r="K23" s="236"/>
    </row>
    <row r="24" spans="2:11" s="134" customFormat="1" ht="23" customHeight="1">
      <c r="B24" s="7" t="str">
        <f>Cuentas!$B$11</f>
        <v>F</v>
      </c>
      <c r="C24" s="7"/>
      <c r="D24" s="159"/>
      <c r="E24" s="249"/>
      <c r="F24" s="252"/>
      <c r="G24" s="250"/>
      <c r="H24" s="162">
        <f>IF(F24=0,0,IF(F24="MXN",1/HLOOKUP(YEAR(D24)+(MONTH(D24)/100),TC!$5:$437,DAY(D24)+2,FALSE),VLOOKUP(F24,Equivalencia!$1:$23,((MAX(Equivalencia!$3:$3)-YEAR(D24))*14)+MONTH(D24)+2,FALSE)))</f>
        <v>0</v>
      </c>
      <c r="I24" s="162">
        <f>IF(D24=0,0,HLOOKUP(YEAR(D24)+(MONTH(D24)/100),TC!$5:$37,DAY(D24)+2,FALSE))</f>
        <v>0</v>
      </c>
      <c r="J24" s="163">
        <f t="shared" si="0"/>
        <v>0</v>
      </c>
      <c r="K24" s="236"/>
    </row>
    <row r="25" spans="2:11" s="134" customFormat="1" ht="23" customHeight="1">
      <c r="B25" s="7" t="str">
        <f>Cuentas!$B$11</f>
        <v>F</v>
      </c>
      <c r="C25" s="7"/>
      <c r="D25" s="159"/>
      <c r="E25" s="249"/>
      <c r="F25" s="252"/>
      <c r="G25" s="250"/>
      <c r="H25" s="162">
        <f>IF(F25=0,0,IF(F25="MXN",1/HLOOKUP(YEAR(D25)+(MONTH(D25)/100),TC!$5:$437,DAY(D25)+2,FALSE),VLOOKUP(F25,Equivalencia!$1:$23,((MAX(Equivalencia!$3:$3)-YEAR(D25))*14)+MONTH(D25)+2,FALSE)))</f>
        <v>0</v>
      </c>
      <c r="I25" s="162">
        <f>IF(D25=0,0,HLOOKUP(YEAR(D25)+(MONTH(D25)/100),TC!$5:$37,DAY(D25)+2,FALSE))</f>
        <v>0</v>
      </c>
      <c r="J25" s="163">
        <f t="shared" si="0"/>
        <v>0</v>
      </c>
      <c r="K25" s="236"/>
    </row>
    <row r="26" spans="2:11" s="134" customFormat="1" ht="23" customHeight="1">
      <c r="B26" s="7" t="str">
        <f>Cuentas!$B$12</f>
        <v>G</v>
      </c>
      <c r="C26" s="7"/>
      <c r="D26" s="159"/>
      <c r="E26" s="249"/>
      <c r="F26" s="252"/>
      <c r="G26" s="250"/>
      <c r="H26" s="162">
        <f>IF(F26=0,0,IF(F26="MXN",1/HLOOKUP(YEAR(D26)+(MONTH(D26)/100),TC!$5:$437,DAY(D26)+2,FALSE),VLOOKUP(F26,Equivalencia!$1:$23,((MAX(Equivalencia!$3:$3)-YEAR(D26))*14)+MONTH(D26)+2,FALSE)))</f>
        <v>0</v>
      </c>
      <c r="I26" s="162">
        <f>IF(D26=0,0,HLOOKUP(YEAR(D26)+(MONTH(D26)/100),TC!$5:$37,DAY(D26)+2,FALSE))</f>
        <v>0</v>
      </c>
      <c r="J26" s="163">
        <f t="shared" si="0"/>
        <v>0</v>
      </c>
      <c r="K26" s="236"/>
    </row>
    <row r="27" spans="2:11" s="134" customFormat="1" ht="23" customHeight="1">
      <c r="B27" s="7" t="str">
        <f>Cuentas!$B$12</f>
        <v>G</v>
      </c>
      <c r="C27" s="7"/>
      <c r="D27" s="159"/>
      <c r="E27" s="249"/>
      <c r="F27" s="252"/>
      <c r="G27" s="250"/>
      <c r="H27" s="162">
        <f>IF(F27=0,0,IF(F27="MXN",1/HLOOKUP(YEAR(D27)+(MONTH(D27)/100),TC!$5:$437,DAY(D27)+2,FALSE),VLOOKUP(F27,Equivalencia!$1:$23,((MAX(Equivalencia!$3:$3)-YEAR(D27))*14)+MONTH(D27)+2,FALSE)))</f>
        <v>0</v>
      </c>
      <c r="I27" s="162">
        <f>IF(D27=0,0,HLOOKUP(YEAR(D27)+(MONTH(D27)/100),TC!$5:$37,DAY(D27)+2,FALSE))</f>
        <v>0</v>
      </c>
      <c r="J27" s="163">
        <f t="shared" si="0"/>
        <v>0</v>
      </c>
      <c r="K27" s="236"/>
    </row>
    <row r="28" spans="2:11" s="134" customFormat="1" ht="23" customHeight="1">
      <c r="B28" s="7" t="str">
        <f>Cuentas!$B$12</f>
        <v>G</v>
      </c>
      <c r="C28" s="7"/>
      <c r="D28" s="159"/>
      <c r="E28" s="249"/>
      <c r="F28" s="252"/>
      <c r="G28" s="250"/>
      <c r="H28" s="162">
        <f>IF(F28=0,0,IF(F28="MXN",1/HLOOKUP(YEAR(D28)+(MONTH(D28)/100),TC!$5:$437,DAY(D28)+2,FALSE),VLOOKUP(F28,Equivalencia!$1:$23,((MAX(Equivalencia!$3:$3)-YEAR(D28))*14)+MONTH(D28)+2,FALSE)))</f>
        <v>0</v>
      </c>
      <c r="I28" s="162">
        <f>IF(D28=0,0,HLOOKUP(YEAR(D28)+(MONTH(D28)/100),TC!$5:$37,DAY(D28)+2,FALSE))</f>
        <v>0</v>
      </c>
      <c r="J28" s="163">
        <f t="shared" si="0"/>
        <v>0</v>
      </c>
      <c r="K28" s="236"/>
    </row>
    <row r="29" spans="2:11" s="134" customFormat="1" ht="23" customHeight="1">
      <c r="B29" s="76"/>
      <c r="C29" s="76"/>
      <c r="D29" s="145"/>
      <c r="E29" s="45"/>
      <c r="F29" s="234"/>
      <c r="G29" s="144"/>
      <c r="H29" s="144"/>
      <c r="I29" s="143"/>
      <c r="J29" s="143"/>
      <c r="K29" s="236"/>
    </row>
    <row r="30" spans="2:11" ht="23" customHeight="1">
      <c r="B30" s="164" t="s">
        <v>367</v>
      </c>
      <c r="C30" s="164"/>
      <c r="D30" s="240"/>
      <c r="E30" s="231"/>
      <c r="F30" s="230"/>
      <c r="G30" s="241">
        <f>SUM(G7:G29)</f>
        <v>0</v>
      </c>
      <c r="H30" s="241"/>
      <c r="I30" s="231"/>
      <c r="J30" s="241">
        <f>SUM(J7:J29)</f>
        <v>0</v>
      </c>
      <c r="K30" s="140"/>
    </row>
    <row r="33" spans="4:10" s="85" customFormat="1" ht="45">
      <c r="G33" s="120" t="s">
        <v>356</v>
      </c>
      <c r="H33" s="120"/>
      <c r="J33" s="120" t="s">
        <v>357</v>
      </c>
    </row>
    <row r="35" spans="4:10" ht="23" customHeight="1">
      <c r="D35" s="200"/>
      <c r="E35" s="245" t="s">
        <v>368</v>
      </c>
      <c r="F35" s="179" t="str">
        <f>Cuentas!B6</f>
        <v>AR2XXXX3387-0008</v>
      </c>
      <c r="G35" s="246">
        <f>+SUMIF($B$7:$B$701,F35,$G$7:$G$701)</f>
        <v>0</v>
      </c>
      <c r="H35" s="246"/>
      <c r="I35" s="200"/>
      <c r="J35" s="246">
        <f t="shared" ref="J35:J55" si="1">+SUMIF($B$7:$B$701,F35,$J$7:$J$701)</f>
        <v>0</v>
      </c>
    </row>
    <row r="36" spans="4:10" ht="23" customHeight="1">
      <c r="D36" s="200"/>
      <c r="E36" s="245" t="s">
        <v>368</v>
      </c>
      <c r="F36" s="179" t="str">
        <f>Cuentas!B7</f>
        <v>AR2XXXX3387-0003</v>
      </c>
      <c r="G36" s="246">
        <f t="shared" ref="G36:G55" si="2">+SUMIF($B$7:$B$701,F36,$G$7:$G$701)</f>
        <v>0</v>
      </c>
      <c r="H36" s="246"/>
      <c r="I36" s="200"/>
      <c r="J36" s="246">
        <f t="shared" si="1"/>
        <v>0</v>
      </c>
    </row>
    <row r="37" spans="4:10" ht="23" customHeight="1">
      <c r="D37" s="200"/>
      <c r="E37" s="245" t="s">
        <v>368</v>
      </c>
      <c r="F37" s="179" t="str">
        <f>Cuentas!B8</f>
        <v>029-2XXX1-9</v>
      </c>
      <c r="G37" s="246">
        <f t="shared" si="2"/>
        <v>0</v>
      </c>
      <c r="H37" s="246"/>
      <c r="I37" s="200"/>
      <c r="J37" s="246">
        <f t="shared" si="1"/>
        <v>0</v>
      </c>
    </row>
    <row r="38" spans="4:10" ht="23" customHeight="1">
      <c r="D38" s="200"/>
      <c r="E38" s="245" t="s">
        <v>368</v>
      </c>
      <c r="F38" s="179" t="str">
        <f>Cuentas!B9</f>
        <v>029-2XXX2-7</v>
      </c>
      <c r="G38" s="246">
        <f t="shared" si="2"/>
        <v>0</v>
      </c>
      <c r="H38" s="246"/>
      <c r="I38" s="200"/>
      <c r="J38" s="246">
        <f t="shared" si="1"/>
        <v>0</v>
      </c>
    </row>
    <row r="39" spans="4:10" ht="23" customHeight="1">
      <c r="D39" s="200"/>
      <c r="E39" s="245" t="s">
        <v>368</v>
      </c>
      <c r="F39" s="179" t="str">
        <f>Cuentas!B10</f>
        <v>029-2XXX3-5</v>
      </c>
      <c r="G39" s="246">
        <f t="shared" si="2"/>
        <v>0</v>
      </c>
      <c r="H39" s="246"/>
      <c r="I39" s="200"/>
      <c r="J39" s="246">
        <f t="shared" si="1"/>
        <v>0</v>
      </c>
    </row>
    <row r="40" spans="4:10" ht="23" customHeight="1">
      <c r="D40" s="200"/>
      <c r="E40" s="245" t="s">
        <v>368</v>
      </c>
      <c r="F40" s="179" t="str">
        <f>Cuentas!B11</f>
        <v>F</v>
      </c>
      <c r="G40" s="246">
        <f t="shared" si="2"/>
        <v>0</v>
      </c>
      <c r="H40" s="246"/>
      <c r="I40" s="200"/>
      <c r="J40" s="246">
        <f t="shared" si="1"/>
        <v>0</v>
      </c>
    </row>
    <row r="41" spans="4:10" ht="23" customHeight="1">
      <c r="D41" s="200"/>
      <c r="E41" s="245" t="s">
        <v>368</v>
      </c>
      <c r="F41" s="179" t="str">
        <f>Cuentas!B12</f>
        <v>G</v>
      </c>
      <c r="G41" s="246">
        <f t="shared" si="2"/>
        <v>0</v>
      </c>
      <c r="H41" s="246"/>
      <c r="I41" s="200"/>
      <c r="J41" s="246">
        <f t="shared" si="1"/>
        <v>0</v>
      </c>
    </row>
    <row r="42" spans="4:10" ht="23" customHeight="1">
      <c r="D42" s="200"/>
      <c r="E42" s="245" t="s">
        <v>368</v>
      </c>
      <c r="F42" s="179" t="str">
        <f>Cuentas!B13</f>
        <v>H</v>
      </c>
      <c r="G42" s="246">
        <f t="shared" si="2"/>
        <v>0</v>
      </c>
      <c r="H42" s="246"/>
      <c r="I42" s="200"/>
      <c r="J42" s="246">
        <f t="shared" si="1"/>
        <v>0</v>
      </c>
    </row>
    <row r="43" spans="4:10" ht="23" customHeight="1">
      <c r="D43" s="200"/>
      <c r="E43" s="245" t="s">
        <v>368</v>
      </c>
      <c r="F43" s="179" t="str">
        <f>Cuentas!B14</f>
        <v>I</v>
      </c>
      <c r="G43" s="246">
        <f t="shared" si="2"/>
        <v>0</v>
      </c>
      <c r="H43" s="246"/>
      <c r="I43" s="200"/>
      <c r="J43" s="246">
        <f t="shared" si="1"/>
        <v>0</v>
      </c>
    </row>
    <row r="44" spans="4:10" ht="23" customHeight="1">
      <c r="D44" s="200"/>
      <c r="E44" s="245" t="s">
        <v>368</v>
      </c>
      <c r="F44" s="179" t="str">
        <f>Cuentas!B15</f>
        <v>J</v>
      </c>
      <c r="G44" s="246">
        <f t="shared" si="2"/>
        <v>0</v>
      </c>
      <c r="H44" s="246"/>
      <c r="I44" s="200"/>
      <c r="J44" s="246">
        <f t="shared" si="1"/>
        <v>0</v>
      </c>
    </row>
    <row r="45" spans="4:10" ht="23" customHeight="1">
      <c r="D45" s="200"/>
      <c r="E45" s="245" t="s">
        <v>368</v>
      </c>
      <c r="F45" s="179" t="str">
        <f>Cuentas!B16</f>
        <v>K</v>
      </c>
      <c r="G45" s="246">
        <f t="shared" si="2"/>
        <v>0</v>
      </c>
      <c r="H45" s="246"/>
      <c r="I45" s="200"/>
      <c r="J45" s="246">
        <f t="shared" si="1"/>
        <v>0</v>
      </c>
    </row>
    <row r="46" spans="4:10" ht="23" customHeight="1">
      <c r="D46" s="200"/>
      <c r="E46" s="245" t="s">
        <v>368</v>
      </c>
      <c r="F46" s="179" t="str">
        <f>Cuentas!B17</f>
        <v>L</v>
      </c>
      <c r="G46" s="246">
        <f t="shared" si="2"/>
        <v>0</v>
      </c>
      <c r="H46" s="246"/>
      <c r="I46" s="200"/>
      <c r="J46" s="246">
        <f t="shared" si="1"/>
        <v>0</v>
      </c>
    </row>
    <row r="47" spans="4:10" ht="23" customHeight="1">
      <c r="D47" s="200"/>
      <c r="E47" s="245" t="s">
        <v>368</v>
      </c>
      <c r="F47" s="179" t="str">
        <f>Cuentas!B18</f>
        <v>M</v>
      </c>
      <c r="G47" s="246">
        <f t="shared" si="2"/>
        <v>0</v>
      </c>
      <c r="H47" s="246"/>
      <c r="I47" s="200"/>
      <c r="J47" s="246">
        <f t="shared" si="1"/>
        <v>0</v>
      </c>
    </row>
    <row r="48" spans="4:10" ht="23" customHeight="1">
      <c r="D48" s="200"/>
      <c r="E48" s="245" t="s">
        <v>368</v>
      </c>
      <c r="F48" s="179" t="str">
        <f>Cuentas!B19</f>
        <v>N</v>
      </c>
      <c r="G48" s="246">
        <f t="shared" si="2"/>
        <v>0</v>
      </c>
      <c r="H48" s="246"/>
      <c r="I48" s="200"/>
      <c r="J48" s="246">
        <f t="shared" si="1"/>
        <v>0</v>
      </c>
    </row>
    <row r="49" spans="2:10" ht="23" customHeight="1">
      <c r="D49" s="200"/>
      <c r="E49" s="245" t="s">
        <v>368</v>
      </c>
      <c r="F49" s="179" t="str">
        <f>Cuentas!B20</f>
        <v>O</v>
      </c>
      <c r="G49" s="246">
        <f t="shared" si="2"/>
        <v>0</v>
      </c>
      <c r="H49" s="246"/>
      <c r="I49" s="200"/>
      <c r="J49" s="246">
        <f t="shared" si="1"/>
        <v>0</v>
      </c>
    </row>
    <row r="50" spans="2:10" ht="23" customHeight="1">
      <c r="D50" s="200"/>
      <c r="E50" s="245" t="s">
        <v>368</v>
      </c>
      <c r="F50" s="179" t="str">
        <f>Cuentas!B21</f>
        <v>P</v>
      </c>
      <c r="G50" s="246">
        <f t="shared" si="2"/>
        <v>0</v>
      </c>
      <c r="H50" s="246"/>
      <c r="I50" s="200"/>
      <c r="J50" s="246">
        <f t="shared" si="1"/>
        <v>0</v>
      </c>
    </row>
    <row r="51" spans="2:10" ht="23" customHeight="1">
      <c r="D51" s="200"/>
      <c r="E51" s="245" t="s">
        <v>368</v>
      </c>
      <c r="F51" s="179" t="str">
        <f>Cuentas!B22</f>
        <v>Q</v>
      </c>
      <c r="G51" s="246">
        <f t="shared" si="2"/>
        <v>0</v>
      </c>
      <c r="H51" s="246"/>
      <c r="I51" s="200"/>
      <c r="J51" s="246">
        <f t="shared" si="1"/>
        <v>0</v>
      </c>
    </row>
    <row r="52" spans="2:10" ht="23" customHeight="1">
      <c r="D52" s="200"/>
      <c r="E52" s="245" t="s">
        <v>368</v>
      </c>
      <c r="F52" s="179" t="str">
        <f>Cuentas!B23</f>
        <v>R</v>
      </c>
      <c r="G52" s="246">
        <f t="shared" si="2"/>
        <v>0</v>
      </c>
      <c r="H52" s="246"/>
      <c r="I52" s="200"/>
      <c r="J52" s="246">
        <f t="shared" si="1"/>
        <v>0</v>
      </c>
    </row>
    <row r="53" spans="2:10" ht="23" customHeight="1">
      <c r="D53" s="200"/>
      <c r="E53" s="245" t="s">
        <v>368</v>
      </c>
      <c r="F53" s="179" t="str">
        <f>Cuentas!B24</f>
        <v>S</v>
      </c>
      <c r="G53" s="246">
        <f t="shared" si="2"/>
        <v>0</v>
      </c>
      <c r="H53" s="246"/>
      <c r="I53" s="200"/>
      <c r="J53" s="246">
        <f t="shared" si="1"/>
        <v>0</v>
      </c>
    </row>
    <row r="54" spans="2:10" ht="23" customHeight="1">
      <c r="D54" s="200"/>
      <c r="E54" s="245" t="s">
        <v>368</v>
      </c>
      <c r="F54" s="179" t="str">
        <f>Cuentas!B25</f>
        <v>T</v>
      </c>
      <c r="G54" s="246">
        <f t="shared" si="2"/>
        <v>0</v>
      </c>
      <c r="H54" s="246"/>
      <c r="I54" s="200"/>
      <c r="J54" s="246">
        <f t="shared" si="1"/>
        <v>0</v>
      </c>
    </row>
    <row r="55" spans="2:10" ht="23" customHeight="1">
      <c r="D55" s="200"/>
      <c r="E55" s="245" t="s">
        <v>368</v>
      </c>
      <c r="F55" s="179" t="str">
        <f>Cuentas!B26</f>
        <v>U</v>
      </c>
      <c r="G55" s="246">
        <f t="shared" si="2"/>
        <v>0</v>
      </c>
      <c r="H55" s="246"/>
      <c r="I55" s="200"/>
      <c r="J55" s="246">
        <f t="shared" si="1"/>
        <v>0</v>
      </c>
    </row>
    <row r="56" spans="2:10" ht="23" customHeight="1">
      <c r="G56" s="238"/>
      <c r="H56" s="238"/>
      <c r="J56" s="118"/>
    </row>
    <row r="57" spans="2:10" ht="23" customHeight="1">
      <c r="E57" s="103"/>
      <c r="F57" s="242" t="s">
        <v>369</v>
      </c>
      <c r="G57" s="243">
        <f>SUM(G35:G55)</f>
        <v>0</v>
      </c>
      <c r="H57" s="243"/>
      <c r="I57" s="103"/>
      <c r="J57" s="243">
        <f>SUM(J35:J55)</f>
        <v>0</v>
      </c>
    </row>
    <row r="60" spans="2:10" ht="23" customHeight="1">
      <c r="B60" s="2" t="s">
        <v>12</v>
      </c>
      <c r="C60" s="2"/>
    </row>
  </sheetData>
  <sheetProtection algorithmName="SHA-512" hashValue="dI5FNAY/2Zytbfw9JzKV8Ad2+nE0uViecTbEH06w1MxOeNYUHD/AtuMGl80AUyFWVmka93JyPiK1QDYtAA6AeQ==" saltValue="Od001mO2tayyPPoET7PhdQ==" spinCount="100000" sheet="1" formatCells="0" formatColumns="0" formatRows="0" insertColumns="0" insertRows="0" deleteColumns="0" deleteRows="0" autoFilter="0"/>
  <autoFilter ref="B6:J28" xr:uid="{348BB6E9-B155-7945-9D6A-EEB1790407F1}"/>
  <dataValidations count="1">
    <dataValidation type="list" allowBlank="1" showInputMessage="1" showErrorMessage="1" promptTitle="OJO:" prompt="Selecciona una moneda" sqref="F29" xr:uid="{A44B55D7-80EE-BE48-B819-97CE2290DF60}">
      <formula1>Monedas_Dividendos</formula1>
    </dataValidation>
  </dataValidations>
  <printOptions horizontalCentered="1"/>
  <pageMargins left="0.25" right="0.25" top="0.75" bottom="0.75" header="0.3" footer="0.3"/>
  <pageSetup scale="56"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0010CAF9-24D6-E34E-AFD9-728AC606101F}">
          <x14:formula1>
            <xm:f>Equivalencia!$A$4:$A$23</xm:f>
          </x14:formula1>
          <xm:sqref>F8:F28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2:N61"/>
  <sheetViews>
    <sheetView view="pageBreakPreview" zoomScale="70" zoomScaleNormal="90" zoomScaleSheetLayoutView="70" workbookViewId="0">
      <pane ySplit="6" topLeftCell="A12" activePane="bottomLeft" state="frozen"/>
      <selection pane="bottomLeft" activeCell="D14" sqref="D14:F14"/>
    </sheetView>
  </sheetViews>
  <sheetFormatPr baseColWidth="10" defaultColWidth="11.5" defaultRowHeight="23" customHeight="1"/>
  <cols>
    <col min="1" max="1" width="11.5" style="1"/>
    <col min="2" max="3" width="27.33203125" style="1" customWidth="1"/>
    <col min="4" max="4" width="16.33203125" style="1" customWidth="1"/>
    <col min="5" max="5" width="48.1640625" style="1" customWidth="1"/>
    <col min="6" max="6" width="16.83203125" style="1" customWidth="1"/>
    <col min="7" max="7" width="21.5" style="1" customWidth="1"/>
    <col min="8" max="8" width="21.33203125" style="1" customWidth="1"/>
    <col min="9" max="9" width="24.33203125" style="1" customWidth="1"/>
    <col min="10" max="10" width="19.1640625" style="1" customWidth="1"/>
    <col min="11" max="11" width="25.1640625" style="1" customWidth="1"/>
    <col min="12" max="16384" width="11.5" style="1"/>
  </cols>
  <sheetData>
    <row r="2" spans="2:14" ht="46" customHeight="1">
      <c r="B2" s="761" t="s">
        <v>650</v>
      </c>
      <c r="C2" s="761"/>
      <c r="D2" s="761"/>
      <c r="E2" s="761"/>
      <c r="F2" s="761"/>
      <c r="G2" s="761"/>
      <c r="H2" s="761"/>
      <c r="I2" s="761"/>
      <c r="J2" s="761"/>
      <c r="K2" s="761"/>
    </row>
    <row r="3" spans="2:14" ht="23" customHeight="1">
      <c r="B3" s="759" t="s">
        <v>651</v>
      </c>
      <c r="C3" s="759"/>
      <c r="D3" s="759"/>
      <c r="E3" s="759"/>
      <c r="F3" s="759"/>
      <c r="G3" s="759"/>
      <c r="H3" s="759"/>
      <c r="I3" s="759"/>
      <c r="J3" s="759"/>
      <c r="K3" s="759"/>
    </row>
    <row r="4" spans="2:14" ht="14" customHeight="1">
      <c r="B4" s="24" t="s">
        <v>443</v>
      </c>
      <c r="C4" s="24" t="s">
        <v>673</v>
      </c>
      <c r="D4" s="24"/>
      <c r="E4" s="24"/>
      <c r="F4" s="24"/>
      <c r="G4" s="24"/>
      <c r="H4" s="24"/>
      <c r="I4" s="24"/>
      <c r="J4" s="24"/>
      <c r="K4" s="24"/>
      <c r="L4" s="25"/>
      <c r="M4" s="25"/>
      <c r="N4" s="25"/>
    </row>
    <row r="5" spans="2:14" ht="23" customHeight="1">
      <c r="B5" s="116"/>
      <c r="C5" s="116"/>
      <c r="D5" s="116"/>
      <c r="E5" s="116"/>
      <c r="F5" s="116"/>
      <c r="G5" s="116"/>
      <c r="H5" s="116"/>
      <c r="I5" s="239"/>
      <c r="J5" s="116"/>
      <c r="K5" s="239"/>
    </row>
    <row r="6" spans="2:14" s="85" customFormat="1" ht="30">
      <c r="B6" s="153" t="s">
        <v>178</v>
      </c>
      <c r="C6" s="153" t="s">
        <v>53</v>
      </c>
      <c r="D6" s="120" t="s">
        <v>54</v>
      </c>
      <c r="E6" s="120" t="s">
        <v>91</v>
      </c>
      <c r="F6" s="120" t="s">
        <v>208</v>
      </c>
      <c r="G6" s="120" t="s">
        <v>170</v>
      </c>
      <c r="H6" s="120" t="s">
        <v>56</v>
      </c>
      <c r="I6" s="120" t="s">
        <v>171</v>
      </c>
      <c r="J6" s="120" t="s">
        <v>361</v>
      </c>
      <c r="K6" s="120" t="s">
        <v>172</v>
      </c>
    </row>
    <row r="7" spans="2:14" ht="23" customHeight="1">
      <c r="B7" s="203"/>
      <c r="C7" s="203"/>
      <c r="D7" s="12"/>
      <c r="E7" s="12"/>
      <c r="F7" s="12"/>
      <c r="G7" s="12"/>
      <c r="H7" s="12"/>
      <c r="I7" s="12"/>
      <c r="J7" s="12"/>
      <c r="K7" s="12"/>
    </row>
    <row r="8" spans="2:14" s="134" customFormat="1" ht="23" customHeight="1">
      <c r="B8" s="7" t="s">
        <v>850</v>
      </c>
      <c r="C8" s="7" t="s">
        <v>737</v>
      </c>
      <c r="D8" s="159">
        <v>44567</v>
      </c>
      <c r="E8" s="249" t="s">
        <v>736</v>
      </c>
      <c r="F8" s="7" t="s">
        <v>59</v>
      </c>
      <c r="G8" s="250">
        <v>146.12</v>
      </c>
      <c r="H8" s="162">
        <f>IF(F8=0,0,IF(F8="MXN",1/HLOOKUP(YEAR(D8)+(MONTH(D8)/100),TC!$5:$437,DAY(D8)+2,FALSE),VLOOKUP(F8,Equivalencia!$1:$23,((MAX(Equivalencia!$3:$3)-YEAR(D8))*14)+MONTH(D8)+2,FALSE)))</f>
        <v>1</v>
      </c>
      <c r="I8" s="251">
        <f>G8*H8</f>
        <v>146.12</v>
      </c>
      <c r="J8" s="162">
        <f>IF(D8=0,0,HLOOKUP(YEAR(D8)+(MONTH(D8)/100),TC!$5:$37,DAY(D8)+2,FALSE))</f>
        <v>20.4742</v>
      </c>
      <c r="K8" s="250">
        <f>I8*J8</f>
        <v>2991.6901040000002</v>
      </c>
    </row>
    <row r="9" spans="2:14" s="134" customFormat="1" ht="23" customHeight="1">
      <c r="B9" s="7" t="s">
        <v>850</v>
      </c>
      <c r="C9" s="7" t="s">
        <v>737</v>
      </c>
      <c r="D9" s="159">
        <v>44728</v>
      </c>
      <c r="E9" s="249" t="s">
        <v>736</v>
      </c>
      <c r="F9" s="7" t="s">
        <v>59</v>
      </c>
      <c r="G9" s="250">
        <v>1665.3</v>
      </c>
      <c r="H9" s="162">
        <f>IF(F9=0,0,IF(F9="MXN",1/HLOOKUP(YEAR(D9)+(MONTH(D9)/100),TC!$5:$437,DAY(D9)+2,FALSE),VLOOKUP(F9,Equivalencia!$1:$23,((MAX(Equivalencia!$3:$3)-YEAR(D9))*14)+MONTH(D9)+2,FALSE)))</f>
        <v>1</v>
      </c>
      <c r="I9" s="251">
        <f t="shared" ref="I9:I10" si="0">G9*H9</f>
        <v>1665.3</v>
      </c>
      <c r="J9" s="162">
        <f>IF(D9=0,0,HLOOKUP(YEAR(D9)+(MONTH(D9)/100),TC!$5:$37,DAY(D9)+2,FALSE))</f>
        <v>20.658300000000001</v>
      </c>
      <c r="K9" s="250">
        <f t="shared" ref="K9:K10" si="1">I9*J9</f>
        <v>34402.266989999996</v>
      </c>
    </row>
    <row r="10" spans="2:14" s="134" customFormat="1" ht="23" customHeight="1">
      <c r="B10" s="7" t="s">
        <v>850</v>
      </c>
      <c r="C10" s="7" t="s">
        <v>737</v>
      </c>
      <c r="D10" s="159">
        <v>44736</v>
      </c>
      <c r="E10" s="249" t="s">
        <v>739</v>
      </c>
      <c r="F10" s="7" t="s">
        <v>59</v>
      </c>
      <c r="G10" s="250">
        <v>6619.66</v>
      </c>
      <c r="H10" s="162">
        <f>IF(F10=0,0,IF(F10="MXN",1/HLOOKUP(YEAR(D10)+(MONTH(D10)/100),TC!$5:$437,DAY(D10)+2,FALSE),VLOOKUP(F10,Equivalencia!$1:$23,((MAX(Equivalencia!$3:$3)-YEAR(D10))*14)+MONTH(D10)+2,FALSE)))</f>
        <v>1</v>
      </c>
      <c r="I10" s="251">
        <f t="shared" si="0"/>
        <v>6619.66</v>
      </c>
      <c r="J10" s="162">
        <f>IF(D10=0,0,HLOOKUP(YEAR(D10)+(MONTH(D10)/100),TC!$5:$37,DAY(D10)+2,FALSE))</f>
        <v>20.046500000000002</v>
      </c>
      <c r="K10" s="250">
        <f t="shared" si="1"/>
        <v>132701.01419000002</v>
      </c>
    </row>
    <row r="11" spans="2:14" s="134" customFormat="1" ht="23" customHeight="1">
      <c r="B11" s="7" t="str">
        <f>Cuentas!$B$7</f>
        <v>AR2XXXX3387-0003</v>
      </c>
      <c r="C11" s="7" t="s">
        <v>737</v>
      </c>
      <c r="D11" s="159">
        <v>44826</v>
      </c>
      <c r="E11" s="249" t="s">
        <v>739</v>
      </c>
      <c r="F11" s="7" t="s">
        <v>59</v>
      </c>
      <c r="G11" s="250">
        <v>6294.4</v>
      </c>
      <c r="H11" s="162">
        <f>IF(F11=0,0,IF(F11="MXN",1/HLOOKUP(YEAR(D11)+(MONTH(D11)/100),TC!$5:$437,DAY(D11)+2,FALSE),VLOOKUP(F11,Equivalencia!$1:$23,((MAX(Equivalencia!$3:$3)-YEAR(D11))*14)+MONTH(D11)+2,FALSE)))</f>
        <v>1</v>
      </c>
      <c r="I11" s="251">
        <f>G11*H11</f>
        <v>6294.4</v>
      </c>
      <c r="J11" s="162">
        <f>IF(D11=0,0,HLOOKUP(YEAR(D11)+(MONTH(D11)/100),TC!$5:$37,DAY(D11)+2,FALSE))</f>
        <v>20</v>
      </c>
      <c r="K11" s="250">
        <f>I11*J11</f>
        <v>125888</v>
      </c>
    </row>
    <row r="12" spans="2:14" s="134" customFormat="1" ht="23" customHeight="1">
      <c r="B12" s="7" t="str">
        <f>Cuentas!$B$7</f>
        <v>AR2XXXX3387-0003</v>
      </c>
      <c r="C12" s="7" t="s">
        <v>737</v>
      </c>
      <c r="D12" s="159">
        <v>44896</v>
      </c>
      <c r="E12" s="249" t="s">
        <v>834</v>
      </c>
      <c r="F12" s="7" t="s">
        <v>59</v>
      </c>
      <c r="G12" s="250">
        <v>1463.67</v>
      </c>
      <c r="H12" s="162">
        <f>IF(F12=0,0,IF(F12="MXN",1/HLOOKUP(YEAR(D12)+(MONTH(D12)/100),TC!$5:$437,DAY(D12)+2,FALSE),VLOOKUP(F12,Equivalencia!$1:$23,((MAX(Equivalencia!$3:$3)-YEAR(D12))*14)+MONTH(D12)+2,FALSE)))</f>
        <v>1</v>
      </c>
      <c r="I12" s="251">
        <f t="shared" ref="I12:I13" si="2">G12*H12</f>
        <v>1463.67</v>
      </c>
      <c r="J12" s="162">
        <f>IF(D12=0,0,HLOOKUP(YEAR(D12)+(MONTH(D12)/100),TC!$5:$37,DAY(D12)+2,FALSE))</f>
        <v>19.216000000000001</v>
      </c>
      <c r="K12" s="250">
        <f t="shared" ref="K12:K13" si="3">I12*J12</f>
        <v>28125.882720000001</v>
      </c>
    </row>
    <row r="13" spans="2:14" s="134" customFormat="1" ht="23" customHeight="1">
      <c r="B13" s="7" t="str">
        <f>Cuentas!$B$7</f>
        <v>AR2XXXX3387-0003</v>
      </c>
      <c r="C13" s="7" t="s">
        <v>737</v>
      </c>
      <c r="D13" s="159">
        <v>44916</v>
      </c>
      <c r="E13" s="249" t="s">
        <v>834</v>
      </c>
      <c r="F13" s="7" t="s">
        <v>59</v>
      </c>
      <c r="G13" s="250">
        <v>431.45</v>
      </c>
      <c r="H13" s="162">
        <f>IF(F13=0,0,IF(F13="MXN",1/HLOOKUP(YEAR(D13)+(MONTH(D13)/100),TC!$5:$437,DAY(D13)+2,FALSE),VLOOKUP(F13,Equivalencia!$1:$23,((MAX(Equivalencia!$3:$3)-YEAR(D13))*14)+MONTH(D13)+2,FALSE)))</f>
        <v>1</v>
      </c>
      <c r="I13" s="251">
        <f t="shared" si="2"/>
        <v>431.45</v>
      </c>
      <c r="J13" s="162">
        <f>IF(D13=0,0,HLOOKUP(YEAR(D13)+(MONTH(D13)/100),TC!$5:$37,DAY(D13)+2,FALSE))</f>
        <v>19.755700000000001</v>
      </c>
      <c r="K13" s="250">
        <f t="shared" si="3"/>
        <v>8523.5967650000002</v>
      </c>
    </row>
    <row r="14" spans="2:14" s="134" customFormat="1" ht="23" customHeight="1">
      <c r="B14" s="7" t="str">
        <f>Cuentas!$B$7</f>
        <v>AR2XXXX3387-0003</v>
      </c>
      <c r="C14" s="7" t="s">
        <v>737</v>
      </c>
      <c r="D14" s="159">
        <v>44917</v>
      </c>
      <c r="E14" s="249" t="s">
        <v>739</v>
      </c>
      <c r="F14" s="7" t="s">
        <v>59</v>
      </c>
      <c r="G14" s="250">
        <v>2632.8</v>
      </c>
      <c r="H14" s="162">
        <f>IF(F14=0,0,IF(F14="MXN",1/HLOOKUP(YEAR(D14)+(MONTH(D14)/100),TC!$5:$437,DAY(D14)+2,FALSE),VLOOKUP(F14,Equivalencia!$1:$23,((MAX(Equivalencia!$3:$3)-YEAR(D14))*14)+MONTH(D14)+2,FALSE)))</f>
        <v>1</v>
      </c>
      <c r="I14" s="251">
        <f>G14*H14</f>
        <v>2632.8</v>
      </c>
      <c r="J14" s="162">
        <f>IF(D14=0,0,HLOOKUP(YEAR(D14)+(MONTH(D14)/100),TC!$5:$37,DAY(D14)+2,FALSE))</f>
        <v>19.748200000000001</v>
      </c>
      <c r="K14" s="250">
        <f>I14*J14</f>
        <v>51993.060960000003</v>
      </c>
    </row>
    <row r="15" spans="2:14" s="134" customFormat="1" ht="23" hidden="1" customHeight="1">
      <c r="B15" s="7" t="s">
        <v>3</v>
      </c>
      <c r="C15" s="7"/>
      <c r="D15" s="159"/>
      <c r="E15" s="249"/>
      <c r="F15" s="7"/>
      <c r="G15" s="250"/>
      <c r="H15" s="162">
        <f>IF(F15=0,0,IF(F15="MXN",1/HLOOKUP(YEAR(D15)+(MONTH(D15)/100),TC!$5:$437,DAY(D15)+2,FALSE),VLOOKUP(F15,Equivalencia!$1:$23,((MAX(Equivalencia!$3:$3)-YEAR(D15))*14)+MONTH(D15)+2,FALSE)))</f>
        <v>0</v>
      </c>
      <c r="I15" s="251">
        <f t="shared" ref="I15:I16" si="4">G15*H15</f>
        <v>0</v>
      </c>
      <c r="J15" s="162">
        <f>IF(D15=0,0,HLOOKUP(YEAR(D15)+(MONTH(D15)/100),TC!$5:$37,DAY(D15)+2,FALSE))</f>
        <v>0</v>
      </c>
      <c r="K15" s="250">
        <f t="shared" ref="K15:K16" si="5">I15*J15</f>
        <v>0</v>
      </c>
    </row>
    <row r="16" spans="2:14" s="134" customFormat="1" ht="23" hidden="1" customHeight="1">
      <c r="B16" s="7" t="s">
        <v>3</v>
      </c>
      <c r="C16" s="7"/>
      <c r="D16" s="159"/>
      <c r="E16" s="249"/>
      <c r="F16" s="7"/>
      <c r="G16" s="250"/>
      <c r="H16" s="162">
        <f>IF(F16=0,0,IF(F16="MXN",1/HLOOKUP(YEAR(D16)+(MONTH(D16)/100),TC!$5:$437,DAY(D16)+2,FALSE),VLOOKUP(F16,Equivalencia!$1:$23,((MAX(Equivalencia!$3:$3)-YEAR(D16))*14)+MONTH(D16)+2,FALSE)))</f>
        <v>0</v>
      </c>
      <c r="I16" s="251">
        <f t="shared" si="4"/>
        <v>0</v>
      </c>
      <c r="J16" s="162">
        <f>IF(D16=0,0,HLOOKUP(YEAR(D16)+(MONTH(D16)/100),TC!$5:$37,DAY(D16)+2,FALSE))</f>
        <v>0</v>
      </c>
      <c r="K16" s="250">
        <f t="shared" si="5"/>
        <v>0</v>
      </c>
    </row>
    <row r="17" spans="2:11" s="134" customFormat="1" ht="23" hidden="1" customHeight="1">
      <c r="B17" s="7" t="s">
        <v>3</v>
      </c>
      <c r="C17" s="7"/>
      <c r="D17" s="159"/>
      <c r="E17" s="249"/>
      <c r="F17" s="7"/>
      <c r="G17" s="250"/>
      <c r="H17" s="162">
        <f>IF(F17=0,0,IF(F17="MXN",1/HLOOKUP(YEAR(D17)+(MONTH(D17)/100),TC!$5:$437,DAY(D17)+2,FALSE),VLOOKUP(F17,Equivalencia!$1:$23,((MAX(Equivalencia!$3:$3)-YEAR(D17))*14)+MONTH(D17)+2,FALSE)))</f>
        <v>0</v>
      </c>
      <c r="I17" s="251">
        <f>G17*H17</f>
        <v>0</v>
      </c>
      <c r="J17" s="162">
        <f>IF(D17=0,0,HLOOKUP(YEAR(D17)+(MONTH(D17)/100),TC!$5:$37,DAY(D17)+2,FALSE))</f>
        <v>0</v>
      </c>
      <c r="K17" s="250">
        <f>I17*J17</f>
        <v>0</v>
      </c>
    </row>
    <row r="18" spans="2:11" s="134" customFormat="1" ht="23" hidden="1" customHeight="1">
      <c r="B18" s="7" t="s">
        <v>3</v>
      </c>
      <c r="C18" s="7"/>
      <c r="D18" s="159"/>
      <c r="E18" s="249"/>
      <c r="F18" s="7"/>
      <c r="G18" s="250"/>
      <c r="H18" s="162">
        <f>IF(F18=0,0,IF(F18="MXN",1/HLOOKUP(YEAR(D18)+(MONTH(D18)/100),TC!$5:$437,DAY(D18)+2,FALSE),VLOOKUP(F18,Equivalencia!$1:$23,((MAX(Equivalencia!$3:$3)-YEAR(D18))*14)+MONTH(D18)+2,FALSE)))</f>
        <v>0</v>
      </c>
      <c r="I18" s="251">
        <f t="shared" ref="I18:I19" si="6">G18*H18</f>
        <v>0</v>
      </c>
      <c r="J18" s="162">
        <f>IF(D18=0,0,HLOOKUP(YEAR(D18)+(MONTH(D18)/100),TC!$5:$37,DAY(D18)+2,FALSE))</f>
        <v>0</v>
      </c>
      <c r="K18" s="250">
        <f t="shared" ref="K18:K19" si="7">I18*J18</f>
        <v>0</v>
      </c>
    </row>
    <row r="19" spans="2:11" s="134" customFormat="1" ht="23" hidden="1" customHeight="1">
      <c r="B19" s="7" t="s">
        <v>3</v>
      </c>
      <c r="C19" s="7"/>
      <c r="D19" s="159"/>
      <c r="E19" s="249"/>
      <c r="F19" s="7"/>
      <c r="G19" s="250"/>
      <c r="H19" s="162">
        <f>IF(F19=0,0,IF(F19="MXN",1/HLOOKUP(YEAR(D19)+(MONTH(D19)/100),TC!$5:$437,DAY(D19)+2,FALSE),VLOOKUP(F19,Equivalencia!$1:$23,((MAX(Equivalencia!$3:$3)-YEAR(D19))*14)+MONTH(D19)+2,FALSE)))</f>
        <v>0</v>
      </c>
      <c r="I19" s="251">
        <f t="shared" si="6"/>
        <v>0</v>
      </c>
      <c r="J19" s="162">
        <f>IF(D19=0,0,HLOOKUP(YEAR(D19)+(MONTH(D19)/100),TC!$5:$37,DAY(D19)+2,FALSE))</f>
        <v>0</v>
      </c>
      <c r="K19" s="250">
        <f t="shared" si="7"/>
        <v>0</v>
      </c>
    </row>
    <row r="20" spans="2:11" s="134" customFormat="1" ht="23" hidden="1" customHeight="1">
      <c r="B20" s="7" t="s">
        <v>3</v>
      </c>
      <c r="C20" s="7"/>
      <c r="D20" s="159"/>
      <c r="E20" s="249"/>
      <c r="F20" s="7"/>
      <c r="G20" s="250"/>
      <c r="H20" s="162">
        <f>IF(F20=0,0,IF(F20="MXN",1/HLOOKUP(YEAR(D20)+(MONTH(D20)/100),TC!$5:$437,DAY(D20)+2,FALSE),VLOOKUP(F20,Equivalencia!$1:$23,((MAX(Equivalencia!$3:$3)-YEAR(D20))*14)+MONTH(D20)+2,FALSE)))</f>
        <v>0</v>
      </c>
      <c r="I20" s="251">
        <f>G20*H20</f>
        <v>0</v>
      </c>
      <c r="J20" s="162">
        <f>IF(D20=0,0,HLOOKUP(YEAR(D20)+(MONTH(D20)/100),TC!$5:$37,DAY(D20)+2,FALSE))</f>
        <v>0</v>
      </c>
      <c r="K20" s="250">
        <f>I20*J20</f>
        <v>0</v>
      </c>
    </row>
    <row r="21" spans="2:11" s="134" customFormat="1" ht="23" hidden="1" customHeight="1">
      <c r="B21" s="7" t="s">
        <v>3</v>
      </c>
      <c r="C21" s="7"/>
      <c r="D21" s="159"/>
      <c r="E21" s="249"/>
      <c r="F21" s="7"/>
      <c r="G21" s="250"/>
      <c r="H21" s="162">
        <f>IF(F21=0,0,IF(F21="MXN",1/HLOOKUP(YEAR(D21)+(MONTH(D21)/100),TC!$5:$437,DAY(D21)+2,FALSE),VLOOKUP(F21,Equivalencia!$1:$23,((MAX(Equivalencia!$3:$3)-YEAR(D21))*14)+MONTH(D21)+2,FALSE)))</f>
        <v>0</v>
      </c>
      <c r="I21" s="251">
        <f t="shared" ref="I21:I22" si="8">G21*H21</f>
        <v>0</v>
      </c>
      <c r="J21" s="162">
        <f>IF(D21=0,0,HLOOKUP(YEAR(D21)+(MONTH(D21)/100),TC!$5:$37,DAY(D21)+2,FALSE))</f>
        <v>0</v>
      </c>
      <c r="K21" s="250">
        <f t="shared" ref="K21:K22" si="9">I21*J21</f>
        <v>0</v>
      </c>
    </row>
    <row r="22" spans="2:11" s="134" customFormat="1" ht="23" hidden="1" customHeight="1">
      <c r="B22" s="7" t="s">
        <v>3</v>
      </c>
      <c r="C22" s="7"/>
      <c r="D22" s="159"/>
      <c r="E22" s="249"/>
      <c r="F22" s="7"/>
      <c r="G22" s="250"/>
      <c r="H22" s="162">
        <f>IF(F22=0,0,IF(F22="MXN",1/HLOOKUP(YEAR(D22)+(MONTH(D22)/100),TC!$5:$437,DAY(D22)+2,FALSE),VLOOKUP(F22,Equivalencia!$1:$23,((MAX(Equivalencia!$3:$3)-YEAR(D22))*14)+MONTH(D22)+2,FALSE)))</f>
        <v>0</v>
      </c>
      <c r="I22" s="251">
        <f t="shared" si="8"/>
        <v>0</v>
      </c>
      <c r="J22" s="162">
        <f>IF(D22=0,0,HLOOKUP(YEAR(D22)+(MONTH(D22)/100),TC!$5:$37,DAY(D22)+2,FALSE))</f>
        <v>0</v>
      </c>
      <c r="K22" s="250">
        <f t="shared" si="9"/>
        <v>0</v>
      </c>
    </row>
    <row r="23" spans="2:11" s="134" customFormat="1" ht="23" hidden="1" customHeight="1">
      <c r="B23" s="7" t="s">
        <v>3</v>
      </c>
      <c r="C23" s="7"/>
      <c r="D23" s="159"/>
      <c r="E23" s="249"/>
      <c r="F23" s="7"/>
      <c r="G23" s="250"/>
      <c r="H23" s="162">
        <f>IF(F23=0,0,IF(F23="MXN",1/HLOOKUP(YEAR(D23)+(MONTH(D23)/100),TC!$5:$437,DAY(D23)+2,FALSE),VLOOKUP(F23,Equivalencia!$1:$23,((MAX(Equivalencia!$3:$3)-YEAR(D23))*14)+MONTH(D23)+2,FALSE)))</f>
        <v>0</v>
      </c>
      <c r="I23" s="251">
        <f>G23*H23</f>
        <v>0</v>
      </c>
      <c r="J23" s="162">
        <f>IF(D23=0,0,HLOOKUP(YEAR(D23)+(MONTH(D23)/100),TC!$5:$37,DAY(D23)+2,FALSE))</f>
        <v>0</v>
      </c>
      <c r="K23" s="250">
        <f>I23*J23</f>
        <v>0</v>
      </c>
    </row>
    <row r="24" spans="2:11" s="134" customFormat="1" ht="23" hidden="1" customHeight="1">
      <c r="B24" s="7" t="s">
        <v>3</v>
      </c>
      <c r="C24" s="7"/>
      <c r="D24" s="159"/>
      <c r="E24" s="249"/>
      <c r="F24" s="7"/>
      <c r="G24" s="250"/>
      <c r="H24" s="162">
        <f>IF(F24=0,0,IF(F24="MXN",1/HLOOKUP(YEAR(D24)+(MONTH(D24)/100),TC!$5:$437,DAY(D24)+2,FALSE),VLOOKUP(F24,Equivalencia!$1:$23,((MAX(Equivalencia!$3:$3)-YEAR(D24))*14)+MONTH(D24)+2,FALSE)))</f>
        <v>0</v>
      </c>
      <c r="I24" s="251">
        <f t="shared" ref="I24:I25" si="10">G24*H24</f>
        <v>0</v>
      </c>
      <c r="J24" s="162">
        <f>IF(D24=0,0,HLOOKUP(YEAR(D24)+(MONTH(D24)/100),TC!$5:$37,DAY(D24)+2,FALSE))</f>
        <v>0</v>
      </c>
      <c r="K24" s="250">
        <f t="shared" ref="K24:K25" si="11">I24*J24</f>
        <v>0</v>
      </c>
    </row>
    <row r="25" spans="2:11" s="134" customFormat="1" ht="23" hidden="1" customHeight="1">
      <c r="B25" s="7" t="s">
        <v>3</v>
      </c>
      <c r="C25" s="7"/>
      <c r="D25" s="159"/>
      <c r="E25" s="249"/>
      <c r="F25" s="7"/>
      <c r="G25" s="250"/>
      <c r="H25" s="162">
        <f>IF(F25=0,0,IF(F25="MXN",1/HLOOKUP(YEAR(D25)+(MONTH(D25)/100),TC!$5:$437,DAY(D25)+2,FALSE),VLOOKUP(F25,Equivalencia!$1:$23,((MAX(Equivalencia!$3:$3)-YEAR(D25))*14)+MONTH(D25)+2,FALSE)))</f>
        <v>0</v>
      </c>
      <c r="I25" s="251">
        <f t="shared" si="10"/>
        <v>0</v>
      </c>
      <c r="J25" s="162">
        <f>IF(D25=0,0,HLOOKUP(YEAR(D25)+(MONTH(D25)/100),TC!$5:$37,DAY(D25)+2,FALSE))</f>
        <v>0</v>
      </c>
      <c r="K25" s="250">
        <f t="shared" si="11"/>
        <v>0</v>
      </c>
    </row>
    <row r="26" spans="2:11" s="134" customFormat="1" ht="23" hidden="1" customHeight="1">
      <c r="B26" s="7" t="s">
        <v>3</v>
      </c>
      <c r="C26" s="7"/>
      <c r="D26" s="159"/>
      <c r="E26" s="249"/>
      <c r="F26" s="7"/>
      <c r="G26" s="250"/>
      <c r="H26" s="162">
        <f>IF(F26=0,0,IF(F26="MXN",1/HLOOKUP(YEAR(D26)+(MONTH(D26)/100),TC!$5:$437,DAY(D26)+2,FALSE),VLOOKUP(F26,Equivalencia!$1:$23,((MAX(Equivalencia!$3:$3)-YEAR(D26))*14)+MONTH(D26)+2,FALSE)))</f>
        <v>0</v>
      </c>
      <c r="I26" s="251">
        <f>G26*H26</f>
        <v>0</v>
      </c>
      <c r="J26" s="162">
        <f>IF(D26=0,0,HLOOKUP(YEAR(D26)+(MONTH(D26)/100),TC!$5:$37,DAY(D26)+2,FALSE))</f>
        <v>0</v>
      </c>
      <c r="K26" s="250">
        <f>I26*J26</f>
        <v>0</v>
      </c>
    </row>
    <row r="27" spans="2:11" s="134" customFormat="1" ht="23" hidden="1" customHeight="1">
      <c r="B27" s="7" t="s">
        <v>3</v>
      </c>
      <c r="C27" s="7"/>
      <c r="D27" s="159"/>
      <c r="E27" s="249"/>
      <c r="F27" s="7"/>
      <c r="G27" s="250"/>
      <c r="H27" s="162">
        <f>IF(F27=0,0,IF(F27="MXN",1/HLOOKUP(YEAR(D27)+(MONTH(D27)/100),TC!$5:$437,DAY(D27)+2,FALSE),VLOOKUP(F27,Equivalencia!$1:$23,((MAX(Equivalencia!$3:$3)-YEAR(D27))*14)+MONTH(D27)+2,FALSE)))</f>
        <v>0</v>
      </c>
      <c r="I27" s="251">
        <f t="shared" ref="I27:I28" si="12">G27*H27</f>
        <v>0</v>
      </c>
      <c r="J27" s="162">
        <f>IF(D27=0,0,HLOOKUP(YEAR(D27)+(MONTH(D27)/100),TC!$5:$37,DAY(D27)+2,FALSE))</f>
        <v>0</v>
      </c>
      <c r="K27" s="250">
        <f t="shared" ref="K27:K28" si="13">I27*J27</f>
        <v>0</v>
      </c>
    </row>
    <row r="28" spans="2:11" s="134" customFormat="1" ht="23" hidden="1" customHeight="1">
      <c r="B28" s="7" t="s">
        <v>3</v>
      </c>
      <c r="C28" s="7"/>
      <c r="D28" s="159"/>
      <c r="E28" s="249"/>
      <c r="F28" s="7"/>
      <c r="G28" s="250"/>
      <c r="H28" s="162">
        <f>IF(F28=0,0,IF(F28="MXN",1/HLOOKUP(YEAR(D28)+(MONTH(D28)/100),TC!$5:$437,DAY(D28)+2,FALSE),VLOOKUP(F28,Equivalencia!$1:$23,((MAX(Equivalencia!$3:$3)-YEAR(D28))*14)+MONTH(D28)+2,FALSE)))</f>
        <v>0</v>
      </c>
      <c r="I28" s="251">
        <f t="shared" si="12"/>
        <v>0</v>
      </c>
      <c r="J28" s="162">
        <f>IF(D28=0,0,HLOOKUP(YEAR(D28)+(MONTH(D28)/100),TC!$5:$37,DAY(D28)+2,FALSE))</f>
        <v>0</v>
      </c>
      <c r="K28" s="250">
        <f t="shared" si="13"/>
        <v>0</v>
      </c>
    </row>
    <row r="29" spans="2:11" ht="23" customHeight="1">
      <c r="B29" s="76"/>
      <c r="C29" s="76"/>
      <c r="D29" s="145"/>
      <c r="E29" s="45"/>
      <c r="F29" s="76"/>
      <c r="G29" s="144"/>
      <c r="H29" s="144"/>
      <c r="I29" s="235"/>
      <c r="J29" s="143"/>
      <c r="K29" s="144"/>
    </row>
    <row r="30" spans="2:11" ht="23" customHeight="1">
      <c r="B30" s="164" t="s">
        <v>374</v>
      </c>
      <c r="C30" s="164"/>
      <c r="D30" s="240"/>
      <c r="E30" s="231"/>
      <c r="F30" s="230"/>
      <c r="G30" s="241">
        <f>SUM(G7:G29)</f>
        <v>19253.399999999998</v>
      </c>
      <c r="H30" s="241"/>
      <c r="I30" s="241">
        <f>SUM(I7:I29)</f>
        <v>19253.399999999998</v>
      </c>
      <c r="J30" s="231"/>
      <c r="K30" s="241">
        <f>SUM(K7:K29)</f>
        <v>384625.51172900002</v>
      </c>
    </row>
    <row r="33" spans="4:11" s="85" customFormat="1" ht="30">
      <c r="G33" s="120" t="s">
        <v>356</v>
      </c>
      <c r="I33" s="120" t="s">
        <v>377</v>
      </c>
      <c r="K33" s="120" t="s">
        <v>378</v>
      </c>
    </row>
    <row r="35" spans="4:11" ht="23" customHeight="1">
      <c r="D35" s="200"/>
      <c r="E35" s="245" t="s">
        <v>375</v>
      </c>
      <c r="F35" s="179" t="str">
        <f>Cuentas!B6</f>
        <v>AR2XXXX3387-0008</v>
      </c>
      <c r="G35" s="246">
        <f t="shared" ref="G35:G55" si="14">+SUMIF($B$7:$B$701,F35,$G$7:$G$701)</f>
        <v>0</v>
      </c>
      <c r="H35" s="200"/>
      <c r="I35" s="246">
        <f t="shared" ref="I35:I55" si="15">+SUMIF($B$7:$B$701,F35,$I$7:$I$701)</f>
        <v>0</v>
      </c>
      <c r="J35" s="247"/>
      <c r="K35" s="246">
        <f t="shared" ref="K35:K55" si="16">+SUMIF($B$7:$B$701,F35,$K$7:$K$701)</f>
        <v>0</v>
      </c>
    </row>
    <row r="36" spans="4:11" ht="23" customHeight="1">
      <c r="D36" s="200"/>
      <c r="E36" s="245" t="s">
        <v>375</v>
      </c>
      <c r="F36" s="179" t="str">
        <f>Cuentas!B7</f>
        <v>AR2XXXX3387-0003</v>
      </c>
      <c r="G36" s="246">
        <f t="shared" si="14"/>
        <v>19253.399999999998</v>
      </c>
      <c r="H36" s="200"/>
      <c r="I36" s="246">
        <f t="shared" si="15"/>
        <v>19253.399999999998</v>
      </c>
      <c r="J36" s="247"/>
      <c r="K36" s="246">
        <f t="shared" si="16"/>
        <v>384625.51172900002</v>
      </c>
    </row>
    <row r="37" spans="4:11" ht="23" customHeight="1">
      <c r="D37" s="200"/>
      <c r="E37" s="245" t="s">
        <v>375</v>
      </c>
      <c r="F37" s="179" t="str">
        <f>Cuentas!B8</f>
        <v>029-2XXX1-9</v>
      </c>
      <c r="G37" s="246">
        <f t="shared" si="14"/>
        <v>0</v>
      </c>
      <c r="H37" s="200"/>
      <c r="I37" s="246">
        <f t="shared" si="15"/>
        <v>0</v>
      </c>
      <c r="J37" s="247"/>
      <c r="K37" s="246">
        <f t="shared" si="16"/>
        <v>0</v>
      </c>
    </row>
    <row r="38" spans="4:11" ht="23" customHeight="1">
      <c r="D38" s="200"/>
      <c r="E38" s="245" t="s">
        <v>375</v>
      </c>
      <c r="F38" s="179" t="str">
        <f>Cuentas!B9</f>
        <v>029-2XXX2-7</v>
      </c>
      <c r="G38" s="246">
        <f t="shared" si="14"/>
        <v>0</v>
      </c>
      <c r="H38" s="200"/>
      <c r="I38" s="246">
        <f t="shared" si="15"/>
        <v>0</v>
      </c>
      <c r="J38" s="247"/>
      <c r="K38" s="246">
        <f t="shared" si="16"/>
        <v>0</v>
      </c>
    </row>
    <row r="39" spans="4:11" ht="23" customHeight="1">
      <c r="D39" s="200"/>
      <c r="E39" s="245" t="s">
        <v>375</v>
      </c>
      <c r="F39" s="179" t="str">
        <f>Cuentas!B10</f>
        <v>029-2XXX3-5</v>
      </c>
      <c r="G39" s="246">
        <f t="shared" si="14"/>
        <v>0</v>
      </c>
      <c r="H39" s="200"/>
      <c r="I39" s="246">
        <f t="shared" si="15"/>
        <v>0</v>
      </c>
      <c r="J39" s="247"/>
      <c r="K39" s="246">
        <f t="shared" si="16"/>
        <v>0</v>
      </c>
    </row>
    <row r="40" spans="4:11" ht="23" hidden="1" customHeight="1">
      <c r="D40" s="200"/>
      <c r="E40" s="245" t="s">
        <v>375</v>
      </c>
      <c r="F40" s="179" t="str">
        <f>Cuentas!B11</f>
        <v>F</v>
      </c>
      <c r="G40" s="246">
        <f t="shared" si="14"/>
        <v>0</v>
      </c>
      <c r="H40" s="200"/>
      <c r="I40" s="246">
        <f t="shared" si="15"/>
        <v>0</v>
      </c>
      <c r="J40" s="247"/>
      <c r="K40" s="246">
        <f t="shared" si="16"/>
        <v>0</v>
      </c>
    </row>
    <row r="41" spans="4:11" ht="23" hidden="1" customHeight="1">
      <c r="D41" s="200"/>
      <c r="E41" s="245" t="s">
        <v>375</v>
      </c>
      <c r="F41" s="179" t="str">
        <f>Cuentas!B12</f>
        <v>G</v>
      </c>
      <c r="G41" s="246">
        <f t="shared" si="14"/>
        <v>0</v>
      </c>
      <c r="H41" s="200"/>
      <c r="I41" s="246">
        <f t="shared" si="15"/>
        <v>0</v>
      </c>
      <c r="J41" s="247"/>
      <c r="K41" s="246">
        <f t="shared" si="16"/>
        <v>0</v>
      </c>
    </row>
    <row r="42" spans="4:11" ht="23" hidden="1" customHeight="1">
      <c r="D42" s="200"/>
      <c r="E42" s="245" t="s">
        <v>375</v>
      </c>
      <c r="F42" s="179" t="str">
        <f>Cuentas!B13</f>
        <v>H</v>
      </c>
      <c r="G42" s="246">
        <f t="shared" si="14"/>
        <v>0</v>
      </c>
      <c r="H42" s="200"/>
      <c r="I42" s="246">
        <f t="shared" si="15"/>
        <v>0</v>
      </c>
      <c r="J42" s="247"/>
      <c r="K42" s="246">
        <f t="shared" si="16"/>
        <v>0</v>
      </c>
    </row>
    <row r="43" spans="4:11" ht="23" hidden="1" customHeight="1">
      <c r="D43" s="200"/>
      <c r="E43" s="245" t="s">
        <v>375</v>
      </c>
      <c r="F43" s="179" t="str">
        <f>Cuentas!B14</f>
        <v>I</v>
      </c>
      <c r="G43" s="246">
        <f t="shared" si="14"/>
        <v>0</v>
      </c>
      <c r="H43" s="200"/>
      <c r="I43" s="246">
        <f t="shared" si="15"/>
        <v>0</v>
      </c>
      <c r="J43" s="247"/>
      <c r="K43" s="246">
        <f t="shared" si="16"/>
        <v>0</v>
      </c>
    </row>
    <row r="44" spans="4:11" ht="23" hidden="1" customHeight="1">
      <c r="D44" s="200"/>
      <c r="E44" s="245" t="s">
        <v>375</v>
      </c>
      <c r="F44" s="179" t="str">
        <f>Cuentas!B15</f>
        <v>J</v>
      </c>
      <c r="G44" s="246">
        <f t="shared" si="14"/>
        <v>0</v>
      </c>
      <c r="H44" s="200"/>
      <c r="I44" s="246">
        <f t="shared" si="15"/>
        <v>0</v>
      </c>
      <c r="J44" s="247"/>
      <c r="K44" s="246">
        <f t="shared" si="16"/>
        <v>0</v>
      </c>
    </row>
    <row r="45" spans="4:11" ht="23" hidden="1" customHeight="1">
      <c r="D45" s="200"/>
      <c r="E45" s="245" t="s">
        <v>375</v>
      </c>
      <c r="F45" s="179" t="str">
        <f>Cuentas!B16</f>
        <v>K</v>
      </c>
      <c r="G45" s="246">
        <f t="shared" si="14"/>
        <v>0</v>
      </c>
      <c r="H45" s="200"/>
      <c r="I45" s="246">
        <f t="shared" si="15"/>
        <v>0</v>
      </c>
      <c r="J45" s="247"/>
      <c r="K45" s="246">
        <f t="shared" si="16"/>
        <v>0</v>
      </c>
    </row>
    <row r="46" spans="4:11" ht="23" hidden="1" customHeight="1">
      <c r="D46" s="200"/>
      <c r="E46" s="245" t="s">
        <v>375</v>
      </c>
      <c r="F46" s="179" t="str">
        <f>Cuentas!B17</f>
        <v>L</v>
      </c>
      <c r="G46" s="246">
        <f t="shared" si="14"/>
        <v>0</v>
      </c>
      <c r="H46" s="200"/>
      <c r="I46" s="246">
        <f t="shared" si="15"/>
        <v>0</v>
      </c>
      <c r="J46" s="247"/>
      <c r="K46" s="246">
        <f t="shared" si="16"/>
        <v>0</v>
      </c>
    </row>
    <row r="47" spans="4:11" ht="23" hidden="1" customHeight="1">
      <c r="D47" s="200"/>
      <c r="E47" s="245" t="s">
        <v>375</v>
      </c>
      <c r="F47" s="179" t="str">
        <f>Cuentas!B18</f>
        <v>M</v>
      </c>
      <c r="G47" s="246">
        <f t="shared" si="14"/>
        <v>0</v>
      </c>
      <c r="H47" s="200"/>
      <c r="I47" s="246">
        <f t="shared" si="15"/>
        <v>0</v>
      </c>
      <c r="J47" s="247"/>
      <c r="K47" s="246">
        <f t="shared" si="16"/>
        <v>0</v>
      </c>
    </row>
    <row r="48" spans="4:11" ht="23" hidden="1" customHeight="1">
      <c r="D48" s="200"/>
      <c r="E48" s="245" t="s">
        <v>375</v>
      </c>
      <c r="F48" s="179" t="str">
        <f>Cuentas!B19</f>
        <v>N</v>
      </c>
      <c r="G48" s="246">
        <f t="shared" si="14"/>
        <v>0</v>
      </c>
      <c r="H48" s="200"/>
      <c r="I48" s="246">
        <f t="shared" si="15"/>
        <v>0</v>
      </c>
      <c r="J48" s="247"/>
      <c r="K48" s="246">
        <f t="shared" si="16"/>
        <v>0</v>
      </c>
    </row>
    <row r="49" spans="2:11" ht="23" hidden="1" customHeight="1">
      <c r="D49" s="200"/>
      <c r="E49" s="245" t="s">
        <v>375</v>
      </c>
      <c r="F49" s="179" t="str">
        <f>Cuentas!B20</f>
        <v>O</v>
      </c>
      <c r="G49" s="246">
        <f t="shared" si="14"/>
        <v>0</v>
      </c>
      <c r="H49" s="200"/>
      <c r="I49" s="246">
        <f t="shared" si="15"/>
        <v>0</v>
      </c>
      <c r="J49" s="247"/>
      <c r="K49" s="246">
        <f t="shared" si="16"/>
        <v>0</v>
      </c>
    </row>
    <row r="50" spans="2:11" ht="23" hidden="1" customHeight="1">
      <c r="D50" s="200"/>
      <c r="E50" s="245" t="s">
        <v>375</v>
      </c>
      <c r="F50" s="179" t="str">
        <f>Cuentas!B21</f>
        <v>P</v>
      </c>
      <c r="G50" s="246">
        <f t="shared" si="14"/>
        <v>0</v>
      </c>
      <c r="H50" s="200"/>
      <c r="I50" s="246">
        <f t="shared" si="15"/>
        <v>0</v>
      </c>
      <c r="J50" s="247"/>
      <c r="K50" s="246">
        <f t="shared" si="16"/>
        <v>0</v>
      </c>
    </row>
    <row r="51" spans="2:11" ht="23" hidden="1" customHeight="1">
      <c r="D51" s="200"/>
      <c r="E51" s="245" t="s">
        <v>375</v>
      </c>
      <c r="F51" s="179" t="str">
        <f>Cuentas!B22</f>
        <v>Q</v>
      </c>
      <c r="G51" s="246">
        <f t="shared" si="14"/>
        <v>0</v>
      </c>
      <c r="H51" s="200"/>
      <c r="I51" s="246">
        <f t="shared" si="15"/>
        <v>0</v>
      </c>
      <c r="J51" s="247"/>
      <c r="K51" s="246">
        <f t="shared" si="16"/>
        <v>0</v>
      </c>
    </row>
    <row r="52" spans="2:11" ht="23" hidden="1" customHeight="1">
      <c r="D52" s="200"/>
      <c r="E52" s="245" t="s">
        <v>375</v>
      </c>
      <c r="F52" s="179" t="str">
        <f>Cuentas!B23</f>
        <v>R</v>
      </c>
      <c r="G52" s="246">
        <f t="shared" si="14"/>
        <v>0</v>
      </c>
      <c r="H52" s="200"/>
      <c r="I52" s="246">
        <f t="shared" si="15"/>
        <v>0</v>
      </c>
      <c r="J52" s="247"/>
      <c r="K52" s="246">
        <f t="shared" si="16"/>
        <v>0</v>
      </c>
    </row>
    <row r="53" spans="2:11" ht="23" hidden="1" customHeight="1">
      <c r="D53" s="200"/>
      <c r="E53" s="245" t="s">
        <v>375</v>
      </c>
      <c r="F53" s="179" t="str">
        <f>Cuentas!B24</f>
        <v>S</v>
      </c>
      <c r="G53" s="246">
        <f t="shared" si="14"/>
        <v>0</v>
      </c>
      <c r="H53" s="200"/>
      <c r="I53" s="246">
        <f t="shared" si="15"/>
        <v>0</v>
      </c>
      <c r="J53" s="247"/>
      <c r="K53" s="246">
        <f t="shared" si="16"/>
        <v>0</v>
      </c>
    </row>
    <row r="54" spans="2:11" ht="23" hidden="1" customHeight="1">
      <c r="D54" s="200"/>
      <c r="E54" s="245" t="s">
        <v>375</v>
      </c>
      <c r="F54" s="179" t="str">
        <f>Cuentas!B25</f>
        <v>T</v>
      </c>
      <c r="G54" s="246">
        <f t="shared" si="14"/>
        <v>0</v>
      </c>
      <c r="H54" s="200"/>
      <c r="I54" s="246">
        <f t="shared" si="15"/>
        <v>0</v>
      </c>
      <c r="J54" s="247"/>
      <c r="K54" s="246">
        <f t="shared" si="16"/>
        <v>0</v>
      </c>
    </row>
    <row r="55" spans="2:11" ht="23" hidden="1" customHeight="1">
      <c r="D55" s="200"/>
      <c r="E55" s="245" t="s">
        <v>375</v>
      </c>
      <c r="F55" s="179" t="str">
        <f>Cuentas!B26</f>
        <v>U</v>
      </c>
      <c r="G55" s="246">
        <f t="shared" si="14"/>
        <v>0</v>
      </c>
      <c r="H55" s="200"/>
      <c r="I55" s="246">
        <f t="shared" si="15"/>
        <v>0</v>
      </c>
      <c r="J55" s="247"/>
      <c r="K55" s="246">
        <f t="shared" si="16"/>
        <v>0</v>
      </c>
    </row>
    <row r="56" spans="2:11" ht="23" customHeight="1">
      <c r="I56" s="238"/>
      <c r="J56" s="238"/>
      <c r="K56" s="238"/>
    </row>
    <row r="57" spans="2:11" ht="23" customHeight="1">
      <c r="E57" s="103"/>
      <c r="F57" s="242" t="s">
        <v>376</v>
      </c>
      <c r="G57" s="243">
        <f>SUM(G35:G55)</f>
        <v>19253.399999999998</v>
      </c>
      <c r="H57" s="103"/>
      <c r="I57" s="243">
        <f>SUM(I35:I55)</f>
        <v>19253.399999999998</v>
      </c>
      <c r="J57" s="248"/>
      <c r="K57" s="243">
        <f>SUM(K35:K55)</f>
        <v>384625.51172900002</v>
      </c>
    </row>
    <row r="61" spans="2:11" ht="23" customHeight="1">
      <c r="B61" s="2" t="s">
        <v>231</v>
      </c>
      <c r="C61" s="2"/>
    </row>
  </sheetData>
  <sheetProtection formatCells="0" formatColumns="0" formatRows="0" insertColumns="0" insertRows="0" deleteColumns="0" deleteRows="0" autoFilter="0"/>
  <autoFilter ref="B6:K28" xr:uid="{E166C39F-21A5-0B4C-98AA-C0474003085F}"/>
  <mergeCells count="2">
    <mergeCell ref="B3:K3"/>
    <mergeCell ref="B2:K2"/>
  </mergeCells>
  <phoneticPr fontId="8" type="noConversion"/>
  <printOptions horizontalCentered="1"/>
  <pageMargins left="0.70000000000000007" right="0.70000000000000007" top="0.75000000000000011" bottom="0.75000000000000011" header="0.30000000000000004" footer="0.30000000000000004"/>
  <pageSetup scale="46"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1CB28841-8808-6A44-8039-CB42C09B7343}">
          <x14:formula1>
            <xm:f>Equivalencia!$A$4:$A$23</xm:f>
          </x14:formula1>
          <xm:sqref>F8:F28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472A0-337B-E043-989F-083D782D27E9}">
  <sheetPr>
    <pageSetUpPr fitToPage="1"/>
  </sheetPr>
  <dimension ref="B2:K50"/>
  <sheetViews>
    <sheetView view="pageBreakPreview" topLeftCell="C8" zoomScale="80" zoomScaleNormal="80" zoomScaleSheetLayoutView="80" workbookViewId="0">
      <selection activeCell="G10" sqref="G10"/>
    </sheetView>
  </sheetViews>
  <sheetFormatPr baseColWidth="10" defaultColWidth="10.83203125" defaultRowHeight="23" customHeight="1"/>
  <cols>
    <col min="1" max="1" width="10.83203125" style="1"/>
    <col min="2" max="2" width="27.83203125" style="1" customWidth="1"/>
    <col min="3" max="3" width="26.1640625" style="1" customWidth="1"/>
    <col min="4" max="4" width="17.6640625" style="1" customWidth="1"/>
    <col min="5" max="5" width="63.1640625" style="1" customWidth="1"/>
    <col min="6" max="6" width="25.6640625" style="1" customWidth="1"/>
    <col min="7" max="11" width="20.83203125" style="1" customWidth="1"/>
    <col min="12" max="12" width="14.1640625" style="1" customWidth="1"/>
    <col min="13" max="16384" width="10.83203125" style="1"/>
  </cols>
  <sheetData>
    <row r="2" spans="2:11" ht="49" customHeight="1">
      <c r="B2" s="761" t="s">
        <v>652</v>
      </c>
      <c r="C2" s="761"/>
      <c r="D2" s="761"/>
      <c r="E2" s="761"/>
      <c r="F2" s="761"/>
      <c r="G2" s="761"/>
      <c r="H2" s="761"/>
      <c r="I2" s="761"/>
      <c r="J2" s="761"/>
      <c r="K2" s="761"/>
    </row>
    <row r="3" spans="2:11" ht="23" customHeight="1">
      <c r="B3" s="759" t="s">
        <v>653</v>
      </c>
      <c r="C3" s="759"/>
      <c r="D3" s="759"/>
      <c r="E3" s="759"/>
      <c r="F3" s="759"/>
      <c r="G3" s="759"/>
      <c r="H3" s="759"/>
      <c r="I3" s="759"/>
      <c r="J3" s="759"/>
      <c r="K3" s="759"/>
    </row>
    <row r="4" spans="2:11" ht="14" customHeight="1">
      <c r="B4" s="24" t="s">
        <v>443</v>
      </c>
      <c r="C4" s="24" t="s">
        <v>673</v>
      </c>
      <c r="D4" s="24"/>
      <c r="E4" s="24"/>
      <c r="F4" s="24"/>
      <c r="G4" s="24"/>
      <c r="H4" s="24"/>
      <c r="I4" s="24"/>
      <c r="J4" s="24"/>
      <c r="K4" s="24"/>
    </row>
    <row r="5" spans="2:11" ht="23" customHeight="1">
      <c r="B5" s="116"/>
      <c r="C5" s="116"/>
      <c r="D5" s="116"/>
      <c r="E5" s="116"/>
      <c r="F5" s="116"/>
      <c r="G5" s="116"/>
      <c r="H5" s="116"/>
      <c r="I5" s="116"/>
      <c r="J5" s="239"/>
      <c r="K5" s="116"/>
    </row>
    <row r="6" spans="2:11" s="85" customFormat="1" ht="30">
      <c r="B6" s="153" t="s">
        <v>178</v>
      </c>
      <c r="C6" s="153" t="s">
        <v>649</v>
      </c>
      <c r="D6" s="120" t="s">
        <v>54</v>
      </c>
      <c r="E6" s="120" t="s">
        <v>91</v>
      </c>
      <c r="F6" s="120" t="s">
        <v>208</v>
      </c>
      <c r="G6" s="120" t="s">
        <v>217</v>
      </c>
      <c r="H6" s="120" t="s">
        <v>56</v>
      </c>
      <c r="I6" s="120" t="s">
        <v>166</v>
      </c>
      <c r="J6" s="120" t="s">
        <v>361</v>
      </c>
      <c r="K6" s="120" t="s">
        <v>218</v>
      </c>
    </row>
    <row r="7" spans="2:11" ht="23" customHeight="1">
      <c r="B7" s="203"/>
      <c r="C7" s="203"/>
      <c r="D7" s="12"/>
      <c r="E7" s="12"/>
      <c r="F7" s="12"/>
      <c r="G7" s="12"/>
      <c r="H7" s="12"/>
      <c r="J7" s="12"/>
      <c r="K7" s="12"/>
    </row>
    <row r="8" spans="2:11" s="134" customFormat="1" ht="23" customHeight="1">
      <c r="B8" s="7" t="s">
        <v>850</v>
      </c>
      <c r="C8" s="7" t="s">
        <v>407</v>
      </c>
      <c r="D8" s="159">
        <v>44736</v>
      </c>
      <c r="E8" s="249" t="s">
        <v>739</v>
      </c>
      <c r="F8" s="7" t="s">
        <v>59</v>
      </c>
      <c r="G8" s="219">
        <v>1985.9</v>
      </c>
      <c r="H8" s="162">
        <f>IF(F8=0,0,IF(F8="MXN",1/HLOOKUP(YEAR(D8)+(MONTH(D8)/100),TC!$5:$437,DAY(D8)+2,FALSE),VLOOKUP(F8,Equivalencia!$1:$23,((MAX(Equivalencia!$3:$3)-YEAR(D8))*14)+MONTH(D8)+2,FALSE)))</f>
        <v>1</v>
      </c>
      <c r="I8" s="163">
        <f>+H8*G8</f>
        <v>1985.9</v>
      </c>
      <c r="J8" s="162">
        <f>IF(D8=0,0,HLOOKUP(YEAR(D8)+(MONTH(D8)/100),TC!$5:$37,DAY(D8)+2,FALSE))</f>
        <v>20.046500000000002</v>
      </c>
      <c r="K8" s="219">
        <f>IF(F8="MXN",G8,H8*G8*J8)</f>
        <v>39810.344350000007</v>
      </c>
    </row>
    <row r="9" spans="2:11" s="134" customFormat="1" ht="23" customHeight="1">
      <c r="B9" s="7" t="s">
        <v>850</v>
      </c>
      <c r="C9" s="7" t="s">
        <v>407</v>
      </c>
      <c r="D9" s="159">
        <v>44826</v>
      </c>
      <c r="E9" s="249" t="s">
        <v>739</v>
      </c>
      <c r="F9" s="7" t="s">
        <v>59</v>
      </c>
      <c r="G9" s="219">
        <v>1888.32</v>
      </c>
      <c r="H9" s="162">
        <f>IF(F9=0,0,IF(F9="MXN",1/HLOOKUP(YEAR(D9)+(MONTH(D9)/100),TC!$5:$437,DAY(D9)+2,FALSE),VLOOKUP(F9,Equivalencia!$1:$23,((MAX(Equivalencia!$3:$3)-YEAR(D9))*14)+MONTH(D9)+2,FALSE)))</f>
        <v>1</v>
      </c>
      <c r="I9" s="163">
        <f>+H9*G9</f>
        <v>1888.32</v>
      </c>
      <c r="J9" s="162">
        <f>IF(D9=0,0,HLOOKUP(YEAR(D9)+(MONTH(D9)/100),TC!$5:$37,DAY(D9)+2,FALSE))</f>
        <v>20</v>
      </c>
      <c r="K9" s="219">
        <f>IF(F9="MXN",G9,H9*G9*J9)</f>
        <v>37766.400000000001</v>
      </c>
    </row>
    <row r="10" spans="2:11" s="134" customFormat="1" ht="23" customHeight="1">
      <c r="B10" s="7" t="s">
        <v>850</v>
      </c>
      <c r="C10" s="7" t="s">
        <v>407</v>
      </c>
      <c r="D10" s="159">
        <v>44917</v>
      </c>
      <c r="E10" s="249" t="s">
        <v>739</v>
      </c>
      <c r="F10" s="7" t="s">
        <v>59</v>
      </c>
      <c r="G10" s="219">
        <v>789.84</v>
      </c>
      <c r="H10" s="162">
        <f>IF(F10=0,0,IF(F10="MXN",1/HLOOKUP(YEAR(D10)+(MONTH(D10)/100),TC!$5:$437,DAY(D10)+2,FALSE),VLOOKUP(F10,Equivalencia!$1:$23,((MAX(Equivalencia!$3:$3)-YEAR(D10))*14)+MONTH(D10)+2,FALSE)))</f>
        <v>1</v>
      </c>
      <c r="I10" s="163">
        <f t="shared" ref="I10:I13" si="0">+H10*G10</f>
        <v>789.84</v>
      </c>
      <c r="J10" s="162">
        <f>IF(D10=0,0,HLOOKUP(YEAR(D10)+(MONTH(D10)/100),TC!$5:$37,DAY(D10)+2,FALSE))</f>
        <v>19.748200000000001</v>
      </c>
      <c r="K10" s="219">
        <f t="shared" ref="K10:K13" si="1">IF(F10="MXN",G10,H10*G10*J10)</f>
        <v>15597.918288000001</v>
      </c>
    </row>
    <row r="11" spans="2:11" s="134" customFormat="1" ht="23" hidden="1" customHeight="1">
      <c r="B11" s="7" t="s">
        <v>6</v>
      </c>
      <c r="C11" s="7"/>
      <c r="D11" s="159"/>
      <c r="E11" s="249"/>
      <c r="F11" s="7"/>
      <c r="G11" s="219"/>
      <c r="H11" s="162">
        <f>IF(F11=0,0,IF(F11="MXN",1/HLOOKUP(YEAR(D11)+(MONTH(D11)/100),TC!$5:$437,DAY(D11)+2,FALSE),VLOOKUP(F11,Equivalencia!$1:$23,((MAX(Equivalencia!$3:$3)-YEAR(D11))*14)+MONTH(D11)+2,FALSE)))</f>
        <v>0</v>
      </c>
      <c r="I11" s="163">
        <f t="shared" si="0"/>
        <v>0</v>
      </c>
      <c r="J11" s="162">
        <f>IF(D11=0,0,HLOOKUP(YEAR(D11)+(MONTH(D11)/100),TC!$5:$37,DAY(D11)+2,FALSE))</f>
        <v>0</v>
      </c>
      <c r="K11" s="219">
        <f t="shared" si="1"/>
        <v>0</v>
      </c>
    </row>
    <row r="12" spans="2:11" s="134" customFormat="1" ht="23" hidden="1" customHeight="1">
      <c r="B12" s="7" t="s">
        <v>7</v>
      </c>
      <c r="C12" s="7"/>
      <c r="D12" s="159"/>
      <c r="E12" s="249"/>
      <c r="F12" s="7"/>
      <c r="G12" s="219"/>
      <c r="H12" s="162">
        <f>IF(F12=0,0,IF(F12="MXN",1/HLOOKUP(YEAR(D12)+(MONTH(D12)/100),TC!$5:$437,DAY(D12)+2,FALSE),VLOOKUP(F12,Equivalencia!$1:$23,((MAX(Equivalencia!$3:$3)-YEAR(D12))*14)+MONTH(D12)+2,FALSE)))</f>
        <v>0</v>
      </c>
      <c r="I12" s="163">
        <f t="shared" si="0"/>
        <v>0</v>
      </c>
      <c r="J12" s="162">
        <f>IF(D12=0,0,HLOOKUP(YEAR(D12)+(MONTH(D12)/100),TC!$5:$37,DAY(D12)+2,FALSE))</f>
        <v>0</v>
      </c>
      <c r="K12" s="219">
        <f t="shared" si="1"/>
        <v>0</v>
      </c>
    </row>
    <row r="13" spans="2:11" s="134" customFormat="1" ht="23" hidden="1" customHeight="1">
      <c r="B13" s="7" t="s">
        <v>8</v>
      </c>
      <c r="C13" s="7"/>
      <c r="D13" s="159"/>
      <c r="E13" s="249"/>
      <c r="F13" s="7"/>
      <c r="G13" s="219"/>
      <c r="H13" s="162">
        <f>IF(F13=0,0,IF(F13="MXN",1/HLOOKUP(YEAR(D13)+(MONTH(D13)/100),TC!$5:$437,DAY(D13)+2,FALSE),VLOOKUP(F13,Equivalencia!$1:$23,((MAX(Equivalencia!$3:$3)-YEAR(D13))*14)+MONTH(D13)+2,FALSE)))</f>
        <v>0</v>
      </c>
      <c r="I13" s="163">
        <f t="shared" si="0"/>
        <v>0</v>
      </c>
      <c r="J13" s="162">
        <f>IF(D13=0,0,HLOOKUP(YEAR(D13)+(MONTH(D13)/100),TC!$5:$37,DAY(D13)+2,FALSE))</f>
        <v>0</v>
      </c>
      <c r="K13" s="219">
        <f t="shared" si="1"/>
        <v>0</v>
      </c>
    </row>
    <row r="14" spans="2:11" s="134" customFormat="1" ht="23" hidden="1" customHeight="1">
      <c r="B14" s="7" t="s">
        <v>9</v>
      </c>
      <c r="C14" s="7"/>
      <c r="D14" s="159"/>
      <c r="E14" s="249"/>
      <c r="F14" s="7"/>
      <c r="G14" s="219"/>
      <c r="H14" s="162">
        <f>IF(F14=0,0,IF(F14="MXN",1/HLOOKUP(YEAR(D14)+(MONTH(D14)/100),TC!$5:$437,DAY(D14)+2,FALSE),VLOOKUP(F14,Equivalencia!$1:$23,((MAX(Equivalencia!$3:$3)-YEAR(D14))*14)+MONTH(D14)+2,FALSE)))</f>
        <v>0</v>
      </c>
      <c r="I14" s="163">
        <f t="shared" ref="I14:I16" si="2">+H14*G14</f>
        <v>0</v>
      </c>
      <c r="J14" s="162">
        <f>IF(D14=0,0,HLOOKUP(YEAR(D14)+(MONTH(D14)/100),TC!$5:$37,DAY(D14)+2,FALSE))</f>
        <v>0</v>
      </c>
      <c r="K14" s="219">
        <f t="shared" ref="K14:K16" si="3">IF(F14="MXN",G14,H14*G14*J14)</f>
        <v>0</v>
      </c>
    </row>
    <row r="15" spans="2:11" s="134" customFormat="1" ht="23" hidden="1" customHeight="1">
      <c r="B15" s="7" t="s">
        <v>10</v>
      </c>
      <c r="C15" s="7"/>
      <c r="D15" s="159"/>
      <c r="E15" s="249"/>
      <c r="F15" s="7"/>
      <c r="G15" s="219"/>
      <c r="H15" s="162">
        <f>IF(F15=0,0,IF(F15="MXN",1/HLOOKUP(YEAR(D15)+(MONTH(D15)/100),TC!$5:$437,DAY(D15)+2,FALSE),VLOOKUP(F15,Equivalencia!$1:$23,((MAX(Equivalencia!$3:$3)-YEAR(D15))*14)+MONTH(D15)+2,FALSE)))</f>
        <v>0</v>
      </c>
      <c r="I15" s="163">
        <f t="shared" si="2"/>
        <v>0</v>
      </c>
      <c r="J15" s="162">
        <f>IF(D15=0,0,HLOOKUP(YEAR(D15)+(MONTH(D15)/100),TC!$5:$37,DAY(D15)+2,FALSE))</f>
        <v>0</v>
      </c>
      <c r="K15" s="219">
        <f t="shared" si="3"/>
        <v>0</v>
      </c>
    </row>
    <row r="16" spans="2:11" s="134" customFormat="1" ht="23" hidden="1" customHeight="1">
      <c r="B16" s="7" t="s">
        <v>11</v>
      </c>
      <c r="C16" s="7"/>
      <c r="D16" s="159"/>
      <c r="E16" s="249"/>
      <c r="F16" s="7"/>
      <c r="G16" s="219"/>
      <c r="H16" s="162">
        <f>IF(F16=0,0,IF(F16="MXN",1/HLOOKUP(YEAR(D16)+(MONTH(D16)/100),TC!$5:$437,DAY(D16)+2,FALSE),VLOOKUP(F16,Equivalencia!$1:$23,((MAX(Equivalencia!$3:$3)-YEAR(D16))*14)+MONTH(D16)+2,FALSE)))</f>
        <v>0</v>
      </c>
      <c r="I16" s="163">
        <f t="shared" si="2"/>
        <v>0</v>
      </c>
      <c r="J16" s="162">
        <f>IF(D16=0,0,HLOOKUP(YEAR(D16)+(MONTH(D16)/100),TC!$5:$37,DAY(D16)+2,FALSE))</f>
        <v>0</v>
      </c>
      <c r="K16" s="219">
        <f t="shared" si="3"/>
        <v>0</v>
      </c>
    </row>
    <row r="17" spans="2:11" s="134" customFormat="1" ht="23" hidden="1" customHeight="1">
      <c r="B17" s="7" t="s">
        <v>253</v>
      </c>
      <c r="C17" s="7"/>
      <c r="D17" s="159"/>
      <c r="E17" s="249"/>
      <c r="F17" s="7"/>
      <c r="G17" s="219"/>
      <c r="H17" s="162">
        <f>IF(F17=0,0,IF(F17="MXN",1/HLOOKUP(YEAR(D17)+(MONTH(D17)/100),TC!$5:$437,DAY(D17)+2,FALSE),VLOOKUP(F17,Equivalencia!$1:$23,((MAX(Equivalencia!$3:$3)-YEAR(D17))*14)+MONTH(D17)+2,FALSE)))</f>
        <v>0</v>
      </c>
      <c r="I17" s="163">
        <f>+H17*G17</f>
        <v>0</v>
      </c>
      <c r="J17" s="162">
        <f>IF(D17=0,0,HLOOKUP(YEAR(D17)+(MONTH(D17)/100),TC!$5:$37,DAY(D17)+2,FALSE))</f>
        <v>0</v>
      </c>
      <c r="K17" s="219">
        <f>IF(F17="MXN",G17,H17*G17*J17)</f>
        <v>0</v>
      </c>
    </row>
    <row r="18" spans="2:11" ht="23" customHeight="1">
      <c r="B18" s="76"/>
      <c r="C18" s="76"/>
      <c r="D18" s="145"/>
      <c r="E18" s="45"/>
      <c r="F18" s="76"/>
      <c r="G18" s="215"/>
      <c r="H18" s="256"/>
      <c r="I18" s="142"/>
      <c r="J18" s="256"/>
      <c r="K18" s="215"/>
    </row>
    <row r="19" spans="2:11" ht="23" customHeight="1">
      <c r="B19" s="164" t="s">
        <v>384</v>
      </c>
      <c r="C19" s="164"/>
      <c r="D19" s="257"/>
      <c r="E19" s="258"/>
      <c r="F19" s="166"/>
      <c r="G19" s="241">
        <f>SUM(G7:G18)</f>
        <v>4664.0600000000004</v>
      </c>
      <c r="H19" s="131"/>
      <c r="I19" s="241">
        <f>SUM(I7:I18)</f>
        <v>4664.0600000000004</v>
      </c>
      <c r="J19" s="259"/>
      <c r="K19" s="241">
        <f>SUM(K7:K18)</f>
        <v>93174.662638000009</v>
      </c>
    </row>
    <row r="22" spans="2:11" s="85" customFormat="1" ht="45">
      <c r="G22" s="120" t="s">
        <v>381</v>
      </c>
      <c r="I22" s="120" t="s">
        <v>382</v>
      </c>
      <c r="K22" s="120" t="s">
        <v>383</v>
      </c>
    </row>
    <row r="24" spans="2:11" ht="23" customHeight="1">
      <c r="D24" s="200"/>
      <c r="E24" s="178" t="s">
        <v>379</v>
      </c>
      <c r="F24" s="260" t="str">
        <f>Cuentas!B6</f>
        <v>AR2XXXX3387-0008</v>
      </c>
      <c r="G24" s="246">
        <f t="shared" ref="G24:G44" si="4">+SUMIF($B$7:$B$687,F24,$G$7:$G$687)</f>
        <v>0</v>
      </c>
      <c r="H24" s="261"/>
      <c r="I24" s="246">
        <f t="shared" ref="I24:I44" si="5">+SUMIF($B$7:$B$687,F24,$I$7:$I$687)</f>
        <v>0</v>
      </c>
      <c r="J24" s="262"/>
      <c r="K24" s="246">
        <f t="shared" ref="K24:K44" si="6">+SUMIF($B$7:$B$687,F24,$K$7:$K$687)</f>
        <v>0</v>
      </c>
    </row>
    <row r="25" spans="2:11" ht="23" customHeight="1">
      <c r="D25" s="200"/>
      <c r="E25" s="178" t="s">
        <v>379</v>
      </c>
      <c r="F25" s="260" t="str">
        <f>Cuentas!B7</f>
        <v>AR2XXXX3387-0003</v>
      </c>
      <c r="G25" s="246">
        <f t="shared" si="4"/>
        <v>4664.0600000000004</v>
      </c>
      <c r="H25" s="261"/>
      <c r="I25" s="246">
        <f t="shared" si="5"/>
        <v>4664.0600000000004</v>
      </c>
      <c r="J25" s="262"/>
      <c r="K25" s="246">
        <f t="shared" si="6"/>
        <v>93174.662638000009</v>
      </c>
    </row>
    <row r="26" spans="2:11" ht="23" customHeight="1">
      <c r="D26" s="200"/>
      <c r="E26" s="178" t="s">
        <v>379</v>
      </c>
      <c r="F26" s="260" t="str">
        <f>Cuentas!B8</f>
        <v>029-2XXX1-9</v>
      </c>
      <c r="G26" s="246">
        <f t="shared" si="4"/>
        <v>0</v>
      </c>
      <c r="H26" s="261"/>
      <c r="I26" s="246">
        <f t="shared" si="5"/>
        <v>0</v>
      </c>
      <c r="J26" s="262"/>
      <c r="K26" s="246">
        <f t="shared" si="6"/>
        <v>0</v>
      </c>
    </row>
    <row r="27" spans="2:11" ht="23" customHeight="1">
      <c r="D27" s="200"/>
      <c r="E27" s="178" t="s">
        <v>379</v>
      </c>
      <c r="F27" s="260" t="str">
        <f>Cuentas!B9</f>
        <v>029-2XXX2-7</v>
      </c>
      <c r="G27" s="246">
        <f t="shared" si="4"/>
        <v>0</v>
      </c>
      <c r="H27" s="261"/>
      <c r="I27" s="246">
        <f t="shared" si="5"/>
        <v>0</v>
      </c>
      <c r="J27" s="262"/>
      <c r="K27" s="246">
        <f t="shared" si="6"/>
        <v>0</v>
      </c>
    </row>
    <row r="28" spans="2:11" ht="23" customHeight="1">
      <c r="D28" s="200"/>
      <c r="E28" s="178" t="s">
        <v>379</v>
      </c>
      <c r="F28" s="260" t="str">
        <f>Cuentas!B10</f>
        <v>029-2XXX3-5</v>
      </c>
      <c r="G28" s="246">
        <f t="shared" si="4"/>
        <v>0</v>
      </c>
      <c r="H28" s="261"/>
      <c r="I28" s="246">
        <f t="shared" si="5"/>
        <v>0</v>
      </c>
      <c r="J28" s="262"/>
      <c r="K28" s="246">
        <f t="shared" si="6"/>
        <v>0</v>
      </c>
    </row>
    <row r="29" spans="2:11" ht="23" hidden="1" customHeight="1">
      <c r="D29" s="200"/>
      <c r="E29" s="178" t="s">
        <v>379</v>
      </c>
      <c r="F29" s="260" t="str">
        <f>Cuentas!B11</f>
        <v>F</v>
      </c>
      <c r="G29" s="246">
        <f t="shared" si="4"/>
        <v>0</v>
      </c>
      <c r="H29" s="261"/>
      <c r="I29" s="246">
        <f t="shared" si="5"/>
        <v>0</v>
      </c>
      <c r="J29" s="262"/>
      <c r="K29" s="246">
        <f t="shared" si="6"/>
        <v>0</v>
      </c>
    </row>
    <row r="30" spans="2:11" ht="23" hidden="1" customHeight="1">
      <c r="D30" s="200"/>
      <c r="E30" s="178" t="s">
        <v>379</v>
      </c>
      <c r="F30" s="260" t="str">
        <f>Cuentas!B12</f>
        <v>G</v>
      </c>
      <c r="G30" s="246">
        <f t="shared" si="4"/>
        <v>0</v>
      </c>
      <c r="H30" s="261"/>
      <c r="I30" s="246">
        <f t="shared" si="5"/>
        <v>0</v>
      </c>
      <c r="J30" s="262"/>
      <c r="K30" s="246">
        <f t="shared" si="6"/>
        <v>0</v>
      </c>
    </row>
    <row r="31" spans="2:11" ht="23" hidden="1" customHeight="1">
      <c r="D31" s="200"/>
      <c r="E31" s="178" t="s">
        <v>379</v>
      </c>
      <c r="F31" s="260" t="str">
        <f>Cuentas!B13</f>
        <v>H</v>
      </c>
      <c r="G31" s="246">
        <f t="shared" si="4"/>
        <v>0</v>
      </c>
      <c r="H31" s="261"/>
      <c r="I31" s="246">
        <f t="shared" si="5"/>
        <v>0</v>
      </c>
      <c r="J31" s="262"/>
      <c r="K31" s="246">
        <f t="shared" si="6"/>
        <v>0</v>
      </c>
    </row>
    <row r="32" spans="2:11" ht="23" hidden="1" customHeight="1">
      <c r="D32" s="200"/>
      <c r="E32" s="178" t="s">
        <v>379</v>
      </c>
      <c r="F32" s="260" t="str">
        <f>Cuentas!B14</f>
        <v>I</v>
      </c>
      <c r="G32" s="246">
        <f t="shared" si="4"/>
        <v>0</v>
      </c>
      <c r="H32" s="261"/>
      <c r="I32" s="246">
        <f t="shared" si="5"/>
        <v>0</v>
      </c>
      <c r="J32" s="262"/>
      <c r="K32" s="246">
        <f t="shared" si="6"/>
        <v>0</v>
      </c>
    </row>
    <row r="33" spans="4:11" ht="23" hidden="1" customHeight="1">
      <c r="D33" s="200"/>
      <c r="E33" s="178" t="s">
        <v>379</v>
      </c>
      <c r="F33" s="260" t="str">
        <f>Cuentas!B15</f>
        <v>J</v>
      </c>
      <c r="G33" s="246">
        <f t="shared" si="4"/>
        <v>0</v>
      </c>
      <c r="H33" s="261"/>
      <c r="I33" s="246">
        <f t="shared" si="5"/>
        <v>0</v>
      </c>
      <c r="J33" s="262"/>
      <c r="K33" s="246">
        <f t="shared" si="6"/>
        <v>0</v>
      </c>
    </row>
    <row r="34" spans="4:11" ht="23" hidden="1" customHeight="1">
      <c r="D34" s="200"/>
      <c r="E34" s="178" t="s">
        <v>379</v>
      </c>
      <c r="F34" s="260" t="str">
        <f>Cuentas!B16</f>
        <v>K</v>
      </c>
      <c r="G34" s="246">
        <f t="shared" si="4"/>
        <v>0</v>
      </c>
      <c r="H34" s="261"/>
      <c r="I34" s="246">
        <f t="shared" si="5"/>
        <v>0</v>
      </c>
      <c r="J34" s="262"/>
      <c r="K34" s="246">
        <f t="shared" si="6"/>
        <v>0</v>
      </c>
    </row>
    <row r="35" spans="4:11" ht="23" hidden="1" customHeight="1">
      <c r="D35" s="200"/>
      <c r="E35" s="178" t="s">
        <v>379</v>
      </c>
      <c r="F35" s="260" t="str">
        <f>Cuentas!B17</f>
        <v>L</v>
      </c>
      <c r="G35" s="246">
        <f t="shared" si="4"/>
        <v>0</v>
      </c>
      <c r="H35" s="261"/>
      <c r="I35" s="246">
        <f t="shared" si="5"/>
        <v>0</v>
      </c>
      <c r="J35" s="262"/>
      <c r="K35" s="246">
        <f t="shared" si="6"/>
        <v>0</v>
      </c>
    </row>
    <row r="36" spans="4:11" ht="23" hidden="1" customHeight="1">
      <c r="D36" s="200"/>
      <c r="E36" s="178" t="s">
        <v>379</v>
      </c>
      <c r="F36" s="260" t="str">
        <f>Cuentas!B18</f>
        <v>M</v>
      </c>
      <c r="G36" s="246">
        <f t="shared" si="4"/>
        <v>0</v>
      </c>
      <c r="H36" s="261"/>
      <c r="I36" s="246">
        <f t="shared" si="5"/>
        <v>0</v>
      </c>
      <c r="J36" s="262"/>
      <c r="K36" s="246">
        <f t="shared" si="6"/>
        <v>0</v>
      </c>
    </row>
    <row r="37" spans="4:11" ht="23" hidden="1" customHeight="1">
      <c r="D37" s="200"/>
      <c r="E37" s="178" t="s">
        <v>379</v>
      </c>
      <c r="F37" s="260" t="str">
        <f>Cuentas!B19</f>
        <v>N</v>
      </c>
      <c r="G37" s="246">
        <f t="shared" si="4"/>
        <v>0</v>
      </c>
      <c r="H37" s="261"/>
      <c r="I37" s="246">
        <f t="shared" si="5"/>
        <v>0</v>
      </c>
      <c r="J37" s="262"/>
      <c r="K37" s="246">
        <f t="shared" si="6"/>
        <v>0</v>
      </c>
    </row>
    <row r="38" spans="4:11" ht="23" hidden="1" customHeight="1">
      <c r="D38" s="200"/>
      <c r="E38" s="178" t="s">
        <v>379</v>
      </c>
      <c r="F38" s="260" t="str">
        <f>Cuentas!B20</f>
        <v>O</v>
      </c>
      <c r="G38" s="246">
        <f t="shared" si="4"/>
        <v>0</v>
      </c>
      <c r="H38" s="261"/>
      <c r="I38" s="246">
        <f t="shared" si="5"/>
        <v>0</v>
      </c>
      <c r="J38" s="262"/>
      <c r="K38" s="246">
        <f t="shared" si="6"/>
        <v>0</v>
      </c>
    </row>
    <row r="39" spans="4:11" ht="23" hidden="1" customHeight="1">
      <c r="D39" s="200"/>
      <c r="E39" s="178" t="s">
        <v>379</v>
      </c>
      <c r="F39" s="260" t="str">
        <f>Cuentas!B21</f>
        <v>P</v>
      </c>
      <c r="G39" s="246">
        <f t="shared" si="4"/>
        <v>0</v>
      </c>
      <c r="H39" s="261"/>
      <c r="I39" s="246">
        <f t="shared" si="5"/>
        <v>0</v>
      </c>
      <c r="J39" s="262"/>
      <c r="K39" s="246">
        <f t="shared" si="6"/>
        <v>0</v>
      </c>
    </row>
    <row r="40" spans="4:11" ht="23" hidden="1" customHeight="1">
      <c r="D40" s="200"/>
      <c r="E40" s="178" t="s">
        <v>379</v>
      </c>
      <c r="F40" s="260" t="str">
        <f>Cuentas!B22</f>
        <v>Q</v>
      </c>
      <c r="G40" s="246">
        <f t="shared" si="4"/>
        <v>0</v>
      </c>
      <c r="H40" s="261"/>
      <c r="I40" s="246">
        <f t="shared" si="5"/>
        <v>0</v>
      </c>
      <c r="J40" s="262"/>
      <c r="K40" s="246">
        <f t="shared" si="6"/>
        <v>0</v>
      </c>
    </row>
    <row r="41" spans="4:11" ht="23" hidden="1" customHeight="1">
      <c r="D41" s="200"/>
      <c r="E41" s="178" t="s">
        <v>379</v>
      </c>
      <c r="F41" s="260" t="str">
        <f>Cuentas!B23</f>
        <v>R</v>
      </c>
      <c r="G41" s="246">
        <f t="shared" si="4"/>
        <v>0</v>
      </c>
      <c r="H41" s="261"/>
      <c r="I41" s="246">
        <f t="shared" si="5"/>
        <v>0</v>
      </c>
      <c r="J41" s="262"/>
      <c r="K41" s="246">
        <f t="shared" si="6"/>
        <v>0</v>
      </c>
    </row>
    <row r="42" spans="4:11" ht="23" hidden="1" customHeight="1">
      <c r="D42" s="200"/>
      <c r="E42" s="178" t="s">
        <v>379</v>
      </c>
      <c r="F42" s="260" t="str">
        <f>Cuentas!B24</f>
        <v>S</v>
      </c>
      <c r="G42" s="246">
        <f t="shared" si="4"/>
        <v>0</v>
      </c>
      <c r="H42" s="261"/>
      <c r="I42" s="246">
        <f t="shared" si="5"/>
        <v>0</v>
      </c>
      <c r="J42" s="262"/>
      <c r="K42" s="246">
        <f t="shared" si="6"/>
        <v>0</v>
      </c>
    </row>
    <row r="43" spans="4:11" ht="23" hidden="1" customHeight="1">
      <c r="D43" s="200"/>
      <c r="E43" s="178" t="s">
        <v>379</v>
      </c>
      <c r="F43" s="260" t="str">
        <f>Cuentas!B25</f>
        <v>T</v>
      </c>
      <c r="G43" s="246">
        <f t="shared" si="4"/>
        <v>0</v>
      </c>
      <c r="H43" s="261"/>
      <c r="I43" s="246">
        <f t="shared" si="5"/>
        <v>0</v>
      </c>
      <c r="J43" s="262"/>
      <c r="K43" s="246">
        <f t="shared" si="6"/>
        <v>0</v>
      </c>
    </row>
    <row r="44" spans="4:11" ht="23" hidden="1" customHeight="1">
      <c r="D44" s="200"/>
      <c r="E44" s="178" t="s">
        <v>379</v>
      </c>
      <c r="F44" s="260" t="str">
        <f>Cuentas!B26</f>
        <v>U</v>
      </c>
      <c r="G44" s="246">
        <f t="shared" si="4"/>
        <v>0</v>
      </c>
      <c r="H44" s="261"/>
      <c r="I44" s="246">
        <f t="shared" si="5"/>
        <v>0</v>
      </c>
      <c r="J44" s="262"/>
      <c r="K44" s="246">
        <f t="shared" si="6"/>
        <v>0</v>
      </c>
    </row>
    <row r="46" spans="4:11" ht="23" customHeight="1">
      <c r="E46" s="103"/>
      <c r="F46" s="242" t="s">
        <v>380</v>
      </c>
      <c r="G46" s="243">
        <f>SUM(G24:G44)</f>
        <v>4664.0600000000004</v>
      </c>
      <c r="H46" s="103"/>
      <c r="I46" s="243">
        <f>SUM(I24:I44)</f>
        <v>4664.0600000000004</v>
      </c>
      <c r="J46" s="248"/>
      <c r="K46" s="243">
        <f>SUM(K24:K44)</f>
        <v>93174.662638000009</v>
      </c>
    </row>
    <row r="50" spans="2:3" ht="23" customHeight="1">
      <c r="B50" s="2" t="s">
        <v>231</v>
      </c>
      <c r="C50" s="2"/>
    </row>
  </sheetData>
  <sheetProtection formatCells="0" formatColumns="0" formatRows="0" insertColumns="0" insertRows="0" deleteColumns="0" deleteRows="0" autoFilter="0"/>
  <autoFilter ref="B6:K17" xr:uid="{C3A02401-43B4-B846-BB14-66F4A40975A9}"/>
  <mergeCells count="2">
    <mergeCell ref="B3:K3"/>
    <mergeCell ref="B2:K2"/>
  </mergeCells>
  <printOptions horizontalCentered="1"/>
  <pageMargins left="0.7" right="0.7" top="0.75" bottom="0.75" header="0.3" footer="0.3"/>
  <pageSetup scale="43"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688D4506-4C3C-3349-8C55-9B33D3A9DB5F}">
          <x14:formula1>
            <xm:f>Equivalencia!$A$4:$A$23</xm:f>
          </x14:formula1>
          <xm:sqref>F8:F18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2:O45"/>
  <sheetViews>
    <sheetView view="pageBreakPreview" zoomScale="90" zoomScaleNormal="100" zoomScaleSheetLayoutView="90" workbookViewId="0">
      <pane ySplit="6" topLeftCell="A7" activePane="bottomLeft" state="frozen"/>
      <selection pane="bottomLeft" activeCell="C5" sqref="C5"/>
    </sheetView>
  </sheetViews>
  <sheetFormatPr baseColWidth="10" defaultColWidth="10.83203125" defaultRowHeight="23" customHeight="1"/>
  <cols>
    <col min="1" max="1" width="10.83203125" style="134"/>
    <col min="2" max="3" width="27.83203125" style="134" customWidth="1"/>
    <col min="4" max="4" width="16.83203125" style="134" customWidth="1"/>
    <col min="5" max="5" width="43.1640625" style="134" customWidth="1"/>
    <col min="6" max="6" width="21.1640625" style="134" customWidth="1"/>
    <col min="7" max="7" width="20.5" style="134" customWidth="1"/>
    <col min="8" max="8" width="20.83203125" style="134" customWidth="1"/>
    <col min="9" max="9" width="20.5" style="134" customWidth="1"/>
    <col min="10" max="10" width="20.83203125" style="134" customWidth="1"/>
    <col min="11" max="11" width="20.5" style="134" customWidth="1"/>
    <col min="12" max="14" width="10.83203125" style="134"/>
    <col min="15" max="15" width="31.83203125" style="134" customWidth="1"/>
    <col min="16" max="16384" width="10.83203125" style="134"/>
  </cols>
  <sheetData>
    <row r="2" spans="2:15" ht="23" customHeight="1">
      <c r="B2" s="772" t="s">
        <v>654</v>
      </c>
      <c r="C2" s="772"/>
      <c r="D2" s="772"/>
      <c r="E2" s="772"/>
      <c r="F2" s="772"/>
      <c r="G2" s="772"/>
      <c r="H2" s="772"/>
      <c r="I2" s="772"/>
      <c r="J2" s="772"/>
      <c r="K2" s="772"/>
      <c r="O2" s="263" t="s">
        <v>63</v>
      </c>
    </row>
    <row r="3" spans="2:15" ht="23" customHeight="1">
      <c r="B3" s="773" t="s">
        <v>651</v>
      </c>
      <c r="C3" s="773"/>
      <c r="D3" s="773"/>
      <c r="E3" s="773"/>
      <c r="F3" s="773"/>
      <c r="G3" s="773"/>
      <c r="H3" s="773"/>
      <c r="I3" s="773"/>
      <c r="J3" s="773"/>
      <c r="K3" s="773"/>
      <c r="O3" s="280" t="s">
        <v>206</v>
      </c>
    </row>
    <row r="4" spans="2:15" ht="14" customHeight="1">
      <c r="B4" s="24" t="s">
        <v>443</v>
      </c>
      <c r="C4" s="24" t="s">
        <v>673</v>
      </c>
      <c r="D4" s="24"/>
      <c r="E4" s="24"/>
      <c r="F4" s="24"/>
      <c r="G4" s="24"/>
      <c r="H4" s="24"/>
      <c r="I4" s="24"/>
      <c r="J4" s="24"/>
      <c r="K4" s="24"/>
      <c r="O4" s="280" t="s">
        <v>575</v>
      </c>
    </row>
    <row r="5" spans="2:15" ht="23" customHeight="1">
      <c r="B5" s="269"/>
      <c r="C5" s="269"/>
      <c r="D5" s="270"/>
      <c r="E5" s="270"/>
      <c r="F5" s="269"/>
      <c r="G5" s="270"/>
      <c r="H5" s="270"/>
      <c r="I5" s="270"/>
      <c r="J5" s="270"/>
      <c r="K5" s="270"/>
      <c r="O5" s="280"/>
    </row>
    <row r="6" spans="2:15" ht="30">
      <c r="B6" s="267" t="s">
        <v>178</v>
      </c>
      <c r="C6" s="29" t="s">
        <v>394</v>
      </c>
      <c r="D6" s="29" t="s">
        <v>54</v>
      </c>
      <c r="E6" s="29" t="s">
        <v>226</v>
      </c>
      <c r="F6" s="29" t="s">
        <v>208</v>
      </c>
      <c r="G6" s="29" t="s">
        <v>388</v>
      </c>
      <c r="H6" s="29" t="s">
        <v>56</v>
      </c>
      <c r="I6" s="29" t="s">
        <v>389</v>
      </c>
      <c r="J6" s="120" t="s">
        <v>361</v>
      </c>
      <c r="K6" s="29" t="s">
        <v>390</v>
      </c>
      <c r="O6" s="228"/>
    </row>
    <row r="7" spans="2:15" ht="23" customHeight="1">
      <c r="B7" s="76"/>
      <c r="C7" s="140"/>
      <c r="D7" s="145"/>
      <c r="E7" s="140"/>
      <c r="F7" s="76"/>
      <c r="G7" s="141"/>
      <c r="H7" s="143"/>
      <c r="I7" s="144"/>
      <c r="J7" s="143"/>
      <c r="K7" s="144"/>
      <c r="O7" s="228"/>
    </row>
    <row r="8" spans="2:15" ht="23" customHeight="1">
      <c r="B8" s="204" t="s">
        <v>3</v>
      </c>
      <c r="C8" s="204"/>
      <c r="D8" s="264"/>
      <c r="E8" s="204"/>
      <c r="F8" s="204"/>
      <c r="G8" s="265"/>
      <c r="H8" s="266">
        <f>IF(F8=0,0,IF(F8="MXN",1/HLOOKUP(YEAR(D8)+(MONTH(D8)/100),TC!$5:$37,DAY(D8)+2,FALSE),VLOOKUP(F8,Equivalencia!$1:$23,((MAX(Equivalencia!$3:$3)-YEAR(D8))*14)+MONTH(D8)+2,FALSE)))</f>
        <v>0</v>
      </c>
      <c r="I8" s="265">
        <f>+H8*G8</f>
        <v>0</v>
      </c>
      <c r="J8" s="266">
        <f>IF(D8=0,0,HLOOKUP(YEAR(D8)+(MONTH(D8)/100),TC!$5:$37,DAY(D8)+2,FALSE))</f>
        <v>0</v>
      </c>
      <c r="K8" s="265">
        <f>+I8*J8</f>
        <v>0</v>
      </c>
      <c r="O8" s="228"/>
    </row>
    <row r="9" spans="2:15" ht="23" customHeight="1">
      <c r="B9" s="204" t="s">
        <v>4</v>
      </c>
      <c r="D9" s="264"/>
      <c r="E9" s="204"/>
      <c r="F9" s="204"/>
      <c r="G9" s="265"/>
      <c r="H9" s="266">
        <f>IF(F9=0,0,IF(F9="MXN",1/HLOOKUP(YEAR(D9)+(MONTH(D9)/100),TC!$5:$37,DAY(D9)+2,FALSE),VLOOKUP(F9,Equivalencia!$1:$23,((MAX(Equivalencia!$3:$3)-YEAR(D9))*14)+MONTH(D9)+2,FALSE)))</f>
        <v>0</v>
      </c>
      <c r="I9" s="265">
        <f t="shared" ref="I9:I13" si="0">+H9*G9</f>
        <v>0</v>
      </c>
      <c r="J9" s="266">
        <f>IF(D9=0,0,HLOOKUP(YEAR(D9)+(MONTH(D9)/100),TC!$5:$37,DAY(D9)+2,FALSE))</f>
        <v>0</v>
      </c>
      <c r="K9" s="265">
        <f t="shared" ref="K9:K13" si="1">+I9*J9</f>
        <v>0</v>
      </c>
      <c r="O9" s="228"/>
    </row>
    <row r="10" spans="2:15" ht="23" customHeight="1">
      <c r="B10" s="204" t="s">
        <v>5</v>
      </c>
      <c r="D10" s="264"/>
      <c r="E10" s="204"/>
      <c r="F10" s="204"/>
      <c r="G10" s="265"/>
      <c r="H10" s="266">
        <f>IF(F10=0,0,IF(F10="MXN",1/HLOOKUP(YEAR(D10)+(MONTH(D10)/100),TC!$5:$37,DAY(D10)+2,FALSE),VLOOKUP(F10,Equivalencia!$1:$23,((MAX(Equivalencia!$3:$3)-YEAR(D10))*14)+MONTH(D10)+2,FALSE)))</f>
        <v>0</v>
      </c>
      <c r="I10" s="265">
        <f t="shared" si="0"/>
        <v>0</v>
      </c>
      <c r="J10" s="266">
        <f>IF(D10=0,0,HLOOKUP(YEAR(D10)+(MONTH(D10)/100),TC!$5:$37,DAY(D10)+2,FALSE))</f>
        <v>0</v>
      </c>
      <c r="K10" s="265">
        <f t="shared" si="1"/>
        <v>0</v>
      </c>
      <c r="O10" s="228"/>
    </row>
    <row r="11" spans="2:15" ht="23" customHeight="1">
      <c r="B11" s="204" t="s">
        <v>6</v>
      </c>
      <c r="D11" s="264"/>
      <c r="E11" s="204"/>
      <c r="F11" s="204"/>
      <c r="G11" s="265"/>
      <c r="H11" s="266">
        <f>IF(F11=0,0,IF(F11="MXN",1/HLOOKUP(YEAR(D11)+(MONTH(D11)/100),TC!$5:$37,DAY(D11)+2,FALSE),VLOOKUP(F11,Equivalencia!$1:$23,((MAX(Equivalencia!$3:$3)-YEAR(D11))*14)+MONTH(D11)+2,FALSE)))</f>
        <v>0</v>
      </c>
      <c r="I11" s="265">
        <f t="shared" si="0"/>
        <v>0</v>
      </c>
      <c r="J11" s="266">
        <f>IF(D11=0,0,HLOOKUP(YEAR(D11)+(MONTH(D11)/100),TC!$5:$37,DAY(D11)+2,FALSE))</f>
        <v>0</v>
      </c>
      <c r="K11" s="265">
        <f t="shared" si="1"/>
        <v>0</v>
      </c>
    </row>
    <row r="12" spans="2:15" ht="23" customHeight="1">
      <c r="B12" s="204" t="s">
        <v>7</v>
      </c>
      <c r="D12" s="264"/>
      <c r="E12" s="204"/>
      <c r="F12" s="204"/>
      <c r="G12" s="265"/>
      <c r="H12" s="266">
        <f>IF(F12=0,0,IF(F12="MXN",1/HLOOKUP(YEAR(D12)+(MONTH(D12)/100),TC!$5:$37,DAY(D12)+2,FALSE),VLOOKUP(F12,Equivalencia!$1:$23,((MAX(Equivalencia!$3:$3)-YEAR(D12))*14)+MONTH(D12)+2,FALSE)))</f>
        <v>0</v>
      </c>
      <c r="I12" s="265">
        <f t="shared" si="0"/>
        <v>0</v>
      </c>
      <c r="J12" s="266">
        <f>IF(D12=0,0,HLOOKUP(YEAR(D12)+(MONTH(D12)/100),TC!$5:$37,DAY(D12)+2,FALSE))</f>
        <v>0</v>
      </c>
      <c r="K12" s="265">
        <f t="shared" si="1"/>
        <v>0</v>
      </c>
    </row>
    <row r="13" spans="2:15" ht="23" customHeight="1">
      <c r="B13" s="204" t="s">
        <v>8</v>
      </c>
      <c r="D13" s="264"/>
      <c r="E13" s="204"/>
      <c r="F13" s="204"/>
      <c r="G13" s="265"/>
      <c r="H13" s="266">
        <f>IF(F13=0,0,IF(F13="MXN",1/HLOOKUP(YEAR(D13)+(MONTH(D13)/100),TC!$5:$37,DAY(D13)+2,FALSE),VLOOKUP(F13,Equivalencia!$1:$23,((MAX(Equivalencia!$3:$3)-YEAR(D13))*14)+MONTH(D13)+2,FALSE)))</f>
        <v>0</v>
      </c>
      <c r="I13" s="265">
        <f t="shared" si="0"/>
        <v>0</v>
      </c>
      <c r="J13" s="266">
        <f>IF(D13=0,0,HLOOKUP(YEAR(D13)+(MONTH(D13)/100),TC!$5:$37,DAY(D13)+2,FALSE))</f>
        <v>0</v>
      </c>
      <c r="K13" s="265">
        <f t="shared" si="1"/>
        <v>0</v>
      </c>
    </row>
    <row r="14" spans="2:15" ht="23" customHeight="1">
      <c r="B14" s="45"/>
      <c r="C14" s="140"/>
      <c r="D14" s="76"/>
      <c r="E14" s="76"/>
      <c r="F14" s="76"/>
      <c r="G14" s="142"/>
      <c r="H14" s="143"/>
      <c r="I14" s="142"/>
      <c r="J14" s="143"/>
      <c r="K14" s="144"/>
    </row>
    <row r="15" spans="2:15" ht="23" customHeight="1">
      <c r="B15" s="164" t="s">
        <v>385</v>
      </c>
      <c r="C15" s="164"/>
      <c r="D15" s="230"/>
      <c r="E15" s="166"/>
      <c r="F15" s="230"/>
      <c r="G15" s="231">
        <f>SUM(G7:G14)</f>
        <v>0</v>
      </c>
      <c r="H15" s="231"/>
      <c r="I15" s="231">
        <f>SUM(I7:I14)</f>
        <v>0</v>
      </c>
      <c r="J15" s="231"/>
      <c r="K15" s="231">
        <f>SUM(K7:K14)</f>
        <v>0</v>
      </c>
    </row>
    <row r="16" spans="2:15" ht="23" customHeight="1">
      <c r="B16" s="204"/>
      <c r="C16" s="204"/>
      <c r="F16" s="204"/>
      <c r="G16" s="206"/>
    </row>
    <row r="17" spans="2:11" ht="23" customHeight="1">
      <c r="B17" s="204"/>
      <c r="C17" s="204"/>
      <c r="F17" s="204"/>
      <c r="G17" s="206"/>
    </row>
    <row r="18" spans="2:11" ht="30">
      <c r="B18" s="204"/>
      <c r="C18" s="204"/>
      <c r="F18" s="204"/>
      <c r="G18" s="120" t="s">
        <v>391</v>
      </c>
      <c r="H18" s="85"/>
      <c r="I18" s="120" t="s">
        <v>392</v>
      </c>
      <c r="J18" s="268"/>
      <c r="K18" s="120" t="s">
        <v>393</v>
      </c>
    </row>
    <row r="19" spans="2:11" ht="23" customHeight="1">
      <c r="B19" s="204"/>
      <c r="C19" s="204"/>
      <c r="F19" s="204"/>
      <c r="G19" s="188"/>
      <c r="H19" s="1"/>
      <c r="I19" s="137"/>
      <c r="J19" s="136"/>
      <c r="K19" s="137"/>
    </row>
    <row r="20" spans="2:11" ht="23" customHeight="1">
      <c r="B20" s="204"/>
      <c r="C20" s="204"/>
      <c r="E20" s="178" t="s">
        <v>186</v>
      </c>
      <c r="F20" s="179" t="str">
        <f>Cuentas!B6</f>
        <v>AR2XXXX3387-0008</v>
      </c>
      <c r="G20" s="180">
        <f t="shared" ref="G20:G40" si="2">SUMIF($B$7:$B$532,F20,$G$7:$G$532)</f>
        <v>0</v>
      </c>
      <c r="H20" s="181"/>
      <c r="I20" s="180">
        <f t="shared" ref="I20:I40" si="3">SUMIF($B$7:$B$532,F20,$I$7:$I$532)</f>
        <v>0</v>
      </c>
      <c r="J20" s="200"/>
      <c r="K20" s="180">
        <f t="shared" ref="K20:K40" si="4">SUMIF($B$7:$B$532,F20,$K$7:$K$532)</f>
        <v>0</v>
      </c>
    </row>
    <row r="21" spans="2:11" ht="23" customHeight="1">
      <c r="B21" s="204"/>
      <c r="C21" s="204"/>
      <c r="E21" s="178" t="s">
        <v>186</v>
      </c>
      <c r="F21" s="179" t="str">
        <f>Cuentas!B7</f>
        <v>AR2XXXX3387-0003</v>
      </c>
      <c r="G21" s="180">
        <f t="shared" si="2"/>
        <v>0</v>
      </c>
      <c r="H21" s="181"/>
      <c r="I21" s="180">
        <f t="shared" si="3"/>
        <v>0</v>
      </c>
      <c r="J21" s="200"/>
      <c r="K21" s="180">
        <f t="shared" si="4"/>
        <v>0</v>
      </c>
    </row>
    <row r="22" spans="2:11" ht="23" customHeight="1">
      <c r="B22" s="204"/>
      <c r="C22" s="204"/>
      <c r="E22" s="178" t="s">
        <v>186</v>
      </c>
      <c r="F22" s="179" t="str">
        <f>Cuentas!B8</f>
        <v>029-2XXX1-9</v>
      </c>
      <c r="G22" s="180">
        <f t="shared" si="2"/>
        <v>0</v>
      </c>
      <c r="H22" s="181"/>
      <c r="I22" s="180">
        <f t="shared" si="3"/>
        <v>0</v>
      </c>
      <c r="J22" s="200"/>
      <c r="K22" s="180">
        <f t="shared" si="4"/>
        <v>0</v>
      </c>
    </row>
    <row r="23" spans="2:11" ht="23" customHeight="1">
      <c r="B23" s="204"/>
      <c r="C23" s="204"/>
      <c r="E23" s="178" t="s">
        <v>186</v>
      </c>
      <c r="F23" s="179" t="str">
        <f>Cuentas!B9</f>
        <v>029-2XXX2-7</v>
      </c>
      <c r="G23" s="180">
        <f t="shared" si="2"/>
        <v>0</v>
      </c>
      <c r="H23" s="181"/>
      <c r="I23" s="180">
        <f t="shared" si="3"/>
        <v>0</v>
      </c>
      <c r="J23" s="200"/>
      <c r="K23" s="180">
        <f t="shared" si="4"/>
        <v>0</v>
      </c>
    </row>
    <row r="24" spans="2:11" ht="23" customHeight="1">
      <c r="B24" s="204"/>
      <c r="C24" s="204"/>
      <c r="E24" s="178" t="s">
        <v>186</v>
      </c>
      <c r="F24" s="179" t="str">
        <f>Cuentas!B10</f>
        <v>029-2XXX3-5</v>
      </c>
      <c r="G24" s="180">
        <f t="shared" si="2"/>
        <v>0</v>
      </c>
      <c r="H24" s="181"/>
      <c r="I24" s="180">
        <f t="shared" si="3"/>
        <v>0</v>
      </c>
      <c r="J24" s="200"/>
      <c r="K24" s="180">
        <f t="shared" si="4"/>
        <v>0</v>
      </c>
    </row>
    <row r="25" spans="2:11" ht="23" customHeight="1">
      <c r="B25" s="204"/>
      <c r="C25" s="204"/>
      <c r="E25" s="178" t="s">
        <v>186</v>
      </c>
      <c r="F25" s="179" t="str">
        <f>Cuentas!B11</f>
        <v>F</v>
      </c>
      <c r="G25" s="180">
        <f t="shared" si="2"/>
        <v>0</v>
      </c>
      <c r="H25" s="181"/>
      <c r="I25" s="180">
        <f t="shared" si="3"/>
        <v>0</v>
      </c>
      <c r="J25" s="200"/>
      <c r="K25" s="180">
        <f t="shared" si="4"/>
        <v>0</v>
      </c>
    </row>
    <row r="26" spans="2:11" ht="23" customHeight="1">
      <c r="B26" s="204"/>
      <c r="C26" s="204"/>
      <c r="E26" s="178" t="s">
        <v>186</v>
      </c>
      <c r="F26" s="179" t="str">
        <f>Cuentas!B12</f>
        <v>G</v>
      </c>
      <c r="G26" s="180">
        <f t="shared" si="2"/>
        <v>0</v>
      </c>
      <c r="H26" s="181"/>
      <c r="I26" s="180">
        <f t="shared" si="3"/>
        <v>0</v>
      </c>
      <c r="J26" s="200"/>
      <c r="K26" s="180">
        <f t="shared" si="4"/>
        <v>0</v>
      </c>
    </row>
    <row r="27" spans="2:11" ht="23" customHeight="1">
      <c r="B27" s="204"/>
      <c r="C27" s="204"/>
      <c r="E27" s="178" t="s">
        <v>186</v>
      </c>
      <c r="F27" s="179" t="str">
        <f>Cuentas!B13</f>
        <v>H</v>
      </c>
      <c r="G27" s="180">
        <f t="shared" si="2"/>
        <v>0</v>
      </c>
      <c r="H27" s="181"/>
      <c r="I27" s="180">
        <f t="shared" si="3"/>
        <v>0</v>
      </c>
      <c r="J27" s="200"/>
      <c r="K27" s="180">
        <f t="shared" si="4"/>
        <v>0</v>
      </c>
    </row>
    <row r="28" spans="2:11" ht="23" customHeight="1">
      <c r="B28" s="204"/>
      <c r="C28" s="204"/>
      <c r="E28" s="178" t="s">
        <v>186</v>
      </c>
      <c r="F28" s="179" t="str">
        <f>Cuentas!B14</f>
        <v>I</v>
      </c>
      <c r="G28" s="180">
        <f t="shared" si="2"/>
        <v>0</v>
      </c>
      <c r="H28" s="181"/>
      <c r="I28" s="180">
        <f t="shared" si="3"/>
        <v>0</v>
      </c>
      <c r="J28" s="200"/>
      <c r="K28" s="180">
        <f t="shared" si="4"/>
        <v>0</v>
      </c>
    </row>
    <row r="29" spans="2:11" ht="23" customHeight="1">
      <c r="B29" s="204"/>
      <c r="C29" s="204"/>
      <c r="E29" s="178" t="s">
        <v>186</v>
      </c>
      <c r="F29" s="179" t="str">
        <f>Cuentas!B15</f>
        <v>J</v>
      </c>
      <c r="G29" s="180">
        <f t="shared" si="2"/>
        <v>0</v>
      </c>
      <c r="H29" s="181"/>
      <c r="I29" s="180">
        <f t="shared" si="3"/>
        <v>0</v>
      </c>
      <c r="J29" s="200"/>
      <c r="K29" s="180">
        <f t="shared" si="4"/>
        <v>0</v>
      </c>
    </row>
    <row r="30" spans="2:11" ht="23" customHeight="1">
      <c r="B30" s="204"/>
      <c r="C30" s="204"/>
      <c r="E30" s="178" t="s">
        <v>186</v>
      </c>
      <c r="F30" s="179" t="str">
        <f>Cuentas!B16</f>
        <v>K</v>
      </c>
      <c r="G30" s="180">
        <f t="shared" si="2"/>
        <v>0</v>
      </c>
      <c r="H30" s="181"/>
      <c r="I30" s="180">
        <f t="shared" si="3"/>
        <v>0</v>
      </c>
      <c r="J30" s="200"/>
      <c r="K30" s="180">
        <f t="shared" si="4"/>
        <v>0</v>
      </c>
    </row>
    <row r="31" spans="2:11" ht="23" customHeight="1">
      <c r="B31" s="204"/>
      <c r="C31" s="204"/>
      <c r="E31" s="178" t="s">
        <v>186</v>
      </c>
      <c r="F31" s="179" t="str">
        <f>Cuentas!B17</f>
        <v>L</v>
      </c>
      <c r="G31" s="180">
        <f t="shared" si="2"/>
        <v>0</v>
      </c>
      <c r="H31" s="181"/>
      <c r="I31" s="180">
        <f t="shared" si="3"/>
        <v>0</v>
      </c>
      <c r="J31" s="200"/>
      <c r="K31" s="180">
        <f t="shared" si="4"/>
        <v>0</v>
      </c>
    </row>
    <row r="32" spans="2:11" ht="23" customHeight="1">
      <c r="B32" s="204"/>
      <c r="C32" s="204"/>
      <c r="E32" s="178" t="s">
        <v>186</v>
      </c>
      <c r="F32" s="179" t="str">
        <f>Cuentas!B18</f>
        <v>M</v>
      </c>
      <c r="G32" s="180">
        <f t="shared" si="2"/>
        <v>0</v>
      </c>
      <c r="H32" s="181"/>
      <c r="I32" s="180">
        <f t="shared" si="3"/>
        <v>0</v>
      </c>
      <c r="J32" s="200"/>
      <c r="K32" s="180">
        <f t="shared" si="4"/>
        <v>0</v>
      </c>
    </row>
    <row r="33" spans="2:11" ht="23" customHeight="1">
      <c r="B33" s="204"/>
      <c r="C33" s="204"/>
      <c r="E33" s="178" t="s">
        <v>186</v>
      </c>
      <c r="F33" s="179" t="str">
        <f>Cuentas!B19</f>
        <v>N</v>
      </c>
      <c r="G33" s="180">
        <f t="shared" si="2"/>
        <v>0</v>
      </c>
      <c r="H33" s="181"/>
      <c r="I33" s="180">
        <f t="shared" si="3"/>
        <v>0</v>
      </c>
      <c r="J33" s="200"/>
      <c r="K33" s="180">
        <f t="shared" si="4"/>
        <v>0</v>
      </c>
    </row>
    <row r="34" spans="2:11" ht="23" customHeight="1">
      <c r="B34" s="204"/>
      <c r="C34" s="204"/>
      <c r="E34" s="178" t="s">
        <v>186</v>
      </c>
      <c r="F34" s="179" t="str">
        <f>Cuentas!B20</f>
        <v>O</v>
      </c>
      <c r="G34" s="180">
        <f t="shared" si="2"/>
        <v>0</v>
      </c>
      <c r="H34" s="181"/>
      <c r="I34" s="180">
        <f t="shared" si="3"/>
        <v>0</v>
      </c>
      <c r="J34" s="200"/>
      <c r="K34" s="180">
        <f t="shared" si="4"/>
        <v>0</v>
      </c>
    </row>
    <row r="35" spans="2:11" ht="23" customHeight="1">
      <c r="B35" s="204"/>
      <c r="C35" s="204"/>
      <c r="E35" s="178" t="s">
        <v>186</v>
      </c>
      <c r="F35" s="179" t="str">
        <f>Cuentas!B21</f>
        <v>P</v>
      </c>
      <c r="G35" s="180">
        <f t="shared" si="2"/>
        <v>0</v>
      </c>
      <c r="H35" s="181"/>
      <c r="I35" s="180">
        <f t="shared" si="3"/>
        <v>0</v>
      </c>
      <c r="J35" s="200"/>
      <c r="K35" s="180">
        <f t="shared" si="4"/>
        <v>0</v>
      </c>
    </row>
    <row r="36" spans="2:11" ht="23" customHeight="1">
      <c r="B36" s="204"/>
      <c r="C36" s="204"/>
      <c r="E36" s="178" t="s">
        <v>186</v>
      </c>
      <c r="F36" s="179" t="str">
        <f>Cuentas!B22</f>
        <v>Q</v>
      </c>
      <c r="G36" s="180">
        <f t="shared" si="2"/>
        <v>0</v>
      </c>
      <c r="H36" s="181"/>
      <c r="I36" s="180">
        <f t="shared" si="3"/>
        <v>0</v>
      </c>
      <c r="J36" s="200"/>
      <c r="K36" s="180">
        <f t="shared" si="4"/>
        <v>0</v>
      </c>
    </row>
    <row r="37" spans="2:11" ht="23" customHeight="1">
      <c r="B37" s="204"/>
      <c r="C37" s="204"/>
      <c r="E37" s="178" t="s">
        <v>186</v>
      </c>
      <c r="F37" s="179" t="str">
        <f>Cuentas!B23</f>
        <v>R</v>
      </c>
      <c r="G37" s="180">
        <f t="shared" si="2"/>
        <v>0</v>
      </c>
      <c r="H37" s="181"/>
      <c r="I37" s="180">
        <f t="shared" si="3"/>
        <v>0</v>
      </c>
      <c r="J37" s="200"/>
      <c r="K37" s="180">
        <f t="shared" si="4"/>
        <v>0</v>
      </c>
    </row>
    <row r="38" spans="2:11" ht="23" customHeight="1">
      <c r="B38" s="204"/>
      <c r="C38" s="204"/>
      <c r="E38" s="178" t="s">
        <v>186</v>
      </c>
      <c r="F38" s="179" t="str">
        <f>Cuentas!B24</f>
        <v>S</v>
      </c>
      <c r="G38" s="180">
        <f t="shared" si="2"/>
        <v>0</v>
      </c>
      <c r="H38" s="181"/>
      <c r="I38" s="180">
        <f t="shared" si="3"/>
        <v>0</v>
      </c>
      <c r="J38" s="200"/>
      <c r="K38" s="180">
        <f t="shared" si="4"/>
        <v>0</v>
      </c>
    </row>
    <row r="39" spans="2:11" ht="23" customHeight="1">
      <c r="B39" s="204"/>
      <c r="C39" s="204"/>
      <c r="E39" s="178" t="s">
        <v>186</v>
      </c>
      <c r="F39" s="179" t="str">
        <f>Cuentas!B25</f>
        <v>T</v>
      </c>
      <c r="G39" s="180">
        <f t="shared" si="2"/>
        <v>0</v>
      </c>
      <c r="H39" s="181"/>
      <c r="I39" s="180">
        <f t="shared" si="3"/>
        <v>0</v>
      </c>
      <c r="J39" s="200"/>
      <c r="K39" s="180">
        <f t="shared" si="4"/>
        <v>0</v>
      </c>
    </row>
    <row r="40" spans="2:11" ht="23" customHeight="1">
      <c r="B40" s="204"/>
      <c r="C40" s="204"/>
      <c r="E40" s="178" t="s">
        <v>186</v>
      </c>
      <c r="F40" s="179" t="str">
        <f>Cuentas!B26</f>
        <v>U</v>
      </c>
      <c r="G40" s="180">
        <f t="shared" si="2"/>
        <v>0</v>
      </c>
      <c r="H40" s="181"/>
      <c r="I40" s="180">
        <f t="shared" si="3"/>
        <v>0</v>
      </c>
      <c r="J40" s="200"/>
      <c r="K40" s="180">
        <f t="shared" si="4"/>
        <v>0</v>
      </c>
    </row>
    <row r="41" spans="2:11" ht="23" customHeight="1">
      <c r="B41" s="204"/>
      <c r="C41" s="204"/>
      <c r="G41" s="41"/>
      <c r="H41" s="1"/>
      <c r="I41" s="148"/>
      <c r="J41" s="1"/>
      <c r="K41" s="148"/>
    </row>
    <row r="42" spans="2:11" ht="23" customHeight="1">
      <c r="B42" s="204"/>
      <c r="C42" s="204"/>
      <c r="E42" s="184"/>
      <c r="F42" s="119" t="s">
        <v>386</v>
      </c>
      <c r="G42" s="232">
        <f>SUM(G20:G41)</f>
        <v>0</v>
      </c>
      <c r="H42" s="184"/>
      <c r="I42" s="232">
        <f>SUM(I20:I41)</f>
        <v>0</v>
      </c>
      <c r="J42" s="233"/>
      <c r="K42" s="232">
        <f>SUM(K20:K41)</f>
        <v>0</v>
      </c>
    </row>
    <row r="45" spans="2:11" ht="23" customHeight="1">
      <c r="B45" s="212" t="s">
        <v>12</v>
      </c>
      <c r="C45" s="212"/>
    </row>
  </sheetData>
  <sheetProtection algorithmName="SHA-512" hashValue="BPGf+Bs/Gs4Qz6zAZwovepuVOj20l6XMTbzDBrK1oPivjTkjh4xj/0ADuCRS5/M92JcimzUIcd8gtpIXtC38pA==" saltValue="kMMnEp8g/1j4FPEHa5RB+w==" spinCount="100000" sheet="1" formatCells="0" formatColumns="0" formatRows="0" insertColumns="0" insertRows="0" deleteColumns="0" deleteRows="0" autoFilter="0"/>
  <autoFilter ref="B6:K13" xr:uid="{FFE3F4DA-9EA1-F349-8F05-0672556F7453}"/>
  <mergeCells count="2">
    <mergeCell ref="B2:K2"/>
    <mergeCell ref="B3:K3"/>
  </mergeCells>
  <phoneticPr fontId="8" type="noConversion"/>
  <dataValidations disablePrompts="1" count="1">
    <dataValidation type="list" allowBlank="1" showInputMessage="1" showErrorMessage="1" promptTitle="Selecciona una opción:" prompt="Agrega un concepto en las celdas sombreadas en verde de la columna &quot;r&quot;._x000a_" sqref="C8:C13" xr:uid="{00000000-0002-0000-0D00-000001000000}">
      <formula1>Private_Equity</formula1>
    </dataValidation>
  </dataValidations>
  <printOptions horizontalCentered="1"/>
  <pageMargins left="0.7" right="0.7" top="0.75" bottom="0.75" header="0.3" footer="0.3"/>
  <pageSetup scale="48" fitToHeight="5"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promptTitle="OJO:" prompt="Selecciona una moneda" xr:uid="{DE47DA7A-1BB1-C249-849C-DAC79CDD72F5}">
          <x14:formula1>
            <xm:f>Equivalencia!$A$4:$A$23</xm:f>
          </x14:formula1>
          <xm:sqref>F8:F13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FF7C8-CF20-814B-8782-292AA34A3217}">
  <sheetPr>
    <pageSetUpPr fitToPage="1"/>
  </sheetPr>
  <dimension ref="B2:O45"/>
  <sheetViews>
    <sheetView view="pageBreakPreview" zoomScaleNormal="90" zoomScaleSheetLayoutView="100" workbookViewId="0">
      <pane ySplit="6" topLeftCell="A7" activePane="bottomLeft" state="frozen"/>
      <selection pane="bottomLeft" activeCell="C5" sqref="C5"/>
    </sheetView>
  </sheetViews>
  <sheetFormatPr baseColWidth="10" defaultColWidth="10.83203125" defaultRowHeight="23" customHeight="1"/>
  <cols>
    <col min="1" max="1" width="10.83203125" style="134"/>
    <col min="2" max="3" width="27.83203125" style="134" customWidth="1"/>
    <col min="4" max="4" width="16.83203125" style="134" customWidth="1"/>
    <col min="5" max="5" width="52.33203125" style="134" customWidth="1"/>
    <col min="6" max="6" width="21.1640625" style="134" customWidth="1"/>
    <col min="7" max="7" width="21.6640625" style="134" customWidth="1"/>
    <col min="8" max="8" width="20.83203125" style="134" customWidth="1"/>
    <col min="9" max="9" width="20" style="134" customWidth="1"/>
    <col min="10" max="10" width="20.83203125" style="134" customWidth="1"/>
    <col min="11" max="11" width="20" style="134" customWidth="1"/>
    <col min="12" max="14" width="10.83203125" style="134"/>
    <col min="15" max="15" width="41.6640625" style="134" customWidth="1"/>
    <col min="16" max="16384" width="10.83203125" style="134"/>
  </cols>
  <sheetData>
    <row r="2" spans="2:15" ht="45" customHeight="1">
      <c r="B2" s="774" t="s">
        <v>655</v>
      </c>
      <c r="C2" s="774"/>
      <c r="D2" s="774"/>
      <c r="E2" s="774"/>
      <c r="F2" s="774"/>
      <c r="G2" s="774"/>
      <c r="H2" s="774"/>
      <c r="I2" s="774"/>
      <c r="J2" s="774"/>
      <c r="K2" s="774"/>
      <c r="O2" s="557" t="s">
        <v>661</v>
      </c>
    </row>
    <row r="3" spans="2:15" ht="23" customHeight="1">
      <c r="B3" s="773" t="s">
        <v>653</v>
      </c>
      <c r="C3" s="773"/>
      <c r="D3" s="773"/>
      <c r="E3" s="773"/>
      <c r="F3" s="773"/>
      <c r="G3" s="773"/>
      <c r="H3" s="773"/>
      <c r="I3" s="773"/>
      <c r="J3" s="773"/>
      <c r="K3" s="773"/>
      <c r="O3" s="263" t="s">
        <v>63</v>
      </c>
    </row>
    <row r="4" spans="2:15" ht="14" customHeight="1">
      <c r="B4" s="24" t="s">
        <v>443</v>
      </c>
      <c r="C4" s="24" t="s">
        <v>673</v>
      </c>
      <c r="D4" s="24"/>
      <c r="E4" s="24"/>
      <c r="F4" s="24"/>
      <c r="G4" s="24"/>
      <c r="H4" s="24"/>
      <c r="I4" s="24"/>
      <c r="J4" s="24"/>
      <c r="K4" s="24"/>
      <c r="O4" s="280" t="s">
        <v>659</v>
      </c>
    </row>
    <row r="5" spans="2:15" ht="23" customHeight="1">
      <c r="B5" s="269"/>
      <c r="C5" s="269"/>
      <c r="D5" s="270"/>
      <c r="E5" s="270"/>
      <c r="F5" s="269"/>
      <c r="G5" s="270"/>
      <c r="H5" s="270"/>
      <c r="I5" s="216"/>
      <c r="J5" s="216"/>
      <c r="K5" s="216"/>
      <c r="O5" s="280" t="s">
        <v>660</v>
      </c>
    </row>
    <row r="6" spans="2:15" ht="30">
      <c r="B6" s="267" t="s">
        <v>178</v>
      </c>
      <c r="C6" s="29" t="s">
        <v>405</v>
      </c>
      <c r="D6" s="29" t="s">
        <v>54</v>
      </c>
      <c r="E6" s="29" t="s">
        <v>226</v>
      </c>
      <c r="F6" s="29" t="s">
        <v>208</v>
      </c>
      <c r="G6" s="29" t="s">
        <v>387</v>
      </c>
      <c r="H6" s="29" t="s">
        <v>56</v>
      </c>
      <c r="I6" s="29" t="s">
        <v>395</v>
      </c>
      <c r="J6" s="120" t="s">
        <v>361</v>
      </c>
      <c r="K6" s="29" t="s">
        <v>399</v>
      </c>
      <c r="O6" s="228"/>
    </row>
    <row r="7" spans="2:15" ht="23" customHeight="1">
      <c r="B7" s="76"/>
      <c r="C7" s="140"/>
      <c r="D7" s="145"/>
      <c r="E7" s="140"/>
      <c r="F7" s="76"/>
      <c r="G7" s="141"/>
      <c r="H7" s="143"/>
      <c r="O7" s="228"/>
    </row>
    <row r="8" spans="2:15" ht="23" customHeight="1">
      <c r="B8" s="274" t="s">
        <v>3</v>
      </c>
      <c r="C8" s="274"/>
      <c r="D8" s="275"/>
      <c r="E8" s="274"/>
      <c r="F8" s="274"/>
      <c r="G8" s="276"/>
      <c r="H8" s="277">
        <f>IF(F8=0,0,IF(F8="MXN",1/HLOOKUP(YEAR(D8)+(MONTH(D8)/100),TC!$5:$37,DAY(D8)+2,FALSE),VLOOKUP(F8,Equivalencia!$1:$23,((MAX(Equivalencia!$3:$3)-YEAR(D8))*14)+MONTH(D8)+2,FALSE)))</f>
        <v>0</v>
      </c>
      <c r="I8" s="278">
        <f>+G8*H8</f>
        <v>0</v>
      </c>
      <c r="J8" s="277">
        <f>+IF(D8=0,0,HLOOKUP(YEAR(D8)+(MONTH(D8)/100),TC!$5:$37,DAY(D8)+2,FALSE))</f>
        <v>0</v>
      </c>
      <c r="K8" s="278">
        <f>+I8*J8</f>
        <v>0</v>
      </c>
      <c r="O8" s="228"/>
    </row>
    <row r="9" spans="2:15" ht="23" customHeight="1">
      <c r="B9" s="274" t="s">
        <v>4</v>
      </c>
      <c r="C9" s="274"/>
      <c r="D9" s="275"/>
      <c r="E9" s="274"/>
      <c r="F9" s="274"/>
      <c r="G9" s="276"/>
      <c r="H9" s="277">
        <f>IF(F9=0,0,IF(F9="MXN",1/HLOOKUP(YEAR(D9)+(MONTH(D9)/100),TC!$5:$37,DAY(D9)+2,FALSE),VLOOKUP(F9,Equivalencia!$1:$23,((MAX(Equivalencia!$3:$3)-YEAR(D9))*14)+MONTH(D9)+2,FALSE)))</f>
        <v>0</v>
      </c>
      <c r="I9" s="278">
        <f t="shared" ref="I9:I13" si="0">+G9*H9</f>
        <v>0</v>
      </c>
      <c r="J9" s="277">
        <f>+IF(D9=0,0,HLOOKUP(YEAR(D9)+(MONTH(D9)/100),TC!$5:$37,DAY(D9)+2,FALSE))</f>
        <v>0</v>
      </c>
      <c r="K9" s="278">
        <f>+I9*J9</f>
        <v>0</v>
      </c>
      <c r="O9" s="228"/>
    </row>
    <row r="10" spans="2:15" ht="23" customHeight="1">
      <c r="B10" s="274" t="s">
        <v>5</v>
      </c>
      <c r="C10" s="274"/>
      <c r="D10" s="275"/>
      <c r="E10" s="274"/>
      <c r="F10" s="274"/>
      <c r="G10" s="276"/>
      <c r="H10" s="277">
        <f>IF(F10=0,0,IF(F10="MXN",1/HLOOKUP(YEAR(D10)+(MONTH(D10)/100),TC!$5:$37,DAY(D10)+2,FALSE),VLOOKUP(F10,Equivalencia!$1:$23,((MAX(Equivalencia!$3:$3)-YEAR(D10))*14)+MONTH(D10)+2,FALSE)))</f>
        <v>0</v>
      </c>
      <c r="I10" s="278">
        <f t="shared" si="0"/>
        <v>0</v>
      </c>
      <c r="J10" s="277">
        <f>+IF(D10=0,0,HLOOKUP(YEAR(D10)+(MONTH(D10)/100),TC!$5:$37,DAY(D10)+2,FALSE))</f>
        <v>0</v>
      </c>
      <c r="K10" s="278">
        <f t="shared" ref="K10:K13" si="1">+I10*J10</f>
        <v>0</v>
      </c>
      <c r="O10" s="228"/>
    </row>
    <row r="11" spans="2:15" ht="23" customHeight="1">
      <c r="B11" s="274" t="s">
        <v>6</v>
      </c>
      <c r="C11" s="274"/>
      <c r="D11" s="275"/>
      <c r="E11" s="274"/>
      <c r="F11" s="274"/>
      <c r="G11" s="276"/>
      <c r="H11" s="277">
        <f>IF(F11=0,0,IF(F11="MXN",1/HLOOKUP(YEAR(D11)+(MONTH(D11)/100),TC!$5:$37,DAY(D11)+2,FALSE),VLOOKUP(F11,Equivalencia!$1:$23,((MAX(Equivalencia!$3:$3)-YEAR(D11))*14)+MONTH(D11)+2,FALSE)))</f>
        <v>0</v>
      </c>
      <c r="I11" s="278">
        <f t="shared" si="0"/>
        <v>0</v>
      </c>
      <c r="J11" s="277">
        <f>+IF(D11=0,0,HLOOKUP(YEAR(D11)+(MONTH(D11)/100),TC!$5:$37,DAY(D11)+2,FALSE))</f>
        <v>0</v>
      </c>
      <c r="K11" s="278">
        <f t="shared" si="1"/>
        <v>0</v>
      </c>
      <c r="O11" s="228"/>
    </row>
    <row r="12" spans="2:15" ht="23" customHeight="1">
      <c r="B12" s="274" t="s">
        <v>7</v>
      </c>
      <c r="C12" s="274"/>
      <c r="D12" s="275"/>
      <c r="E12" s="274"/>
      <c r="F12" s="274"/>
      <c r="G12" s="276"/>
      <c r="H12" s="277">
        <f>IF(F12=0,0,IF(F12="MXN",1/HLOOKUP(YEAR(D12)+(MONTH(D12)/100),TC!$5:$37,DAY(D12)+2,FALSE),VLOOKUP(F12,Equivalencia!$1:$23,((MAX(Equivalencia!$3:$3)-YEAR(D12))*14)+MONTH(D12)+2,FALSE)))</f>
        <v>0</v>
      </c>
      <c r="I12" s="278">
        <f t="shared" si="0"/>
        <v>0</v>
      </c>
      <c r="J12" s="277">
        <f>+IF(D12=0,0,HLOOKUP(YEAR(D12)+(MONTH(D12)/100),TC!$5:$37,DAY(D12)+2,FALSE))</f>
        <v>0</v>
      </c>
      <c r="K12" s="278">
        <f t="shared" si="1"/>
        <v>0</v>
      </c>
    </row>
    <row r="13" spans="2:15" ht="23" customHeight="1">
      <c r="B13" s="274" t="s">
        <v>8</v>
      </c>
      <c r="C13" s="274"/>
      <c r="D13" s="275"/>
      <c r="E13" s="274"/>
      <c r="F13" s="274"/>
      <c r="G13" s="276"/>
      <c r="H13" s="277">
        <f>IF(F13=0,0,IF(F13="MXN",1/HLOOKUP(YEAR(D13)+(MONTH(D13)/100),TC!$5:$37,DAY(D13)+2,FALSE),VLOOKUP(F13,Equivalencia!$1:$23,((MAX(Equivalencia!$3:$3)-YEAR(D13))*14)+MONTH(D13)+2,FALSE)))</f>
        <v>0</v>
      </c>
      <c r="I13" s="278">
        <f t="shared" si="0"/>
        <v>0</v>
      </c>
      <c r="J13" s="277">
        <f>+IF(D13=0,0,HLOOKUP(YEAR(D13)+(MONTH(D13)/100),TC!$5:$37,DAY(D13)+2,FALSE))</f>
        <v>0</v>
      </c>
      <c r="K13" s="278">
        <f t="shared" si="1"/>
        <v>0</v>
      </c>
    </row>
    <row r="14" spans="2:15" ht="23" customHeight="1">
      <c r="B14" s="45"/>
      <c r="C14" s="140"/>
      <c r="D14" s="76"/>
      <c r="E14" s="76"/>
      <c r="F14" s="76"/>
      <c r="G14" s="142"/>
      <c r="H14" s="143"/>
      <c r="I14" s="271"/>
    </row>
    <row r="15" spans="2:15" ht="23" customHeight="1">
      <c r="B15" s="164" t="s">
        <v>400</v>
      </c>
      <c r="C15" s="231"/>
      <c r="D15" s="230"/>
      <c r="E15" s="166"/>
      <c r="F15" s="230"/>
      <c r="G15" s="231">
        <f>SUM(G7:G14)</f>
        <v>0</v>
      </c>
      <c r="H15" s="231"/>
      <c r="I15" s="231">
        <f>SUM(I7:I14)</f>
        <v>0</v>
      </c>
      <c r="J15" s="279"/>
      <c r="K15" s="231">
        <f>SUM(K7:K14)</f>
        <v>0</v>
      </c>
    </row>
    <row r="16" spans="2:15" ht="23" customHeight="1">
      <c r="B16" s="204"/>
      <c r="C16" s="204"/>
      <c r="F16" s="204"/>
      <c r="G16" s="206"/>
    </row>
    <row r="17" spans="2:11" ht="23" customHeight="1">
      <c r="B17" s="204"/>
      <c r="C17" s="204"/>
      <c r="F17" s="204"/>
      <c r="G17" s="206"/>
    </row>
    <row r="18" spans="2:11" ht="30">
      <c r="B18" s="204"/>
      <c r="C18" s="204"/>
      <c r="F18" s="204"/>
      <c r="G18" s="273" t="s">
        <v>396</v>
      </c>
      <c r="H18" s="85"/>
      <c r="I18" s="120" t="s">
        <v>397</v>
      </c>
      <c r="J18" s="85"/>
      <c r="K18" s="120" t="s">
        <v>398</v>
      </c>
    </row>
    <row r="19" spans="2:11" ht="23" customHeight="1">
      <c r="B19" s="204"/>
      <c r="C19" s="204"/>
      <c r="F19" s="204"/>
      <c r="G19" s="272"/>
      <c r="H19" s="1"/>
      <c r="I19" s="137"/>
      <c r="J19" s="1"/>
      <c r="K19" s="137"/>
    </row>
    <row r="20" spans="2:11" ht="23" customHeight="1">
      <c r="B20" s="204"/>
      <c r="C20" s="204"/>
      <c r="E20" s="178" t="s">
        <v>401</v>
      </c>
      <c r="F20" s="179" t="str">
        <f>Cuentas!B6</f>
        <v>AR2XXXX3387-0008</v>
      </c>
      <c r="G20" s="180">
        <f t="shared" ref="G20:G40" si="2">SUMIF($B$7:$B$532,F20,$G$7:$G$532)</f>
        <v>0</v>
      </c>
      <c r="H20" s="181"/>
      <c r="I20" s="180">
        <f t="shared" ref="I20:I40" si="3">SUMIF($B$7:$B$532,F20,$I$7:$I$532)</f>
        <v>0</v>
      </c>
      <c r="J20" s="200"/>
      <c r="K20" s="180">
        <f t="shared" ref="K20:K40" si="4">SUMIF($B$7:$B$532,F20,$K$7:$K$532)</f>
        <v>0</v>
      </c>
    </row>
    <row r="21" spans="2:11" ht="23" customHeight="1">
      <c r="B21" s="204"/>
      <c r="C21" s="204"/>
      <c r="E21" s="178" t="s">
        <v>401</v>
      </c>
      <c r="F21" s="179" t="str">
        <f>Cuentas!B7</f>
        <v>AR2XXXX3387-0003</v>
      </c>
      <c r="G21" s="180">
        <f t="shared" si="2"/>
        <v>0</v>
      </c>
      <c r="H21" s="181"/>
      <c r="I21" s="180">
        <f t="shared" si="3"/>
        <v>0</v>
      </c>
      <c r="J21" s="200"/>
      <c r="K21" s="180">
        <f t="shared" si="4"/>
        <v>0</v>
      </c>
    </row>
    <row r="22" spans="2:11" ht="23" customHeight="1">
      <c r="B22" s="204"/>
      <c r="C22" s="204"/>
      <c r="E22" s="178" t="s">
        <v>401</v>
      </c>
      <c r="F22" s="179" t="str">
        <f>Cuentas!B8</f>
        <v>029-2XXX1-9</v>
      </c>
      <c r="G22" s="180">
        <f t="shared" si="2"/>
        <v>0</v>
      </c>
      <c r="H22" s="181"/>
      <c r="I22" s="180">
        <f t="shared" si="3"/>
        <v>0</v>
      </c>
      <c r="J22" s="200"/>
      <c r="K22" s="180">
        <f t="shared" si="4"/>
        <v>0</v>
      </c>
    </row>
    <row r="23" spans="2:11" ht="23" customHeight="1">
      <c r="B23" s="204"/>
      <c r="C23" s="204"/>
      <c r="E23" s="178" t="s">
        <v>401</v>
      </c>
      <c r="F23" s="179" t="str">
        <f>Cuentas!B9</f>
        <v>029-2XXX2-7</v>
      </c>
      <c r="G23" s="180">
        <f t="shared" si="2"/>
        <v>0</v>
      </c>
      <c r="H23" s="181"/>
      <c r="I23" s="180">
        <f t="shared" si="3"/>
        <v>0</v>
      </c>
      <c r="J23" s="200"/>
      <c r="K23" s="180">
        <f t="shared" si="4"/>
        <v>0</v>
      </c>
    </row>
    <row r="24" spans="2:11" ht="23" customHeight="1">
      <c r="B24" s="204"/>
      <c r="C24" s="204"/>
      <c r="E24" s="178" t="s">
        <v>401</v>
      </c>
      <c r="F24" s="179" t="str">
        <f>Cuentas!B10</f>
        <v>029-2XXX3-5</v>
      </c>
      <c r="G24" s="180">
        <f t="shared" si="2"/>
        <v>0</v>
      </c>
      <c r="H24" s="181"/>
      <c r="I24" s="180">
        <f t="shared" si="3"/>
        <v>0</v>
      </c>
      <c r="J24" s="200"/>
      <c r="K24" s="180">
        <f t="shared" si="4"/>
        <v>0</v>
      </c>
    </row>
    <row r="25" spans="2:11" ht="23" customHeight="1">
      <c r="B25" s="204"/>
      <c r="C25" s="204"/>
      <c r="E25" s="178" t="s">
        <v>401</v>
      </c>
      <c r="F25" s="179" t="str">
        <f>Cuentas!B11</f>
        <v>F</v>
      </c>
      <c r="G25" s="180">
        <f t="shared" si="2"/>
        <v>0</v>
      </c>
      <c r="H25" s="181"/>
      <c r="I25" s="180">
        <f t="shared" si="3"/>
        <v>0</v>
      </c>
      <c r="J25" s="200"/>
      <c r="K25" s="180">
        <f t="shared" si="4"/>
        <v>0</v>
      </c>
    </row>
    <row r="26" spans="2:11" ht="23" customHeight="1">
      <c r="B26" s="204"/>
      <c r="C26" s="204"/>
      <c r="E26" s="178" t="s">
        <v>401</v>
      </c>
      <c r="F26" s="179" t="str">
        <f>Cuentas!B12</f>
        <v>G</v>
      </c>
      <c r="G26" s="180">
        <f t="shared" si="2"/>
        <v>0</v>
      </c>
      <c r="H26" s="181"/>
      <c r="I26" s="180">
        <f t="shared" si="3"/>
        <v>0</v>
      </c>
      <c r="J26" s="200"/>
      <c r="K26" s="180">
        <f t="shared" si="4"/>
        <v>0</v>
      </c>
    </row>
    <row r="27" spans="2:11" ht="23" customHeight="1">
      <c r="B27" s="204"/>
      <c r="C27" s="204"/>
      <c r="E27" s="178" t="s">
        <v>401</v>
      </c>
      <c r="F27" s="179" t="str">
        <f>Cuentas!B13</f>
        <v>H</v>
      </c>
      <c r="G27" s="180">
        <f t="shared" si="2"/>
        <v>0</v>
      </c>
      <c r="H27" s="181"/>
      <c r="I27" s="180">
        <f t="shared" si="3"/>
        <v>0</v>
      </c>
      <c r="J27" s="200"/>
      <c r="K27" s="180">
        <f t="shared" si="4"/>
        <v>0</v>
      </c>
    </row>
    <row r="28" spans="2:11" ht="23" customHeight="1">
      <c r="B28" s="204"/>
      <c r="C28" s="204"/>
      <c r="E28" s="178" t="s">
        <v>401</v>
      </c>
      <c r="F28" s="179" t="str">
        <f>Cuentas!B14</f>
        <v>I</v>
      </c>
      <c r="G28" s="180">
        <f t="shared" si="2"/>
        <v>0</v>
      </c>
      <c r="H28" s="181"/>
      <c r="I28" s="180">
        <f t="shared" si="3"/>
        <v>0</v>
      </c>
      <c r="J28" s="200"/>
      <c r="K28" s="180">
        <f t="shared" si="4"/>
        <v>0</v>
      </c>
    </row>
    <row r="29" spans="2:11" ht="23" customHeight="1">
      <c r="B29" s="204"/>
      <c r="C29" s="204"/>
      <c r="E29" s="178" t="s">
        <v>401</v>
      </c>
      <c r="F29" s="179" t="str">
        <f>Cuentas!B15</f>
        <v>J</v>
      </c>
      <c r="G29" s="180">
        <f t="shared" si="2"/>
        <v>0</v>
      </c>
      <c r="H29" s="181"/>
      <c r="I29" s="180">
        <f t="shared" si="3"/>
        <v>0</v>
      </c>
      <c r="J29" s="200"/>
      <c r="K29" s="180">
        <f t="shared" si="4"/>
        <v>0</v>
      </c>
    </row>
    <row r="30" spans="2:11" ht="23" customHeight="1">
      <c r="B30" s="204"/>
      <c r="C30" s="204"/>
      <c r="E30" s="178" t="s">
        <v>401</v>
      </c>
      <c r="F30" s="179" t="str">
        <f>Cuentas!B16</f>
        <v>K</v>
      </c>
      <c r="G30" s="180">
        <f t="shared" si="2"/>
        <v>0</v>
      </c>
      <c r="H30" s="181"/>
      <c r="I30" s="180">
        <f t="shared" si="3"/>
        <v>0</v>
      </c>
      <c r="J30" s="200"/>
      <c r="K30" s="180">
        <f t="shared" si="4"/>
        <v>0</v>
      </c>
    </row>
    <row r="31" spans="2:11" ht="23" customHeight="1">
      <c r="B31" s="204"/>
      <c r="C31" s="204"/>
      <c r="E31" s="178" t="s">
        <v>401</v>
      </c>
      <c r="F31" s="179" t="str">
        <f>Cuentas!B17</f>
        <v>L</v>
      </c>
      <c r="G31" s="180">
        <f t="shared" si="2"/>
        <v>0</v>
      </c>
      <c r="H31" s="181"/>
      <c r="I31" s="180">
        <f t="shared" si="3"/>
        <v>0</v>
      </c>
      <c r="J31" s="200"/>
      <c r="K31" s="180">
        <f t="shared" si="4"/>
        <v>0</v>
      </c>
    </row>
    <row r="32" spans="2:11" ht="23" customHeight="1">
      <c r="B32" s="204"/>
      <c r="C32" s="204"/>
      <c r="E32" s="178" t="s">
        <v>401</v>
      </c>
      <c r="F32" s="179" t="str">
        <f>Cuentas!B18</f>
        <v>M</v>
      </c>
      <c r="G32" s="180">
        <f t="shared" si="2"/>
        <v>0</v>
      </c>
      <c r="H32" s="181"/>
      <c r="I32" s="180">
        <f t="shared" si="3"/>
        <v>0</v>
      </c>
      <c r="J32" s="200"/>
      <c r="K32" s="180">
        <f t="shared" si="4"/>
        <v>0</v>
      </c>
    </row>
    <row r="33" spans="2:11" ht="23" customHeight="1">
      <c r="B33" s="204"/>
      <c r="C33" s="204"/>
      <c r="E33" s="178" t="s">
        <v>401</v>
      </c>
      <c r="F33" s="179" t="str">
        <f>Cuentas!B19</f>
        <v>N</v>
      </c>
      <c r="G33" s="180">
        <f t="shared" si="2"/>
        <v>0</v>
      </c>
      <c r="H33" s="181"/>
      <c r="I33" s="180">
        <f t="shared" si="3"/>
        <v>0</v>
      </c>
      <c r="J33" s="200"/>
      <c r="K33" s="180">
        <f t="shared" si="4"/>
        <v>0</v>
      </c>
    </row>
    <row r="34" spans="2:11" ht="23" customHeight="1">
      <c r="B34" s="204"/>
      <c r="C34" s="204"/>
      <c r="E34" s="178" t="s">
        <v>401</v>
      </c>
      <c r="F34" s="179" t="str">
        <f>Cuentas!B20</f>
        <v>O</v>
      </c>
      <c r="G34" s="180">
        <f t="shared" si="2"/>
        <v>0</v>
      </c>
      <c r="H34" s="181"/>
      <c r="I34" s="180">
        <f t="shared" si="3"/>
        <v>0</v>
      </c>
      <c r="J34" s="200"/>
      <c r="K34" s="180">
        <f t="shared" si="4"/>
        <v>0</v>
      </c>
    </row>
    <row r="35" spans="2:11" ht="23" customHeight="1">
      <c r="B35" s="204"/>
      <c r="C35" s="204"/>
      <c r="E35" s="178" t="s">
        <v>401</v>
      </c>
      <c r="F35" s="179" t="str">
        <f>Cuentas!B21</f>
        <v>P</v>
      </c>
      <c r="G35" s="180">
        <f t="shared" si="2"/>
        <v>0</v>
      </c>
      <c r="H35" s="181"/>
      <c r="I35" s="180">
        <f t="shared" si="3"/>
        <v>0</v>
      </c>
      <c r="J35" s="200"/>
      <c r="K35" s="180">
        <f t="shared" si="4"/>
        <v>0</v>
      </c>
    </row>
    <row r="36" spans="2:11" ht="23" customHeight="1">
      <c r="B36" s="204"/>
      <c r="C36" s="204"/>
      <c r="E36" s="178" t="s">
        <v>401</v>
      </c>
      <c r="F36" s="179" t="str">
        <f>Cuentas!B22</f>
        <v>Q</v>
      </c>
      <c r="G36" s="180">
        <f t="shared" si="2"/>
        <v>0</v>
      </c>
      <c r="H36" s="181"/>
      <c r="I36" s="180">
        <f t="shared" si="3"/>
        <v>0</v>
      </c>
      <c r="J36" s="200"/>
      <c r="K36" s="180">
        <f t="shared" si="4"/>
        <v>0</v>
      </c>
    </row>
    <row r="37" spans="2:11" ht="23" customHeight="1">
      <c r="B37" s="204"/>
      <c r="C37" s="204"/>
      <c r="E37" s="178" t="s">
        <v>401</v>
      </c>
      <c r="F37" s="179" t="str">
        <f>Cuentas!B23</f>
        <v>R</v>
      </c>
      <c r="G37" s="180">
        <f t="shared" si="2"/>
        <v>0</v>
      </c>
      <c r="H37" s="181"/>
      <c r="I37" s="180">
        <f t="shared" si="3"/>
        <v>0</v>
      </c>
      <c r="J37" s="200"/>
      <c r="K37" s="180">
        <f t="shared" si="4"/>
        <v>0</v>
      </c>
    </row>
    <row r="38" spans="2:11" ht="23" customHeight="1">
      <c r="B38" s="204"/>
      <c r="C38" s="204"/>
      <c r="E38" s="178" t="s">
        <v>401</v>
      </c>
      <c r="F38" s="179" t="str">
        <f>Cuentas!B24</f>
        <v>S</v>
      </c>
      <c r="G38" s="180">
        <f t="shared" si="2"/>
        <v>0</v>
      </c>
      <c r="H38" s="181"/>
      <c r="I38" s="180">
        <f t="shared" si="3"/>
        <v>0</v>
      </c>
      <c r="J38" s="200"/>
      <c r="K38" s="180">
        <f t="shared" si="4"/>
        <v>0</v>
      </c>
    </row>
    <row r="39" spans="2:11" ht="23" customHeight="1">
      <c r="B39" s="204"/>
      <c r="C39" s="204"/>
      <c r="E39" s="178" t="s">
        <v>401</v>
      </c>
      <c r="F39" s="179" t="str">
        <f>Cuentas!B25</f>
        <v>T</v>
      </c>
      <c r="G39" s="180">
        <f t="shared" si="2"/>
        <v>0</v>
      </c>
      <c r="H39" s="181"/>
      <c r="I39" s="180">
        <f t="shared" si="3"/>
        <v>0</v>
      </c>
      <c r="J39" s="200"/>
      <c r="K39" s="180">
        <f t="shared" si="4"/>
        <v>0</v>
      </c>
    </row>
    <row r="40" spans="2:11" ht="23" customHeight="1">
      <c r="B40" s="204"/>
      <c r="C40" s="204"/>
      <c r="E40" s="178" t="s">
        <v>401</v>
      </c>
      <c r="F40" s="179" t="str">
        <f>Cuentas!B26</f>
        <v>U</v>
      </c>
      <c r="G40" s="180">
        <f t="shared" si="2"/>
        <v>0</v>
      </c>
      <c r="H40" s="181"/>
      <c r="I40" s="180">
        <f t="shared" si="3"/>
        <v>0</v>
      </c>
      <c r="J40" s="200"/>
      <c r="K40" s="180">
        <f t="shared" si="4"/>
        <v>0</v>
      </c>
    </row>
    <row r="41" spans="2:11" ht="23" customHeight="1">
      <c r="B41" s="204"/>
      <c r="C41" s="204"/>
      <c r="G41" s="41"/>
      <c r="H41" s="1"/>
      <c r="I41" s="148"/>
      <c r="J41" s="1"/>
      <c r="K41" s="148"/>
    </row>
    <row r="42" spans="2:11" ht="23" customHeight="1">
      <c r="B42" s="204"/>
      <c r="C42" s="204"/>
      <c r="E42" s="184"/>
      <c r="F42" s="119" t="s">
        <v>402</v>
      </c>
      <c r="G42" s="232">
        <f>SUM(G20:G41)</f>
        <v>0</v>
      </c>
      <c r="H42" s="184"/>
      <c r="I42" s="232">
        <f>SUM(I20:I41)</f>
        <v>0</v>
      </c>
      <c r="J42" s="233"/>
      <c r="K42" s="232">
        <f>SUM(K20:K41)</f>
        <v>0</v>
      </c>
    </row>
    <row r="45" spans="2:11" ht="23" customHeight="1">
      <c r="B45" s="212" t="s">
        <v>12</v>
      </c>
      <c r="C45" s="212"/>
    </row>
  </sheetData>
  <sheetProtection algorithmName="SHA-512" hashValue="DnYya5vINuASHJwG67H0PgvOng5GYeIi3ze0fQMG5a5yFFizVJYUmg1gQGCoNEpmBrUMdcwLmZPdZ9Bqu8Ba5A==" saltValue="MHcq0tV6NL6n+SOrfGhyaQ==" spinCount="100000" sheet="1" formatCells="0" formatColumns="0" formatRows="0" insertColumns="0" insertRows="0" deleteColumns="0" deleteRows="0" autoFilter="0"/>
  <autoFilter ref="B6:K13" xr:uid="{B5AF1219-BFE5-1643-B672-63B36EDADE3C}"/>
  <mergeCells count="2">
    <mergeCell ref="B3:K3"/>
    <mergeCell ref="B2:K2"/>
  </mergeCells>
  <dataValidations count="1">
    <dataValidation type="list" allowBlank="1" showInputMessage="1" showErrorMessage="1" promptTitle="Selecciona una opción:" prompt="Agrega un concepto en las celdas sombreadas en verde de la columna &quot;r&quot;._x000a_" sqref="C8:C13" xr:uid="{A4F16B3F-5E9E-8E48-B515-B7AEDD3A30AF}">
      <formula1>Private_Equity</formula1>
    </dataValidation>
  </dataValidations>
  <printOptions horizontalCentered="1"/>
  <pageMargins left="0.70000000000000007" right="0.70000000000000007" top="0.75000000000000011" bottom="0.75000000000000011" header="0.30000000000000004" footer="0.30000000000000004"/>
  <pageSetup scale="46" fitToHeight="5"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22AD2F82-74AF-BC4E-8B14-EFB7709E06A1}">
          <x14:formula1>
            <xm:f>Equivalencia!$A$4:$A$23</xm:f>
          </x14:formula1>
          <xm:sqref>F8:F13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22BA-E1C4-314B-B417-212B0D8BD37D}">
  <sheetPr>
    <pageSetUpPr fitToPage="1"/>
  </sheetPr>
  <dimension ref="B2:AA165"/>
  <sheetViews>
    <sheetView showGridLines="0" view="pageBreakPreview" zoomScaleNormal="80" zoomScaleSheetLayoutView="100" workbookViewId="0">
      <pane ySplit="5" topLeftCell="A6" activePane="bottomLeft" state="frozen"/>
      <selection pane="bottomLeft" activeCell="P17" sqref="P17"/>
    </sheetView>
  </sheetViews>
  <sheetFormatPr baseColWidth="10" defaultColWidth="11" defaultRowHeight="16"/>
  <cols>
    <col min="2" max="2" width="19.83203125" customWidth="1"/>
    <col min="3" max="3" width="46" customWidth="1"/>
    <col min="4" max="4" width="15" customWidth="1"/>
    <col min="5" max="5" width="13.33203125" customWidth="1"/>
    <col min="6" max="6" width="14.83203125" customWidth="1"/>
    <col min="7" max="7" width="19.83203125" customWidth="1"/>
    <col min="8" max="8" width="19.1640625" customWidth="1"/>
    <col min="9" max="9" width="19" customWidth="1"/>
    <col min="10" max="12" width="17" customWidth="1"/>
    <col min="13" max="13" width="19" customWidth="1"/>
    <col min="14" max="14" width="16.5" customWidth="1"/>
    <col min="15" max="15" width="20.6640625" customWidth="1"/>
    <col min="16" max="18" width="16.6640625" customWidth="1"/>
    <col min="19" max="19" width="18.33203125" customWidth="1"/>
    <col min="20" max="20" width="16.6640625" customWidth="1"/>
    <col min="22" max="24" width="14" customWidth="1"/>
    <col min="27" max="27" width="15.1640625" bestFit="1" customWidth="1"/>
  </cols>
  <sheetData>
    <row r="2" spans="2:27" ht="23">
      <c r="B2" s="754" t="s">
        <v>574</v>
      </c>
      <c r="C2" s="754"/>
      <c r="D2" s="754"/>
      <c r="E2" s="754"/>
      <c r="F2" s="754"/>
      <c r="G2" s="754"/>
      <c r="H2" s="754"/>
      <c r="I2" s="754"/>
      <c r="J2" s="754"/>
      <c r="K2" s="754"/>
      <c r="L2" s="754"/>
      <c r="M2" s="754"/>
      <c r="N2" s="754"/>
      <c r="O2" s="754"/>
      <c r="P2" s="754"/>
      <c r="Q2" s="754"/>
      <c r="R2" s="754"/>
      <c r="S2" s="754"/>
      <c r="T2" s="754"/>
      <c r="U2" s="1"/>
      <c r="V2" s="125"/>
      <c r="W2" s="125"/>
      <c r="X2" s="125"/>
      <c r="Y2" s="125"/>
      <c r="Z2" s="125"/>
      <c r="AA2" s="125"/>
    </row>
    <row r="3" spans="2:27">
      <c r="B3" s="53" t="s">
        <v>573</v>
      </c>
      <c r="C3" s="53"/>
      <c r="D3" s="1"/>
      <c r="E3" s="53"/>
      <c r="F3" s="53"/>
      <c r="G3" s="47"/>
      <c r="H3" s="53"/>
      <c r="I3" s="428"/>
      <c r="J3" s="428"/>
      <c r="K3" s="428"/>
      <c r="L3" s="428"/>
      <c r="M3" s="428"/>
      <c r="N3" s="428"/>
      <c r="O3" s="428"/>
      <c r="P3" s="428"/>
      <c r="Q3" s="428"/>
      <c r="R3" s="428"/>
      <c r="S3" s="428"/>
      <c r="T3" s="53"/>
      <c r="U3" s="1"/>
      <c r="V3" s="53"/>
      <c r="W3" s="53"/>
      <c r="X3" s="53"/>
      <c r="Y3" s="53"/>
      <c r="Z3" s="53"/>
      <c r="AA3" s="53"/>
    </row>
    <row r="4" spans="2:27">
      <c r="B4" s="24" t="s">
        <v>443</v>
      </c>
      <c r="C4" s="24" t="s">
        <v>676</v>
      </c>
      <c r="D4" s="24"/>
      <c r="E4" s="24"/>
      <c r="F4" s="123"/>
      <c r="G4" s="123"/>
      <c r="H4" s="123"/>
      <c r="I4" s="429"/>
      <c r="J4" s="429"/>
      <c r="K4" s="429"/>
      <c r="L4" s="429"/>
      <c r="M4" s="429"/>
      <c r="N4" s="429"/>
      <c r="O4" s="429"/>
      <c r="P4" s="429"/>
      <c r="Q4" s="429"/>
      <c r="R4" s="429"/>
      <c r="S4" s="429"/>
      <c r="T4" s="429"/>
      <c r="U4" s="1"/>
      <c r="V4" s="53"/>
      <c r="W4" s="53"/>
      <c r="X4" s="53"/>
      <c r="Y4" s="53"/>
      <c r="Z4" s="53"/>
      <c r="AA4" s="53"/>
    </row>
    <row r="5" spans="2:27" ht="30">
      <c r="B5" s="120" t="s">
        <v>555</v>
      </c>
      <c r="C5" s="120" t="s">
        <v>63</v>
      </c>
      <c r="D5" s="120" t="s">
        <v>54</v>
      </c>
      <c r="E5" s="120" t="s">
        <v>556</v>
      </c>
      <c r="F5" s="120" t="s">
        <v>557</v>
      </c>
      <c r="G5" s="120" t="s">
        <v>56</v>
      </c>
      <c r="H5" s="29" t="s">
        <v>57</v>
      </c>
      <c r="I5" s="430" t="s">
        <v>558</v>
      </c>
      <c r="J5" s="430" t="s">
        <v>570</v>
      </c>
      <c r="K5" s="430" t="s">
        <v>571</v>
      </c>
      <c r="L5" s="430" t="s">
        <v>572</v>
      </c>
      <c r="M5" s="431" t="s">
        <v>577</v>
      </c>
      <c r="N5" s="431" t="s">
        <v>578</v>
      </c>
      <c r="O5" s="430" t="s">
        <v>579</v>
      </c>
      <c r="P5" s="430" t="s">
        <v>580</v>
      </c>
      <c r="Q5" s="430" t="s">
        <v>583</v>
      </c>
      <c r="R5" s="430" t="s">
        <v>582</v>
      </c>
      <c r="S5" s="430" t="s">
        <v>581</v>
      </c>
      <c r="T5" s="430" t="s">
        <v>559</v>
      </c>
      <c r="U5" s="1"/>
      <c r="V5" s="53"/>
      <c r="W5" s="53"/>
      <c r="X5" s="53"/>
      <c r="Y5" s="53"/>
      <c r="Z5" s="53"/>
      <c r="AA5" s="430" t="s">
        <v>560</v>
      </c>
    </row>
    <row r="6" spans="2:27">
      <c r="B6" s="120"/>
      <c r="C6" s="120"/>
      <c r="D6" s="120"/>
      <c r="E6" s="120"/>
      <c r="F6" s="120"/>
      <c r="G6" s="120"/>
      <c r="H6" s="29"/>
      <c r="I6" s="430"/>
      <c r="J6" s="430"/>
      <c r="K6" s="430"/>
      <c r="L6" s="430"/>
      <c r="M6" s="431"/>
      <c r="N6" s="432"/>
      <c r="O6" s="428"/>
      <c r="P6" s="428"/>
      <c r="Q6" s="428"/>
      <c r="R6" s="428"/>
      <c r="S6" s="428"/>
      <c r="T6" s="53"/>
      <c r="U6" s="53"/>
      <c r="V6" s="53"/>
      <c r="W6" s="53"/>
      <c r="X6" s="53"/>
      <c r="Y6" s="53"/>
      <c r="Z6" s="53"/>
      <c r="AA6" s="135" t="s">
        <v>561</v>
      </c>
    </row>
    <row r="7" spans="2:27">
      <c r="B7" s="433"/>
      <c r="C7" s="433"/>
      <c r="D7" s="433"/>
      <c r="E7" s="433"/>
      <c r="F7" s="433"/>
      <c r="G7" s="433"/>
      <c r="H7" s="434"/>
      <c r="I7" s="435"/>
      <c r="J7" s="435"/>
      <c r="K7" s="435"/>
      <c r="L7" s="435"/>
      <c r="M7" s="436"/>
      <c r="N7" s="436"/>
      <c r="O7" s="435"/>
      <c r="P7" s="435"/>
      <c r="Q7" s="435"/>
      <c r="R7" s="435"/>
      <c r="S7" s="435"/>
      <c r="T7" s="1"/>
      <c r="U7" s="1"/>
      <c r="V7" s="1"/>
      <c r="W7" s="1"/>
      <c r="X7" s="1"/>
      <c r="Y7" s="1"/>
      <c r="Z7" s="1"/>
      <c r="AA7" s="135" t="s">
        <v>562</v>
      </c>
    </row>
    <row r="8" spans="2:27">
      <c r="B8" s="437"/>
      <c r="C8" s="437"/>
      <c r="D8" s="437"/>
      <c r="E8" s="437"/>
      <c r="F8" s="437"/>
      <c r="G8" s="437"/>
      <c r="H8" s="438"/>
      <c r="I8" s="439"/>
      <c r="J8" s="439"/>
      <c r="K8" s="439"/>
      <c r="L8" s="439"/>
      <c r="M8" s="440"/>
      <c r="N8" s="440"/>
      <c r="O8" s="441"/>
      <c r="P8" s="441"/>
      <c r="Q8" s="441"/>
      <c r="R8" s="441"/>
      <c r="S8" s="441"/>
      <c r="T8" s="1"/>
      <c r="U8" s="1"/>
      <c r="V8" s="1"/>
      <c r="W8" s="1"/>
      <c r="X8" s="1"/>
      <c r="Y8" s="1"/>
      <c r="Z8" s="1"/>
      <c r="AA8" s="135"/>
    </row>
    <row r="9" spans="2:27">
      <c r="B9" s="378" t="s">
        <v>563</v>
      </c>
      <c r="C9" s="378"/>
      <c r="D9" s="1"/>
      <c r="E9" s="378"/>
      <c r="F9" s="378"/>
      <c r="G9" s="381"/>
      <c r="H9" s="442"/>
      <c r="I9" s="443"/>
      <c r="J9" s="443"/>
      <c r="K9" s="443"/>
      <c r="L9" s="443"/>
      <c r="M9" s="440"/>
      <c r="N9" s="440"/>
      <c r="O9" s="441"/>
      <c r="P9" s="441"/>
      <c r="Q9" s="441"/>
      <c r="R9" s="441"/>
      <c r="S9" s="441"/>
      <c r="T9" s="1"/>
      <c r="U9" s="1"/>
      <c r="V9" s="1"/>
      <c r="W9" s="1"/>
      <c r="X9" s="1"/>
      <c r="Y9" s="1"/>
      <c r="Z9" s="1"/>
      <c r="AA9" s="135"/>
    </row>
    <row r="10" spans="2:27">
      <c r="B10" s="378" t="s">
        <v>564</v>
      </c>
      <c r="C10" s="378"/>
      <c r="D10" s="1"/>
      <c r="E10" s="378"/>
      <c r="F10" s="378"/>
      <c r="G10" s="381"/>
      <c r="H10" s="444"/>
      <c r="I10" s="441"/>
      <c r="J10" s="441"/>
      <c r="K10" s="441"/>
      <c r="L10" s="441"/>
      <c r="M10" s="440"/>
      <c r="N10" s="440"/>
      <c r="O10" s="441"/>
      <c r="P10" s="441"/>
      <c r="Q10" s="441"/>
      <c r="R10" s="441"/>
      <c r="S10" s="441"/>
      <c r="T10" s="1"/>
      <c r="U10" s="1"/>
      <c r="V10" s="1"/>
      <c r="W10" s="1"/>
      <c r="X10" s="1"/>
      <c r="Y10" s="1"/>
      <c r="Z10" s="1"/>
      <c r="AA10" s="135"/>
    </row>
    <row r="11" spans="2:27">
      <c r="B11" s="378" t="s">
        <v>565</v>
      </c>
      <c r="C11" s="378"/>
      <c r="D11" s="1"/>
      <c r="E11" s="378"/>
      <c r="F11" s="378"/>
      <c r="G11" s="381"/>
      <c r="H11" s="445"/>
      <c r="I11" s="441"/>
      <c r="J11" s="441"/>
      <c r="K11" s="441"/>
      <c r="L11" s="441"/>
      <c r="M11" s="440"/>
      <c r="N11" s="440"/>
      <c r="O11" s="441"/>
      <c r="P11" s="441"/>
      <c r="Q11" s="441"/>
      <c r="R11" s="441"/>
      <c r="S11" s="441"/>
      <c r="T11" s="1"/>
      <c r="U11" s="1"/>
      <c r="V11" s="1"/>
      <c r="W11" s="1"/>
      <c r="X11" s="1"/>
      <c r="Y11" s="1"/>
      <c r="Z11" s="1"/>
      <c r="AA11" s="1"/>
    </row>
    <row r="12" spans="2:27">
      <c r="B12" s="378" t="s">
        <v>566</v>
      </c>
      <c r="C12" s="378"/>
      <c r="D12" s="1"/>
      <c r="E12" s="378"/>
      <c r="F12" s="378"/>
      <c r="G12" s="381"/>
      <c r="H12" s="446"/>
      <c r="I12" s="441"/>
      <c r="J12" s="441"/>
      <c r="K12" s="441"/>
      <c r="L12" s="441"/>
      <c r="M12" s="440"/>
      <c r="N12" s="440"/>
      <c r="O12" s="441"/>
      <c r="P12" s="441"/>
      <c r="Q12" s="441"/>
      <c r="R12" s="441"/>
      <c r="S12" s="441"/>
      <c r="T12" s="1"/>
      <c r="U12" s="1"/>
      <c r="V12" s="1"/>
      <c r="W12" s="1"/>
      <c r="X12" s="1"/>
      <c r="Y12" s="1"/>
      <c r="Z12" s="1"/>
      <c r="AA12" s="1"/>
    </row>
    <row r="13" spans="2:27">
      <c r="B13" s="378"/>
      <c r="C13" s="378"/>
      <c r="D13" s="1"/>
      <c r="E13" s="381"/>
      <c r="F13" s="381"/>
      <c r="G13" s="381"/>
      <c r="H13" s="447"/>
      <c r="I13" s="441"/>
      <c r="J13" s="441"/>
      <c r="K13" s="441"/>
      <c r="L13" s="441"/>
      <c r="M13" s="440"/>
      <c r="N13" s="440"/>
      <c r="O13" s="441"/>
      <c r="P13" s="441"/>
      <c r="Q13" s="441"/>
      <c r="R13" s="441"/>
      <c r="S13" s="441"/>
      <c r="T13" s="1"/>
      <c r="U13" s="1"/>
      <c r="V13" s="1"/>
      <c r="W13" s="1"/>
      <c r="X13" s="1"/>
      <c r="Y13" s="1"/>
      <c r="Z13" s="1"/>
      <c r="AA13" s="1"/>
    </row>
    <row r="14" spans="2:27">
      <c r="B14" s="448" t="s">
        <v>567</v>
      </c>
      <c r="C14" s="448"/>
      <c r="D14" s="449"/>
      <c r="E14" s="449"/>
      <c r="F14" s="449"/>
      <c r="G14" s="449"/>
      <c r="H14" s="450"/>
      <c r="I14" s="451"/>
      <c r="J14" s="451"/>
      <c r="K14" s="451"/>
      <c r="L14" s="451"/>
      <c r="M14" s="452"/>
      <c r="N14" s="452"/>
      <c r="O14" s="451"/>
      <c r="P14" s="451"/>
      <c r="Q14" s="451"/>
      <c r="R14" s="451"/>
      <c r="S14" s="451"/>
      <c r="T14" s="1"/>
      <c r="U14" s="1"/>
      <c r="V14" s="1"/>
      <c r="W14" s="1"/>
      <c r="X14" s="1"/>
      <c r="Y14" s="1"/>
      <c r="Z14" s="1"/>
      <c r="AA14" s="1"/>
    </row>
    <row r="15" spans="2:27">
      <c r="B15" s="338"/>
      <c r="C15" s="324"/>
      <c r="D15" s="324"/>
      <c r="E15" s="324"/>
      <c r="F15" s="324"/>
      <c r="G15" s="338"/>
      <c r="H15" s="453"/>
      <c r="I15" s="454"/>
      <c r="J15" s="454"/>
      <c r="K15" s="544"/>
      <c r="L15" s="454"/>
      <c r="M15" s="440"/>
      <c r="N15" s="440"/>
      <c r="O15" s="441"/>
      <c r="P15" s="441"/>
      <c r="Q15" s="441"/>
      <c r="R15" s="441"/>
      <c r="S15" s="441"/>
      <c r="T15" s="1"/>
      <c r="U15" s="1"/>
      <c r="V15" s="1"/>
      <c r="W15" s="1"/>
      <c r="X15" s="1"/>
      <c r="Y15" s="1"/>
      <c r="Z15" s="1"/>
      <c r="AA15" s="1"/>
    </row>
    <row r="16" spans="2:27">
      <c r="B16" s="337"/>
      <c r="C16" s="67"/>
      <c r="D16" s="455"/>
      <c r="E16" s="325"/>
      <c r="F16" s="456"/>
      <c r="G16" s="457">
        <f>IF(E16=0,0,IF(E16="MXN",1/HLOOKUP(YEAR(D16)+(MONTH(D16)/100),TC!$5:$437,DAY(D16)+2,FALSE),VLOOKUP(E16,Equivalencia!$1:$23,((MAX(Equivalencia!$3:$3)-YEAR(D16))*14)+MONTH(D16)+2,FALSE)))</f>
        <v>0</v>
      </c>
      <c r="H16" s="458">
        <f>+G16*F16</f>
        <v>0</v>
      </c>
      <c r="I16" s="459">
        <f>H14+H16</f>
        <v>0</v>
      </c>
      <c r="J16" s="459">
        <f>+IF(H16&lt;0,0,IF(AND(H14&lt;0,I16&lt;0),0,IF(H14&lt;0,H16+H14,H16)))</f>
        <v>0</v>
      </c>
      <c r="K16" s="545">
        <f>+IF(D16=0,0,HLOOKUP(YEAR(D16)+(MONTH(D16)/100),TC!$5:$37,DAY(D16)+2,FALSE))</f>
        <v>0</v>
      </c>
      <c r="L16" s="459">
        <f>+J16*K16</f>
        <v>0</v>
      </c>
      <c r="M16" s="460"/>
      <c r="N16" s="460"/>
      <c r="O16" s="459">
        <f>IF(F16="",0,I16+M16+N16)</f>
        <v>0</v>
      </c>
      <c r="P16" s="461"/>
      <c r="Q16" s="479">
        <f>IF(O16=P16,0,IF(P16="",0,O16-P16))</f>
        <v>0</v>
      </c>
      <c r="R16" s="479"/>
      <c r="S16" s="459">
        <f>+IF(P16="",0,R16*Q16)</f>
        <v>0</v>
      </c>
      <c r="T16" s="1"/>
      <c r="U16" s="1"/>
      <c r="V16" s="1"/>
      <c r="W16" s="1"/>
      <c r="X16" s="1"/>
      <c r="Y16" s="1"/>
      <c r="Z16" s="1"/>
      <c r="AA16" s="1"/>
    </row>
    <row r="17" spans="2:27">
      <c r="B17" s="337"/>
      <c r="C17" s="462"/>
      <c r="D17" s="455"/>
      <c r="E17" s="325"/>
      <c r="F17" s="456"/>
      <c r="G17" s="457">
        <f>IF(E17=0,0,IF(E17="MXN",1/HLOOKUP(YEAR(D17)+(MONTH(D17)/100),TC!$5:$437,DAY(D17)+2,FALSE),VLOOKUP(E17,Equivalencia!$1:$23,((MAX(Equivalencia!$3:$3)-YEAR(D17))*14)+MONTH(D17)+2,FALSE)))</f>
        <v>0</v>
      </c>
      <c r="H17" s="458">
        <f t="shared" ref="H17:H27" si="0">+G17*F17</f>
        <v>0</v>
      </c>
      <c r="I17" s="459">
        <f t="shared" ref="I17:I27" si="1">I16+H17+Q16</f>
        <v>0</v>
      </c>
      <c r="J17" s="459">
        <f t="shared" ref="J17:J27" si="2">+IF(H17&lt;0,0,IF(AND(I16&lt;0,I17&lt;0),0,IF(I16&lt;0,H17+I16,H17)))</f>
        <v>0</v>
      </c>
      <c r="K17" s="545">
        <f>+IF(D17=0,0,HLOOKUP(YEAR(D17)+(MONTH(D17)/100),TC!$5:$37,DAY(D17)+2,FALSE))</f>
        <v>0</v>
      </c>
      <c r="L17" s="459">
        <f t="shared" ref="L17:L27" si="3">+J17*K17</f>
        <v>0</v>
      </c>
      <c r="M17" s="460"/>
      <c r="N17" s="460"/>
      <c r="O17" s="459">
        <f t="shared" ref="O17:O19" si="4">IF(F17="",0,H17+M17+N17+O16)</f>
        <v>0</v>
      </c>
      <c r="P17" s="461"/>
      <c r="Q17" s="479">
        <f t="shared" ref="Q17:Q27" si="5">IF(O17=P17,0,IF(P17="",0,O17-P17))</f>
        <v>0</v>
      </c>
      <c r="R17" s="479"/>
      <c r="S17" s="459">
        <f t="shared" ref="S17:S27" si="6">+IF(P17="",0,R17*Q17)</f>
        <v>0</v>
      </c>
      <c r="T17" s="1"/>
      <c r="U17" s="1"/>
      <c r="V17" s="1"/>
      <c r="W17" s="1"/>
      <c r="X17" s="1"/>
      <c r="Y17" s="1"/>
      <c r="Z17" s="1"/>
      <c r="AA17" s="1"/>
    </row>
    <row r="18" spans="2:27">
      <c r="B18" s="337"/>
      <c r="C18" s="462"/>
      <c r="D18" s="455"/>
      <c r="E18" s="325"/>
      <c r="F18" s="456"/>
      <c r="G18" s="457">
        <f>IF(E18=0,0,IF(E18="MXN",1/HLOOKUP(YEAR(D18)+(MONTH(D18)/100),TC!$5:$437,DAY(D18)+2,FALSE),VLOOKUP(E18,Equivalencia!$1:$23,((MAX(Equivalencia!$3:$3)-YEAR(D18))*14)+MONTH(D18)+2,FALSE)))</f>
        <v>0</v>
      </c>
      <c r="H18" s="458">
        <f t="shared" si="0"/>
        <v>0</v>
      </c>
      <c r="I18" s="459">
        <f t="shared" si="1"/>
        <v>0</v>
      </c>
      <c r="J18" s="459">
        <f t="shared" si="2"/>
        <v>0</v>
      </c>
      <c r="K18" s="545">
        <f>+IF(D18=0,0,HLOOKUP(YEAR(D18)+(MONTH(D18)/100),TC!$5:$37,DAY(D18)+2,FALSE))</f>
        <v>0</v>
      </c>
      <c r="L18" s="459">
        <f t="shared" si="3"/>
        <v>0</v>
      </c>
      <c r="M18" s="460"/>
      <c r="N18" s="460"/>
      <c r="O18" s="459">
        <f t="shared" si="4"/>
        <v>0</v>
      </c>
      <c r="P18" s="461"/>
      <c r="Q18" s="479">
        <f t="shared" si="5"/>
        <v>0</v>
      </c>
      <c r="R18" s="479"/>
      <c r="S18" s="459">
        <f t="shared" si="6"/>
        <v>0</v>
      </c>
      <c r="T18" s="1"/>
      <c r="U18" s="1"/>
      <c r="V18" s="1"/>
      <c r="W18" s="1"/>
      <c r="X18" s="1"/>
      <c r="Y18" s="1"/>
      <c r="Z18" s="1"/>
      <c r="AA18" s="1"/>
    </row>
    <row r="19" spans="2:27">
      <c r="B19" s="337"/>
      <c r="C19" s="462"/>
      <c r="D19" s="455"/>
      <c r="E19" s="325"/>
      <c r="F19" s="456"/>
      <c r="G19" s="457">
        <f>IF(E19=0,0,IF(E19="MXN",1/HLOOKUP(YEAR(D19)+(MONTH(D19)/100),TC!$5:$437,DAY(D19)+2,FALSE),VLOOKUP(E19,Equivalencia!$1:$23,((MAX(Equivalencia!$3:$3)-YEAR(D19))*14)+MONTH(D19)+2,FALSE)))</f>
        <v>0</v>
      </c>
      <c r="H19" s="458">
        <f t="shared" si="0"/>
        <v>0</v>
      </c>
      <c r="I19" s="459">
        <f t="shared" si="1"/>
        <v>0</v>
      </c>
      <c r="J19" s="459">
        <f t="shared" si="2"/>
        <v>0</v>
      </c>
      <c r="K19" s="545">
        <f>+IF(D19=0,0,HLOOKUP(YEAR(D19)+(MONTH(D19)/100),TC!$5:$37,DAY(D19)+2,FALSE))</f>
        <v>0</v>
      </c>
      <c r="L19" s="459">
        <f t="shared" si="3"/>
        <v>0</v>
      </c>
      <c r="M19" s="460"/>
      <c r="N19" s="460"/>
      <c r="O19" s="459">
        <f t="shared" si="4"/>
        <v>0</v>
      </c>
      <c r="P19" s="461"/>
      <c r="Q19" s="479">
        <f t="shared" si="5"/>
        <v>0</v>
      </c>
      <c r="R19" s="479"/>
      <c r="S19" s="459">
        <f t="shared" si="6"/>
        <v>0</v>
      </c>
      <c r="T19" s="1"/>
      <c r="U19" s="1"/>
      <c r="V19" s="1"/>
      <c r="W19" s="1"/>
      <c r="X19" s="1"/>
      <c r="Y19" s="1"/>
      <c r="Z19" s="1"/>
      <c r="AA19" s="1"/>
    </row>
    <row r="20" spans="2:27">
      <c r="B20" s="337"/>
      <c r="C20" s="463"/>
      <c r="D20" s="455"/>
      <c r="E20" s="325"/>
      <c r="F20" s="456"/>
      <c r="G20" s="457">
        <f>IF(E20=0,0,IF(E20="MXN",1/HLOOKUP(YEAR(D20)+(MONTH(D20)/100),TC!$5:$437,DAY(D20)+2,FALSE),VLOOKUP(E20,Equivalencia!$1:$23,((MAX(Equivalencia!$3:$3)-YEAR(D20))*14)+MONTH(D20)+2,FALSE)))</f>
        <v>0</v>
      </c>
      <c r="H20" s="458">
        <f t="shared" si="0"/>
        <v>0</v>
      </c>
      <c r="I20" s="459">
        <f t="shared" si="1"/>
        <v>0</v>
      </c>
      <c r="J20" s="459">
        <f t="shared" si="2"/>
        <v>0</v>
      </c>
      <c r="K20" s="545">
        <f>+IF(D20=0,0,HLOOKUP(YEAR(D20)+(MONTH(D20)/100),TC!$5:$37,DAY(D20)+2,FALSE))</f>
        <v>0</v>
      </c>
      <c r="L20" s="459">
        <f t="shared" si="3"/>
        <v>0</v>
      </c>
      <c r="M20" s="460"/>
      <c r="N20" s="460"/>
      <c r="O20" s="459">
        <f t="shared" ref="O20:O27" si="7">IF(F20="",0,H20+M20+N20+O19)</f>
        <v>0</v>
      </c>
      <c r="P20" s="461"/>
      <c r="Q20" s="479">
        <f t="shared" si="5"/>
        <v>0</v>
      </c>
      <c r="R20" s="479"/>
      <c r="S20" s="459">
        <f t="shared" si="6"/>
        <v>0</v>
      </c>
      <c r="T20" s="1"/>
      <c r="U20" s="1"/>
      <c r="V20" s="1"/>
      <c r="W20" s="1"/>
      <c r="X20" s="1"/>
      <c r="Y20" s="1"/>
      <c r="Z20" s="1"/>
      <c r="AA20" s="1"/>
    </row>
    <row r="21" spans="2:27">
      <c r="B21" s="337"/>
      <c r="C21" s="463"/>
      <c r="D21" s="455"/>
      <c r="E21" s="325"/>
      <c r="F21" s="456"/>
      <c r="G21" s="457">
        <f>IF(E21=0,0,IF(E21="MXN",1/HLOOKUP(YEAR(D21)+(MONTH(D21)/100),TC!$5:$437,DAY(D21)+2,FALSE),VLOOKUP(E21,Equivalencia!$1:$23,((MAX(Equivalencia!$3:$3)-YEAR(D21))*14)+MONTH(D21)+2,FALSE)))</f>
        <v>0</v>
      </c>
      <c r="H21" s="458">
        <f t="shared" si="0"/>
        <v>0</v>
      </c>
      <c r="I21" s="459">
        <f t="shared" si="1"/>
        <v>0</v>
      </c>
      <c r="J21" s="459">
        <f t="shared" si="2"/>
        <v>0</v>
      </c>
      <c r="K21" s="545">
        <f>+IF(D21=0,0,HLOOKUP(YEAR(D21)+(MONTH(D21)/100),TC!$5:$37,DAY(D21)+2,FALSE))</f>
        <v>0</v>
      </c>
      <c r="L21" s="459">
        <f t="shared" si="3"/>
        <v>0</v>
      </c>
      <c r="M21" s="460"/>
      <c r="N21" s="460"/>
      <c r="O21" s="459">
        <f t="shared" si="7"/>
        <v>0</v>
      </c>
      <c r="P21" s="461"/>
      <c r="Q21" s="479">
        <f t="shared" si="5"/>
        <v>0</v>
      </c>
      <c r="R21" s="479"/>
      <c r="S21" s="459">
        <f t="shared" si="6"/>
        <v>0</v>
      </c>
      <c r="T21" s="1"/>
      <c r="U21" s="1"/>
      <c r="V21" s="1"/>
      <c r="W21" s="1"/>
      <c r="X21" s="1"/>
      <c r="Y21" s="1"/>
      <c r="Z21" s="1"/>
      <c r="AA21" s="1"/>
    </row>
    <row r="22" spans="2:27">
      <c r="B22" s="337"/>
      <c r="C22" s="463"/>
      <c r="D22" s="455"/>
      <c r="E22" s="325"/>
      <c r="F22" s="456"/>
      <c r="G22" s="457">
        <f>IF(E22=0,0,IF(E22="MXN",1/HLOOKUP(YEAR(D22)+(MONTH(D22)/100),TC!$5:$437,DAY(D22)+2,FALSE),VLOOKUP(E22,Equivalencia!$1:$23,((MAX(Equivalencia!$3:$3)-YEAR(D22))*14)+MONTH(D22)+2,FALSE)))</f>
        <v>0</v>
      </c>
      <c r="H22" s="458">
        <f t="shared" si="0"/>
        <v>0</v>
      </c>
      <c r="I22" s="459">
        <f t="shared" si="1"/>
        <v>0</v>
      </c>
      <c r="J22" s="459">
        <f t="shared" si="2"/>
        <v>0</v>
      </c>
      <c r="K22" s="545">
        <f>+IF(D22=0,0,HLOOKUP(YEAR(D22)+(MONTH(D22)/100),TC!$5:$37,DAY(D22)+2,FALSE))</f>
        <v>0</v>
      </c>
      <c r="L22" s="459">
        <f t="shared" si="3"/>
        <v>0</v>
      </c>
      <c r="M22" s="460"/>
      <c r="N22" s="460"/>
      <c r="O22" s="459">
        <f t="shared" si="7"/>
        <v>0</v>
      </c>
      <c r="P22" s="461"/>
      <c r="Q22" s="479">
        <f t="shared" si="5"/>
        <v>0</v>
      </c>
      <c r="R22" s="479"/>
      <c r="S22" s="459">
        <f t="shared" si="6"/>
        <v>0</v>
      </c>
      <c r="T22" s="1"/>
      <c r="U22" s="1"/>
      <c r="V22" s="1"/>
      <c r="W22" s="1"/>
      <c r="X22" s="1"/>
      <c r="Y22" s="1"/>
      <c r="Z22" s="1"/>
      <c r="AA22" s="1"/>
    </row>
    <row r="23" spans="2:27">
      <c r="B23" s="337"/>
      <c r="C23" s="463"/>
      <c r="D23" s="455"/>
      <c r="E23" s="325"/>
      <c r="F23" s="456"/>
      <c r="G23" s="457">
        <f>IF(E23=0,0,IF(E23="MXN",1/HLOOKUP(YEAR(D23)+(MONTH(D23)/100),TC!$5:$437,DAY(D23)+2,FALSE),VLOOKUP(E23,Equivalencia!$1:$23,((MAX(Equivalencia!$3:$3)-YEAR(D23))*14)+MONTH(D23)+2,FALSE)))</f>
        <v>0</v>
      </c>
      <c r="H23" s="458">
        <f t="shared" si="0"/>
        <v>0</v>
      </c>
      <c r="I23" s="459">
        <f t="shared" si="1"/>
        <v>0</v>
      </c>
      <c r="J23" s="459">
        <f t="shared" si="2"/>
        <v>0</v>
      </c>
      <c r="K23" s="545">
        <f>+IF(D23=0,0,HLOOKUP(YEAR(D23)+(MONTH(D23)/100),TC!$5:$37,DAY(D23)+2,FALSE))</f>
        <v>0</v>
      </c>
      <c r="L23" s="459">
        <f t="shared" si="3"/>
        <v>0</v>
      </c>
      <c r="M23" s="460"/>
      <c r="N23" s="460"/>
      <c r="O23" s="459">
        <f t="shared" si="7"/>
        <v>0</v>
      </c>
      <c r="P23" s="461"/>
      <c r="Q23" s="479">
        <f t="shared" si="5"/>
        <v>0</v>
      </c>
      <c r="R23" s="479"/>
      <c r="S23" s="459">
        <f t="shared" si="6"/>
        <v>0</v>
      </c>
      <c r="T23" s="1"/>
      <c r="U23" s="1"/>
      <c r="V23" s="1"/>
      <c r="W23" s="1"/>
      <c r="X23" s="1"/>
      <c r="Y23" s="1"/>
      <c r="Z23" s="1"/>
      <c r="AA23" s="1"/>
    </row>
    <row r="24" spans="2:27">
      <c r="B24" s="337"/>
      <c r="C24" s="463"/>
      <c r="D24" s="455"/>
      <c r="E24" s="325"/>
      <c r="F24" s="456"/>
      <c r="G24" s="457">
        <f>IF(E24=0,0,IF(E24="MXN",1/HLOOKUP(YEAR(D24)+(MONTH(D24)/100),TC!$5:$437,DAY(D24)+2,FALSE),VLOOKUP(E24,Equivalencia!$1:$23,((MAX(Equivalencia!$3:$3)-YEAR(D24))*14)+MONTH(D24)+2,FALSE)))</f>
        <v>0</v>
      </c>
      <c r="H24" s="458">
        <f t="shared" si="0"/>
        <v>0</v>
      </c>
      <c r="I24" s="459">
        <f t="shared" si="1"/>
        <v>0</v>
      </c>
      <c r="J24" s="459">
        <f t="shared" si="2"/>
        <v>0</v>
      </c>
      <c r="K24" s="545">
        <f>+IF(D24=0,0,HLOOKUP(YEAR(D24)+(MONTH(D24)/100),TC!$5:$37,DAY(D24)+2,FALSE))</f>
        <v>0</v>
      </c>
      <c r="L24" s="459">
        <f t="shared" si="3"/>
        <v>0</v>
      </c>
      <c r="M24" s="460"/>
      <c r="N24" s="460"/>
      <c r="O24" s="459">
        <f t="shared" si="7"/>
        <v>0</v>
      </c>
      <c r="P24" s="461"/>
      <c r="Q24" s="479">
        <f t="shared" si="5"/>
        <v>0</v>
      </c>
      <c r="R24" s="479"/>
      <c r="S24" s="459">
        <f t="shared" si="6"/>
        <v>0</v>
      </c>
      <c r="T24" s="1"/>
      <c r="U24" s="1"/>
      <c r="V24" s="1"/>
      <c r="W24" s="1"/>
      <c r="X24" s="1"/>
      <c r="Y24" s="1"/>
      <c r="Z24" s="1"/>
      <c r="AA24" s="1"/>
    </row>
    <row r="25" spans="2:27">
      <c r="B25" s="337"/>
      <c r="C25" s="463"/>
      <c r="D25" s="455"/>
      <c r="E25" s="325"/>
      <c r="F25" s="456"/>
      <c r="G25" s="457">
        <f>IF(E25=0,0,IF(E25="MXN",1/HLOOKUP(YEAR(D25)+(MONTH(D25)/100),TC!$5:$437,DAY(D25)+2,FALSE),VLOOKUP(E25,Equivalencia!$1:$23,((MAX(Equivalencia!$3:$3)-YEAR(D25))*14)+MONTH(D25)+2,FALSE)))</f>
        <v>0</v>
      </c>
      <c r="H25" s="458">
        <f t="shared" si="0"/>
        <v>0</v>
      </c>
      <c r="I25" s="459">
        <f t="shared" si="1"/>
        <v>0</v>
      </c>
      <c r="J25" s="459">
        <f t="shared" si="2"/>
        <v>0</v>
      </c>
      <c r="K25" s="545">
        <f>+IF(D25=0,0,HLOOKUP(YEAR(D25)+(MONTH(D25)/100),TC!$5:$37,DAY(D25)+2,FALSE))</f>
        <v>0</v>
      </c>
      <c r="L25" s="459">
        <f t="shared" si="3"/>
        <v>0</v>
      </c>
      <c r="M25" s="460"/>
      <c r="N25" s="460"/>
      <c r="O25" s="459">
        <f t="shared" si="7"/>
        <v>0</v>
      </c>
      <c r="P25" s="461"/>
      <c r="Q25" s="479">
        <f t="shared" si="5"/>
        <v>0</v>
      </c>
      <c r="R25" s="479"/>
      <c r="S25" s="459">
        <f t="shared" si="6"/>
        <v>0</v>
      </c>
      <c r="T25" s="1"/>
      <c r="U25" s="1"/>
      <c r="V25" s="1"/>
      <c r="W25" s="1"/>
      <c r="X25" s="1"/>
      <c r="Y25" s="1"/>
      <c r="Z25" s="1"/>
      <c r="AA25" s="1"/>
    </row>
    <row r="26" spans="2:27">
      <c r="B26" s="337"/>
      <c r="C26" s="67"/>
      <c r="D26" s="603"/>
      <c r="E26" s="337"/>
      <c r="F26" s="604"/>
      <c r="G26" s="457">
        <f>IF(E26=0,0,IF(E26="MXN",1/HLOOKUP(YEAR(D26)+(MONTH(D26)/100),TC!$5:$437,DAY(D26)+2,FALSE),VLOOKUP(E26,Equivalencia!$1:$23,((MAX(Equivalencia!$3:$3)-YEAR(D26))*14)+MONTH(D26)+2,FALSE)))</f>
        <v>0</v>
      </c>
      <c r="H26" s="605">
        <f t="shared" si="0"/>
        <v>0</v>
      </c>
      <c r="I26" s="606">
        <f t="shared" si="1"/>
        <v>0</v>
      </c>
      <c r="J26" s="459">
        <f t="shared" si="2"/>
        <v>0</v>
      </c>
      <c r="K26" s="545">
        <f>+IF(D26=0,0,HLOOKUP(YEAR(D26)+(MONTH(D26)/100),TC!$5:$37,DAY(D26)+2,FALSE))</f>
        <v>0</v>
      </c>
      <c r="L26" s="459">
        <f t="shared" si="3"/>
        <v>0</v>
      </c>
      <c r="M26" s="460"/>
      <c r="N26" s="460"/>
      <c r="O26" s="459">
        <f t="shared" si="7"/>
        <v>0</v>
      </c>
      <c r="P26" s="461"/>
      <c r="Q26" s="479">
        <f t="shared" si="5"/>
        <v>0</v>
      </c>
      <c r="R26" s="479"/>
      <c r="S26" s="459">
        <f t="shared" si="6"/>
        <v>0</v>
      </c>
      <c r="T26" s="1"/>
      <c r="U26" s="1"/>
      <c r="V26" s="1"/>
      <c r="W26" s="1"/>
      <c r="X26" s="1"/>
      <c r="Y26" s="1"/>
      <c r="Z26" s="1"/>
      <c r="AA26" s="1"/>
    </row>
    <row r="27" spans="2:27">
      <c r="B27" s="607"/>
      <c r="C27" s="608"/>
      <c r="D27" s="609"/>
      <c r="E27" s="607"/>
      <c r="F27" s="610"/>
      <c r="G27" s="611">
        <f>IF(E27=0,0,IF(E27="MXN",1/HLOOKUP(YEAR(D27)+(MONTH(D27)/100),TC!$5:$437,DAY(D27)+2,FALSE),VLOOKUP(E27,Equivalencia!$1:$23,((MAX(Equivalencia!$3:$3)-YEAR(D27))*14)+MONTH(D27)+2,FALSE)))</f>
        <v>0</v>
      </c>
      <c r="H27" s="612">
        <f t="shared" si="0"/>
        <v>0</v>
      </c>
      <c r="I27" s="613">
        <f t="shared" si="1"/>
        <v>0</v>
      </c>
      <c r="J27" s="459">
        <f t="shared" si="2"/>
        <v>0</v>
      </c>
      <c r="K27" s="545">
        <f>+IF(D27=0,0,HLOOKUP(YEAR(D27)+(MONTH(D27)/100),TC!$5:$37,DAY(D27)+2,FALSE))</f>
        <v>0</v>
      </c>
      <c r="L27" s="459">
        <f t="shared" si="3"/>
        <v>0</v>
      </c>
      <c r="M27" s="460"/>
      <c r="N27" s="460"/>
      <c r="O27" s="459">
        <f t="shared" si="7"/>
        <v>0</v>
      </c>
      <c r="P27" s="461"/>
      <c r="Q27" s="479">
        <f t="shared" si="5"/>
        <v>0</v>
      </c>
      <c r="R27" s="479"/>
      <c r="S27" s="459">
        <f t="shared" si="6"/>
        <v>0</v>
      </c>
      <c r="T27" s="1"/>
      <c r="U27" s="1"/>
      <c r="V27" s="1"/>
      <c r="W27" s="1"/>
      <c r="X27" s="1"/>
      <c r="Y27" s="1"/>
      <c r="Z27" s="1"/>
      <c r="AA27" s="1"/>
    </row>
    <row r="28" spans="2:27">
      <c r="B28" s="3"/>
      <c r="C28" s="1"/>
      <c r="D28" s="1"/>
      <c r="E28" s="1"/>
      <c r="F28" s="1"/>
      <c r="G28" s="3"/>
      <c r="H28" s="464"/>
      <c r="I28" s="441"/>
      <c r="J28" s="441"/>
      <c r="K28" s="441"/>
      <c r="L28" s="441"/>
      <c r="M28" s="440"/>
      <c r="N28" s="440"/>
      <c r="O28" s="441"/>
      <c r="P28" s="441"/>
      <c r="Q28" s="441"/>
      <c r="R28" s="441"/>
      <c r="S28" s="441"/>
      <c r="T28" s="1"/>
      <c r="U28" s="1"/>
      <c r="V28" s="1"/>
      <c r="W28" s="1"/>
      <c r="X28" s="1"/>
      <c r="Y28" s="1"/>
      <c r="Z28" s="1"/>
      <c r="AA28" s="1"/>
    </row>
    <row r="29" spans="2:27">
      <c r="B29" s="3"/>
      <c r="C29" s="1"/>
      <c r="D29" s="1"/>
      <c r="E29" s="1"/>
      <c r="F29" s="1"/>
      <c r="G29" s="3"/>
      <c r="H29" s="465"/>
      <c r="I29" s="466"/>
      <c r="J29" s="467"/>
      <c r="K29" s="467"/>
      <c r="L29" s="467">
        <f>SUM(L16:L27)</f>
        <v>0</v>
      </c>
      <c r="M29" s="468"/>
      <c r="N29" s="468"/>
      <c r="O29" s="466"/>
      <c r="P29" s="466"/>
      <c r="Q29" s="466"/>
      <c r="R29" s="466"/>
      <c r="S29" s="467">
        <f>+SUMIF(S16:S28,"&gt;0",S16:S28)</f>
        <v>0</v>
      </c>
      <c r="T29" s="1"/>
      <c r="U29" s="1"/>
      <c r="V29" s="467">
        <f>+L29</f>
        <v>0</v>
      </c>
      <c r="W29" s="467">
        <f>+S29</f>
        <v>0</v>
      </c>
      <c r="X29" s="467">
        <f>+V29+W29</f>
        <v>0</v>
      </c>
      <c r="Y29" s="1"/>
      <c r="Z29" s="1"/>
      <c r="AA29" s="1"/>
    </row>
    <row r="30" spans="2:27">
      <c r="B30" s="3"/>
      <c r="C30" s="1"/>
      <c r="D30" s="1"/>
      <c r="E30" s="1"/>
      <c r="F30" s="1"/>
      <c r="G30" s="3"/>
      <c r="H30" s="134"/>
      <c r="I30" s="441"/>
      <c r="J30" s="441"/>
      <c r="K30" s="441"/>
      <c r="L30" s="441"/>
      <c r="M30" s="440"/>
      <c r="N30" s="440"/>
      <c r="O30" s="441"/>
      <c r="P30" s="441"/>
      <c r="Q30" s="441"/>
      <c r="R30" s="441"/>
      <c r="S30" s="441"/>
      <c r="T30" s="1"/>
      <c r="U30" s="1"/>
      <c r="V30" s="1"/>
      <c r="W30" s="1"/>
      <c r="X30" s="1"/>
      <c r="Y30" s="1"/>
      <c r="Z30" s="1"/>
      <c r="AA30" s="1"/>
    </row>
    <row r="31" spans="2:27">
      <c r="B31" s="1"/>
      <c r="C31" s="1"/>
      <c r="D31" s="1"/>
      <c r="E31" s="1"/>
      <c r="F31" s="1"/>
      <c r="G31" s="3"/>
      <c r="H31" s="134"/>
      <c r="I31" s="441"/>
      <c r="J31" s="441"/>
      <c r="K31" s="441"/>
      <c r="L31" s="441"/>
      <c r="M31" s="440"/>
      <c r="N31" s="440"/>
      <c r="O31" s="441"/>
      <c r="P31" s="469"/>
      <c r="Q31" s="469"/>
      <c r="R31" s="469"/>
      <c r="S31" s="470" t="s">
        <v>568</v>
      </c>
      <c r="T31" s="471">
        <f>+L29+S29</f>
        <v>0</v>
      </c>
      <c r="U31" s="1"/>
      <c r="V31" s="1"/>
      <c r="W31" s="1"/>
      <c r="X31" s="1"/>
      <c r="Y31" s="1"/>
      <c r="Z31" s="1"/>
      <c r="AA31" s="1"/>
    </row>
    <row r="32" spans="2:27">
      <c r="B32" s="1"/>
      <c r="C32" s="472"/>
      <c r="D32" s="1"/>
      <c r="E32" s="1"/>
      <c r="F32" s="1"/>
      <c r="G32" s="3"/>
      <c r="H32" s="134"/>
      <c r="I32" s="441"/>
      <c r="J32" s="441"/>
      <c r="K32" s="441"/>
      <c r="L32" s="441"/>
      <c r="M32" s="440"/>
      <c r="N32" s="440"/>
      <c r="O32" s="441"/>
      <c r="P32" s="441"/>
      <c r="Q32" s="441"/>
      <c r="R32" s="441"/>
      <c r="S32" s="441"/>
      <c r="T32" s="1"/>
      <c r="U32" s="1"/>
      <c r="V32" s="1"/>
      <c r="W32" s="1"/>
      <c r="X32" s="1"/>
      <c r="Y32" s="1"/>
      <c r="Z32" s="1"/>
      <c r="AA32" s="1"/>
    </row>
    <row r="33" spans="2:27">
      <c r="B33" s="433"/>
      <c r="C33" s="433"/>
      <c r="D33" s="433"/>
      <c r="E33" s="433"/>
      <c r="F33" s="433"/>
      <c r="G33" s="433"/>
      <c r="H33" s="434"/>
      <c r="I33" s="435"/>
      <c r="J33" s="435"/>
      <c r="K33" s="435"/>
      <c r="L33" s="435"/>
      <c r="M33" s="436"/>
      <c r="N33" s="436"/>
      <c r="O33" s="435"/>
      <c r="P33" s="435"/>
      <c r="Q33" s="435"/>
      <c r="R33" s="435"/>
      <c r="S33" s="435"/>
      <c r="T33" s="1"/>
      <c r="U33" s="1"/>
      <c r="V33" s="1"/>
      <c r="W33" s="1"/>
      <c r="X33" s="1"/>
      <c r="Y33" s="1"/>
      <c r="Z33" s="1"/>
      <c r="AA33" s="1"/>
    </row>
    <row r="34" spans="2:27">
      <c r="B34" s="437"/>
      <c r="C34" s="437"/>
      <c r="D34" s="437"/>
      <c r="E34" s="437"/>
      <c r="F34" s="437"/>
      <c r="G34" s="437"/>
      <c r="H34" s="438"/>
      <c r="I34" s="439"/>
      <c r="J34" s="439"/>
      <c r="K34" s="439"/>
      <c r="L34" s="439"/>
      <c r="M34" s="440"/>
      <c r="N34" s="440"/>
      <c r="O34" s="441"/>
      <c r="P34" s="441"/>
      <c r="Q34" s="441"/>
      <c r="R34" s="441"/>
      <c r="S34" s="441"/>
      <c r="T34" s="1"/>
      <c r="U34" s="1"/>
      <c r="V34" s="1"/>
      <c r="W34" s="1"/>
      <c r="X34" s="1"/>
      <c r="Y34" s="1"/>
      <c r="Z34" s="1"/>
      <c r="AA34" s="1"/>
    </row>
    <row r="35" spans="2:27">
      <c r="B35" s="378" t="s">
        <v>563</v>
      </c>
      <c r="C35" s="378"/>
      <c r="D35" s="1"/>
      <c r="E35" s="378"/>
      <c r="F35" s="378"/>
      <c r="G35" s="381"/>
      <c r="H35" s="442"/>
      <c r="I35" s="443"/>
      <c r="J35" s="443"/>
      <c r="K35" s="443"/>
      <c r="L35" s="443"/>
      <c r="M35" s="440"/>
      <c r="N35" s="440"/>
      <c r="O35" s="441"/>
      <c r="P35" s="441"/>
      <c r="Q35" s="441"/>
      <c r="R35" s="441"/>
      <c r="S35" s="441"/>
      <c r="T35" s="1"/>
      <c r="U35" s="1"/>
      <c r="V35" s="1"/>
      <c r="W35" s="1"/>
      <c r="X35" s="1"/>
      <c r="Y35" s="1"/>
      <c r="Z35" s="1"/>
      <c r="AA35" s="1"/>
    </row>
    <row r="36" spans="2:27">
      <c r="B36" s="378" t="s">
        <v>564</v>
      </c>
      <c r="C36" s="378"/>
      <c r="D36" s="1"/>
      <c r="E36" s="378"/>
      <c r="F36" s="378"/>
      <c r="G36" s="381"/>
      <c r="H36" s="444"/>
      <c r="I36" s="441"/>
      <c r="J36" s="441"/>
      <c r="K36" s="441"/>
      <c r="L36" s="441"/>
      <c r="M36" s="440"/>
      <c r="N36" s="440"/>
      <c r="O36" s="441"/>
      <c r="P36" s="441"/>
      <c r="Q36" s="441"/>
      <c r="R36" s="441"/>
      <c r="S36" s="441"/>
      <c r="T36" s="1"/>
      <c r="U36" s="1"/>
      <c r="V36" s="1"/>
      <c r="W36" s="1"/>
      <c r="X36" s="1"/>
      <c r="Y36" s="1"/>
      <c r="Z36" s="1"/>
      <c r="AA36" s="1"/>
    </row>
    <row r="37" spans="2:27">
      <c r="B37" s="378" t="s">
        <v>565</v>
      </c>
      <c r="C37" s="378"/>
      <c r="D37" s="1"/>
      <c r="E37" s="378"/>
      <c r="F37" s="378"/>
      <c r="G37" s="381"/>
      <c r="H37" s="445"/>
      <c r="I37" s="441"/>
      <c r="J37" s="441"/>
      <c r="K37" s="441"/>
      <c r="L37" s="441"/>
      <c r="M37" s="440"/>
      <c r="N37" s="440"/>
      <c r="O37" s="441"/>
      <c r="P37" s="441"/>
      <c r="Q37" s="441"/>
      <c r="R37" s="441"/>
      <c r="S37" s="441"/>
      <c r="T37" s="1"/>
      <c r="U37" s="1"/>
      <c r="V37" s="1"/>
      <c r="W37" s="1"/>
      <c r="X37" s="1"/>
      <c r="Y37" s="1"/>
      <c r="Z37" s="1"/>
      <c r="AA37" s="1"/>
    </row>
    <row r="38" spans="2:27">
      <c r="B38" s="378" t="s">
        <v>566</v>
      </c>
      <c r="C38" s="378"/>
      <c r="D38" s="1"/>
      <c r="E38" s="378"/>
      <c r="F38" s="378"/>
      <c r="G38" s="381"/>
      <c r="H38" s="446"/>
      <c r="I38" s="441"/>
      <c r="J38" s="441"/>
      <c r="K38" s="441"/>
      <c r="L38" s="441"/>
      <c r="M38" s="440"/>
      <c r="N38" s="440"/>
      <c r="O38" s="441"/>
      <c r="P38" s="441"/>
      <c r="Q38" s="441"/>
      <c r="R38" s="441"/>
      <c r="S38" s="441"/>
      <c r="T38" s="1"/>
      <c r="U38" s="1"/>
      <c r="V38" s="1"/>
      <c r="W38" s="1"/>
      <c r="X38" s="1"/>
      <c r="Y38" s="1"/>
      <c r="Z38" s="1"/>
      <c r="AA38" s="1"/>
    </row>
    <row r="39" spans="2:27">
      <c r="B39" s="378"/>
      <c r="C39" s="378"/>
      <c r="D39" s="1"/>
      <c r="E39" s="381"/>
      <c r="F39" s="381"/>
      <c r="G39" s="381"/>
      <c r="H39" s="447"/>
      <c r="I39" s="441"/>
      <c r="J39" s="441"/>
      <c r="K39" s="441"/>
      <c r="L39" s="441"/>
      <c r="M39" s="440"/>
      <c r="N39" s="440"/>
      <c r="O39" s="441"/>
      <c r="P39" s="441"/>
      <c r="Q39" s="441"/>
      <c r="R39" s="441"/>
      <c r="S39" s="441"/>
      <c r="T39" s="1"/>
      <c r="U39" s="1"/>
      <c r="V39" s="1"/>
      <c r="W39" s="1"/>
      <c r="X39" s="1"/>
      <c r="Y39" s="1"/>
      <c r="Z39" s="1"/>
      <c r="AA39" s="1"/>
    </row>
    <row r="40" spans="2:27">
      <c r="B40" s="448" t="s">
        <v>567</v>
      </c>
      <c r="C40" s="448"/>
      <c r="D40" s="449"/>
      <c r="E40" s="449"/>
      <c r="F40" s="449"/>
      <c r="G40" s="449"/>
      <c r="H40" s="450"/>
      <c r="I40" s="451"/>
      <c r="J40" s="451"/>
      <c r="K40" s="451"/>
      <c r="L40" s="451"/>
      <c r="M40" s="452"/>
      <c r="N40" s="452"/>
      <c r="O40" s="451"/>
      <c r="P40" s="451"/>
      <c r="Q40" s="451"/>
      <c r="R40" s="451"/>
      <c r="S40" s="451"/>
      <c r="T40" s="1"/>
      <c r="U40" s="1"/>
      <c r="V40" s="1"/>
      <c r="W40" s="1"/>
      <c r="X40" s="1"/>
      <c r="Y40" s="1"/>
      <c r="Z40" s="1"/>
      <c r="AA40" s="1"/>
    </row>
    <row r="41" spans="2:27">
      <c r="B41" s="338"/>
      <c r="C41" s="324"/>
      <c r="D41" s="324"/>
      <c r="E41" s="324"/>
      <c r="F41" s="324"/>
      <c r="G41" s="338"/>
      <c r="H41" s="453"/>
      <c r="I41" s="454"/>
      <c r="J41" s="454"/>
      <c r="K41" s="454"/>
      <c r="L41" s="454"/>
      <c r="M41" s="440"/>
      <c r="N41" s="440"/>
      <c r="O41" s="441"/>
      <c r="P41" s="441"/>
      <c r="Q41" s="441"/>
      <c r="R41" s="441"/>
      <c r="S41" s="441"/>
      <c r="T41" s="1"/>
      <c r="U41" s="1"/>
      <c r="V41" s="1"/>
      <c r="W41" s="1"/>
      <c r="X41" s="1"/>
      <c r="Y41" s="1"/>
      <c r="Z41" s="1"/>
      <c r="AA41" s="1"/>
    </row>
    <row r="42" spans="2:27">
      <c r="B42" s="337"/>
      <c r="C42" s="67"/>
      <c r="D42" s="455"/>
      <c r="E42" s="325"/>
      <c r="F42" s="456"/>
      <c r="G42" s="457">
        <f>IF(E42=0,0,IF(E42="MXN",1/HLOOKUP(YEAR(D42)+(MONTH(D42)/100),TC!$5:$437,DAY(D42)+2,FALSE),VLOOKUP(E42,Equivalencia!$1:$23,((MAX(Equivalencia!$3:$3)-YEAR(D42))*14)+MONTH(D42)+2,FALSE)))</f>
        <v>0</v>
      </c>
      <c r="H42" s="458">
        <f>+G42*F42</f>
        <v>0</v>
      </c>
      <c r="I42" s="459">
        <f>H40+H42</f>
        <v>0</v>
      </c>
      <c r="J42" s="459">
        <f>+IF(H42&lt;0,0,IF(AND(H40&lt;0,I42&lt;0),0,IF(H40&lt;0,H42+H40,H42)))</f>
        <v>0</v>
      </c>
      <c r="K42" s="545">
        <f>+IF(D42=0,0,HLOOKUP(YEAR(D42)+(MONTH(D42)/100),TC!$5:$37,DAY(D42)+2,FALSE))</f>
        <v>0</v>
      </c>
      <c r="L42" s="459">
        <f>+J42*K42</f>
        <v>0</v>
      </c>
      <c r="M42" s="460"/>
      <c r="N42" s="460"/>
      <c r="O42" s="459">
        <f>IF(F42="",0,I42+M42+N42)</f>
        <v>0</v>
      </c>
      <c r="P42" s="461"/>
      <c r="Q42" s="479">
        <f>IF(O42=P42,0,IF(P42="",0,O42-P42))</f>
        <v>0</v>
      </c>
      <c r="R42" s="479"/>
      <c r="S42" s="459">
        <f>+IF(P42="",0,R42*Q42)</f>
        <v>0</v>
      </c>
      <c r="T42" s="1"/>
      <c r="U42" s="1"/>
      <c r="V42" s="1"/>
      <c r="W42" s="1"/>
      <c r="X42" s="1"/>
      <c r="Y42" s="1"/>
      <c r="Z42" s="1"/>
      <c r="AA42" s="1"/>
    </row>
    <row r="43" spans="2:27">
      <c r="B43" s="337"/>
      <c r="C43" s="462"/>
      <c r="D43" s="455"/>
      <c r="E43" s="325"/>
      <c r="F43" s="456"/>
      <c r="G43" s="457">
        <f>IF(E43=0,0,IF(E43="MXN",1/HLOOKUP(YEAR(D43)+(MONTH(D43)/100),TC!$5:$437,DAY(D43)+2,FALSE),VLOOKUP(E43,Equivalencia!$1:$23,((MAX(Equivalencia!$3:$3)-YEAR(D43))*14)+MONTH(D43)+2,FALSE)))</f>
        <v>0</v>
      </c>
      <c r="H43" s="458">
        <f t="shared" ref="H43:H53" si="8">+G43*F43</f>
        <v>0</v>
      </c>
      <c r="I43" s="459">
        <f t="shared" ref="I43:I53" si="9">I42+H43+Q42</f>
        <v>0</v>
      </c>
      <c r="J43" s="459">
        <f t="shared" ref="J43:J53" si="10">+IF(H43&lt;0,0,IF(AND(I42&lt;0,I43&lt;0),0,IF(I42&lt;0,H43+I42,H43)))</f>
        <v>0</v>
      </c>
      <c r="K43" s="545">
        <f>+IF(D43=0,0,HLOOKUP(YEAR(D43)+(MONTH(D43)/100),TC!$5:$37,DAY(D43)+2,FALSE))</f>
        <v>0</v>
      </c>
      <c r="L43" s="459">
        <f t="shared" ref="L43:L53" si="11">+J43*K43</f>
        <v>0</v>
      </c>
      <c r="M43" s="460"/>
      <c r="N43" s="460"/>
      <c r="O43" s="459">
        <f t="shared" ref="O43:O50" si="12">IF(F43="",0,H43+M43+N43+O42)</f>
        <v>0</v>
      </c>
      <c r="P43" s="461"/>
      <c r="Q43" s="479">
        <f t="shared" ref="Q43:Q53" si="13">IF(O43=P43,0,IF(P43="",0,O43-P43))</f>
        <v>0</v>
      </c>
      <c r="R43" s="479"/>
      <c r="S43" s="459">
        <f t="shared" ref="S43:S53" si="14">+IF(P43="",0,R43*Q43)</f>
        <v>0</v>
      </c>
      <c r="T43" s="1"/>
      <c r="U43" s="1"/>
      <c r="V43" s="1"/>
      <c r="W43" s="1"/>
      <c r="X43" s="1"/>
      <c r="Y43" s="1"/>
      <c r="Z43" s="1"/>
      <c r="AA43" s="1"/>
    </row>
    <row r="44" spans="2:27">
      <c r="B44" s="337"/>
      <c r="C44" s="462"/>
      <c r="D44" s="455"/>
      <c r="E44" s="325"/>
      <c r="F44" s="456"/>
      <c r="G44" s="457">
        <f>IF(E44=0,0,IF(E44="MXN",1/HLOOKUP(YEAR(D44)+(MONTH(D44)/100),TC!$5:$437,DAY(D44)+2,FALSE),VLOOKUP(E44,Equivalencia!$1:$23,((MAX(Equivalencia!$3:$3)-YEAR(D44))*14)+MONTH(D44)+2,FALSE)))</f>
        <v>0</v>
      </c>
      <c r="H44" s="458">
        <f t="shared" si="8"/>
        <v>0</v>
      </c>
      <c r="I44" s="459">
        <f t="shared" si="9"/>
        <v>0</v>
      </c>
      <c r="J44" s="459">
        <f t="shared" si="10"/>
        <v>0</v>
      </c>
      <c r="K44" s="545">
        <f>+IF(D44=0,0,HLOOKUP(YEAR(D44)+(MONTH(D44)/100),TC!$5:$37,DAY(D44)+2,FALSE))</f>
        <v>0</v>
      </c>
      <c r="L44" s="459">
        <f t="shared" si="11"/>
        <v>0</v>
      </c>
      <c r="M44" s="460"/>
      <c r="N44" s="460"/>
      <c r="O44" s="459">
        <f t="shared" si="12"/>
        <v>0</v>
      </c>
      <c r="P44" s="461"/>
      <c r="Q44" s="479">
        <f t="shared" si="13"/>
        <v>0</v>
      </c>
      <c r="R44" s="479"/>
      <c r="S44" s="459">
        <f t="shared" si="14"/>
        <v>0</v>
      </c>
      <c r="T44" s="1"/>
      <c r="U44" s="1"/>
      <c r="V44" s="1"/>
      <c r="W44" s="1"/>
      <c r="X44" s="1"/>
      <c r="Y44" s="1"/>
      <c r="Z44" s="1"/>
      <c r="AA44" s="1"/>
    </row>
    <row r="45" spans="2:27">
      <c r="B45" s="337"/>
      <c r="C45" s="462"/>
      <c r="D45" s="455"/>
      <c r="E45" s="325"/>
      <c r="F45" s="456"/>
      <c r="G45" s="457">
        <f>IF(E45=0,0,IF(E45="MXN",1/HLOOKUP(YEAR(D45)+(MONTH(D45)/100),TC!$5:$437,DAY(D45)+2,FALSE),VLOOKUP(E45,Equivalencia!$1:$23,((MAX(Equivalencia!$3:$3)-YEAR(D45))*14)+MONTH(D45)+2,FALSE)))</f>
        <v>0</v>
      </c>
      <c r="H45" s="458">
        <f t="shared" si="8"/>
        <v>0</v>
      </c>
      <c r="I45" s="459">
        <f t="shared" si="9"/>
        <v>0</v>
      </c>
      <c r="J45" s="459">
        <f t="shared" si="10"/>
        <v>0</v>
      </c>
      <c r="K45" s="545">
        <f>+IF(D45=0,0,HLOOKUP(YEAR(D45)+(MONTH(D45)/100),TC!$5:$37,DAY(D45)+2,FALSE))</f>
        <v>0</v>
      </c>
      <c r="L45" s="459">
        <f t="shared" si="11"/>
        <v>0</v>
      </c>
      <c r="M45" s="460"/>
      <c r="N45" s="460"/>
      <c r="O45" s="459">
        <f t="shared" si="12"/>
        <v>0</v>
      </c>
      <c r="P45" s="461"/>
      <c r="Q45" s="479">
        <f t="shared" si="13"/>
        <v>0</v>
      </c>
      <c r="R45" s="479"/>
      <c r="S45" s="459">
        <f t="shared" si="14"/>
        <v>0</v>
      </c>
      <c r="T45" s="1"/>
      <c r="U45" s="1"/>
      <c r="V45" s="1"/>
      <c r="W45" s="1"/>
      <c r="X45" s="1"/>
      <c r="Y45" s="1"/>
      <c r="Z45" s="1"/>
      <c r="AA45" s="1"/>
    </row>
    <row r="46" spans="2:27">
      <c r="B46" s="337"/>
      <c r="C46" s="463"/>
      <c r="D46" s="455"/>
      <c r="E46" s="325"/>
      <c r="F46" s="456"/>
      <c r="G46" s="457">
        <f>IF(E46=0,0,IF(E46="MXN",1/HLOOKUP(YEAR(D46)+(MONTH(D46)/100),TC!$5:$437,DAY(D46)+2,FALSE),VLOOKUP(E46,Equivalencia!$1:$23,((MAX(Equivalencia!$3:$3)-YEAR(D46))*14)+MONTH(D46)+2,FALSE)))</f>
        <v>0</v>
      </c>
      <c r="H46" s="458">
        <f t="shared" si="8"/>
        <v>0</v>
      </c>
      <c r="I46" s="459">
        <f t="shared" si="9"/>
        <v>0</v>
      </c>
      <c r="J46" s="459">
        <f t="shared" si="10"/>
        <v>0</v>
      </c>
      <c r="K46" s="545">
        <f>+IF(D46=0,0,HLOOKUP(YEAR(D46)+(MONTH(D46)/100),TC!$5:$37,DAY(D46)+2,FALSE))</f>
        <v>0</v>
      </c>
      <c r="L46" s="459">
        <f t="shared" si="11"/>
        <v>0</v>
      </c>
      <c r="M46" s="460"/>
      <c r="N46" s="460"/>
      <c r="O46" s="459">
        <f t="shared" si="12"/>
        <v>0</v>
      </c>
      <c r="P46" s="461"/>
      <c r="Q46" s="479">
        <f t="shared" si="13"/>
        <v>0</v>
      </c>
      <c r="R46" s="479"/>
      <c r="S46" s="459">
        <f t="shared" si="14"/>
        <v>0</v>
      </c>
      <c r="T46" s="1"/>
      <c r="U46" s="1"/>
      <c r="V46" s="1"/>
      <c r="W46" s="1"/>
      <c r="X46" s="1"/>
      <c r="Y46" s="1"/>
      <c r="Z46" s="1"/>
      <c r="AA46" s="1"/>
    </row>
    <row r="47" spans="2:27">
      <c r="B47" s="337"/>
      <c r="C47" s="463"/>
      <c r="D47" s="455"/>
      <c r="E47" s="325"/>
      <c r="F47" s="456"/>
      <c r="G47" s="457">
        <f>IF(E47=0,0,IF(E47="MXN",1/HLOOKUP(YEAR(D47)+(MONTH(D47)/100),TC!$5:$437,DAY(D47)+2,FALSE),VLOOKUP(E47,Equivalencia!$1:$23,((MAX(Equivalencia!$3:$3)-YEAR(D47))*14)+MONTH(D47)+2,FALSE)))</f>
        <v>0</v>
      </c>
      <c r="H47" s="458">
        <f t="shared" si="8"/>
        <v>0</v>
      </c>
      <c r="I47" s="459">
        <f t="shared" si="9"/>
        <v>0</v>
      </c>
      <c r="J47" s="459">
        <f t="shared" si="10"/>
        <v>0</v>
      </c>
      <c r="K47" s="545">
        <f>+IF(D47=0,0,HLOOKUP(YEAR(D47)+(MONTH(D47)/100),TC!$5:$37,DAY(D47)+2,FALSE))</f>
        <v>0</v>
      </c>
      <c r="L47" s="459">
        <f t="shared" si="11"/>
        <v>0</v>
      </c>
      <c r="M47" s="460"/>
      <c r="N47" s="460"/>
      <c r="O47" s="459">
        <f t="shared" si="12"/>
        <v>0</v>
      </c>
      <c r="P47" s="461"/>
      <c r="Q47" s="479">
        <f t="shared" si="13"/>
        <v>0</v>
      </c>
      <c r="R47" s="479"/>
      <c r="S47" s="459">
        <f t="shared" si="14"/>
        <v>0</v>
      </c>
      <c r="T47" s="1"/>
      <c r="U47" s="1"/>
      <c r="V47" s="1"/>
      <c r="W47" s="1"/>
      <c r="X47" s="1"/>
      <c r="Y47" s="1"/>
      <c r="Z47" s="1"/>
      <c r="AA47" s="1"/>
    </row>
    <row r="48" spans="2:27">
      <c r="B48" s="337"/>
      <c r="C48" s="463"/>
      <c r="D48" s="455"/>
      <c r="E48" s="325"/>
      <c r="F48" s="456"/>
      <c r="G48" s="457">
        <f>IF(E48=0,0,IF(E48="MXN",1/HLOOKUP(YEAR(D48)+(MONTH(D48)/100),TC!$5:$437,DAY(D48)+2,FALSE),VLOOKUP(E48,Equivalencia!$1:$23,((MAX(Equivalencia!$3:$3)-YEAR(D48))*14)+MONTH(D48)+2,FALSE)))</f>
        <v>0</v>
      </c>
      <c r="H48" s="458">
        <f t="shared" si="8"/>
        <v>0</v>
      </c>
      <c r="I48" s="459">
        <f t="shared" si="9"/>
        <v>0</v>
      </c>
      <c r="J48" s="459">
        <f t="shared" si="10"/>
        <v>0</v>
      </c>
      <c r="K48" s="545">
        <f>+IF(D48=0,0,HLOOKUP(YEAR(D48)+(MONTH(D48)/100),TC!$5:$37,DAY(D48)+2,FALSE))</f>
        <v>0</v>
      </c>
      <c r="L48" s="459">
        <f t="shared" si="11"/>
        <v>0</v>
      </c>
      <c r="M48" s="460"/>
      <c r="N48" s="460"/>
      <c r="O48" s="459">
        <f t="shared" si="12"/>
        <v>0</v>
      </c>
      <c r="P48" s="461"/>
      <c r="Q48" s="479">
        <f t="shared" si="13"/>
        <v>0</v>
      </c>
      <c r="R48" s="479"/>
      <c r="S48" s="459">
        <f t="shared" si="14"/>
        <v>0</v>
      </c>
      <c r="T48" s="1"/>
      <c r="U48" s="1"/>
      <c r="V48" s="1"/>
      <c r="W48" s="1"/>
      <c r="X48" s="1"/>
      <c r="Y48" s="1"/>
      <c r="Z48" s="1"/>
      <c r="AA48" s="1"/>
    </row>
    <row r="49" spans="2:27">
      <c r="B49" s="337"/>
      <c r="C49" s="463"/>
      <c r="D49" s="455"/>
      <c r="E49" s="325"/>
      <c r="F49" s="456"/>
      <c r="G49" s="457">
        <f>IF(E49=0,0,IF(E49="MXN",1/HLOOKUP(YEAR(D49)+(MONTH(D49)/100),TC!$5:$437,DAY(D49)+2,FALSE),VLOOKUP(E49,Equivalencia!$1:$23,((MAX(Equivalencia!$3:$3)-YEAR(D49))*14)+MONTH(D49)+2,FALSE)))</f>
        <v>0</v>
      </c>
      <c r="H49" s="458">
        <f t="shared" si="8"/>
        <v>0</v>
      </c>
      <c r="I49" s="459">
        <f t="shared" si="9"/>
        <v>0</v>
      </c>
      <c r="J49" s="459">
        <f t="shared" si="10"/>
        <v>0</v>
      </c>
      <c r="K49" s="545">
        <f>+IF(D49=0,0,HLOOKUP(YEAR(D49)+(MONTH(D49)/100),TC!$5:$37,DAY(D49)+2,FALSE))</f>
        <v>0</v>
      </c>
      <c r="L49" s="459">
        <f t="shared" si="11"/>
        <v>0</v>
      </c>
      <c r="M49" s="460"/>
      <c r="N49" s="460"/>
      <c r="O49" s="459">
        <f t="shared" si="12"/>
        <v>0</v>
      </c>
      <c r="P49" s="461"/>
      <c r="Q49" s="479">
        <f t="shared" si="13"/>
        <v>0</v>
      </c>
      <c r="R49" s="479"/>
      <c r="S49" s="459">
        <f t="shared" si="14"/>
        <v>0</v>
      </c>
      <c r="T49" s="1"/>
      <c r="U49" s="1"/>
      <c r="V49" s="1"/>
      <c r="W49" s="1"/>
      <c r="X49" s="1"/>
      <c r="Y49" s="1"/>
      <c r="Z49" s="1"/>
      <c r="AA49" s="1"/>
    </row>
    <row r="50" spans="2:27">
      <c r="B50" s="337"/>
      <c r="C50" s="463"/>
      <c r="D50" s="455"/>
      <c r="E50" s="325"/>
      <c r="F50" s="456"/>
      <c r="G50" s="457">
        <f>IF(E50=0,0,IF(E50="MXN",1/HLOOKUP(YEAR(D50)+(MONTH(D50)/100),TC!$5:$437,DAY(D50)+2,FALSE),VLOOKUP(E50,Equivalencia!$1:$23,((MAX(Equivalencia!$3:$3)-YEAR(D50))*14)+MONTH(D50)+2,FALSE)))</f>
        <v>0</v>
      </c>
      <c r="H50" s="458">
        <f t="shared" si="8"/>
        <v>0</v>
      </c>
      <c r="I50" s="459">
        <f t="shared" si="9"/>
        <v>0</v>
      </c>
      <c r="J50" s="459">
        <f t="shared" si="10"/>
        <v>0</v>
      </c>
      <c r="K50" s="545">
        <f>+IF(D50=0,0,HLOOKUP(YEAR(D50)+(MONTH(D50)/100),TC!$5:$37,DAY(D50)+2,FALSE))</f>
        <v>0</v>
      </c>
      <c r="L50" s="459">
        <f t="shared" si="11"/>
        <v>0</v>
      </c>
      <c r="M50" s="460"/>
      <c r="N50" s="460"/>
      <c r="O50" s="459">
        <f t="shared" si="12"/>
        <v>0</v>
      </c>
      <c r="P50" s="461"/>
      <c r="Q50" s="479">
        <f t="shared" si="13"/>
        <v>0</v>
      </c>
      <c r="R50" s="479"/>
      <c r="S50" s="459">
        <f t="shared" si="14"/>
        <v>0</v>
      </c>
      <c r="T50" s="1"/>
      <c r="U50" s="1"/>
      <c r="V50" s="1"/>
      <c r="W50" s="1"/>
      <c r="X50" s="1"/>
      <c r="Y50" s="1"/>
      <c r="Z50" s="1"/>
      <c r="AA50" s="1"/>
    </row>
    <row r="51" spans="2:27">
      <c r="B51" s="337"/>
      <c r="C51" s="463"/>
      <c r="D51" s="455"/>
      <c r="E51" s="325"/>
      <c r="F51" s="456"/>
      <c r="G51" s="457">
        <f>IF(E51=0,0,IF(E51="MXN",1/HLOOKUP(YEAR(D51)+(MONTH(D51)/100),TC!$5:$437,DAY(D51)+2,FALSE),VLOOKUP(E51,Equivalencia!$1:$23,((MAX(Equivalencia!$3:$3)-YEAR(D51))*14)+MONTH(D51)+2,FALSE)))</f>
        <v>0</v>
      </c>
      <c r="H51" s="458">
        <f t="shared" si="8"/>
        <v>0</v>
      </c>
      <c r="I51" s="459">
        <f t="shared" si="9"/>
        <v>0</v>
      </c>
      <c r="J51" s="459">
        <f t="shared" si="10"/>
        <v>0</v>
      </c>
      <c r="K51" s="545">
        <f>+IF(D51=0,0,HLOOKUP(YEAR(D51)+(MONTH(D51)/100),TC!$5:$37,DAY(D51)+2,FALSE))</f>
        <v>0</v>
      </c>
      <c r="L51" s="459">
        <f t="shared" si="11"/>
        <v>0</v>
      </c>
      <c r="M51" s="460"/>
      <c r="N51" s="460"/>
      <c r="O51" s="459">
        <f t="shared" ref="O51:O53" si="15">IF(F51="",0,H51+M51+N51+O50)</f>
        <v>0</v>
      </c>
      <c r="P51" s="461"/>
      <c r="Q51" s="479">
        <f t="shared" si="13"/>
        <v>0</v>
      </c>
      <c r="R51" s="479"/>
      <c r="S51" s="459">
        <f t="shared" si="14"/>
        <v>0</v>
      </c>
      <c r="T51" s="1"/>
      <c r="U51" s="1"/>
      <c r="V51" s="1"/>
      <c r="W51" s="1"/>
      <c r="X51" s="1"/>
      <c r="Y51" s="1"/>
      <c r="Z51" s="1"/>
      <c r="AA51" s="1"/>
    </row>
    <row r="52" spans="2:27">
      <c r="B52" s="337"/>
      <c r="C52" s="67"/>
      <c r="D52" s="603"/>
      <c r="E52" s="337"/>
      <c r="F52" s="604"/>
      <c r="G52" s="457">
        <f>IF(E52=0,0,IF(E52="MXN",1/HLOOKUP(YEAR(D52)+(MONTH(D52)/100),TC!$5:$437,DAY(D52)+2,FALSE),VLOOKUP(E52,Equivalencia!$1:$23,((MAX(Equivalencia!$3:$3)-YEAR(D52))*14)+MONTH(D52)+2,FALSE)))</f>
        <v>0</v>
      </c>
      <c r="H52" s="605">
        <f t="shared" si="8"/>
        <v>0</v>
      </c>
      <c r="I52" s="606">
        <f t="shared" si="9"/>
        <v>0</v>
      </c>
      <c r="J52" s="606">
        <f t="shared" si="10"/>
        <v>0</v>
      </c>
      <c r="K52" s="614">
        <f>+IF(D52=0,0,HLOOKUP(YEAR(D52)+(MONTH(D52)/100),TC!$5:$37,DAY(D52)+2,FALSE))</f>
        <v>0</v>
      </c>
      <c r="L52" s="606">
        <f t="shared" si="11"/>
        <v>0</v>
      </c>
      <c r="M52" s="460"/>
      <c r="N52" s="460"/>
      <c r="O52" s="459">
        <f t="shared" si="15"/>
        <v>0</v>
      </c>
      <c r="P52" s="461"/>
      <c r="Q52" s="479">
        <f t="shared" si="13"/>
        <v>0</v>
      </c>
      <c r="R52" s="479"/>
      <c r="S52" s="459">
        <f t="shared" si="14"/>
        <v>0</v>
      </c>
      <c r="T52" s="1"/>
      <c r="U52" s="1"/>
      <c r="V52" s="1"/>
      <c r="W52" s="1"/>
      <c r="X52" s="1"/>
      <c r="Y52" s="1"/>
      <c r="Z52" s="1"/>
      <c r="AA52" s="1"/>
    </row>
    <row r="53" spans="2:27">
      <c r="B53" s="607"/>
      <c r="C53" s="608"/>
      <c r="D53" s="609"/>
      <c r="E53" s="607"/>
      <c r="F53" s="610"/>
      <c r="G53" s="611">
        <f>IF(E53=0,0,IF(E53="MXN",1/HLOOKUP(YEAR(D53)+(MONTH(D53)/100),TC!$5:$437,DAY(D53)+2,FALSE),VLOOKUP(E53,Equivalencia!$1:$23,((MAX(Equivalencia!$3:$3)-YEAR(D53))*14)+MONTH(D53)+2,FALSE)))</f>
        <v>0</v>
      </c>
      <c r="H53" s="612">
        <f t="shared" si="8"/>
        <v>0</v>
      </c>
      <c r="I53" s="613">
        <f t="shared" si="9"/>
        <v>0</v>
      </c>
      <c r="J53" s="613">
        <f t="shared" si="10"/>
        <v>0</v>
      </c>
      <c r="K53" s="615">
        <f>+IF(D53=0,0,HLOOKUP(YEAR(D53)+(MONTH(D53)/100),TC!$5:$37,DAY(D53)+2,FALSE))</f>
        <v>0</v>
      </c>
      <c r="L53" s="613">
        <f t="shared" si="11"/>
        <v>0</v>
      </c>
      <c r="M53" s="460"/>
      <c r="N53" s="460"/>
      <c r="O53" s="459">
        <f t="shared" si="15"/>
        <v>0</v>
      </c>
      <c r="P53" s="461"/>
      <c r="Q53" s="479">
        <f t="shared" si="13"/>
        <v>0</v>
      </c>
      <c r="R53" s="479"/>
      <c r="S53" s="459">
        <f t="shared" si="14"/>
        <v>0</v>
      </c>
      <c r="T53" s="1"/>
      <c r="U53" s="1"/>
      <c r="V53" s="1"/>
      <c r="W53" s="1"/>
      <c r="X53" s="1"/>
      <c r="Y53" s="1"/>
      <c r="Z53" s="1"/>
      <c r="AA53" s="1"/>
    </row>
    <row r="54" spans="2:27">
      <c r="B54" s="3"/>
      <c r="C54" s="1"/>
      <c r="D54" s="1"/>
      <c r="E54" s="1"/>
      <c r="F54" s="1"/>
      <c r="G54" s="3"/>
      <c r="H54" s="464"/>
      <c r="I54" s="441"/>
      <c r="J54" s="441"/>
      <c r="K54" s="441"/>
      <c r="L54" s="441"/>
      <c r="M54" s="440"/>
      <c r="N54" s="440"/>
      <c r="O54" s="441"/>
      <c r="P54" s="441"/>
      <c r="Q54" s="441"/>
      <c r="R54" s="441"/>
      <c r="S54" s="441"/>
      <c r="T54" s="1"/>
      <c r="U54" s="1"/>
      <c r="V54" s="1"/>
      <c r="W54" s="1"/>
      <c r="X54" s="1"/>
      <c r="Y54" s="1"/>
      <c r="Z54" s="1"/>
      <c r="AA54" s="1"/>
    </row>
    <row r="55" spans="2:27">
      <c r="B55" s="3"/>
      <c r="C55" s="1"/>
      <c r="D55" s="1"/>
      <c r="E55" s="1"/>
      <c r="F55" s="1"/>
      <c r="G55" s="3"/>
      <c r="H55" s="465"/>
      <c r="I55" s="466"/>
      <c r="J55" s="467"/>
      <c r="K55" s="467"/>
      <c r="L55" s="467">
        <f>SUM(L42:L53)</f>
        <v>0</v>
      </c>
      <c r="M55" s="468"/>
      <c r="N55" s="468"/>
      <c r="O55" s="466"/>
      <c r="P55" s="466"/>
      <c r="Q55" s="466"/>
      <c r="R55" s="466"/>
      <c r="S55" s="467">
        <f>+SUMIF(S42:S54,"&gt;0",S42:S54)</f>
        <v>0</v>
      </c>
      <c r="T55" s="1"/>
      <c r="U55" s="1"/>
      <c r="V55" s="467">
        <f>+L55</f>
        <v>0</v>
      </c>
      <c r="W55" s="467">
        <f>+S55</f>
        <v>0</v>
      </c>
      <c r="X55" s="467">
        <f>+V55+W55</f>
        <v>0</v>
      </c>
      <c r="Y55" s="1"/>
      <c r="Z55" s="1"/>
      <c r="AA55" s="1"/>
    </row>
    <row r="56" spans="2:27">
      <c r="B56" s="3"/>
      <c r="C56" s="1"/>
      <c r="D56" s="1"/>
      <c r="E56" s="1"/>
      <c r="F56" s="1"/>
      <c r="G56" s="3"/>
      <c r="H56" s="134"/>
      <c r="I56" s="441"/>
      <c r="J56" s="441"/>
      <c r="K56" s="441"/>
      <c r="L56" s="441"/>
      <c r="M56" s="440"/>
      <c r="N56" s="440"/>
      <c r="O56" s="441"/>
      <c r="P56" s="441"/>
      <c r="Q56" s="441"/>
      <c r="R56" s="441"/>
      <c r="S56" s="441"/>
      <c r="T56" s="1"/>
      <c r="U56" s="1"/>
      <c r="V56" s="1"/>
      <c r="W56" s="1"/>
      <c r="X56" s="1"/>
      <c r="Y56" s="1"/>
      <c r="Z56" s="1"/>
      <c r="AA56" s="1"/>
    </row>
    <row r="57" spans="2:27">
      <c r="B57" s="1"/>
      <c r="C57" s="1"/>
      <c r="D57" s="1"/>
      <c r="E57" s="1"/>
      <c r="F57" s="1"/>
      <c r="G57" s="3"/>
      <c r="H57" s="134"/>
      <c r="I57" s="441"/>
      <c r="J57" s="441"/>
      <c r="K57" s="441"/>
      <c r="L57" s="441"/>
      <c r="M57" s="440"/>
      <c r="N57" s="440"/>
      <c r="O57" s="441"/>
      <c r="P57" s="469"/>
      <c r="Q57" s="469"/>
      <c r="R57" s="469"/>
      <c r="S57" s="470" t="s">
        <v>568</v>
      </c>
      <c r="T57" s="471">
        <f>+L55+S55</f>
        <v>0</v>
      </c>
      <c r="U57" s="1"/>
      <c r="V57" s="1"/>
      <c r="W57" s="1"/>
      <c r="X57" s="1"/>
      <c r="Y57" s="1"/>
      <c r="Z57" s="1"/>
      <c r="AA57" s="1"/>
    </row>
    <row r="58" spans="2:27">
      <c r="B58" s="1"/>
      <c r="C58" s="1"/>
      <c r="D58" s="1"/>
      <c r="E58" s="1"/>
      <c r="F58" s="1"/>
      <c r="G58" s="3"/>
      <c r="H58" s="134"/>
      <c r="I58" s="441"/>
      <c r="J58" s="441"/>
      <c r="K58" s="441"/>
      <c r="L58" s="441"/>
      <c r="M58" s="440"/>
      <c r="N58" s="440"/>
      <c r="O58" s="441"/>
      <c r="P58" s="441"/>
      <c r="Q58" s="441"/>
      <c r="R58" s="441"/>
      <c r="S58" s="441"/>
      <c r="T58" s="1"/>
      <c r="U58" s="1"/>
      <c r="V58" s="1"/>
      <c r="W58" s="1"/>
      <c r="X58" s="1"/>
      <c r="Y58" s="1"/>
      <c r="Z58" s="1"/>
      <c r="AA58" s="1"/>
    </row>
    <row r="59" spans="2:27">
      <c r="B59" s="433"/>
      <c r="C59" s="433"/>
      <c r="D59" s="433"/>
      <c r="E59" s="433"/>
      <c r="F59" s="433"/>
      <c r="G59" s="433"/>
      <c r="H59" s="434"/>
      <c r="I59" s="435"/>
      <c r="J59" s="435"/>
      <c r="K59" s="435"/>
      <c r="L59" s="435"/>
      <c r="M59" s="436"/>
      <c r="N59" s="436"/>
      <c r="O59" s="435"/>
      <c r="P59" s="435"/>
      <c r="Q59" s="435"/>
      <c r="R59" s="435"/>
      <c r="S59" s="435"/>
      <c r="T59" s="1"/>
      <c r="U59" s="1"/>
      <c r="V59" s="1"/>
      <c r="W59" s="1"/>
      <c r="X59" s="1"/>
      <c r="Y59" s="1"/>
      <c r="Z59" s="1"/>
      <c r="AA59" s="1"/>
    </row>
    <row r="60" spans="2:27">
      <c r="B60" s="437"/>
      <c r="C60" s="437"/>
      <c r="D60" s="437"/>
      <c r="E60" s="437"/>
      <c r="F60" s="437"/>
      <c r="G60" s="437"/>
      <c r="H60" s="438"/>
      <c r="I60" s="439"/>
      <c r="J60" s="439"/>
      <c r="K60" s="439"/>
      <c r="L60" s="439"/>
      <c r="M60" s="440"/>
      <c r="N60" s="440"/>
      <c r="O60" s="441"/>
      <c r="P60" s="441"/>
      <c r="Q60" s="441"/>
      <c r="R60" s="441"/>
      <c r="S60" s="441"/>
      <c r="T60" s="1"/>
      <c r="U60" s="1"/>
      <c r="V60" s="1"/>
      <c r="W60" s="1"/>
      <c r="X60" s="1"/>
      <c r="Y60" s="1"/>
      <c r="Z60" s="1"/>
      <c r="AA60" s="1"/>
    </row>
    <row r="61" spans="2:27">
      <c r="B61" s="378" t="s">
        <v>563</v>
      </c>
      <c r="C61" s="378"/>
      <c r="D61" s="1"/>
      <c r="E61" s="378"/>
      <c r="F61" s="378"/>
      <c r="G61" s="381"/>
      <c r="H61" s="442"/>
      <c r="I61" s="443"/>
      <c r="J61" s="443"/>
      <c r="K61" s="443"/>
      <c r="L61" s="443"/>
      <c r="M61" s="440"/>
      <c r="N61" s="440"/>
      <c r="O61" s="441"/>
      <c r="P61" s="441"/>
      <c r="Q61" s="441"/>
      <c r="R61" s="441"/>
      <c r="S61" s="441"/>
      <c r="T61" s="1"/>
      <c r="U61" s="1"/>
      <c r="V61" s="1"/>
      <c r="W61" s="1"/>
      <c r="X61" s="1"/>
      <c r="Y61" s="1"/>
      <c r="Z61" s="1"/>
      <c r="AA61" s="1"/>
    </row>
    <row r="62" spans="2:27">
      <c r="B62" s="378" t="s">
        <v>564</v>
      </c>
      <c r="C62" s="378"/>
      <c r="D62" s="1"/>
      <c r="E62" s="378"/>
      <c r="F62" s="378"/>
      <c r="G62" s="381"/>
      <c r="H62" s="444"/>
      <c r="I62" s="441"/>
      <c r="J62" s="441"/>
      <c r="K62" s="441"/>
      <c r="L62" s="441"/>
      <c r="M62" s="440"/>
      <c r="N62" s="440"/>
      <c r="O62" s="441"/>
      <c r="P62" s="441"/>
      <c r="Q62" s="441"/>
      <c r="R62" s="441"/>
      <c r="S62" s="441"/>
      <c r="T62" s="1"/>
      <c r="U62" s="1"/>
      <c r="V62" s="1"/>
      <c r="W62" s="1"/>
      <c r="X62" s="1"/>
      <c r="Y62" s="1"/>
      <c r="Z62" s="1"/>
      <c r="AA62" s="1"/>
    </row>
    <row r="63" spans="2:27">
      <c r="B63" s="378" t="s">
        <v>565</v>
      </c>
      <c r="C63" s="378"/>
      <c r="D63" s="1"/>
      <c r="E63" s="378"/>
      <c r="F63" s="378"/>
      <c r="G63" s="381"/>
      <c r="H63" s="445"/>
      <c r="I63" s="441"/>
      <c r="J63" s="441"/>
      <c r="K63" s="441"/>
      <c r="L63" s="441"/>
      <c r="M63" s="440"/>
      <c r="N63" s="440"/>
      <c r="O63" s="441"/>
      <c r="P63" s="441"/>
      <c r="Q63" s="441"/>
      <c r="R63" s="441"/>
      <c r="S63" s="441"/>
      <c r="T63" s="1"/>
      <c r="U63" s="1"/>
      <c r="V63" s="1"/>
      <c r="W63" s="1"/>
      <c r="X63" s="1"/>
      <c r="Y63" s="1"/>
      <c r="Z63" s="1"/>
      <c r="AA63" s="1"/>
    </row>
    <row r="64" spans="2:27">
      <c r="B64" s="378" t="s">
        <v>566</v>
      </c>
      <c r="C64" s="378"/>
      <c r="D64" s="1"/>
      <c r="E64" s="378"/>
      <c r="F64" s="378"/>
      <c r="G64" s="381"/>
      <c r="H64" s="446"/>
      <c r="I64" s="441"/>
      <c r="J64" s="441"/>
      <c r="K64" s="441"/>
      <c r="L64" s="441"/>
      <c r="M64" s="440"/>
      <c r="N64" s="440"/>
      <c r="O64" s="441"/>
      <c r="P64" s="441"/>
      <c r="Q64" s="441"/>
      <c r="R64" s="441"/>
      <c r="S64" s="441"/>
      <c r="T64" s="1"/>
      <c r="U64" s="1"/>
      <c r="V64" s="1"/>
      <c r="W64" s="1"/>
      <c r="X64" s="1"/>
      <c r="Y64" s="1"/>
      <c r="Z64" s="1"/>
      <c r="AA64" s="1"/>
    </row>
    <row r="65" spans="2:27">
      <c r="B65" s="378"/>
      <c r="C65" s="378"/>
      <c r="D65" s="1"/>
      <c r="E65" s="381"/>
      <c r="F65" s="381"/>
      <c r="G65" s="381"/>
      <c r="H65" s="447"/>
      <c r="I65" s="441"/>
      <c r="J65" s="441"/>
      <c r="K65" s="441"/>
      <c r="L65" s="441"/>
      <c r="M65" s="440"/>
      <c r="N65" s="440"/>
      <c r="O65" s="441"/>
      <c r="P65" s="441"/>
      <c r="Q65" s="441"/>
      <c r="R65" s="441"/>
      <c r="S65" s="441"/>
      <c r="T65" s="1"/>
      <c r="U65" s="1"/>
      <c r="V65" s="1"/>
      <c r="W65" s="1"/>
      <c r="X65" s="1"/>
      <c r="Y65" s="1"/>
      <c r="Z65" s="1"/>
      <c r="AA65" s="1"/>
    </row>
    <row r="66" spans="2:27">
      <c r="B66" s="448" t="s">
        <v>567</v>
      </c>
      <c r="C66" s="448"/>
      <c r="D66" s="449"/>
      <c r="E66" s="449"/>
      <c r="F66" s="449"/>
      <c r="G66" s="449"/>
      <c r="H66" s="450"/>
      <c r="I66" s="451"/>
      <c r="J66" s="451"/>
      <c r="K66" s="451"/>
      <c r="L66" s="451"/>
      <c r="M66" s="452"/>
      <c r="N66" s="452"/>
      <c r="O66" s="451"/>
      <c r="P66" s="451"/>
      <c r="Q66" s="451"/>
      <c r="R66" s="451"/>
      <c r="S66" s="451"/>
      <c r="T66" s="1"/>
      <c r="U66" s="1"/>
      <c r="V66" s="1"/>
      <c r="W66" s="1"/>
      <c r="X66" s="1"/>
      <c r="Y66" s="1"/>
      <c r="Z66" s="1"/>
      <c r="AA66" s="1"/>
    </row>
    <row r="67" spans="2:27">
      <c r="B67" s="338"/>
      <c r="C67" s="324"/>
      <c r="D67" s="324"/>
      <c r="E67" s="324"/>
      <c r="F67" s="324"/>
      <c r="G67" s="338"/>
      <c r="H67" s="453"/>
      <c r="I67" s="454"/>
      <c r="J67" s="454"/>
      <c r="K67" s="454"/>
      <c r="L67" s="454"/>
      <c r="M67" s="440"/>
      <c r="N67" s="440"/>
      <c r="O67" s="441"/>
      <c r="P67" s="441"/>
      <c r="Q67" s="441"/>
      <c r="R67" s="441"/>
      <c r="S67" s="441"/>
      <c r="T67" s="1"/>
      <c r="U67" s="1"/>
      <c r="V67" s="1"/>
      <c r="W67" s="1"/>
      <c r="X67" s="1"/>
      <c r="Y67" s="1"/>
      <c r="Z67" s="1"/>
      <c r="AA67" s="1"/>
    </row>
    <row r="68" spans="2:27">
      <c r="B68" s="337"/>
      <c r="C68" s="67"/>
      <c r="D68" s="455"/>
      <c r="E68" s="325"/>
      <c r="F68" s="456"/>
      <c r="G68" s="457">
        <f>IF(E68=0,0,IF(E68="MXN",1/HLOOKUP(YEAR(D68)+(MONTH(D68)/100),TC!$5:$437,DAY(D68)+2,FALSE),VLOOKUP(E68,Equivalencia!$1:$23,((MAX(Equivalencia!$3:$3)-YEAR(D68))*14)+MONTH(D68)+2,FALSE)))</f>
        <v>0</v>
      </c>
      <c r="H68" s="458">
        <f>+G68*F68</f>
        <v>0</v>
      </c>
      <c r="I68" s="459">
        <f>H66+H68</f>
        <v>0</v>
      </c>
      <c r="J68" s="459">
        <f>+IF(H68&lt;0,0,IF(AND(H66&lt;0,I68&lt;0),0,IF(H66&lt;0,H68+H66,H68)))</f>
        <v>0</v>
      </c>
      <c r="K68" s="545">
        <f>+IF(D68=0,0,HLOOKUP(YEAR(D68)+(MONTH(D68)/100),TC!$5:$37,DAY(D68)+2,FALSE))</f>
        <v>0</v>
      </c>
      <c r="L68" s="459">
        <f>+J68*K68</f>
        <v>0</v>
      </c>
      <c r="M68" s="460"/>
      <c r="N68" s="460"/>
      <c r="O68" s="459">
        <f>IF(F68="",0,I68+M68+N68)</f>
        <v>0</v>
      </c>
      <c r="P68" s="461"/>
      <c r="Q68" s="479">
        <f>IF(O68=P68,0,IF(P68="",0,O68-P68))</f>
        <v>0</v>
      </c>
      <c r="R68" s="479"/>
      <c r="S68" s="459">
        <f>+IF(P68="",0,R68*Q68)</f>
        <v>0</v>
      </c>
      <c r="T68" s="1"/>
      <c r="U68" s="1"/>
      <c r="V68" s="1"/>
      <c r="W68" s="1"/>
      <c r="X68" s="1"/>
      <c r="Y68" s="1"/>
      <c r="Z68" s="1"/>
      <c r="AA68" s="1"/>
    </row>
    <row r="69" spans="2:27">
      <c r="B69" s="337"/>
      <c r="C69" s="462"/>
      <c r="D69" s="455"/>
      <c r="E69" s="325"/>
      <c r="F69" s="456"/>
      <c r="G69" s="457">
        <f>IF(E69=0,0,IF(E69="MXN",1/HLOOKUP(YEAR(D69)+(MONTH(D69)/100),TC!$5:$437,DAY(D69)+2,FALSE),VLOOKUP(E69,Equivalencia!$1:$23,((MAX(Equivalencia!$3:$3)-YEAR(D69))*14)+MONTH(D69)+2,FALSE)))</f>
        <v>0</v>
      </c>
      <c r="H69" s="458">
        <f t="shared" ref="H69:H79" si="16">+G69*F69</f>
        <v>0</v>
      </c>
      <c r="I69" s="459">
        <f t="shared" ref="I69:I79" si="17">I68+H69+Q68</f>
        <v>0</v>
      </c>
      <c r="J69" s="459">
        <f t="shared" ref="J69:J79" si="18">+IF(H69&lt;0,0,IF(AND(I68&lt;0,I69&lt;0),0,IF(I68&lt;0,H69+I68,H69)))</f>
        <v>0</v>
      </c>
      <c r="K69" s="545">
        <f>+IF(D69=0,0,HLOOKUP(YEAR(D69)+(MONTH(D69)/100),TC!$5:$37,DAY(D69)+2,FALSE))</f>
        <v>0</v>
      </c>
      <c r="L69" s="459">
        <f t="shared" ref="L69:L79" si="19">+J69*K69</f>
        <v>0</v>
      </c>
      <c r="M69" s="460"/>
      <c r="N69" s="460"/>
      <c r="O69" s="459">
        <f t="shared" ref="O69:O76" si="20">IF(F69="",0,H69+M69+N69+O68)</f>
        <v>0</v>
      </c>
      <c r="P69" s="461"/>
      <c r="Q69" s="479">
        <f t="shared" ref="Q69:Q79" si="21">IF(O69=P69,0,IF(P69="",0,O69-P69))</f>
        <v>0</v>
      </c>
      <c r="R69" s="479"/>
      <c r="S69" s="459">
        <f t="shared" ref="S69:S79" si="22">+IF(P69="",0,R69*Q69)</f>
        <v>0</v>
      </c>
      <c r="T69" s="1"/>
      <c r="U69" s="1"/>
      <c r="V69" s="1"/>
      <c r="W69" s="1"/>
      <c r="X69" s="1"/>
      <c r="Y69" s="1"/>
      <c r="Z69" s="1"/>
      <c r="AA69" s="1"/>
    </row>
    <row r="70" spans="2:27">
      <c r="B70" s="337"/>
      <c r="C70" s="462"/>
      <c r="D70" s="455"/>
      <c r="E70" s="325"/>
      <c r="F70" s="456"/>
      <c r="G70" s="457">
        <f>IF(E70=0,0,IF(E70="MXN",1/HLOOKUP(YEAR(D70)+(MONTH(D70)/100),TC!$5:$437,DAY(D70)+2,FALSE),VLOOKUP(E70,Equivalencia!$1:$23,((MAX(Equivalencia!$3:$3)-YEAR(D70))*14)+MONTH(D70)+2,FALSE)))</f>
        <v>0</v>
      </c>
      <c r="H70" s="458">
        <f t="shared" si="16"/>
        <v>0</v>
      </c>
      <c r="I70" s="459">
        <f t="shared" si="17"/>
        <v>0</v>
      </c>
      <c r="J70" s="459">
        <f t="shared" si="18"/>
        <v>0</v>
      </c>
      <c r="K70" s="545">
        <f>+IF(D70=0,0,HLOOKUP(YEAR(D70)+(MONTH(D70)/100),TC!$5:$37,DAY(D70)+2,FALSE))</f>
        <v>0</v>
      </c>
      <c r="L70" s="459">
        <f t="shared" si="19"/>
        <v>0</v>
      </c>
      <c r="M70" s="460"/>
      <c r="N70" s="460"/>
      <c r="O70" s="459">
        <f t="shared" si="20"/>
        <v>0</v>
      </c>
      <c r="P70" s="461"/>
      <c r="Q70" s="479">
        <f t="shared" si="21"/>
        <v>0</v>
      </c>
      <c r="R70" s="479"/>
      <c r="S70" s="459">
        <f t="shared" si="22"/>
        <v>0</v>
      </c>
      <c r="T70" s="1"/>
      <c r="U70" s="1"/>
      <c r="V70" s="1"/>
      <c r="W70" s="1"/>
      <c r="X70" s="1"/>
      <c r="Y70" s="1"/>
      <c r="Z70" s="1"/>
      <c r="AA70" s="1"/>
    </row>
    <row r="71" spans="2:27">
      <c r="B71" s="337"/>
      <c r="C71" s="462"/>
      <c r="D71" s="455"/>
      <c r="E71" s="325"/>
      <c r="F71" s="456"/>
      <c r="G71" s="457">
        <f>IF(E71=0,0,IF(E71="MXN",1/HLOOKUP(YEAR(D71)+(MONTH(D71)/100),TC!$5:$437,DAY(D71)+2,FALSE),VLOOKUP(E71,Equivalencia!$1:$23,((MAX(Equivalencia!$3:$3)-YEAR(D71))*14)+MONTH(D71)+2,FALSE)))</f>
        <v>0</v>
      </c>
      <c r="H71" s="458">
        <f t="shared" si="16"/>
        <v>0</v>
      </c>
      <c r="I71" s="459">
        <f t="shared" si="17"/>
        <v>0</v>
      </c>
      <c r="J71" s="459">
        <f t="shared" si="18"/>
        <v>0</v>
      </c>
      <c r="K71" s="545">
        <f>+IF(D71=0,0,HLOOKUP(YEAR(D71)+(MONTH(D71)/100),TC!$5:$37,DAY(D71)+2,FALSE))</f>
        <v>0</v>
      </c>
      <c r="L71" s="459">
        <f t="shared" si="19"/>
        <v>0</v>
      </c>
      <c r="M71" s="460"/>
      <c r="N71" s="460"/>
      <c r="O71" s="459">
        <f t="shared" si="20"/>
        <v>0</v>
      </c>
      <c r="P71" s="461"/>
      <c r="Q71" s="479">
        <f t="shared" si="21"/>
        <v>0</v>
      </c>
      <c r="R71" s="479"/>
      <c r="S71" s="459">
        <f t="shared" si="22"/>
        <v>0</v>
      </c>
      <c r="T71" s="1"/>
      <c r="U71" s="1"/>
      <c r="V71" s="1"/>
      <c r="W71" s="1"/>
      <c r="X71" s="1"/>
      <c r="Y71" s="1"/>
      <c r="Z71" s="1"/>
      <c r="AA71" s="1"/>
    </row>
    <row r="72" spans="2:27">
      <c r="B72" s="337"/>
      <c r="C72" s="463"/>
      <c r="D72" s="455"/>
      <c r="E72" s="325"/>
      <c r="F72" s="456"/>
      <c r="G72" s="457">
        <f>IF(E72=0,0,IF(E72="MXN",1/HLOOKUP(YEAR(D72)+(MONTH(D72)/100),TC!$5:$437,DAY(D72)+2,FALSE),VLOOKUP(E72,Equivalencia!$1:$23,((MAX(Equivalencia!$3:$3)-YEAR(D72))*14)+MONTH(D72)+2,FALSE)))</f>
        <v>0</v>
      </c>
      <c r="H72" s="458">
        <f t="shared" si="16"/>
        <v>0</v>
      </c>
      <c r="I72" s="459">
        <f t="shared" si="17"/>
        <v>0</v>
      </c>
      <c r="J72" s="459">
        <f t="shared" si="18"/>
        <v>0</v>
      </c>
      <c r="K72" s="545">
        <f>+IF(D72=0,0,HLOOKUP(YEAR(D72)+(MONTH(D72)/100),TC!$5:$37,DAY(D72)+2,FALSE))</f>
        <v>0</v>
      </c>
      <c r="L72" s="459">
        <f t="shared" si="19"/>
        <v>0</v>
      </c>
      <c r="M72" s="460"/>
      <c r="N72" s="460"/>
      <c r="O72" s="459">
        <f t="shared" si="20"/>
        <v>0</v>
      </c>
      <c r="P72" s="461"/>
      <c r="Q72" s="479">
        <f t="shared" si="21"/>
        <v>0</v>
      </c>
      <c r="R72" s="479"/>
      <c r="S72" s="459">
        <f t="shared" si="22"/>
        <v>0</v>
      </c>
      <c r="T72" s="1"/>
      <c r="U72" s="1"/>
      <c r="V72" s="1"/>
      <c r="W72" s="1"/>
      <c r="X72" s="1"/>
      <c r="Y72" s="1"/>
      <c r="Z72" s="1"/>
      <c r="AA72" s="1"/>
    </row>
    <row r="73" spans="2:27">
      <c r="B73" s="337"/>
      <c r="C73" s="463"/>
      <c r="D73" s="455"/>
      <c r="E73" s="325"/>
      <c r="F73" s="456"/>
      <c r="G73" s="457">
        <f>IF(E73=0,0,IF(E73="MXN",1/HLOOKUP(YEAR(D73)+(MONTH(D73)/100),TC!$5:$437,DAY(D73)+2,FALSE),VLOOKUP(E73,Equivalencia!$1:$23,((MAX(Equivalencia!$3:$3)-YEAR(D73))*14)+MONTH(D73)+2,FALSE)))</f>
        <v>0</v>
      </c>
      <c r="H73" s="458">
        <f t="shared" si="16"/>
        <v>0</v>
      </c>
      <c r="I73" s="459">
        <f t="shared" si="17"/>
        <v>0</v>
      </c>
      <c r="J73" s="459">
        <f t="shared" si="18"/>
        <v>0</v>
      </c>
      <c r="K73" s="545">
        <f>+IF(D73=0,0,HLOOKUP(YEAR(D73)+(MONTH(D73)/100),TC!$5:$37,DAY(D73)+2,FALSE))</f>
        <v>0</v>
      </c>
      <c r="L73" s="459">
        <f t="shared" si="19"/>
        <v>0</v>
      </c>
      <c r="M73" s="460"/>
      <c r="N73" s="460"/>
      <c r="O73" s="459">
        <f t="shared" si="20"/>
        <v>0</v>
      </c>
      <c r="P73" s="461"/>
      <c r="Q73" s="479">
        <f t="shared" si="21"/>
        <v>0</v>
      </c>
      <c r="R73" s="479"/>
      <c r="S73" s="459">
        <f t="shared" si="22"/>
        <v>0</v>
      </c>
      <c r="T73" s="1"/>
      <c r="U73" s="1"/>
      <c r="V73" s="1"/>
      <c r="W73" s="1"/>
      <c r="X73" s="1"/>
      <c r="Y73" s="1"/>
      <c r="Z73" s="1"/>
      <c r="AA73" s="1"/>
    </row>
    <row r="74" spans="2:27">
      <c r="B74" s="337"/>
      <c r="C74" s="463"/>
      <c r="D74" s="455"/>
      <c r="E74" s="325"/>
      <c r="F74" s="456"/>
      <c r="G74" s="457">
        <f>IF(E74=0,0,IF(E74="MXN",1/HLOOKUP(YEAR(D74)+(MONTH(D74)/100),TC!$5:$437,DAY(D74)+2,FALSE),VLOOKUP(E74,Equivalencia!$1:$23,((MAX(Equivalencia!$3:$3)-YEAR(D74))*14)+MONTH(D74)+2,FALSE)))</f>
        <v>0</v>
      </c>
      <c r="H74" s="458">
        <f t="shared" si="16"/>
        <v>0</v>
      </c>
      <c r="I74" s="459">
        <f t="shared" si="17"/>
        <v>0</v>
      </c>
      <c r="J74" s="459">
        <f t="shared" si="18"/>
        <v>0</v>
      </c>
      <c r="K74" s="545">
        <f>+IF(D74=0,0,HLOOKUP(YEAR(D74)+(MONTH(D74)/100),TC!$5:$37,DAY(D74)+2,FALSE))</f>
        <v>0</v>
      </c>
      <c r="L74" s="459">
        <f t="shared" si="19"/>
        <v>0</v>
      </c>
      <c r="M74" s="460"/>
      <c r="N74" s="460"/>
      <c r="O74" s="459">
        <f t="shared" si="20"/>
        <v>0</v>
      </c>
      <c r="P74" s="461"/>
      <c r="Q74" s="479">
        <f t="shared" si="21"/>
        <v>0</v>
      </c>
      <c r="R74" s="479"/>
      <c r="S74" s="459">
        <f t="shared" si="22"/>
        <v>0</v>
      </c>
      <c r="T74" s="1"/>
      <c r="U74" s="1"/>
      <c r="V74" s="1"/>
      <c r="W74" s="1"/>
      <c r="X74" s="1"/>
      <c r="Y74" s="1"/>
      <c r="Z74" s="1"/>
      <c r="AA74" s="1"/>
    </row>
    <row r="75" spans="2:27">
      <c r="B75" s="337"/>
      <c r="C75" s="463"/>
      <c r="D75" s="455"/>
      <c r="E75" s="325"/>
      <c r="F75" s="456"/>
      <c r="G75" s="457">
        <f>IF(E75=0,0,IF(E75="MXN",1/HLOOKUP(YEAR(D75)+(MONTH(D75)/100),TC!$5:$437,DAY(D75)+2,FALSE),VLOOKUP(E75,Equivalencia!$1:$23,((MAX(Equivalencia!$3:$3)-YEAR(D75))*14)+MONTH(D75)+2,FALSE)))</f>
        <v>0</v>
      </c>
      <c r="H75" s="458">
        <f t="shared" si="16"/>
        <v>0</v>
      </c>
      <c r="I75" s="459">
        <f t="shared" si="17"/>
        <v>0</v>
      </c>
      <c r="J75" s="459">
        <f t="shared" si="18"/>
        <v>0</v>
      </c>
      <c r="K75" s="545">
        <f>+IF(D75=0,0,HLOOKUP(YEAR(D75)+(MONTH(D75)/100),TC!$5:$37,DAY(D75)+2,FALSE))</f>
        <v>0</v>
      </c>
      <c r="L75" s="459">
        <f t="shared" si="19"/>
        <v>0</v>
      </c>
      <c r="M75" s="460"/>
      <c r="N75" s="460"/>
      <c r="O75" s="459">
        <f t="shared" si="20"/>
        <v>0</v>
      </c>
      <c r="P75" s="461"/>
      <c r="Q75" s="479">
        <f t="shared" si="21"/>
        <v>0</v>
      </c>
      <c r="R75" s="479"/>
      <c r="S75" s="459">
        <f t="shared" si="22"/>
        <v>0</v>
      </c>
      <c r="T75" s="1"/>
      <c r="U75" s="1"/>
      <c r="V75" s="1"/>
      <c r="W75" s="1"/>
      <c r="X75" s="1"/>
      <c r="Y75" s="1"/>
      <c r="Z75" s="1"/>
      <c r="AA75" s="1"/>
    </row>
    <row r="76" spans="2:27">
      <c r="B76" s="337"/>
      <c r="C76" s="463"/>
      <c r="D76" s="455"/>
      <c r="E76" s="325"/>
      <c r="F76" s="456"/>
      <c r="G76" s="457">
        <f>IF(E76=0,0,IF(E76="MXN",1/HLOOKUP(YEAR(D76)+(MONTH(D76)/100),TC!$5:$437,DAY(D76)+2,FALSE),VLOOKUP(E76,Equivalencia!$1:$23,((MAX(Equivalencia!$3:$3)-YEAR(D76))*14)+MONTH(D76)+2,FALSE)))</f>
        <v>0</v>
      </c>
      <c r="H76" s="458">
        <f t="shared" si="16"/>
        <v>0</v>
      </c>
      <c r="I76" s="459">
        <f t="shared" si="17"/>
        <v>0</v>
      </c>
      <c r="J76" s="459">
        <f t="shared" si="18"/>
        <v>0</v>
      </c>
      <c r="K76" s="545">
        <f>+IF(D76=0,0,HLOOKUP(YEAR(D76)+(MONTH(D76)/100),TC!$5:$37,DAY(D76)+2,FALSE))</f>
        <v>0</v>
      </c>
      <c r="L76" s="459">
        <f t="shared" si="19"/>
        <v>0</v>
      </c>
      <c r="M76" s="460"/>
      <c r="N76" s="460"/>
      <c r="O76" s="459">
        <f t="shared" si="20"/>
        <v>0</v>
      </c>
      <c r="P76" s="461"/>
      <c r="Q76" s="479">
        <f t="shared" si="21"/>
        <v>0</v>
      </c>
      <c r="R76" s="479"/>
      <c r="S76" s="459">
        <f t="shared" si="22"/>
        <v>0</v>
      </c>
      <c r="T76" s="1"/>
      <c r="U76" s="1"/>
      <c r="V76" s="1"/>
      <c r="W76" s="1"/>
      <c r="X76" s="1"/>
      <c r="Y76" s="1"/>
      <c r="Z76" s="1"/>
      <c r="AA76" s="1"/>
    </row>
    <row r="77" spans="2:27">
      <c r="B77" s="337"/>
      <c r="C77" s="463"/>
      <c r="D77" s="455"/>
      <c r="E77" s="325"/>
      <c r="F77" s="456"/>
      <c r="G77" s="457">
        <f>IF(E77=0,0,IF(E77="MXN",1/HLOOKUP(YEAR(D77)+(MONTH(D77)/100),TC!$5:$437,DAY(D77)+2,FALSE),VLOOKUP(E77,Equivalencia!$1:$23,((MAX(Equivalencia!$3:$3)-YEAR(D77))*14)+MONTH(D77)+2,FALSE)))</f>
        <v>0</v>
      </c>
      <c r="H77" s="458">
        <f t="shared" si="16"/>
        <v>0</v>
      </c>
      <c r="I77" s="459">
        <f t="shared" si="17"/>
        <v>0</v>
      </c>
      <c r="J77" s="459">
        <f t="shared" si="18"/>
        <v>0</v>
      </c>
      <c r="K77" s="545">
        <f>+IF(D77=0,0,HLOOKUP(YEAR(D77)+(MONTH(D77)/100),TC!$5:$37,DAY(D77)+2,FALSE))</f>
        <v>0</v>
      </c>
      <c r="L77" s="459">
        <f t="shared" si="19"/>
        <v>0</v>
      </c>
      <c r="M77" s="460"/>
      <c r="N77" s="460"/>
      <c r="O77" s="459">
        <f t="shared" ref="O77:O79" si="23">IF(F77="",0,H77+M77+N77+O76)</f>
        <v>0</v>
      </c>
      <c r="P77" s="461"/>
      <c r="Q77" s="479">
        <f t="shared" si="21"/>
        <v>0</v>
      </c>
      <c r="R77" s="479"/>
      <c r="S77" s="459">
        <f t="shared" si="22"/>
        <v>0</v>
      </c>
      <c r="T77" s="1"/>
      <c r="U77" s="1"/>
      <c r="V77" s="1"/>
      <c r="W77" s="1"/>
      <c r="X77" s="1"/>
      <c r="Y77" s="1"/>
      <c r="Z77" s="1"/>
      <c r="AA77" s="1"/>
    </row>
    <row r="78" spans="2:27">
      <c r="B78" s="337"/>
      <c r="C78" s="67"/>
      <c r="D78" s="603"/>
      <c r="E78" s="337"/>
      <c r="F78" s="604"/>
      <c r="G78" s="457">
        <f>IF(E78=0,0,IF(E78="MXN",1/HLOOKUP(YEAR(D78)+(MONTH(D78)/100),TC!$5:$437,DAY(D78)+2,FALSE),VLOOKUP(E78,Equivalencia!$1:$23,((MAX(Equivalencia!$3:$3)-YEAR(D78))*14)+MONTH(D78)+2,FALSE)))</f>
        <v>0</v>
      </c>
      <c r="H78" s="605">
        <f t="shared" si="16"/>
        <v>0</v>
      </c>
      <c r="I78" s="606">
        <f t="shared" si="17"/>
        <v>0</v>
      </c>
      <c r="J78" s="606">
        <f t="shared" si="18"/>
        <v>0</v>
      </c>
      <c r="K78" s="545">
        <f>+IF(D78=0,0,HLOOKUP(YEAR(D78)+(MONTH(D78)/100),TC!$5:$37,DAY(D78)+2,FALSE))</f>
        <v>0</v>
      </c>
      <c r="L78" s="459">
        <f t="shared" si="19"/>
        <v>0</v>
      </c>
      <c r="M78" s="460"/>
      <c r="N78" s="460"/>
      <c r="O78" s="459">
        <f t="shared" si="23"/>
        <v>0</v>
      </c>
      <c r="P78" s="461"/>
      <c r="Q78" s="479">
        <f t="shared" si="21"/>
        <v>0</v>
      </c>
      <c r="R78" s="479"/>
      <c r="S78" s="459">
        <f t="shared" si="22"/>
        <v>0</v>
      </c>
      <c r="T78" s="1"/>
      <c r="U78" s="1"/>
      <c r="V78" s="1"/>
      <c r="W78" s="1"/>
      <c r="X78" s="1"/>
      <c r="Y78" s="1"/>
      <c r="Z78" s="1"/>
      <c r="AA78" s="1"/>
    </row>
    <row r="79" spans="2:27">
      <c r="B79" s="607"/>
      <c r="C79" s="608"/>
      <c r="D79" s="609"/>
      <c r="E79" s="607"/>
      <c r="F79" s="610"/>
      <c r="G79" s="611">
        <f>IF(E79=0,0,IF(E79="MXN",1/HLOOKUP(YEAR(D79)+(MONTH(D79)/100),TC!$5:$437,DAY(D79)+2,FALSE),VLOOKUP(E79,Equivalencia!$1:$23,((MAX(Equivalencia!$3:$3)-YEAR(D79))*14)+MONTH(D79)+2,FALSE)))</f>
        <v>0</v>
      </c>
      <c r="H79" s="612">
        <f t="shared" si="16"/>
        <v>0</v>
      </c>
      <c r="I79" s="613">
        <f t="shared" si="17"/>
        <v>0</v>
      </c>
      <c r="J79" s="613">
        <f t="shared" si="18"/>
        <v>0</v>
      </c>
      <c r="K79" s="545">
        <f>+IF(D79=0,0,HLOOKUP(YEAR(D79)+(MONTH(D79)/100),TC!$5:$37,DAY(D79)+2,FALSE))</f>
        <v>0</v>
      </c>
      <c r="L79" s="459">
        <f t="shared" si="19"/>
        <v>0</v>
      </c>
      <c r="M79" s="460"/>
      <c r="N79" s="460"/>
      <c r="O79" s="459">
        <f t="shared" si="23"/>
        <v>0</v>
      </c>
      <c r="P79" s="461"/>
      <c r="Q79" s="479">
        <f t="shared" si="21"/>
        <v>0</v>
      </c>
      <c r="R79" s="479"/>
      <c r="S79" s="459">
        <f t="shared" si="22"/>
        <v>0</v>
      </c>
      <c r="T79" s="1"/>
      <c r="U79" s="1"/>
      <c r="V79" s="1"/>
      <c r="W79" s="1"/>
      <c r="X79" s="1"/>
      <c r="Y79" s="1"/>
      <c r="Z79" s="1"/>
      <c r="AA79" s="1"/>
    </row>
    <row r="80" spans="2:27">
      <c r="B80" s="3"/>
      <c r="C80" s="1"/>
      <c r="D80" s="1"/>
      <c r="E80" s="1"/>
      <c r="F80" s="1"/>
      <c r="G80" s="3"/>
      <c r="H80" s="464"/>
      <c r="I80" s="441"/>
      <c r="J80" s="441"/>
      <c r="K80" s="441"/>
      <c r="L80" s="441"/>
      <c r="M80" s="440"/>
      <c r="N80" s="440"/>
      <c r="O80" s="441"/>
      <c r="P80" s="441"/>
      <c r="Q80" s="441"/>
      <c r="R80" s="441"/>
      <c r="S80" s="441"/>
      <c r="T80" s="1"/>
      <c r="U80" s="1"/>
      <c r="V80" s="1"/>
      <c r="W80" s="1"/>
      <c r="X80" s="1"/>
      <c r="Y80" s="1"/>
      <c r="Z80" s="1"/>
      <c r="AA80" s="1"/>
    </row>
    <row r="81" spans="2:27">
      <c r="B81" s="3"/>
      <c r="C81" s="1"/>
      <c r="D81" s="1"/>
      <c r="E81" s="1"/>
      <c r="F81" s="1"/>
      <c r="G81" s="3"/>
      <c r="H81" s="465"/>
      <c r="I81" s="466"/>
      <c r="J81" s="467"/>
      <c r="K81" s="467"/>
      <c r="L81" s="467">
        <f>SUM(L68:L79)</f>
        <v>0</v>
      </c>
      <c r="M81" s="468"/>
      <c r="N81" s="468"/>
      <c r="O81" s="466"/>
      <c r="P81" s="466"/>
      <c r="Q81" s="466"/>
      <c r="R81" s="466"/>
      <c r="S81" s="467">
        <f>+SUMIF(S68:S80,"&gt;0",S68:S80)</f>
        <v>0</v>
      </c>
      <c r="T81" s="1"/>
      <c r="U81" s="1"/>
      <c r="V81" s="467">
        <f>+L81</f>
        <v>0</v>
      </c>
      <c r="W81" s="467">
        <f>+S81</f>
        <v>0</v>
      </c>
      <c r="X81" s="467">
        <f>+V81+W81</f>
        <v>0</v>
      </c>
      <c r="Y81" s="1"/>
      <c r="Z81" s="1"/>
      <c r="AA81" s="1"/>
    </row>
    <row r="82" spans="2:27">
      <c r="B82" s="3"/>
      <c r="C82" s="1"/>
      <c r="D82" s="1"/>
      <c r="E82" s="1"/>
      <c r="F82" s="1"/>
      <c r="G82" s="3"/>
      <c r="H82" s="134"/>
      <c r="I82" s="441"/>
      <c r="J82" s="441"/>
      <c r="K82" s="441"/>
      <c r="L82" s="441"/>
      <c r="M82" s="440"/>
      <c r="N82" s="440"/>
      <c r="O82" s="441"/>
      <c r="P82" s="441"/>
      <c r="Q82" s="441"/>
      <c r="R82" s="441"/>
      <c r="S82" s="441"/>
      <c r="T82" s="1"/>
      <c r="U82" s="1"/>
      <c r="V82" s="1"/>
      <c r="W82" s="1"/>
      <c r="X82" s="1"/>
      <c r="Y82" s="1"/>
      <c r="Z82" s="1"/>
      <c r="AA82" s="1"/>
    </row>
    <row r="83" spans="2:27">
      <c r="B83" s="1"/>
      <c r="C83" s="1"/>
      <c r="D83" s="1"/>
      <c r="E83" s="1"/>
      <c r="F83" s="1"/>
      <c r="G83" s="3"/>
      <c r="H83" s="134"/>
      <c r="I83" s="441"/>
      <c r="J83" s="441"/>
      <c r="K83" s="441"/>
      <c r="L83" s="441"/>
      <c r="M83" s="440"/>
      <c r="N83" s="440"/>
      <c r="O83" s="441"/>
      <c r="P83" s="469"/>
      <c r="Q83" s="469"/>
      <c r="R83" s="469"/>
      <c r="S83" s="470" t="s">
        <v>568</v>
      </c>
      <c r="T83" s="471">
        <f>+L81+S81</f>
        <v>0</v>
      </c>
      <c r="U83" s="1"/>
      <c r="V83" s="1"/>
      <c r="W83" s="1"/>
      <c r="X83" s="1"/>
      <c r="Y83" s="1"/>
      <c r="Z83" s="1"/>
      <c r="AA83" s="1"/>
    </row>
    <row r="84" spans="2:27">
      <c r="B84" s="1"/>
      <c r="C84" s="1"/>
      <c r="D84" s="1"/>
      <c r="E84" s="1"/>
      <c r="F84" s="1"/>
      <c r="G84" s="3"/>
      <c r="H84" s="134"/>
      <c r="I84" s="441"/>
      <c r="J84" s="441"/>
      <c r="K84" s="441"/>
      <c r="L84" s="441"/>
      <c r="M84" s="440"/>
      <c r="N84" s="440"/>
      <c r="O84" s="441"/>
      <c r="P84" s="441"/>
      <c r="Q84" s="441"/>
      <c r="R84" s="441"/>
      <c r="S84" s="441"/>
      <c r="T84" s="1"/>
      <c r="U84" s="1"/>
      <c r="V84" s="1"/>
      <c r="W84" s="1"/>
      <c r="X84" s="1"/>
      <c r="Y84" s="1"/>
      <c r="Z84" s="1"/>
      <c r="AA84" s="1"/>
    </row>
    <row r="85" spans="2:27">
      <c r="B85" s="433"/>
      <c r="C85" s="433"/>
      <c r="D85" s="433"/>
      <c r="E85" s="433"/>
      <c r="F85" s="433"/>
      <c r="G85" s="433"/>
      <c r="H85" s="434"/>
      <c r="I85" s="435"/>
      <c r="J85" s="435"/>
      <c r="K85" s="435"/>
      <c r="L85" s="435"/>
      <c r="M85" s="436"/>
      <c r="N85" s="436"/>
      <c r="O85" s="435"/>
      <c r="P85" s="435"/>
      <c r="Q85" s="435"/>
      <c r="R85" s="435"/>
      <c r="S85" s="435"/>
      <c r="T85" s="1"/>
      <c r="U85" s="1"/>
      <c r="V85" s="1"/>
      <c r="W85" s="1"/>
      <c r="X85" s="1"/>
      <c r="Y85" s="1"/>
      <c r="Z85" s="1"/>
      <c r="AA85" s="1"/>
    </row>
    <row r="86" spans="2:27">
      <c r="B86" s="437"/>
      <c r="C86" s="437"/>
      <c r="D86" s="437"/>
      <c r="E86" s="437"/>
      <c r="F86" s="437"/>
      <c r="G86" s="437"/>
      <c r="H86" s="438"/>
      <c r="I86" s="439"/>
      <c r="J86" s="439"/>
      <c r="K86" s="439"/>
      <c r="L86" s="439"/>
      <c r="M86" s="440"/>
      <c r="N86" s="440"/>
      <c r="O86" s="441"/>
      <c r="P86" s="441"/>
      <c r="Q86" s="441"/>
      <c r="R86" s="441"/>
      <c r="S86" s="441"/>
      <c r="T86" s="1"/>
      <c r="U86" s="1"/>
      <c r="V86" s="1"/>
      <c r="W86" s="1"/>
      <c r="X86" s="1"/>
      <c r="Y86" s="1"/>
      <c r="Z86" s="1"/>
      <c r="AA86" s="1"/>
    </row>
    <row r="87" spans="2:27">
      <c r="B87" s="378" t="s">
        <v>563</v>
      </c>
      <c r="C87" s="378"/>
      <c r="D87" s="1"/>
      <c r="E87" s="378"/>
      <c r="F87" s="378"/>
      <c r="G87" s="381"/>
      <c r="H87" s="442"/>
      <c r="I87" s="443"/>
      <c r="J87" s="443"/>
      <c r="K87" s="443"/>
      <c r="L87" s="443"/>
      <c r="M87" s="440"/>
      <c r="N87" s="440"/>
      <c r="O87" s="441"/>
      <c r="P87" s="441"/>
      <c r="Q87" s="441"/>
      <c r="R87" s="441"/>
      <c r="S87" s="441"/>
      <c r="T87" s="1"/>
      <c r="U87" s="1"/>
      <c r="V87" s="1"/>
      <c r="W87" s="1"/>
      <c r="X87" s="1"/>
      <c r="Y87" s="1"/>
      <c r="Z87" s="1"/>
      <c r="AA87" s="1"/>
    </row>
    <row r="88" spans="2:27">
      <c r="B88" s="378" t="s">
        <v>564</v>
      </c>
      <c r="C88" s="378"/>
      <c r="D88" s="1"/>
      <c r="E88" s="378"/>
      <c r="F88" s="378"/>
      <c r="G88" s="381"/>
      <c r="H88" s="444"/>
      <c r="I88" s="441"/>
      <c r="J88" s="441"/>
      <c r="K88" s="441"/>
      <c r="L88" s="441"/>
      <c r="M88" s="440"/>
      <c r="N88" s="440"/>
      <c r="O88" s="441"/>
      <c r="P88" s="441"/>
      <c r="Q88" s="441"/>
      <c r="R88" s="441"/>
      <c r="S88" s="441"/>
      <c r="T88" s="1"/>
      <c r="U88" s="1"/>
      <c r="V88" s="1"/>
      <c r="W88" s="1"/>
      <c r="X88" s="1"/>
      <c r="Y88" s="1"/>
      <c r="Z88" s="1"/>
      <c r="AA88" s="1"/>
    </row>
    <row r="89" spans="2:27">
      <c r="B89" s="378" t="s">
        <v>565</v>
      </c>
      <c r="C89" s="378"/>
      <c r="D89" s="1"/>
      <c r="E89" s="378"/>
      <c r="F89" s="378"/>
      <c r="G89" s="381"/>
      <c r="H89" s="445"/>
      <c r="I89" s="441"/>
      <c r="J89" s="441"/>
      <c r="K89" s="441"/>
      <c r="L89" s="441"/>
      <c r="M89" s="440"/>
      <c r="N89" s="440"/>
      <c r="O89" s="441"/>
      <c r="P89" s="441"/>
      <c r="Q89" s="441"/>
      <c r="R89" s="441"/>
      <c r="S89" s="441"/>
      <c r="T89" s="1"/>
      <c r="U89" s="1"/>
      <c r="V89" s="1"/>
      <c r="W89" s="1"/>
      <c r="X89" s="1"/>
      <c r="Y89" s="1"/>
      <c r="Z89" s="1"/>
      <c r="AA89" s="1"/>
    </row>
    <row r="90" spans="2:27">
      <c r="B90" s="378" t="s">
        <v>566</v>
      </c>
      <c r="C90" s="378"/>
      <c r="D90" s="1"/>
      <c r="E90" s="378"/>
      <c r="F90" s="378"/>
      <c r="G90" s="381"/>
      <c r="H90" s="446"/>
      <c r="I90" s="441"/>
      <c r="J90" s="441"/>
      <c r="K90" s="441"/>
      <c r="L90" s="441"/>
      <c r="M90" s="440"/>
      <c r="N90" s="440"/>
      <c r="O90" s="441"/>
      <c r="P90" s="441"/>
      <c r="Q90" s="441"/>
      <c r="R90" s="441"/>
      <c r="S90" s="441"/>
      <c r="T90" s="1"/>
      <c r="U90" s="1"/>
      <c r="V90" s="1"/>
      <c r="W90" s="1"/>
      <c r="X90" s="1"/>
      <c r="Y90" s="1"/>
      <c r="Z90" s="1"/>
      <c r="AA90" s="1"/>
    </row>
    <row r="91" spans="2:27">
      <c r="B91" s="378"/>
      <c r="C91" s="378"/>
      <c r="D91" s="1"/>
      <c r="E91" s="381"/>
      <c r="F91" s="381"/>
      <c r="G91" s="381"/>
      <c r="H91" s="447"/>
      <c r="I91" s="441"/>
      <c r="J91" s="441"/>
      <c r="K91" s="441"/>
      <c r="L91" s="441"/>
      <c r="M91" s="440"/>
      <c r="N91" s="440"/>
      <c r="O91" s="441"/>
      <c r="P91" s="441"/>
      <c r="Q91" s="441"/>
      <c r="R91" s="441"/>
      <c r="S91" s="441"/>
      <c r="T91" s="1"/>
      <c r="U91" s="1"/>
      <c r="V91" s="1"/>
      <c r="W91" s="1"/>
      <c r="X91" s="1"/>
      <c r="Y91" s="1"/>
      <c r="Z91" s="1"/>
      <c r="AA91" s="1"/>
    </row>
    <row r="92" spans="2:27">
      <c r="B92" s="448" t="s">
        <v>567</v>
      </c>
      <c r="C92" s="448"/>
      <c r="D92" s="449"/>
      <c r="E92" s="449"/>
      <c r="F92" s="449"/>
      <c r="G92" s="449"/>
      <c r="H92" s="450"/>
      <c r="I92" s="451"/>
      <c r="J92" s="451"/>
      <c r="K92" s="451"/>
      <c r="L92" s="451"/>
      <c r="M92" s="452"/>
      <c r="N92" s="452"/>
      <c r="O92" s="451"/>
      <c r="P92" s="451"/>
      <c r="Q92" s="451"/>
      <c r="R92" s="451"/>
      <c r="S92" s="451"/>
      <c r="T92" s="1"/>
      <c r="U92" s="1"/>
      <c r="V92" s="1"/>
      <c r="W92" s="1"/>
      <c r="X92" s="1"/>
      <c r="Y92" s="1"/>
      <c r="Z92" s="1"/>
      <c r="AA92" s="1"/>
    </row>
    <row r="93" spans="2:27">
      <c r="B93" s="338"/>
      <c r="C93" s="324"/>
      <c r="D93" s="324"/>
      <c r="E93" s="324"/>
      <c r="F93" s="324"/>
      <c r="G93" s="338"/>
      <c r="H93" s="453"/>
      <c r="I93" s="454"/>
      <c r="J93" s="454"/>
      <c r="K93" s="454"/>
      <c r="L93" s="454"/>
      <c r="M93" s="440"/>
      <c r="N93" s="440"/>
      <c r="O93" s="441"/>
      <c r="P93" s="441"/>
      <c r="Q93" s="441"/>
      <c r="R93" s="441"/>
      <c r="S93" s="441"/>
      <c r="T93" s="1"/>
      <c r="U93" s="1"/>
      <c r="V93" s="1"/>
      <c r="W93" s="1"/>
      <c r="X93" s="1"/>
      <c r="Y93" s="1"/>
      <c r="Z93" s="1"/>
      <c r="AA93" s="1"/>
    </row>
    <row r="94" spans="2:27">
      <c r="B94" s="337"/>
      <c r="C94" s="67"/>
      <c r="D94" s="455"/>
      <c r="E94" s="325"/>
      <c r="F94" s="456"/>
      <c r="G94" s="457">
        <f>IF(E94=0,0,IF(E94="MXN",1/HLOOKUP(YEAR(D94)+(MONTH(D94)/100),TC!$5:$437,DAY(D94)+2,FALSE),VLOOKUP(E94,Equivalencia!$1:$23,((MAX(Equivalencia!$3:$3)-YEAR(D94))*14)+MONTH(D94)+2,FALSE)))</f>
        <v>0</v>
      </c>
      <c r="H94" s="458">
        <f>+G94*F94</f>
        <v>0</v>
      </c>
      <c r="I94" s="459">
        <f>H92+H94</f>
        <v>0</v>
      </c>
      <c r="J94" s="459">
        <f>+IF(H94&lt;0,0,IF(AND(H92&lt;0,I94&lt;0),0,IF(H92&lt;0,H94+H92,H94)))</f>
        <v>0</v>
      </c>
      <c r="K94" s="545">
        <f>+IF(D94=0,0,HLOOKUP(YEAR(D94)+(MONTH(D94)/100),TC!$5:$37,DAY(D94)+2,FALSE))</f>
        <v>0</v>
      </c>
      <c r="L94" s="459">
        <f>+J94*K94</f>
        <v>0</v>
      </c>
      <c r="M94" s="460"/>
      <c r="N94" s="460"/>
      <c r="O94" s="459">
        <f>IF(F94="",0,I94+M94+N94)</f>
        <v>0</v>
      </c>
      <c r="P94" s="461"/>
      <c r="Q94" s="479">
        <f>IF(O94=P94,0,IF(P94="",0,O94-P94))</f>
        <v>0</v>
      </c>
      <c r="R94" s="479"/>
      <c r="S94" s="459">
        <f>+IF(P94="",0,R94*Q94)</f>
        <v>0</v>
      </c>
      <c r="T94" s="1"/>
      <c r="U94" s="1"/>
      <c r="V94" s="1"/>
      <c r="W94" s="1"/>
      <c r="X94" s="1"/>
      <c r="Y94" s="1"/>
      <c r="Z94" s="1"/>
      <c r="AA94" s="1"/>
    </row>
    <row r="95" spans="2:27">
      <c r="B95" s="337"/>
      <c r="C95" s="462"/>
      <c r="D95" s="455"/>
      <c r="E95" s="325"/>
      <c r="F95" s="456"/>
      <c r="G95" s="457">
        <f>IF(E95=0,0,IF(E95="MXN",1/HLOOKUP(YEAR(D95)+(MONTH(D95)/100),TC!$5:$437,DAY(D95)+2,FALSE),VLOOKUP(E95,Equivalencia!$1:$23,((MAX(Equivalencia!$3:$3)-YEAR(D95))*14)+MONTH(D95)+2,FALSE)))</f>
        <v>0</v>
      </c>
      <c r="H95" s="458">
        <f t="shared" ref="H95:H105" si="24">+G95*F95</f>
        <v>0</v>
      </c>
      <c r="I95" s="459">
        <f t="shared" ref="I95:I105" si="25">I94+H95+Q94</f>
        <v>0</v>
      </c>
      <c r="J95" s="459">
        <f t="shared" ref="J95:J105" si="26">+IF(H95&lt;0,0,IF(AND(I94&lt;0,I95&lt;0),0,IF(I94&lt;0,H95+I94,H95)))</f>
        <v>0</v>
      </c>
      <c r="K95" s="545">
        <f>+IF(D95=0,0,HLOOKUP(YEAR(D95)+(MONTH(D95)/100),TC!$5:$37,DAY(D95)+2,FALSE))</f>
        <v>0</v>
      </c>
      <c r="L95" s="459">
        <f t="shared" ref="L95:L105" si="27">+J95*K95</f>
        <v>0</v>
      </c>
      <c r="M95" s="460"/>
      <c r="N95" s="460"/>
      <c r="O95" s="459">
        <f t="shared" ref="O95:O102" si="28">IF(F95="",0,H95+M95+N95+O94)</f>
        <v>0</v>
      </c>
      <c r="P95" s="461"/>
      <c r="Q95" s="479">
        <f t="shared" ref="Q95:Q105" si="29">IF(O95=P95,0,IF(P95="",0,O95-P95))</f>
        <v>0</v>
      </c>
      <c r="R95" s="479"/>
      <c r="S95" s="459">
        <f t="shared" ref="S95:S105" si="30">+IF(P95="",0,R95*Q95)</f>
        <v>0</v>
      </c>
      <c r="T95" s="1"/>
      <c r="U95" s="1"/>
      <c r="V95" s="1"/>
      <c r="W95" s="1"/>
      <c r="X95" s="1"/>
      <c r="Y95" s="1"/>
      <c r="Z95" s="1"/>
      <c r="AA95" s="1"/>
    </row>
    <row r="96" spans="2:27">
      <c r="B96" s="337"/>
      <c r="C96" s="462"/>
      <c r="D96" s="455"/>
      <c r="E96" s="325"/>
      <c r="F96" s="456"/>
      <c r="G96" s="457">
        <f>IF(E96=0,0,IF(E96="MXN",1/HLOOKUP(YEAR(D96)+(MONTH(D96)/100),TC!$5:$437,DAY(D96)+2,FALSE),VLOOKUP(E96,Equivalencia!$1:$23,((MAX(Equivalencia!$3:$3)-YEAR(D96))*14)+MONTH(D96)+2,FALSE)))</f>
        <v>0</v>
      </c>
      <c r="H96" s="458">
        <f t="shared" si="24"/>
        <v>0</v>
      </c>
      <c r="I96" s="459">
        <f t="shared" si="25"/>
        <v>0</v>
      </c>
      <c r="J96" s="459">
        <f t="shared" si="26"/>
        <v>0</v>
      </c>
      <c r="K96" s="545">
        <f>+IF(D96=0,0,HLOOKUP(YEAR(D96)+(MONTH(D96)/100),TC!$5:$37,DAY(D96)+2,FALSE))</f>
        <v>0</v>
      </c>
      <c r="L96" s="459">
        <f t="shared" si="27"/>
        <v>0</v>
      </c>
      <c r="M96" s="460"/>
      <c r="N96" s="460"/>
      <c r="O96" s="459">
        <f t="shared" si="28"/>
        <v>0</v>
      </c>
      <c r="P96" s="461"/>
      <c r="Q96" s="479">
        <f t="shared" si="29"/>
        <v>0</v>
      </c>
      <c r="R96" s="479"/>
      <c r="S96" s="459">
        <f t="shared" si="30"/>
        <v>0</v>
      </c>
      <c r="T96" s="1"/>
      <c r="U96" s="1"/>
      <c r="V96" s="1"/>
      <c r="W96" s="1"/>
      <c r="X96" s="1"/>
      <c r="Y96" s="1"/>
      <c r="Z96" s="1"/>
      <c r="AA96" s="1"/>
    </row>
    <row r="97" spans="2:27">
      <c r="B97" s="337"/>
      <c r="C97" s="462"/>
      <c r="D97" s="455"/>
      <c r="E97" s="325"/>
      <c r="F97" s="456"/>
      <c r="G97" s="457">
        <f>IF(E97=0,0,IF(E97="MXN",1/HLOOKUP(YEAR(D97)+(MONTH(D97)/100),TC!$5:$437,DAY(D97)+2,FALSE),VLOOKUP(E97,Equivalencia!$1:$23,((MAX(Equivalencia!$3:$3)-YEAR(D97))*14)+MONTH(D97)+2,FALSE)))</f>
        <v>0</v>
      </c>
      <c r="H97" s="458">
        <f t="shared" si="24"/>
        <v>0</v>
      </c>
      <c r="I97" s="459">
        <f t="shared" si="25"/>
        <v>0</v>
      </c>
      <c r="J97" s="459">
        <f t="shared" si="26"/>
        <v>0</v>
      </c>
      <c r="K97" s="545">
        <f>+IF(D97=0,0,HLOOKUP(YEAR(D97)+(MONTH(D97)/100),TC!$5:$37,DAY(D97)+2,FALSE))</f>
        <v>0</v>
      </c>
      <c r="L97" s="459">
        <f t="shared" si="27"/>
        <v>0</v>
      </c>
      <c r="M97" s="460"/>
      <c r="N97" s="460"/>
      <c r="O97" s="459">
        <f t="shared" si="28"/>
        <v>0</v>
      </c>
      <c r="P97" s="461"/>
      <c r="Q97" s="479">
        <f t="shared" si="29"/>
        <v>0</v>
      </c>
      <c r="R97" s="479"/>
      <c r="S97" s="459">
        <f t="shared" si="30"/>
        <v>0</v>
      </c>
      <c r="T97" s="1"/>
      <c r="U97" s="1"/>
      <c r="V97" s="1"/>
      <c r="W97" s="1"/>
      <c r="X97" s="1"/>
      <c r="Y97" s="1"/>
      <c r="Z97" s="1"/>
      <c r="AA97" s="1"/>
    </row>
    <row r="98" spans="2:27">
      <c r="B98" s="337"/>
      <c r="C98" s="463"/>
      <c r="D98" s="455"/>
      <c r="E98" s="325"/>
      <c r="F98" s="456"/>
      <c r="G98" s="457">
        <f>IF(E98=0,0,IF(E98="MXN",1/HLOOKUP(YEAR(D98)+(MONTH(D98)/100),TC!$5:$437,DAY(D98)+2,FALSE),VLOOKUP(E98,Equivalencia!$1:$23,((MAX(Equivalencia!$3:$3)-YEAR(D98))*14)+MONTH(D98)+2,FALSE)))</f>
        <v>0</v>
      </c>
      <c r="H98" s="458">
        <f t="shared" si="24"/>
        <v>0</v>
      </c>
      <c r="I98" s="459">
        <f t="shared" si="25"/>
        <v>0</v>
      </c>
      <c r="J98" s="459">
        <f t="shared" si="26"/>
        <v>0</v>
      </c>
      <c r="K98" s="545">
        <f>+IF(D98=0,0,HLOOKUP(YEAR(D98)+(MONTH(D98)/100),TC!$5:$37,DAY(D98)+2,FALSE))</f>
        <v>0</v>
      </c>
      <c r="L98" s="459">
        <f t="shared" si="27"/>
        <v>0</v>
      </c>
      <c r="M98" s="460"/>
      <c r="N98" s="460"/>
      <c r="O98" s="459">
        <f t="shared" si="28"/>
        <v>0</v>
      </c>
      <c r="P98" s="461"/>
      <c r="Q98" s="479">
        <f t="shared" si="29"/>
        <v>0</v>
      </c>
      <c r="R98" s="479"/>
      <c r="S98" s="459">
        <f t="shared" si="30"/>
        <v>0</v>
      </c>
      <c r="T98" s="1"/>
      <c r="U98" s="1"/>
      <c r="V98" s="1"/>
      <c r="W98" s="1"/>
      <c r="X98" s="1"/>
      <c r="Y98" s="1"/>
      <c r="Z98" s="1"/>
      <c r="AA98" s="1"/>
    </row>
    <row r="99" spans="2:27">
      <c r="B99" s="337"/>
      <c r="C99" s="463"/>
      <c r="D99" s="455"/>
      <c r="E99" s="325"/>
      <c r="F99" s="456"/>
      <c r="G99" s="457">
        <f>IF(E99=0,0,IF(E99="MXN",1/HLOOKUP(YEAR(D99)+(MONTH(D99)/100),TC!$5:$437,DAY(D99)+2,FALSE),VLOOKUP(E99,Equivalencia!$1:$23,((MAX(Equivalencia!$3:$3)-YEAR(D99))*14)+MONTH(D99)+2,FALSE)))</f>
        <v>0</v>
      </c>
      <c r="H99" s="458">
        <f t="shared" si="24"/>
        <v>0</v>
      </c>
      <c r="I99" s="459">
        <f t="shared" si="25"/>
        <v>0</v>
      </c>
      <c r="J99" s="459">
        <f t="shared" si="26"/>
        <v>0</v>
      </c>
      <c r="K99" s="545">
        <f>+IF(D99=0,0,HLOOKUP(YEAR(D99)+(MONTH(D99)/100),TC!$5:$37,DAY(D99)+2,FALSE))</f>
        <v>0</v>
      </c>
      <c r="L99" s="459">
        <f t="shared" si="27"/>
        <v>0</v>
      </c>
      <c r="M99" s="460"/>
      <c r="N99" s="460"/>
      <c r="O99" s="459">
        <f t="shared" si="28"/>
        <v>0</v>
      </c>
      <c r="P99" s="461"/>
      <c r="Q99" s="479">
        <f t="shared" si="29"/>
        <v>0</v>
      </c>
      <c r="R99" s="479"/>
      <c r="S99" s="459">
        <f t="shared" si="30"/>
        <v>0</v>
      </c>
      <c r="T99" s="1"/>
      <c r="U99" s="1"/>
      <c r="V99" s="1"/>
      <c r="W99" s="1"/>
      <c r="X99" s="1"/>
      <c r="Y99" s="1"/>
      <c r="Z99" s="1"/>
      <c r="AA99" s="1"/>
    </row>
    <row r="100" spans="2:27">
      <c r="B100" s="337"/>
      <c r="C100" s="463"/>
      <c r="D100" s="455"/>
      <c r="E100" s="325"/>
      <c r="F100" s="456"/>
      <c r="G100" s="457">
        <f>IF(E100=0,0,IF(E100="MXN",1/HLOOKUP(YEAR(D100)+(MONTH(D100)/100),TC!$5:$437,DAY(D100)+2,FALSE),VLOOKUP(E100,Equivalencia!$1:$23,((MAX(Equivalencia!$3:$3)-YEAR(D100))*14)+MONTH(D100)+2,FALSE)))</f>
        <v>0</v>
      </c>
      <c r="H100" s="458">
        <f t="shared" si="24"/>
        <v>0</v>
      </c>
      <c r="I100" s="459">
        <f t="shared" si="25"/>
        <v>0</v>
      </c>
      <c r="J100" s="459">
        <f t="shared" si="26"/>
        <v>0</v>
      </c>
      <c r="K100" s="545">
        <f>+IF(D100=0,0,HLOOKUP(YEAR(D100)+(MONTH(D100)/100),TC!$5:$37,DAY(D100)+2,FALSE))</f>
        <v>0</v>
      </c>
      <c r="L100" s="459">
        <f t="shared" si="27"/>
        <v>0</v>
      </c>
      <c r="M100" s="460"/>
      <c r="N100" s="460"/>
      <c r="O100" s="459">
        <f t="shared" si="28"/>
        <v>0</v>
      </c>
      <c r="P100" s="461"/>
      <c r="Q100" s="479">
        <f t="shared" si="29"/>
        <v>0</v>
      </c>
      <c r="R100" s="479"/>
      <c r="S100" s="459">
        <f t="shared" si="30"/>
        <v>0</v>
      </c>
      <c r="T100" s="1"/>
      <c r="U100" s="1"/>
      <c r="V100" s="1"/>
      <c r="W100" s="1"/>
      <c r="X100" s="1"/>
      <c r="Y100" s="1"/>
      <c r="Z100" s="1"/>
      <c r="AA100" s="1"/>
    </row>
    <row r="101" spans="2:27">
      <c r="B101" s="337"/>
      <c r="C101" s="463"/>
      <c r="D101" s="455"/>
      <c r="E101" s="325"/>
      <c r="F101" s="456"/>
      <c r="G101" s="457">
        <f>IF(E101=0,0,IF(E101="MXN",1/HLOOKUP(YEAR(D101)+(MONTH(D101)/100),TC!$5:$437,DAY(D101)+2,FALSE),VLOOKUP(E101,Equivalencia!$1:$23,((MAX(Equivalencia!$3:$3)-YEAR(D101))*14)+MONTH(D101)+2,FALSE)))</f>
        <v>0</v>
      </c>
      <c r="H101" s="458">
        <f t="shared" si="24"/>
        <v>0</v>
      </c>
      <c r="I101" s="459">
        <f t="shared" si="25"/>
        <v>0</v>
      </c>
      <c r="J101" s="459">
        <f t="shared" si="26"/>
        <v>0</v>
      </c>
      <c r="K101" s="545">
        <f>+IF(D101=0,0,HLOOKUP(YEAR(D101)+(MONTH(D101)/100),TC!$5:$37,DAY(D101)+2,FALSE))</f>
        <v>0</v>
      </c>
      <c r="L101" s="459">
        <f t="shared" si="27"/>
        <v>0</v>
      </c>
      <c r="M101" s="460"/>
      <c r="N101" s="460"/>
      <c r="O101" s="459">
        <f t="shared" si="28"/>
        <v>0</v>
      </c>
      <c r="P101" s="461"/>
      <c r="Q101" s="479">
        <f t="shared" si="29"/>
        <v>0</v>
      </c>
      <c r="R101" s="479"/>
      <c r="S101" s="459">
        <f t="shared" si="30"/>
        <v>0</v>
      </c>
      <c r="T101" s="1"/>
      <c r="U101" s="1"/>
      <c r="V101" s="1"/>
      <c r="W101" s="1"/>
      <c r="X101" s="1"/>
      <c r="Y101" s="1"/>
      <c r="Z101" s="1"/>
      <c r="AA101" s="1"/>
    </row>
    <row r="102" spans="2:27">
      <c r="B102" s="337"/>
      <c r="C102" s="463"/>
      <c r="D102" s="455"/>
      <c r="E102" s="325"/>
      <c r="F102" s="456"/>
      <c r="G102" s="457">
        <f>IF(E102=0,0,IF(E102="MXN",1/HLOOKUP(YEAR(D102)+(MONTH(D102)/100),TC!$5:$437,DAY(D102)+2,FALSE),VLOOKUP(E102,Equivalencia!$1:$23,((MAX(Equivalencia!$3:$3)-YEAR(D102))*14)+MONTH(D102)+2,FALSE)))</f>
        <v>0</v>
      </c>
      <c r="H102" s="458">
        <f t="shared" si="24"/>
        <v>0</v>
      </c>
      <c r="I102" s="459">
        <f t="shared" si="25"/>
        <v>0</v>
      </c>
      <c r="J102" s="459">
        <f t="shared" si="26"/>
        <v>0</v>
      </c>
      <c r="K102" s="545">
        <f>+IF(D102=0,0,HLOOKUP(YEAR(D102)+(MONTH(D102)/100),TC!$5:$37,DAY(D102)+2,FALSE))</f>
        <v>0</v>
      </c>
      <c r="L102" s="459">
        <f t="shared" si="27"/>
        <v>0</v>
      </c>
      <c r="M102" s="460"/>
      <c r="N102" s="460"/>
      <c r="O102" s="459">
        <f t="shared" si="28"/>
        <v>0</v>
      </c>
      <c r="P102" s="461"/>
      <c r="Q102" s="479">
        <f t="shared" si="29"/>
        <v>0</v>
      </c>
      <c r="R102" s="479"/>
      <c r="S102" s="459">
        <f t="shared" si="30"/>
        <v>0</v>
      </c>
      <c r="T102" s="1"/>
      <c r="U102" s="1"/>
      <c r="V102" s="1"/>
      <c r="W102" s="1"/>
      <c r="X102" s="1"/>
      <c r="Y102" s="1"/>
      <c r="Z102" s="1"/>
      <c r="AA102" s="1"/>
    </row>
    <row r="103" spans="2:27">
      <c r="B103" s="337"/>
      <c r="C103" s="463"/>
      <c r="D103" s="455"/>
      <c r="E103" s="325"/>
      <c r="F103" s="456"/>
      <c r="G103" s="457">
        <f>IF(E103=0,0,IF(E103="MXN",1/HLOOKUP(YEAR(D103)+(MONTH(D103)/100),TC!$5:$437,DAY(D103)+2,FALSE),VLOOKUP(E103,Equivalencia!$1:$23,((MAX(Equivalencia!$3:$3)-YEAR(D103))*14)+MONTH(D103)+2,FALSE)))</f>
        <v>0</v>
      </c>
      <c r="H103" s="458">
        <f t="shared" si="24"/>
        <v>0</v>
      </c>
      <c r="I103" s="459">
        <f t="shared" si="25"/>
        <v>0</v>
      </c>
      <c r="J103" s="459">
        <f t="shared" si="26"/>
        <v>0</v>
      </c>
      <c r="K103" s="545">
        <f>+IF(D103=0,0,HLOOKUP(YEAR(D103)+(MONTH(D103)/100),TC!$5:$37,DAY(D103)+2,FALSE))</f>
        <v>0</v>
      </c>
      <c r="L103" s="459">
        <f t="shared" si="27"/>
        <v>0</v>
      </c>
      <c r="M103" s="460"/>
      <c r="N103" s="460"/>
      <c r="O103" s="459">
        <f t="shared" ref="O103:O105" si="31">IF(F103="",0,H103+M103+N103+O102)</f>
        <v>0</v>
      </c>
      <c r="P103" s="461"/>
      <c r="Q103" s="479">
        <f t="shared" si="29"/>
        <v>0</v>
      </c>
      <c r="R103" s="479"/>
      <c r="S103" s="459">
        <f t="shared" si="30"/>
        <v>0</v>
      </c>
      <c r="T103" s="1"/>
      <c r="U103" s="1"/>
      <c r="V103" s="1"/>
      <c r="W103" s="1"/>
      <c r="X103" s="1"/>
      <c r="Y103" s="1"/>
      <c r="Z103" s="1"/>
      <c r="AA103" s="1"/>
    </row>
    <row r="104" spans="2:27">
      <c r="B104" s="337"/>
      <c r="C104" s="67"/>
      <c r="D104" s="603"/>
      <c r="E104" s="337"/>
      <c r="F104" s="604"/>
      <c r="G104" s="457">
        <f>IF(E104=0,0,IF(E104="MXN",1/HLOOKUP(YEAR(D104)+(MONTH(D104)/100),TC!$5:$437,DAY(D104)+2,FALSE),VLOOKUP(E104,Equivalencia!$1:$23,((MAX(Equivalencia!$3:$3)-YEAR(D104))*14)+MONTH(D104)+2,FALSE)))</f>
        <v>0</v>
      </c>
      <c r="H104" s="605">
        <f t="shared" si="24"/>
        <v>0</v>
      </c>
      <c r="I104" s="606">
        <f t="shared" si="25"/>
        <v>0</v>
      </c>
      <c r="J104" s="606">
        <f t="shared" si="26"/>
        <v>0</v>
      </c>
      <c r="K104" s="614">
        <f>+IF(D104=0,0,HLOOKUP(YEAR(D104)+(MONTH(D104)/100),TC!$5:$37,DAY(D104)+2,FALSE))</f>
        <v>0</v>
      </c>
      <c r="L104" s="459">
        <f t="shared" si="27"/>
        <v>0</v>
      </c>
      <c r="M104" s="460"/>
      <c r="N104" s="460"/>
      <c r="O104" s="459">
        <f t="shared" si="31"/>
        <v>0</v>
      </c>
      <c r="P104" s="461"/>
      <c r="Q104" s="479">
        <f t="shared" si="29"/>
        <v>0</v>
      </c>
      <c r="R104" s="479"/>
      <c r="S104" s="459">
        <f t="shared" si="30"/>
        <v>0</v>
      </c>
      <c r="T104" s="1"/>
      <c r="U104" s="1"/>
      <c r="V104" s="1"/>
      <c r="W104" s="1"/>
      <c r="X104" s="1"/>
      <c r="Y104" s="1"/>
      <c r="Z104" s="1"/>
      <c r="AA104" s="1"/>
    </row>
    <row r="105" spans="2:27">
      <c r="B105" s="607"/>
      <c r="C105" s="608"/>
      <c r="D105" s="609"/>
      <c r="E105" s="607"/>
      <c r="F105" s="610"/>
      <c r="G105" s="611">
        <f>IF(E105=0,0,IF(E105="MXN",1/HLOOKUP(YEAR(D105)+(MONTH(D105)/100),TC!$5:$437,DAY(D105)+2,FALSE),VLOOKUP(E105,Equivalencia!$1:$23,((MAX(Equivalencia!$3:$3)-YEAR(D105))*14)+MONTH(D105)+2,FALSE)))</f>
        <v>0</v>
      </c>
      <c r="H105" s="612">
        <f t="shared" si="24"/>
        <v>0</v>
      </c>
      <c r="I105" s="613">
        <f t="shared" si="25"/>
        <v>0</v>
      </c>
      <c r="J105" s="613">
        <f t="shared" si="26"/>
        <v>0</v>
      </c>
      <c r="K105" s="615">
        <f>+IF(D105=0,0,HLOOKUP(YEAR(D105)+(MONTH(D105)/100),TC!$5:$37,DAY(D105)+2,FALSE))</f>
        <v>0</v>
      </c>
      <c r="L105" s="459">
        <f t="shared" si="27"/>
        <v>0</v>
      </c>
      <c r="M105" s="460"/>
      <c r="N105" s="460"/>
      <c r="O105" s="459">
        <f t="shared" si="31"/>
        <v>0</v>
      </c>
      <c r="P105" s="461"/>
      <c r="Q105" s="479">
        <f t="shared" si="29"/>
        <v>0</v>
      </c>
      <c r="R105" s="479"/>
      <c r="S105" s="459">
        <f t="shared" si="30"/>
        <v>0</v>
      </c>
      <c r="T105" s="1"/>
      <c r="U105" s="1"/>
      <c r="V105" s="1"/>
      <c r="W105" s="1"/>
      <c r="X105" s="1"/>
      <c r="Y105" s="1"/>
      <c r="Z105" s="1"/>
      <c r="AA105" s="1"/>
    </row>
    <row r="106" spans="2:27">
      <c r="B106" s="3"/>
      <c r="C106" s="1"/>
      <c r="D106" s="1"/>
      <c r="E106" s="1"/>
      <c r="F106" s="1"/>
      <c r="G106" s="3"/>
      <c r="H106" s="464"/>
      <c r="I106" s="441"/>
      <c r="J106" s="441"/>
      <c r="K106" s="441"/>
      <c r="L106" s="441"/>
      <c r="M106" s="440"/>
      <c r="N106" s="440"/>
      <c r="O106" s="441"/>
      <c r="P106" s="441"/>
      <c r="Q106" s="441"/>
      <c r="R106" s="441"/>
      <c r="S106" s="441"/>
      <c r="T106" s="1"/>
      <c r="U106" s="1"/>
      <c r="V106" s="1"/>
      <c r="W106" s="1"/>
      <c r="X106" s="1"/>
      <c r="Y106" s="1"/>
      <c r="Z106" s="1"/>
      <c r="AA106" s="1"/>
    </row>
    <row r="107" spans="2:27">
      <c r="B107" s="3"/>
      <c r="C107" s="1"/>
      <c r="D107" s="1"/>
      <c r="E107" s="1"/>
      <c r="F107" s="1"/>
      <c r="G107" s="3"/>
      <c r="H107" s="465"/>
      <c r="I107" s="466"/>
      <c r="J107" s="467"/>
      <c r="K107" s="467"/>
      <c r="L107" s="467">
        <f>SUM(L94:L105)</f>
        <v>0</v>
      </c>
      <c r="M107" s="468"/>
      <c r="N107" s="468"/>
      <c r="O107" s="466"/>
      <c r="P107" s="466"/>
      <c r="Q107" s="466"/>
      <c r="R107" s="466"/>
      <c r="S107" s="467">
        <f>+SUMIF(S94:S106,"&gt;0",S94:S106)</f>
        <v>0</v>
      </c>
      <c r="T107" s="1"/>
      <c r="U107" s="1"/>
      <c r="V107" s="467">
        <f>+L107</f>
        <v>0</v>
      </c>
      <c r="W107" s="467">
        <f>+S107</f>
        <v>0</v>
      </c>
      <c r="X107" s="467">
        <f>+V107+W107</f>
        <v>0</v>
      </c>
      <c r="Y107" s="1"/>
      <c r="Z107" s="1"/>
      <c r="AA107" s="1"/>
    </row>
    <row r="108" spans="2:27">
      <c r="B108" s="3"/>
      <c r="C108" s="1"/>
      <c r="D108" s="1"/>
      <c r="E108" s="1"/>
      <c r="F108" s="1"/>
      <c r="G108" s="3"/>
      <c r="H108" s="134"/>
      <c r="I108" s="441"/>
      <c r="J108" s="441"/>
      <c r="K108" s="441"/>
      <c r="L108" s="441"/>
      <c r="M108" s="440"/>
      <c r="N108" s="440"/>
      <c r="O108" s="441"/>
      <c r="P108" s="441"/>
      <c r="Q108" s="441"/>
      <c r="R108" s="441"/>
      <c r="S108" s="441"/>
      <c r="T108" s="1"/>
      <c r="U108" s="1"/>
      <c r="V108" s="1"/>
      <c r="W108" s="1"/>
      <c r="X108" s="1"/>
      <c r="Y108" s="1"/>
      <c r="Z108" s="1"/>
      <c r="AA108" s="1"/>
    </row>
    <row r="109" spans="2:27">
      <c r="B109" s="1"/>
      <c r="C109" s="1"/>
      <c r="D109" s="1"/>
      <c r="E109" s="1"/>
      <c r="F109" s="1"/>
      <c r="G109" s="3"/>
      <c r="H109" s="134"/>
      <c r="I109" s="441"/>
      <c r="J109" s="441"/>
      <c r="K109" s="441"/>
      <c r="L109" s="441"/>
      <c r="M109" s="440"/>
      <c r="N109" s="440"/>
      <c r="O109" s="441"/>
      <c r="P109" s="469"/>
      <c r="Q109" s="469"/>
      <c r="R109" s="469"/>
      <c r="S109" s="470" t="s">
        <v>568</v>
      </c>
      <c r="T109" s="471">
        <f>+L107+S107</f>
        <v>0</v>
      </c>
      <c r="U109" s="1"/>
      <c r="V109" s="1"/>
      <c r="W109" s="1"/>
      <c r="X109" s="1"/>
      <c r="Y109" s="1"/>
      <c r="Z109" s="1"/>
      <c r="AA109" s="1"/>
    </row>
    <row r="110" spans="2:27">
      <c r="B110" s="1"/>
      <c r="C110" s="1"/>
      <c r="D110" s="1"/>
      <c r="E110" s="1"/>
      <c r="F110" s="1"/>
      <c r="G110" s="3"/>
      <c r="H110" s="134"/>
      <c r="I110" s="441"/>
      <c r="J110" s="441"/>
      <c r="K110" s="441"/>
      <c r="L110" s="441"/>
      <c r="M110" s="440"/>
      <c r="N110" s="440"/>
      <c r="O110" s="441"/>
      <c r="P110" s="441"/>
      <c r="Q110" s="441"/>
      <c r="R110" s="441"/>
      <c r="S110" s="441"/>
      <c r="T110" s="1"/>
      <c r="U110" s="1"/>
      <c r="V110" s="1"/>
      <c r="W110" s="1"/>
      <c r="X110" s="1"/>
      <c r="Y110" s="1"/>
      <c r="Z110" s="1"/>
      <c r="AA110" s="1"/>
    </row>
    <row r="111" spans="2:27">
      <c r="B111" s="433"/>
      <c r="C111" s="433"/>
      <c r="D111" s="433"/>
      <c r="E111" s="433"/>
      <c r="F111" s="433"/>
      <c r="G111" s="433"/>
      <c r="H111" s="434"/>
      <c r="I111" s="435"/>
      <c r="J111" s="435"/>
      <c r="K111" s="435"/>
      <c r="L111" s="435"/>
      <c r="M111" s="436"/>
      <c r="N111" s="436"/>
      <c r="O111" s="435"/>
      <c r="P111" s="435"/>
      <c r="Q111" s="435"/>
      <c r="R111" s="435"/>
      <c r="S111" s="435"/>
      <c r="T111" s="1"/>
      <c r="U111" s="1"/>
      <c r="V111" s="1"/>
      <c r="W111" s="1"/>
      <c r="X111" s="1"/>
      <c r="Y111" s="1"/>
      <c r="Z111" s="1"/>
      <c r="AA111" s="1"/>
    </row>
    <row r="112" spans="2:27">
      <c r="B112" s="437"/>
      <c r="C112" s="437"/>
      <c r="D112" s="437"/>
      <c r="E112" s="437"/>
      <c r="F112" s="437"/>
      <c r="G112" s="437"/>
      <c r="H112" s="438"/>
      <c r="I112" s="439"/>
      <c r="J112" s="439"/>
      <c r="K112" s="439"/>
      <c r="L112" s="439"/>
      <c r="M112" s="440"/>
      <c r="N112" s="440"/>
      <c r="O112" s="441"/>
      <c r="P112" s="441"/>
      <c r="Q112" s="441"/>
      <c r="R112" s="441"/>
      <c r="S112" s="441"/>
      <c r="T112" s="1"/>
      <c r="U112" s="1"/>
      <c r="V112" s="1"/>
      <c r="W112" s="1"/>
      <c r="X112" s="1"/>
      <c r="Y112" s="1"/>
      <c r="Z112" s="1"/>
      <c r="AA112" s="1"/>
    </row>
    <row r="113" spans="2:27">
      <c r="B113" s="378" t="s">
        <v>563</v>
      </c>
      <c r="C113" s="378"/>
      <c r="D113" s="1"/>
      <c r="E113" s="378"/>
      <c r="F113" s="378"/>
      <c r="G113" s="381"/>
      <c r="H113" s="442"/>
      <c r="I113" s="443"/>
      <c r="J113" s="443"/>
      <c r="K113" s="443"/>
      <c r="L113" s="443"/>
      <c r="M113" s="440"/>
      <c r="N113" s="440"/>
      <c r="O113" s="441"/>
      <c r="P113" s="441"/>
      <c r="Q113" s="441"/>
      <c r="R113" s="441"/>
      <c r="S113" s="441"/>
      <c r="T113" s="1"/>
      <c r="U113" s="1"/>
      <c r="V113" s="1"/>
      <c r="W113" s="1"/>
      <c r="X113" s="1"/>
      <c r="Y113" s="1"/>
      <c r="Z113" s="1"/>
      <c r="AA113" s="1"/>
    </row>
    <row r="114" spans="2:27">
      <c r="B114" s="378" t="s">
        <v>564</v>
      </c>
      <c r="C114" s="378"/>
      <c r="D114" s="1"/>
      <c r="E114" s="378"/>
      <c r="F114" s="378"/>
      <c r="G114" s="381"/>
      <c r="H114" s="444"/>
      <c r="I114" s="441"/>
      <c r="J114" s="441"/>
      <c r="K114" s="441"/>
      <c r="L114" s="441"/>
      <c r="M114" s="440"/>
      <c r="N114" s="440"/>
      <c r="O114" s="441"/>
      <c r="P114" s="441"/>
      <c r="Q114" s="441"/>
      <c r="R114" s="441"/>
      <c r="S114" s="441"/>
      <c r="T114" s="1"/>
      <c r="U114" s="1"/>
      <c r="V114" s="1"/>
      <c r="W114" s="1"/>
      <c r="X114" s="1"/>
      <c r="Y114" s="1"/>
      <c r="Z114" s="1"/>
      <c r="AA114" s="1"/>
    </row>
    <row r="115" spans="2:27">
      <c r="B115" s="378" t="s">
        <v>565</v>
      </c>
      <c r="C115" s="378"/>
      <c r="D115" s="1"/>
      <c r="E115" s="378"/>
      <c r="F115" s="378"/>
      <c r="G115" s="381"/>
      <c r="H115" s="445"/>
      <c r="I115" s="441"/>
      <c r="J115" s="441"/>
      <c r="K115" s="441"/>
      <c r="L115" s="441"/>
      <c r="M115" s="440"/>
      <c r="N115" s="440"/>
      <c r="O115" s="441"/>
      <c r="P115" s="441"/>
      <c r="Q115" s="441"/>
      <c r="R115" s="441"/>
      <c r="S115" s="441"/>
      <c r="T115" s="1"/>
      <c r="U115" s="1"/>
      <c r="V115" s="1"/>
      <c r="W115" s="1"/>
      <c r="X115" s="1"/>
      <c r="Y115" s="1"/>
      <c r="Z115" s="1"/>
      <c r="AA115" s="1"/>
    </row>
    <row r="116" spans="2:27">
      <c r="B116" s="378" t="s">
        <v>566</v>
      </c>
      <c r="C116" s="378"/>
      <c r="D116" s="1"/>
      <c r="E116" s="378"/>
      <c r="F116" s="378"/>
      <c r="G116" s="381"/>
      <c r="H116" s="446"/>
      <c r="I116" s="441"/>
      <c r="J116" s="441"/>
      <c r="K116" s="441"/>
      <c r="L116" s="441"/>
      <c r="M116" s="440"/>
      <c r="N116" s="440"/>
      <c r="O116" s="441"/>
      <c r="P116" s="441"/>
      <c r="Q116" s="441"/>
      <c r="R116" s="441"/>
      <c r="S116" s="441"/>
      <c r="T116" s="1"/>
      <c r="U116" s="1"/>
      <c r="V116" s="1"/>
      <c r="W116" s="1"/>
      <c r="X116" s="1"/>
      <c r="Y116" s="1"/>
      <c r="Z116" s="1"/>
      <c r="AA116" s="1"/>
    </row>
    <row r="117" spans="2:27">
      <c r="B117" s="378"/>
      <c r="C117" s="378"/>
      <c r="D117" s="1"/>
      <c r="E117" s="381"/>
      <c r="F117" s="381"/>
      <c r="G117" s="381"/>
      <c r="H117" s="447"/>
      <c r="I117" s="441"/>
      <c r="J117" s="441"/>
      <c r="K117" s="441"/>
      <c r="L117" s="441"/>
      <c r="M117" s="440"/>
      <c r="N117" s="440"/>
      <c r="O117" s="441"/>
      <c r="P117" s="441"/>
      <c r="Q117" s="441"/>
      <c r="R117" s="441"/>
      <c r="S117" s="441"/>
      <c r="T117" s="1"/>
      <c r="U117" s="1"/>
      <c r="V117" s="1"/>
      <c r="W117" s="1"/>
      <c r="X117" s="1"/>
      <c r="Y117" s="1"/>
      <c r="Z117" s="1"/>
      <c r="AA117" s="1"/>
    </row>
    <row r="118" spans="2:27">
      <c r="B118" s="448" t="s">
        <v>567</v>
      </c>
      <c r="C118" s="448"/>
      <c r="D118" s="449"/>
      <c r="E118" s="449"/>
      <c r="F118" s="449"/>
      <c r="G118" s="449"/>
      <c r="H118" s="450"/>
      <c r="I118" s="451"/>
      <c r="J118" s="451"/>
      <c r="K118" s="451"/>
      <c r="L118" s="451"/>
      <c r="M118" s="452"/>
      <c r="N118" s="452"/>
      <c r="O118" s="451"/>
      <c r="P118" s="451"/>
      <c r="Q118" s="451"/>
      <c r="R118" s="451"/>
      <c r="S118" s="451"/>
      <c r="T118" s="1"/>
      <c r="U118" s="1"/>
      <c r="V118" s="1"/>
      <c r="W118" s="1"/>
      <c r="X118" s="1"/>
      <c r="Y118" s="1"/>
      <c r="Z118" s="1"/>
      <c r="AA118" s="1"/>
    </row>
    <row r="119" spans="2:27">
      <c r="B119" s="338"/>
      <c r="C119" s="324"/>
      <c r="D119" s="324"/>
      <c r="E119" s="324"/>
      <c r="F119" s="324"/>
      <c r="G119" s="338"/>
      <c r="H119" s="453"/>
      <c r="I119" s="454"/>
      <c r="J119" s="454"/>
      <c r="K119" s="454"/>
      <c r="L119" s="454"/>
      <c r="M119" s="440"/>
      <c r="N119" s="440"/>
      <c r="O119" s="441"/>
      <c r="P119" s="441"/>
      <c r="Q119" s="441"/>
      <c r="R119" s="441"/>
      <c r="S119" s="441"/>
      <c r="T119" s="1"/>
      <c r="U119" s="1"/>
      <c r="V119" s="1"/>
      <c r="W119" s="1"/>
      <c r="X119" s="1"/>
      <c r="Y119" s="1"/>
      <c r="Z119" s="1"/>
      <c r="AA119" s="1"/>
    </row>
    <row r="120" spans="2:27">
      <c r="B120" s="337"/>
      <c r="C120" s="67"/>
      <c r="D120" s="455"/>
      <c r="E120" s="325"/>
      <c r="F120" s="456"/>
      <c r="G120" s="457">
        <f>IF(E120=0,0,IF(E120="MXN",1/HLOOKUP(YEAR(D120)+(MONTH(D120)/100),TC!$5:$437,DAY(D120)+2,FALSE),VLOOKUP(E120,Equivalencia!$1:$23,((MAX(Equivalencia!$3:$3)-YEAR(D120))*14)+MONTH(D120)+2,FALSE)))</f>
        <v>0</v>
      </c>
      <c r="H120" s="458">
        <f>+G120*F120</f>
        <v>0</v>
      </c>
      <c r="I120" s="459">
        <f>H118+H120</f>
        <v>0</v>
      </c>
      <c r="J120" s="459">
        <f>+IF(H120&lt;0,0,IF(AND(H118&lt;0,I120&lt;0),0,IF(H118&lt;0,H120+H118,H120)))</f>
        <v>0</v>
      </c>
      <c r="K120" s="545">
        <f>+IF(D120=0,0,HLOOKUP(YEAR(D120)+(MONTH(D120)/100),TC!$5:$37,DAY(D120)+2,FALSE))</f>
        <v>0</v>
      </c>
      <c r="L120" s="459">
        <f>+J120*K120</f>
        <v>0</v>
      </c>
      <c r="M120" s="460"/>
      <c r="N120" s="460"/>
      <c r="O120" s="459">
        <f>IF(F120="",0,I120+M120+N120)</f>
        <v>0</v>
      </c>
      <c r="P120" s="461"/>
      <c r="Q120" s="479">
        <f>IF(O120=P120,0,IF(P120="",0,O120-P120))</f>
        <v>0</v>
      </c>
      <c r="R120" s="479"/>
      <c r="S120" s="459">
        <f>+IF(P120="",0,R120*Q120)</f>
        <v>0</v>
      </c>
      <c r="T120" s="1"/>
      <c r="U120" s="1"/>
      <c r="V120" s="1"/>
      <c r="W120" s="1"/>
      <c r="X120" s="1"/>
      <c r="Y120" s="1"/>
      <c r="Z120" s="1"/>
      <c r="AA120" s="1"/>
    </row>
    <row r="121" spans="2:27">
      <c r="B121" s="337"/>
      <c r="C121" s="462"/>
      <c r="D121" s="455"/>
      <c r="E121" s="325"/>
      <c r="F121" s="456"/>
      <c r="G121" s="457">
        <f>IF(E121=0,0,IF(E121="MXN",1/HLOOKUP(YEAR(D121)+(MONTH(D121)/100),TC!$5:$437,DAY(D121)+2,FALSE),VLOOKUP(E121,Equivalencia!$1:$23,((MAX(Equivalencia!$3:$3)-YEAR(D121))*14)+MONTH(D121)+2,FALSE)))</f>
        <v>0</v>
      </c>
      <c r="H121" s="458">
        <f t="shared" ref="H121:H131" si="32">+G121*F121</f>
        <v>0</v>
      </c>
      <c r="I121" s="459">
        <f t="shared" ref="I121:I131" si="33">I120+H121+Q120</f>
        <v>0</v>
      </c>
      <c r="J121" s="459">
        <f t="shared" ref="J121:J131" si="34">+IF(H121&lt;0,0,IF(AND(I120&lt;0,I121&lt;0),0,IF(I120&lt;0,H121+I120,H121)))</f>
        <v>0</v>
      </c>
      <c r="K121" s="545">
        <f>+IF(D121=0,0,HLOOKUP(YEAR(D121)+(MONTH(D121)/100),TC!$5:$37,DAY(D121)+2,FALSE))</f>
        <v>0</v>
      </c>
      <c r="L121" s="459">
        <f t="shared" ref="L121:L131" si="35">+J121*K121</f>
        <v>0</v>
      </c>
      <c r="M121" s="460"/>
      <c r="N121" s="460"/>
      <c r="O121" s="459">
        <f t="shared" ref="O121:O128" si="36">IF(F121="",0,H121+M121+N121+O120)</f>
        <v>0</v>
      </c>
      <c r="P121" s="461"/>
      <c r="Q121" s="479">
        <f t="shared" ref="Q121:Q131" si="37">IF(O121=P121,0,IF(P121="",0,O121-P121))</f>
        <v>0</v>
      </c>
      <c r="R121" s="479"/>
      <c r="S121" s="459">
        <f t="shared" ref="S121:S131" si="38">+IF(P121="",0,R121*Q121)</f>
        <v>0</v>
      </c>
      <c r="T121" s="1"/>
      <c r="U121" s="1"/>
      <c r="V121" s="1"/>
      <c r="W121" s="1"/>
      <c r="X121" s="1"/>
      <c r="Y121" s="1"/>
      <c r="Z121" s="1"/>
      <c r="AA121" s="1"/>
    </row>
    <row r="122" spans="2:27">
      <c r="B122" s="337"/>
      <c r="C122" s="462"/>
      <c r="D122" s="455"/>
      <c r="E122" s="325"/>
      <c r="F122" s="456"/>
      <c r="G122" s="457">
        <f>IF(E122=0,0,IF(E122="MXN",1/HLOOKUP(YEAR(D122)+(MONTH(D122)/100),TC!$5:$437,DAY(D122)+2,FALSE),VLOOKUP(E122,Equivalencia!$1:$23,((MAX(Equivalencia!$3:$3)-YEAR(D122))*14)+MONTH(D122)+2,FALSE)))</f>
        <v>0</v>
      </c>
      <c r="H122" s="458">
        <f t="shared" si="32"/>
        <v>0</v>
      </c>
      <c r="I122" s="459">
        <f t="shared" si="33"/>
        <v>0</v>
      </c>
      <c r="J122" s="459">
        <f t="shared" si="34"/>
        <v>0</v>
      </c>
      <c r="K122" s="545">
        <f>+IF(D122=0,0,HLOOKUP(YEAR(D122)+(MONTH(D122)/100),TC!$5:$37,DAY(D122)+2,FALSE))</f>
        <v>0</v>
      </c>
      <c r="L122" s="459">
        <f t="shared" si="35"/>
        <v>0</v>
      </c>
      <c r="M122" s="460"/>
      <c r="N122" s="460"/>
      <c r="O122" s="459">
        <f t="shared" si="36"/>
        <v>0</v>
      </c>
      <c r="P122" s="461"/>
      <c r="Q122" s="479">
        <f t="shared" si="37"/>
        <v>0</v>
      </c>
      <c r="R122" s="479"/>
      <c r="S122" s="459">
        <f t="shared" si="38"/>
        <v>0</v>
      </c>
      <c r="T122" s="1"/>
      <c r="U122" s="1"/>
      <c r="V122" s="1"/>
      <c r="W122" s="1"/>
      <c r="X122" s="1"/>
      <c r="Y122" s="1"/>
      <c r="Z122" s="1"/>
      <c r="AA122" s="1"/>
    </row>
    <row r="123" spans="2:27">
      <c r="B123" s="337"/>
      <c r="C123" s="462"/>
      <c r="D123" s="455"/>
      <c r="E123" s="325"/>
      <c r="F123" s="456"/>
      <c r="G123" s="457">
        <f>IF(E123=0,0,IF(E123="MXN",1/HLOOKUP(YEAR(D123)+(MONTH(D123)/100),TC!$5:$437,DAY(D123)+2,FALSE),VLOOKUP(E123,Equivalencia!$1:$23,((MAX(Equivalencia!$3:$3)-YEAR(D123))*14)+MONTH(D123)+2,FALSE)))</f>
        <v>0</v>
      </c>
      <c r="H123" s="458">
        <f t="shared" si="32"/>
        <v>0</v>
      </c>
      <c r="I123" s="459">
        <f t="shared" si="33"/>
        <v>0</v>
      </c>
      <c r="J123" s="459">
        <f t="shared" si="34"/>
        <v>0</v>
      </c>
      <c r="K123" s="545">
        <f>+IF(D123=0,0,HLOOKUP(YEAR(D123)+(MONTH(D123)/100),TC!$5:$37,DAY(D123)+2,FALSE))</f>
        <v>0</v>
      </c>
      <c r="L123" s="459">
        <f t="shared" si="35"/>
        <v>0</v>
      </c>
      <c r="M123" s="460"/>
      <c r="N123" s="460"/>
      <c r="O123" s="459">
        <f t="shared" si="36"/>
        <v>0</v>
      </c>
      <c r="P123" s="461"/>
      <c r="Q123" s="479">
        <f t="shared" si="37"/>
        <v>0</v>
      </c>
      <c r="R123" s="479"/>
      <c r="S123" s="459">
        <f t="shared" si="38"/>
        <v>0</v>
      </c>
      <c r="T123" s="1"/>
      <c r="U123" s="1"/>
      <c r="V123" s="1"/>
      <c r="W123" s="1"/>
      <c r="X123" s="1"/>
      <c r="Y123" s="1"/>
      <c r="Z123" s="1"/>
      <c r="AA123" s="1"/>
    </row>
    <row r="124" spans="2:27">
      <c r="B124" s="337"/>
      <c r="C124" s="463"/>
      <c r="D124" s="455"/>
      <c r="E124" s="325"/>
      <c r="F124" s="456"/>
      <c r="G124" s="457">
        <f>IF(E124=0,0,IF(E124="MXN",1/HLOOKUP(YEAR(D124)+(MONTH(D124)/100),TC!$5:$437,DAY(D124)+2,FALSE),VLOOKUP(E124,Equivalencia!$1:$23,((MAX(Equivalencia!$3:$3)-YEAR(D124))*14)+MONTH(D124)+2,FALSE)))</f>
        <v>0</v>
      </c>
      <c r="H124" s="458">
        <f t="shared" si="32"/>
        <v>0</v>
      </c>
      <c r="I124" s="459">
        <f t="shared" si="33"/>
        <v>0</v>
      </c>
      <c r="J124" s="459">
        <f t="shared" si="34"/>
        <v>0</v>
      </c>
      <c r="K124" s="545">
        <f>+IF(D124=0,0,HLOOKUP(YEAR(D124)+(MONTH(D124)/100),TC!$5:$37,DAY(D124)+2,FALSE))</f>
        <v>0</v>
      </c>
      <c r="L124" s="459">
        <f t="shared" si="35"/>
        <v>0</v>
      </c>
      <c r="M124" s="460"/>
      <c r="N124" s="460"/>
      <c r="O124" s="459">
        <f t="shared" si="36"/>
        <v>0</v>
      </c>
      <c r="P124" s="461"/>
      <c r="Q124" s="479">
        <f t="shared" si="37"/>
        <v>0</v>
      </c>
      <c r="R124" s="479"/>
      <c r="S124" s="459">
        <f t="shared" si="38"/>
        <v>0</v>
      </c>
      <c r="T124" s="1"/>
      <c r="U124" s="1"/>
      <c r="V124" s="1"/>
      <c r="W124" s="1"/>
      <c r="X124" s="1"/>
      <c r="Y124" s="1"/>
      <c r="Z124" s="1"/>
      <c r="AA124" s="1"/>
    </row>
    <row r="125" spans="2:27">
      <c r="B125" s="337"/>
      <c r="C125" s="463"/>
      <c r="D125" s="455"/>
      <c r="E125" s="325"/>
      <c r="F125" s="456"/>
      <c r="G125" s="457">
        <f>IF(E125=0,0,IF(E125="MXN",1/HLOOKUP(YEAR(D125)+(MONTH(D125)/100),TC!$5:$437,DAY(D125)+2,FALSE),VLOOKUP(E125,Equivalencia!$1:$23,((MAX(Equivalencia!$3:$3)-YEAR(D125))*14)+MONTH(D125)+2,FALSE)))</f>
        <v>0</v>
      </c>
      <c r="H125" s="458">
        <f t="shared" si="32"/>
        <v>0</v>
      </c>
      <c r="I125" s="459">
        <f t="shared" si="33"/>
        <v>0</v>
      </c>
      <c r="J125" s="459">
        <f t="shared" si="34"/>
        <v>0</v>
      </c>
      <c r="K125" s="545">
        <f>+IF(D125=0,0,HLOOKUP(YEAR(D125)+(MONTH(D125)/100),TC!$5:$37,DAY(D125)+2,FALSE))</f>
        <v>0</v>
      </c>
      <c r="L125" s="459">
        <f t="shared" si="35"/>
        <v>0</v>
      </c>
      <c r="M125" s="460"/>
      <c r="N125" s="460"/>
      <c r="O125" s="459">
        <f t="shared" si="36"/>
        <v>0</v>
      </c>
      <c r="P125" s="461"/>
      <c r="Q125" s="479">
        <f t="shared" si="37"/>
        <v>0</v>
      </c>
      <c r="R125" s="479"/>
      <c r="S125" s="459">
        <f t="shared" si="38"/>
        <v>0</v>
      </c>
      <c r="T125" s="1"/>
      <c r="U125" s="1"/>
      <c r="V125" s="1"/>
      <c r="W125" s="1"/>
      <c r="X125" s="1"/>
      <c r="Y125" s="1"/>
      <c r="Z125" s="1"/>
      <c r="AA125" s="1"/>
    </row>
    <row r="126" spans="2:27">
      <c r="B126" s="337"/>
      <c r="C126" s="463"/>
      <c r="D126" s="455"/>
      <c r="E126" s="325"/>
      <c r="F126" s="456"/>
      <c r="G126" s="457">
        <f>IF(E126=0,0,IF(E126="MXN",1/HLOOKUP(YEAR(D126)+(MONTH(D126)/100),TC!$5:$437,DAY(D126)+2,FALSE),VLOOKUP(E126,Equivalencia!$1:$23,((MAX(Equivalencia!$3:$3)-YEAR(D126))*14)+MONTH(D126)+2,FALSE)))</f>
        <v>0</v>
      </c>
      <c r="H126" s="458">
        <f t="shared" si="32"/>
        <v>0</v>
      </c>
      <c r="I126" s="459">
        <f t="shared" si="33"/>
        <v>0</v>
      </c>
      <c r="J126" s="459">
        <f t="shared" si="34"/>
        <v>0</v>
      </c>
      <c r="K126" s="545">
        <f>+IF(D126=0,0,HLOOKUP(YEAR(D126)+(MONTH(D126)/100),TC!$5:$37,DAY(D126)+2,FALSE))</f>
        <v>0</v>
      </c>
      <c r="L126" s="459">
        <f t="shared" si="35"/>
        <v>0</v>
      </c>
      <c r="M126" s="460"/>
      <c r="N126" s="460"/>
      <c r="O126" s="459">
        <f t="shared" si="36"/>
        <v>0</v>
      </c>
      <c r="P126" s="461"/>
      <c r="Q126" s="479">
        <f t="shared" si="37"/>
        <v>0</v>
      </c>
      <c r="R126" s="479"/>
      <c r="S126" s="459">
        <f t="shared" si="38"/>
        <v>0</v>
      </c>
      <c r="T126" s="1"/>
      <c r="U126" s="1"/>
      <c r="V126" s="1"/>
      <c r="W126" s="1"/>
      <c r="X126" s="1"/>
      <c r="Y126" s="1"/>
      <c r="Z126" s="1"/>
      <c r="AA126" s="1"/>
    </row>
    <row r="127" spans="2:27">
      <c r="B127" s="337"/>
      <c r="C127" s="463"/>
      <c r="D127" s="455"/>
      <c r="E127" s="325"/>
      <c r="F127" s="456"/>
      <c r="G127" s="457">
        <f>IF(E127=0,0,IF(E127="MXN",1/HLOOKUP(YEAR(D127)+(MONTH(D127)/100),TC!$5:$437,DAY(D127)+2,FALSE),VLOOKUP(E127,Equivalencia!$1:$23,((MAX(Equivalencia!$3:$3)-YEAR(D127))*14)+MONTH(D127)+2,FALSE)))</f>
        <v>0</v>
      </c>
      <c r="H127" s="458">
        <f t="shared" si="32"/>
        <v>0</v>
      </c>
      <c r="I127" s="459">
        <f t="shared" si="33"/>
        <v>0</v>
      </c>
      <c r="J127" s="459">
        <f t="shared" si="34"/>
        <v>0</v>
      </c>
      <c r="K127" s="545">
        <f>+IF(D127=0,0,HLOOKUP(YEAR(D127)+(MONTH(D127)/100),TC!$5:$37,DAY(D127)+2,FALSE))</f>
        <v>0</v>
      </c>
      <c r="L127" s="459">
        <f t="shared" si="35"/>
        <v>0</v>
      </c>
      <c r="M127" s="460"/>
      <c r="N127" s="460"/>
      <c r="O127" s="459">
        <f t="shared" si="36"/>
        <v>0</v>
      </c>
      <c r="P127" s="461"/>
      <c r="Q127" s="479">
        <f t="shared" si="37"/>
        <v>0</v>
      </c>
      <c r="R127" s="479"/>
      <c r="S127" s="459">
        <f t="shared" si="38"/>
        <v>0</v>
      </c>
      <c r="T127" s="1"/>
      <c r="U127" s="1"/>
      <c r="V127" s="1"/>
      <c r="W127" s="1"/>
      <c r="X127" s="1"/>
      <c r="Y127" s="1"/>
      <c r="Z127" s="1"/>
      <c r="AA127" s="1"/>
    </row>
    <row r="128" spans="2:27">
      <c r="B128" s="337"/>
      <c r="C128" s="463"/>
      <c r="D128" s="455"/>
      <c r="E128" s="325"/>
      <c r="F128" s="456"/>
      <c r="G128" s="457">
        <f>IF(E128=0,0,IF(E128="MXN",1/HLOOKUP(YEAR(D128)+(MONTH(D128)/100),TC!$5:$437,DAY(D128)+2,FALSE),VLOOKUP(E128,Equivalencia!$1:$23,((MAX(Equivalencia!$3:$3)-YEAR(D128))*14)+MONTH(D128)+2,FALSE)))</f>
        <v>0</v>
      </c>
      <c r="H128" s="458">
        <f t="shared" si="32"/>
        <v>0</v>
      </c>
      <c r="I128" s="459">
        <f t="shared" si="33"/>
        <v>0</v>
      </c>
      <c r="J128" s="459">
        <f t="shared" si="34"/>
        <v>0</v>
      </c>
      <c r="K128" s="545">
        <f>+IF(D128=0,0,HLOOKUP(YEAR(D128)+(MONTH(D128)/100),TC!$5:$37,DAY(D128)+2,FALSE))</f>
        <v>0</v>
      </c>
      <c r="L128" s="459">
        <f t="shared" si="35"/>
        <v>0</v>
      </c>
      <c r="M128" s="460"/>
      <c r="N128" s="460"/>
      <c r="O128" s="459">
        <f t="shared" si="36"/>
        <v>0</v>
      </c>
      <c r="P128" s="461"/>
      <c r="Q128" s="479">
        <f t="shared" si="37"/>
        <v>0</v>
      </c>
      <c r="R128" s="479"/>
      <c r="S128" s="459">
        <f t="shared" si="38"/>
        <v>0</v>
      </c>
      <c r="T128" s="1"/>
      <c r="U128" s="1"/>
      <c r="V128" s="1"/>
      <c r="W128" s="1"/>
      <c r="X128" s="1"/>
      <c r="Y128" s="1"/>
      <c r="Z128" s="1"/>
      <c r="AA128" s="1"/>
    </row>
    <row r="129" spans="2:27">
      <c r="B129" s="337"/>
      <c r="C129" s="463"/>
      <c r="D129" s="455"/>
      <c r="E129" s="325"/>
      <c r="F129" s="456"/>
      <c r="G129" s="457">
        <f>IF(E129=0,0,IF(E129="MXN",1/HLOOKUP(YEAR(D129)+(MONTH(D129)/100),TC!$5:$437,DAY(D129)+2,FALSE),VLOOKUP(E129,Equivalencia!$1:$23,((MAX(Equivalencia!$3:$3)-YEAR(D129))*14)+MONTH(D129)+2,FALSE)))</f>
        <v>0</v>
      </c>
      <c r="H129" s="458">
        <f t="shared" si="32"/>
        <v>0</v>
      </c>
      <c r="I129" s="459">
        <f t="shared" si="33"/>
        <v>0</v>
      </c>
      <c r="J129" s="459">
        <f t="shared" si="34"/>
        <v>0</v>
      </c>
      <c r="K129" s="545">
        <f>+IF(D129=0,0,HLOOKUP(YEAR(D129)+(MONTH(D129)/100),TC!$5:$37,DAY(D129)+2,FALSE))</f>
        <v>0</v>
      </c>
      <c r="L129" s="459">
        <f t="shared" si="35"/>
        <v>0</v>
      </c>
      <c r="M129" s="460"/>
      <c r="N129" s="460"/>
      <c r="O129" s="459">
        <f t="shared" ref="O129:O131" si="39">IF(F129="",0,H129+M129+N129+O128)</f>
        <v>0</v>
      </c>
      <c r="P129" s="461"/>
      <c r="Q129" s="479">
        <f t="shared" si="37"/>
        <v>0</v>
      </c>
      <c r="R129" s="479"/>
      <c r="S129" s="459">
        <f t="shared" si="38"/>
        <v>0</v>
      </c>
      <c r="T129" s="1"/>
      <c r="U129" s="1"/>
      <c r="V129" s="1"/>
      <c r="W129" s="1"/>
      <c r="X129" s="1"/>
      <c r="Y129" s="1"/>
      <c r="Z129" s="1"/>
      <c r="AA129" s="1"/>
    </row>
    <row r="130" spans="2:27">
      <c r="B130" s="337"/>
      <c r="C130" s="67"/>
      <c r="D130" s="603"/>
      <c r="E130" s="337"/>
      <c r="F130" s="604"/>
      <c r="G130" s="457">
        <f>IF(E130=0,0,IF(E130="MXN",1/HLOOKUP(YEAR(D130)+(MONTH(D130)/100),TC!$5:$437,DAY(D130)+2,FALSE),VLOOKUP(E130,Equivalencia!$1:$23,((MAX(Equivalencia!$3:$3)-YEAR(D130))*14)+MONTH(D130)+2,FALSE)))</f>
        <v>0</v>
      </c>
      <c r="H130" s="605">
        <f t="shared" si="32"/>
        <v>0</v>
      </c>
      <c r="I130" s="606">
        <f t="shared" si="33"/>
        <v>0</v>
      </c>
      <c r="J130" s="606">
        <f t="shared" si="34"/>
        <v>0</v>
      </c>
      <c r="K130" s="614">
        <f>+IF(D130=0,0,HLOOKUP(YEAR(D130)+(MONTH(D130)/100),TC!$5:$37,DAY(D130)+2,FALSE))</f>
        <v>0</v>
      </c>
      <c r="L130" s="606">
        <f t="shared" si="35"/>
        <v>0</v>
      </c>
      <c r="M130" s="460"/>
      <c r="N130" s="460"/>
      <c r="O130" s="459">
        <f t="shared" si="39"/>
        <v>0</v>
      </c>
      <c r="P130" s="461"/>
      <c r="Q130" s="479">
        <f t="shared" si="37"/>
        <v>0</v>
      </c>
      <c r="R130" s="479"/>
      <c r="S130" s="459">
        <f t="shared" si="38"/>
        <v>0</v>
      </c>
      <c r="T130" s="1"/>
      <c r="U130" s="1"/>
      <c r="V130" s="1"/>
      <c r="W130" s="1"/>
      <c r="X130" s="1"/>
      <c r="Y130" s="1"/>
      <c r="Z130" s="1"/>
      <c r="AA130" s="1"/>
    </row>
    <row r="131" spans="2:27">
      <c r="B131" s="607"/>
      <c r="C131" s="608"/>
      <c r="D131" s="609"/>
      <c r="E131" s="607"/>
      <c r="F131" s="610"/>
      <c r="G131" s="611">
        <f>IF(E131=0,0,IF(E131="MXN",1/HLOOKUP(YEAR(D131)+(MONTH(D131)/100),TC!$5:$437,DAY(D131)+2,FALSE),VLOOKUP(E131,Equivalencia!$1:$23,((MAX(Equivalencia!$3:$3)-YEAR(D131))*14)+MONTH(D131)+2,FALSE)))</f>
        <v>0</v>
      </c>
      <c r="H131" s="612">
        <f t="shared" si="32"/>
        <v>0</v>
      </c>
      <c r="I131" s="613">
        <f t="shared" si="33"/>
        <v>0</v>
      </c>
      <c r="J131" s="613">
        <f t="shared" si="34"/>
        <v>0</v>
      </c>
      <c r="K131" s="615">
        <f>+IF(D131=0,0,HLOOKUP(YEAR(D131)+(MONTH(D131)/100),TC!$5:$37,DAY(D131)+2,FALSE))</f>
        <v>0</v>
      </c>
      <c r="L131" s="613">
        <f t="shared" si="35"/>
        <v>0</v>
      </c>
      <c r="M131" s="460"/>
      <c r="N131" s="460"/>
      <c r="O131" s="459">
        <f t="shared" si="39"/>
        <v>0</v>
      </c>
      <c r="P131" s="461"/>
      <c r="Q131" s="479">
        <f t="shared" si="37"/>
        <v>0</v>
      </c>
      <c r="R131" s="479"/>
      <c r="S131" s="459">
        <f t="shared" si="38"/>
        <v>0</v>
      </c>
      <c r="T131" s="1"/>
      <c r="U131" s="1"/>
      <c r="V131" s="1"/>
      <c r="W131" s="1"/>
      <c r="X131" s="1"/>
      <c r="Y131" s="1"/>
      <c r="Z131" s="1"/>
      <c r="AA131" s="1"/>
    </row>
    <row r="132" spans="2:27">
      <c r="B132" s="3"/>
      <c r="C132" s="1"/>
      <c r="D132" s="1"/>
      <c r="E132" s="1"/>
      <c r="F132" s="1"/>
      <c r="G132" s="3"/>
      <c r="H132" s="464"/>
      <c r="I132" s="441"/>
      <c r="J132" s="441"/>
      <c r="K132" s="441"/>
      <c r="L132" s="441"/>
      <c r="M132" s="440"/>
      <c r="N132" s="440"/>
      <c r="O132" s="441"/>
      <c r="P132" s="441"/>
      <c r="Q132" s="441"/>
      <c r="R132" s="441"/>
      <c r="S132" s="441"/>
      <c r="T132" s="1"/>
      <c r="U132" s="1"/>
      <c r="V132" s="1"/>
      <c r="W132" s="1"/>
      <c r="X132" s="1"/>
      <c r="Y132" s="1"/>
      <c r="Z132" s="1"/>
      <c r="AA132" s="1"/>
    </row>
    <row r="133" spans="2:27">
      <c r="B133" s="3"/>
      <c r="C133" s="1"/>
      <c r="D133" s="1"/>
      <c r="E133" s="1"/>
      <c r="F133" s="1"/>
      <c r="G133" s="3"/>
      <c r="H133" s="465"/>
      <c r="I133" s="466"/>
      <c r="J133" s="467"/>
      <c r="K133" s="467"/>
      <c r="L133" s="467">
        <f>SUM(L120:L131)</f>
        <v>0</v>
      </c>
      <c r="M133" s="468"/>
      <c r="N133" s="468"/>
      <c r="O133" s="466"/>
      <c r="P133" s="466"/>
      <c r="Q133" s="466"/>
      <c r="R133" s="466"/>
      <c r="S133" s="467">
        <f>+SUMIF(S120:S132,"&gt;0",S120:S132)</f>
        <v>0</v>
      </c>
      <c r="T133" s="1"/>
      <c r="U133" s="1"/>
      <c r="V133" s="467">
        <f>+L133</f>
        <v>0</v>
      </c>
      <c r="W133" s="467">
        <f>+S133</f>
        <v>0</v>
      </c>
      <c r="X133" s="467">
        <f>+V133+W133</f>
        <v>0</v>
      </c>
      <c r="Y133" s="1"/>
      <c r="Z133" s="1"/>
      <c r="AA133" s="1"/>
    </row>
    <row r="134" spans="2:27">
      <c r="B134" s="3"/>
      <c r="C134" s="1"/>
      <c r="D134" s="1"/>
      <c r="E134" s="1"/>
      <c r="F134" s="1"/>
      <c r="G134" s="3"/>
      <c r="H134" s="134"/>
      <c r="I134" s="441"/>
      <c r="J134" s="441"/>
      <c r="K134" s="441"/>
      <c r="L134" s="441"/>
      <c r="M134" s="440"/>
      <c r="N134" s="440"/>
      <c r="O134" s="441"/>
      <c r="P134" s="441"/>
      <c r="Q134" s="441"/>
      <c r="R134" s="441"/>
      <c r="S134" s="441"/>
      <c r="T134" s="1"/>
      <c r="U134" s="1"/>
      <c r="V134" s="1"/>
      <c r="W134" s="1"/>
      <c r="X134" s="1"/>
      <c r="Y134" s="1"/>
      <c r="Z134" s="1"/>
      <c r="AA134" s="1"/>
    </row>
    <row r="135" spans="2:27">
      <c r="B135" s="1"/>
      <c r="C135" s="1"/>
      <c r="D135" s="1"/>
      <c r="E135" s="1"/>
      <c r="F135" s="1"/>
      <c r="G135" s="3"/>
      <c r="H135" s="134"/>
      <c r="I135" s="441"/>
      <c r="J135" s="441"/>
      <c r="K135" s="441"/>
      <c r="L135" s="441"/>
      <c r="M135" s="440"/>
      <c r="N135" s="440"/>
      <c r="O135" s="441"/>
      <c r="P135" s="469"/>
      <c r="Q135" s="469"/>
      <c r="R135" s="469"/>
      <c r="S135" s="470" t="s">
        <v>568</v>
      </c>
      <c r="T135" s="471">
        <f>+L133+S133</f>
        <v>0</v>
      </c>
      <c r="U135" s="1"/>
      <c r="V135" s="1"/>
      <c r="W135" s="1"/>
      <c r="X135" s="1"/>
      <c r="Y135" s="1"/>
      <c r="Z135" s="1"/>
      <c r="AA135" s="1"/>
    </row>
    <row r="136" spans="2:27">
      <c r="B136" s="1"/>
      <c r="C136" s="1"/>
      <c r="D136" s="1"/>
      <c r="E136" s="1"/>
      <c r="F136" s="1"/>
      <c r="G136" s="3"/>
      <c r="H136" s="134"/>
      <c r="I136" s="441"/>
      <c r="J136" s="441"/>
      <c r="K136" s="441"/>
      <c r="L136" s="441"/>
      <c r="M136" s="440"/>
      <c r="N136" s="474"/>
      <c r="O136" s="475"/>
      <c r="P136" s="473"/>
      <c r="Q136" s="478"/>
      <c r="R136" s="478"/>
      <c r="S136" s="476"/>
      <c r="T136" s="1"/>
      <c r="U136" s="1"/>
      <c r="V136" s="1"/>
      <c r="W136" s="1"/>
      <c r="X136" s="1"/>
      <c r="Y136" s="1"/>
      <c r="Z136" s="1"/>
      <c r="AA136" s="1"/>
    </row>
    <row r="137" spans="2:27">
      <c r="B137" s="433"/>
      <c r="C137" s="433"/>
      <c r="D137" s="433"/>
      <c r="E137" s="433"/>
      <c r="F137" s="433"/>
      <c r="G137" s="433"/>
      <c r="H137" s="434"/>
      <c r="I137" s="435"/>
      <c r="J137" s="435"/>
      <c r="K137" s="435"/>
      <c r="L137" s="435"/>
      <c r="M137" s="436"/>
      <c r="N137" s="436"/>
      <c r="O137" s="435"/>
      <c r="P137" s="435"/>
      <c r="Q137" s="435"/>
      <c r="R137" s="435"/>
      <c r="S137" s="435"/>
      <c r="T137" s="1"/>
      <c r="U137" s="1"/>
      <c r="V137" s="1"/>
      <c r="W137" s="1"/>
      <c r="X137" s="1"/>
      <c r="Y137" s="1"/>
      <c r="Z137" s="1"/>
      <c r="AA137" s="1"/>
    </row>
    <row r="138" spans="2:27">
      <c r="B138" s="437"/>
      <c r="C138" s="437"/>
      <c r="D138" s="437"/>
      <c r="E138" s="437"/>
      <c r="F138" s="437"/>
      <c r="G138" s="437"/>
      <c r="H138" s="438"/>
      <c r="I138" s="439"/>
      <c r="J138" s="439"/>
      <c r="K138" s="439"/>
      <c r="L138" s="439"/>
      <c r="M138" s="440"/>
      <c r="N138" s="440"/>
      <c r="O138" s="441"/>
      <c r="P138" s="441"/>
      <c r="Q138" s="441"/>
      <c r="R138" s="441"/>
      <c r="S138" s="441"/>
      <c r="T138" s="1"/>
      <c r="U138" s="1"/>
      <c r="V138" s="1"/>
      <c r="W138" s="1"/>
      <c r="X138" s="1"/>
      <c r="Y138" s="1"/>
      <c r="Z138" s="1"/>
      <c r="AA138" s="1"/>
    </row>
    <row r="139" spans="2:27">
      <c r="B139" s="378" t="s">
        <v>563</v>
      </c>
      <c r="C139" s="378"/>
      <c r="D139" s="1"/>
      <c r="E139" s="378"/>
      <c r="F139" s="378"/>
      <c r="G139" s="381"/>
      <c r="H139" s="442"/>
      <c r="I139" s="443"/>
      <c r="J139" s="443"/>
      <c r="K139" s="443"/>
      <c r="L139" s="443"/>
      <c r="M139" s="440"/>
      <c r="N139" s="440"/>
      <c r="O139" s="441"/>
      <c r="P139" s="441"/>
      <c r="Q139" s="441"/>
      <c r="R139" s="441"/>
      <c r="S139" s="441"/>
      <c r="T139" s="1"/>
      <c r="U139" s="1"/>
      <c r="V139" s="1"/>
      <c r="W139" s="1"/>
      <c r="X139" s="1"/>
      <c r="Y139" s="1"/>
      <c r="Z139" s="1"/>
      <c r="AA139" s="1"/>
    </row>
    <row r="140" spans="2:27">
      <c r="B140" s="378" t="s">
        <v>564</v>
      </c>
      <c r="C140" s="378"/>
      <c r="D140" s="1"/>
      <c r="E140" s="378"/>
      <c r="F140" s="378"/>
      <c r="G140" s="381"/>
      <c r="H140" s="444"/>
      <c r="I140" s="441"/>
      <c r="J140" s="441"/>
      <c r="K140" s="441"/>
      <c r="L140" s="441"/>
      <c r="M140" s="440"/>
      <c r="N140" s="440"/>
      <c r="O140" s="441"/>
      <c r="P140" s="441"/>
      <c r="Q140" s="441"/>
      <c r="R140" s="441"/>
      <c r="S140" s="441"/>
      <c r="T140" s="1"/>
      <c r="U140" s="1"/>
      <c r="V140" s="1"/>
      <c r="W140" s="1"/>
      <c r="X140" s="1"/>
      <c r="Y140" s="1"/>
      <c r="Z140" s="1"/>
      <c r="AA140" s="1"/>
    </row>
    <row r="141" spans="2:27">
      <c r="B141" s="378" t="s">
        <v>565</v>
      </c>
      <c r="C141" s="378"/>
      <c r="D141" s="1"/>
      <c r="E141" s="378"/>
      <c r="F141" s="378"/>
      <c r="G141" s="381"/>
      <c r="H141" s="445"/>
      <c r="I141" s="441"/>
      <c r="J141" s="441"/>
      <c r="K141" s="441"/>
      <c r="L141" s="441"/>
      <c r="M141" s="440"/>
      <c r="N141" s="440"/>
      <c r="O141" s="441"/>
      <c r="P141" s="441"/>
      <c r="Q141" s="441"/>
      <c r="R141" s="441"/>
      <c r="S141" s="441"/>
      <c r="T141" s="1"/>
      <c r="U141" s="1"/>
      <c r="V141" s="1"/>
      <c r="W141" s="1"/>
      <c r="X141" s="1"/>
      <c r="Y141" s="1"/>
      <c r="Z141" s="1"/>
      <c r="AA141" s="1"/>
    </row>
    <row r="142" spans="2:27">
      <c r="B142" s="378" t="s">
        <v>566</v>
      </c>
      <c r="C142" s="378"/>
      <c r="D142" s="1"/>
      <c r="E142" s="378"/>
      <c r="F142" s="378"/>
      <c r="G142" s="381"/>
      <c r="H142" s="446"/>
      <c r="I142" s="441"/>
      <c r="J142" s="441"/>
      <c r="K142" s="441"/>
      <c r="L142" s="441"/>
      <c r="M142" s="440"/>
      <c r="N142" s="440"/>
      <c r="O142" s="441"/>
      <c r="P142" s="441"/>
      <c r="Q142" s="441"/>
      <c r="R142" s="441"/>
      <c r="S142" s="441"/>
      <c r="T142" s="1"/>
      <c r="U142" s="1"/>
      <c r="V142" s="1"/>
      <c r="W142" s="1"/>
      <c r="X142" s="1"/>
      <c r="Y142" s="1"/>
      <c r="Z142" s="1"/>
      <c r="AA142" s="1"/>
    </row>
    <row r="143" spans="2:27">
      <c r="B143" s="378"/>
      <c r="C143" s="378"/>
      <c r="D143" s="1"/>
      <c r="E143" s="381"/>
      <c r="F143" s="381"/>
      <c r="G143" s="381"/>
      <c r="H143" s="447"/>
      <c r="I143" s="441"/>
      <c r="J143" s="441"/>
      <c r="K143" s="441"/>
      <c r="L143" s="441"/>
      <c r="M143" s="440"/>
      <c r="N143" s="440"/>
      <c r="O143" s="441"/>
      <c r="P143" s="441"/>
      <c r="Q143" s="441"/>
      <c r="R143" s="441"/>
      <c r="S143" s="441"/>
      <c r="T143" s="1"/>
      <c r="U143" s="1"/>
      <c r="V143" s="1"/>
      <c r="W143" s="1"/>
      <c r="X143" s="1"/>
      <c r="Y143" s="1"/>
      <c r="Z143" s="1"/>
      <c r="AA143" s="1"/>
    </row>
    <row r="144" spans="2:27">
      <c r="B144" s="448" t="s">
        <v>567</v>
      </c>
      <c r="C144" s="448"/>
      <c r="D144" s="449"/>
      <c r="E144" s="449"/>
      <c r="F144" s="449"/>
      <c r="G144" s="449"/>
      <c r="H144" s="450"/>
      <c r="I144" s="451"/>
      <c r="J144" s="451"/>
      <c r="K144" s="451"/>
      <c r="L144" s="451"/>
      <c r="M144" s="452"/>
      <c r="N144" s="452"/>
      <c r="O144" s="451"/>
      <c r="P144" s="451"/>
      <c r="Q144" s="451"/>
      <c r="R144" s="451"/>
      <c r="S144" s="451"/>
      <c r="T144" s="1"/>
      <c r="U144" s="1"/>
      <c r="V144" s="1"/>
      <c r="W144" s="1"/>
      <c r="X144" s="1"/>
      <c r="Y144" s="1"/>
      <c r="Z144" s="1"/>
      <c r="AA144" s="1"/>
    </row>
    <row r="145" spans="2:27">
      <c r="B145" s="338"/>
      <c r="C145" s="324"/>
      <c r="D145" s="324"/>
      <c r="E145" s="324"/>
      <c r="F145" s="324"/>
      <c r="G145" s="338"/>
      <c r="H145" s="453"/>
      <c r="I145" s="454"/>
      <c r="J145" s="454"/>
      <c r="K145" s="454"/>
      <c r="L145" s="454"/>
      <c r="M145" s="440"/>
      <c r="N145" s="440"/>
      <c r="O145" s="441"/>
      <c r="P145" s="441"/>
      <c r="Q145" s="441"/>
      <c r="R145" s="441"/>
      <c r="S145" s="441"/>
      <c r="T145" s="1"/>
      <c r="U145" s="1"/>
      <c r="V145" s="1"/>
      <c r="W145" s="1"/>
      <c r="X145" s="1"/>
      <c r="Y145" s="1"/>
      <c r="Z145" s="1"/>
      <c r="AA145" s="1"/>
    </row>
    <row r="146" spans="2:27">
      <c r="B146" s="337"/>
      <c r="C146" s="67"/>
      <c r="D146" s="455"/>
      <c r="E146" s="325"/>
      <c r="F146" s="456"/>
      <c r="G146" s="457">
        <f>IF(E146=0,0,IF(E146="MXN",1/HLOOKUP(YEAR(D146)+(MONTH(D146)/100),TC!$5:$437,DAY(D146)+2,FALSE),VLOOKUP(E146,Equivalencia!$1:$23,((MAX(Equivalencia!$3:$3)-YEAR(D146))*14)+MONTH(D146)+2,FALSE)))</f>
        <v>0</v>
      </c>
      <c r="H146" s="458">
        <f>+G146*F146</f>
        <v>0</v>
      </c>
      <c r="I146" s="459">
        <f>H144+H146</f>
        <v>0</v>
      </c>
      <c r="J146" s="459">
        <f>+IF(H146&lt;0,0,IF(AND(H144&lt;0,I146&lt;0),0,IF(H144&lt;0,H146+H144,H146)))</f>
        <v>0</v>
      </c>
      <c r="K146" s="545">
        <f>+IF(D146=0,0,HLOOKUP(YEAR(D146)+(MONTH(D146)/100),TC!$5:$37,DAY(D146)+2,FALSE))</f>
        <v>0</v>
      </c>
      <c r="L146" s="459">
        <f>+J146*K146</f>
        <v>0</v>
      </c>
      <c r="M146" s="460"/>
      <c r="N146" s="460"/>
      <c r="O146" s="459">
        <f>IF(F146="",0,I146+M146+N146)</f>
        <v>0</v>
      </c>
      <c r="P146" s="461"/>
      <c r="Q146" s="479">
        <f>IF(O146=P146,0,IF(P146="",0,O146-P146))</f>
        <v>0</v>
      </c>
      <c r="R146" s="479"/>
      <c r="S146" s="459">
        <f>+IF(P146="",0,R146*Q146)</f>
        <v>0</v>
      </c>
      <c r="T146" s="1"/>
      <c r="U146" s="1"/>
      <c r="V146" s="1"/>
      <c r="W146" s="1"/>
      <c r="X146" s="1"/>
      <c r="Y146" s="1"/>
      <c r="Z146" s="1"/>
      <c r="AA146" s="1"/>
    </row>
    <row r="147" spans="2:27">
      <c r="B147" s="337"/>
      <c r="C147" s="462"/>
      <c r="D147" s="455"/>
      <c r="E147" s="325"/>
      <c r="F147" s="456"/>
      <c r="G147" s="457">
        <f>IF(E147=0,0,IF(E147="MXN",1/HLOOKUP(YEAR(D147)+(MONTH(D147)/100),TC!$5:$437,DAY(D147)+2,FALSE),VLOOKUP(E147,Equivalencia!$1:$23,((MAX(Equivalencia!$3:$3)-YEAR(D147))*14)+MONTH(D147)+2,FALSE)))</f>
        <v>0</v>
      </c>
      <c r="H147" s="458">
        <f t="shared" ref="H147:H157" si="40">+G147*F147</f>
        <v>0</v>
      </c>
      <c r="I147" s="459">
        <f t="shared" ref="I147:I157" si="41">I146+H147+Q146</f>
        <v>0</v>
      </c>
      <c r="J147" s="459">
        <f t="shared" ref="J147:J157" si="42">+IF(H147&lt;0,0,IF(AND(I146&lt;0,I147&lt;0),0,IF(I146&lt;0,H147+I146,H147)))</f>
        <v>0</v>
      </c>
      <c r="K147" s="545">
        <f>+IF(D147=0,0,HLOOKUP(YEAR(D147)+(MONTH(D147)/100),TC!$5:$37,DAY(D147)+2,FALSE))</f>
        <v>0</v>
      </c>
      <c r="L147" s="459">
        <f t="shared" ref="L147:L157" si="43">+J147*K147</f>
        <v>0</v>
      </c>
      <c r="M147" s="460"/>
      <c r="N147" s="460"/>
      <c r="O147" s="459">
        <f t="shared" ref="O147:O154" si="44">IF(F147="",0,H147+M147+N147+O146)</f>
        <v>0</v>
      </c>
      <c r="P147" s="461"/>
      <c r="Q147" s="479">
        <f t="shared" ref="Q147:Q157" si="45">IF(O147=P147,0,IF(P147="",0,O147-P147))</f>
        <v>0</v>
      </c>
      <c r="R147" s="479"/>
      <c r="S147" s="459">
        <f t="shared" ref="S147:S157" si="46">+IF(P147="",0,R147*Q147)</f>
        <v>0</v>
      </c>
      <c r="T147" s="1"/>
      <c r="U147" s="1"/>
      <c r="V147" s="1"/>
      <c r="W147" s="1"/>
      <c r="X147" s="1"/>
      <c r="Y147" s="1"/>
      <c r="Z147" s="1"/>
      <c r="AA147" s="1"/>
    </row>
    <row r="148" spans="2:27">
      <c r="B148" s="337"/>
      <c r="C148" s="462"/>
      <c r="D148" s="455"/>
      <c r="E148" s="325"/>
      <c r="F148" s="456"/>
      <c r="G148" s="457">
        <f>IF(E148=0,0,IF(E148="MXN",1/HLOOKUP(YEAR(D148)+(MONTH(D148)/100),TC!$5:$437,DAY(D148)+2,FALSE),VLOOKUP(E148,Equivalencia!$1:$23,((MAX(Equivalencia!$3:$3)-YEAR(D148))*14)+MONTH(D148)+2,FALSE)))</f>
        <v>0</v>
      </c>
      <c r="H148" s="458">
        <f t="shared" si="40"/>
        <v>0</v>
      </c>
      <c r="I148" s="459">
        <f t="shared" si="41"/>
        <v>0</v>
      </c>
      <c r="J148" s="459">
        <f t="shared" si="42"/>
        <v>0</v>
      </c>
      <c r="K148" s="545">
        <f>+IF(D148=0,0,HLOOKUP(YEAR(D148)+(MONTH(D148)/100),TC!$5:$37,DAY(D148)+2,FALSE))</f>
        <v>0</v>
      </c>
      <c r="L148" s="459">
        <f t="shared" si="43"/>
        <v>0</v>
      </c>
      <c r="M148" s="460"/>
      <c r="N148" s="460"/>
      <c r="O148" s="459">
        <f t="shared" si="44"/>
        <v>0</v>
      </c>
      <c r="P148" s="461"/>
      <c r="Q148" s="479">
        <f t="shared" si="45"/>
        <v>0</v>
      </c>
      <c r="R148" s="479"/>
      <c r="S148" s="459">
        <f t="shared" si="46"/>
        <v>0</v>
      </c>
      <c r="T148" s="1"/>
      <c r="U148" s="1"/>
      <c r="V148" s="1"/>
      <c r="W148" s="1"/>
      <c r="X148" s="1"/>
      <c r="Y148" s="1"/>
      <c r="Z148" s="1"/>
      <c r="AA148" s="1"/>
    </row>
    <row r="149" spans="2:27">
      <c r="B149" s="337"/>
      <c r="C149" s="462"/>
      <c r="D149" s="455"/>
      <c r="E149" s="325"/>
      <c r="F149" s="456"/>
      <c r="G149" s="457">
        <f>IF(E149=0,0,IF(E149="MXN",1/HLOOKUP(YEAR(D149)+(MONTH(D149)/100),TC!$5:$437,DAY(D149)+2,FALSE),VLOOKUP(E149,Equivalencia!$1:$23,((MAX(Equivalencia!$3:$3)-YEAR(D149))*14)+MONTH(D149)+2,FALSE)))</f>
        <v>0</v>
      </c>
      <c r="H149" s="458">
        <f t="shared" si="40"/>
        <v>0</v>
      </c>
      <c r="I149" s="459">
        <f t="shared" si="41"/>
        <v>0</v>
      </c>
      <c r="J149" s="459">
        <f t="shared" si="42"/>
        <v>0</v>
      </c>
      <c r="K149" s="545">
        <f>+IF(D149=0,0,HLOOKUP(YEAR(D149)+(MONTH(D149)/100),TC!$5:$37,DAY(D149)+2,FALSE))</f>
        <v>0</v>
      </c>
      <c r="L149" s="459">
        <f t="shared" si="43"/>
        <v>0</v>
      </c>
      <c r="M149" s="460"/>
      <c r="N149" s="460"/>
      <c r="O149" s="459">
        <f t="shared" si="44"/>
        <v>0</v>
      </c>
      <c r="P149" s="461"/>
      <c r="Q149" s="479">
        <f t="shared" si="45"/>
        <v>0</v>
      </c>
      <c r="R149" s="479"/>
      <c r="S149" s="459">
        <f t="shared" si="46"/>
        <v>0</v>
      </c>
      <c r="T149" s="1"/>
      <c r="U149" s="1"/>
      <c r="V149" s="1"/>
      <c r="W149" s="1"/>
      <c r="X149" s="1"/>
      <c r="Y149" s="1"/>
      <c r="Z149" s="1"/>
      <c r="AA149" s="1"/>
    </row>
    <row r="150" spans="2:27">
      <c r="B150" s="337"/>
      <c r="C150" s="463"/>
      <c r="D150" s="455"/>
      <c r="E150" s="325"/>
      <c r="F150" s="456"/>
      <c r="G150" s="457">
        <f>IF(E150=0,0,IF(E150="MXN",1/HLOOKUP(YEAR(D150)+(MONTH(D150)/100),TC!$5:$437,DAY(D150)+2,FALSE),VLOOKUP(E150,Equivalencia!$1:$23,((MAX(Equivalencia!$3:$3)-YEAR(D150))*14)+MONTH(D150)+2,FALSE)))</f>
        <v>0</v>
      </c>
      <c r="H150" s="458">
        <f t="shared" si="40"/>
        <v>0</v>
      </c>
      <c r="I150" s="459">
        <f t="shared" si="41"/>
        <v>0</v>
      </c>
      <c r="J150" s="459">
        <f t="shared" si="42"/>
        <v>0</v>
      </c>
      <c r="K150" s="545">
        <f>+IF(D150=0,0,HLOOKUP(YEAR(D150)+(MONTH(D150)/100),TC!$5:$37,DAY(D150)+2,FALSE))</f>
        <v>0</v>
      </c>
      <c r="L150" s="459">
        <f t="shared" si="43"/>
        <v>0</v>
      </c>
      <c r="M150" s="460"/>
      <c r="N150" s="460"/>
      <c r="O150" s="459">
        <f t="shared" si="44"/>
        <v>0</v>
      </c>
      <c r="P150" s="461"/>
      <c r="Q150" s="479">
        <f t="shared" si="45"/>
        <v>0</v>
      </c>
      <c r="R150" s="479"/>
      <c r="S150" s="459">
        <f t="shared" si="46"/>
        <v>0</v>
      </c>
      <c r="T150" s="1"/>
      <c r="U150" s="1"/>
      <c r="V150" s="1"/>
      <c r="W150" s="1"/>
      <c r="X150" s="1"/>
      <c r="Y150" s="1"/>
      <c r="Z150" s="1"/>
      <c r="AA150" s="1"/>
    </row>
    <row r="151" spans="2:27">
      <c r="B151" s="337"/>
      <c r="C151" s="463"/>
      <c r="D151" s="455"/>
      <c r="E151" s="325"/>
      <c r="F151" s="456"/>
      <c r="G151" s="457">
        <f>IF(E151=0,0,IF(E151="MXN",1/HLOOKUP(YEAR(D151)+(MONTH(D151)/100),TC!$5:$437,DAY(D151)+2,FALSE),VLOOKUP(E151,Equivalencia!$1:$23,((MAX(Equivalencia!$3:$3)-YEAR(D151))*14)+MONTH(D151)+2,FALSE)))</f>
        <v>0</v>
      </c>
      <c r="H151" s="458">
        <f t="shared" si="40"/>
        <v>0</v>
      </c>
      <c r="I151" s="459">
        <f t="shared" si="41"/>
        <v>0</v>
      </c>
      <c r="J151" s="459">
        <f t="shared" si="42"/>
        <v>0</v>
      </c>
      <c r="K151" s="545">
        <f>+IF(D151=0,0,HLOOKUP(YEAR(D151)+(MONTH(D151)/100),TC!$5:$37,DAY(D151)+2,FALSE))</f>
        <v>0</v>
      </c>
      <c r="L151" s="459">
        <f t="shared" si="43"/>
        <v>0</v>
      </c>
      <c r="M151" s="460"/>
      <c r="N151" s="460"/>
      <c r="O151" s="459">
        <f t="shared" si="44"/>
        <v>0</v>
      </c>
      <c r="P151" s="461"/>
      <c r="Q151" s="479">
        <f t="shared" si="45"/>
        <v>0</v>
      </c>
      <c r="R151" s="479"/>
      <c r="S151" s="459">
        <f t="shared" si="46"/>
        <v>0</v>
      </c>
      <c r="T151" s="1"/>
      <c r="U151" s="1"/>
      <c r="V151" s="1"/>
      <c r="W151" s="1"/>
      <c r="X151" s="1"/>
      <c r="Y151" s="1"/>
      <c r="Z151" s="1"/>
      <c r="AA151" s="1"/>
    </row>
    <row r="152" spans="2:27">
      <c r="B152" s="337"/>
      <c r="C152" s="463"/>
      <c r="D152" s="455"/>
      <c r="E152" s="325"/>
      <c r="F152" s="456"/>
      <c r="G152" s="457">
        <f>IF(E152=0,0,IF(E152="MXN",1/HLOOKUP(YEAR(D152)+(MONTH(D152)/100),TC!$5:$437,DAY(D152)+2,FALSE),VLOOKUP(E152,Equivalencia!$1:$23,((MAX(Equivalencia!$3:$3)-YEAR(D152))*14)+MONTH(D152)+2,FALSE)))</f>
        <v>0</v>
      </c>
      <c r="H152" s="458">
        <f t="shared" si="40"/>
        <v>0</v>
      </c>
      <c r="I152" s="459">
        <f t="shared" si="41"/>
        <v>0</v>
      </c>
      <c r="J152" s="459">
        <f t="shared" si="42"/>
        <v>0</v>
      </c>
      <c r="K152" s="545">
        <f>+IF(D152=0,0,HLOOKUP(YEAR(D152)+(MONTH(D152)/100),TC!$5:$37,DAY(D152)+2,FALSE))</f>
        <v>0</v>
      </c>
      <c r="L152" s="459">
        <f t="shared" si="43"/>
        <v>0</v>
      </c>
      <c r="M152" s="460"/>
      <c r="N152" s="460"/>
      <c r="O152" s="459">
        <f t="shared" si="44"/>
        <v>0</v>
      </c>
      <c r="P152" s="461"/>
      <c r="Q152" s="479">
        <f t="shared" si="45"/>
        <v>0</v>
      </c>
      <c r="R152" s="479"/>
      <c r="S152" s="459">
        <f t="shared" si="46"/>
        <v>0</v>
      </c>
      <c r="T152" s="1"/>
      <c r="U152" s="1"/>
      <c r="V152" s="1"/>
      <c r="W152" s="1"/>
      <c r="X152" s="1"/>
      <c r="Y152" s="1"/>
      <c r="Z152" s="1"/>
      <c r="AA152" s="1"/>
    </row>
    <row r="153" spans="2:27">
      <c r="B153" s="337"/>
      <c r="C153" s="463"/>
      <c r="D153" s="455"/>
      <c r="E153" s="325"/>
      <c r="F153" s="456"/>
      <c r="G153" s="457">
        <f>IF(E153=0,0,IF(E153="MXN",1/HLOOKUP(YEAR(D153)+(MONTH(D153)/100),TC!$5:$437,DAY(D153)+2,FALSE),VLOOKUP(E153,Equivalencia!$1:$23,((MAX(Equivalencia!$3:$3)-YEAR(D153))*14)+MONTH(D153)+2,FALSE)))</f>
        <v>0</v>
      </c>
      <c r="H153" s="458">
        <f t="shared" si="40"/>
        <v>0</v>
      </c>
      <c r="I153" s="459">
        <f t="shared" si="41"/>
        <v>0</v>
      </c>
      <c r="J153" s="459">
        <f t="shared" si="42"/>
        <v>0</v>
      </c>
      <c r="K153" s="545">
        <f>+IF(D153=0,0,HLOOKUP(YEAR(D153)+(MONTH(D153)/100),TC!$5:$37,DAY(D153)+2,FALSE))</f>
        <v>0</v>
      </c>
      <c r="L153" s="459">
        <f t="shared" si="43"/>
        <v>0</v>
      </c>
      <c r="M153" s="460"/>
      <c r="N153" s="460"/>
      <c r="O153" s="459">
        <f t="shared" si="44"/>
        <v>0</v>
      </c>
      <c r="P153" s="461"/>
      <c r="Q153" s="479">
        <f t="shared" si="45"/>
        <v>0</v>
      </c>
      <c r="R153" s="479"/>
      <c r="S153" s="459">
        <f t="shared" si="46"/>
        <v>0</v>
      </c>
      <c r="T153" s="1"/>
      <c r="U153" s="1"/>
      <c r="V153" s="1"/>
      <c r="W153" s="1"/>
      <c r="X153" s="1"/>
      <c r="Y153" s="1"/>
      <c r="Z153" s="1"/>
      <c r="AA153" s="1"/>
    </row>
    <row r="154" spans="2:27">
      <c r="B154" s="337"/>
      <c r="C154" s="463"/>
      <c r="D154" s="455"/>
      <c r="E154" s="325"/>
      <c r="F154" s="456"/>
      <c r="G154" s="457">
        <f>IF(E154=0,0,IF(E154="MXN",1/HLOOKUP(YEAR(D154)+(MONTH(D154)/100),TC!$5:$437,DAY(D154)+2,FALSE),VLOOKUP(E154,Equivalencia!$1:$23,((MAX(Equivalencia!$3:$3)-YEAR(D154))*14)+MONTH(D154)+2,FALSE)))</f>
        <v>0</v>
      </c>
      <c r="H154" s="458">
        <f t="shared" si="40"/>
        <v>0</v>
      </c>
      <c r="I154" s="459">
        <f t="shared" si="41"/>
        <v>0</v>
      </c>
      <c r="J154" s="459">
        <f t="shared" si="42"/>
        <v>0</v>
      </c>
      <c r="K154" s="545">
        <f>+IF(D154=0,0,HLOOKUP(YEAR(D154)+(MONTH(D154)/100),TC!$5:$37,DAY(D154)+2,FALSE))</f>
        <v>0</v>
      </c>
      <c r="L154" s="459">
        <f t="shared" si="43"/>
        <v>0</v>
      </c>
      <c r="M154" s="460"/>
      <c r="N154" s="460"/>
      <c r="O154" s="459">
        <f t="shared" si="44"/>
        <v>0</v>
      </c>
      <c r="P154" s="461"/>
      <c r="Q154" s="479">
        <f t="shared" si="45"/>
        <v>0</v>
      </c>
      <c r="R154" s="479"/>
      <c r="S154" s="459">
        <f t="shared" si="46"/>
        <v>0</v>
      </c>
      <c r="T154" s="1"/>
      <c r="U154" s="1"/>
      <c r="V154" s="1"/>
      <c r="W154" s="1"/>
      <c r="X154" s="1"/>
      <c r="Y154" s="1"/>
      <c r="Z154" s="1"/>
      <c r="AA154" s="1"/>
    </row>
    <row r="155" spans="2:27">
      <c r="B155" s="337"/>
      <c r="C155" s="463"/>
      <c r="D155" s="455"/>
      <c r="E155" s="325"/>
      <c r="F155" s="456"/>
      <c r="G155" s="457">
        <f>IF(E155=0,0,IF(E155="MXN",1/HLOOKUP(YEAR(D155)+(MONTH(D155)/100),TC!$5:$437,DAY(D155)+2,FALSE),VLOOKUP(E155,Equivalencia!$1:$23,((MAX(Equivalencia!$3:$3)-YEAR(D155))*14)+MONTH(D155)+2,FALSE)))</f>
        <v>0</v>
      </c>
      <c r="H155" s="458">
        <f t="shared" si="40"/>
        <v>0</v>
      </c>
      <c r="I155" s="459">
        <f t="shared" si="41"/>
        <v>0</v>
      </c>
      <c r="J155" s="459">
        <f t="shared" si="42"/>
        <v>0</v>
      </c>
      <c r="K155" s="545">
        <f>+IF(D155=0,0,HLOOKUP(YEAR(D155)+(MONTH(D155)/100),TC!$5:$37,DAY(D155)+2,FALSE))</f>
        <v>0</v>
      </c>
      <c r="L155" s="459">
        <f t="shared" si="43"/>
        <v>0</v>
      </c>
      <c r="M155" s="460"/>
      <c r="N155" s="460"/>
      <c r="O155" s="459">
        <f t="shared" ref="O155:O157" si="47">IF(F155="",0,H155+M155+N155+O154)</f>
        <v>0</v>
      </c>
      <c r="P155" s="461"/>
      <c r="Q155" s="479">
        <f t="shared" si="45"/>
        <v>0</v>
      </c>
      <c r="R155" s="479"/>
      <c r="S155" s="459">
        <f t="shared" si="46"/>
        <v>0</v>
      </c>
      <c r="T155" s="1"/>
      <c r="U155" s="1"/>
      <c r="V155" s="1"/>
      <c r="W155" s="1"/>
      <c r="X155" s="1"/>
      <c r="Y155" s="1"/>
      <c r="Z155" s="1"/>
      <c r="AA155" s="1"/>
    </row>
    <row r="156" spans="2:27">
      <c r="B156" s="337"/>
      <c r="C156" s="67"/>
      <c r="D156" s="603"/>
      <c r="E156" s="337"/>
      <c r="F156" s="604"/>
      <c r="G156" s="457">
        <f>IF(E156=0,0,IF(E156="MXN",1/HLOOKUP(YEAR(D156)+(MONTH(D156)/100),TC!$5:$437,DAY(D156)+2,FALSE),VLOOKUP(E156,Equivalencia!$1:$23,((MAX(Equivalencia!$3:$3)-YEAR(D156))*14)+MONTH(D156)+2,FALSE)))</f>
        <v>0</v>
      </c>
      <c r="H156" s="605">
        <f t="shared" si="40"/>
        <v>0</v>
      </c>
      <c r="I156" s="606">
        <f t="shared" si="41"/>
        <v>0</v>
      </c>
      <c r="J156" s="606">
        <f t="shared" si="42"/>
        <v>0</v>
      </c>
      <c r="K156" s="614">
        <f>+IF(D156=0,0,HLOOKUP(YEAR(D156)+(MONTH(D156)/100),TC!$5:$37,DAY(D156)+2,FALSE))</f>
        <v>0</v>
      </c>
      <c r="L156" s="606">
        <f t="shared" si="43"/>
        <v>0</v>
      </c>
      <c r="M156" s="460"/>
      <c r="N156" s="460"/>
      <c r="O156" s="459">
        <f t="shared" si="47"/>
        <v>0</v>
      </c>
      <c r="P156" s="461"/>
      <c r="Q156" s="479">
        <f t="shared" si="45"/>
        <v>0</v>
      </c>
      <c r="R156" s="479"/>
      <c r="S156" s="459">
        <f t="shared" si="46"/>
        <v>0</v>
      </c>
      <c r="T156" s="1"/>
      <c r="U156" s="1"/>
      <c r="V156" s="1"/>
      <c r="W156" s="1"/>
      <c r="X156" s="1"/>
      <c r="Y156" s="1"/>
      <c r="Z156" s="1"/>
      <c r="AA156" s="1"/>
    </row>
    <row r="157" spans="2:27">
      <c r="B157" s="607"/>
      <c r="C157" s="608"/>
      <c r="D157" s="609"/>
      <c r="E157" s="607"/>
      <c r="F157" s="610"/>
      <c r="G157" s="611">
        <f>IF(E157=0,0,IF(E157="MXN",1/HLOOKUP(YEAR(D157)+(MONTH(D157)/100),TC!$5:$437,DAY(D157)+2,FALSE),VLOOKUP(E157,Equivalencia!$1:$23,((MAX(Equivalencia!$3:$3)-YEAR(D157))*14)+MONTH(D157)+2,FALSE)))</f>
        <v>0</v>
      </c>
      <c r="H157" s="612">
        <f t="shared" si="40"/>
        <v>0</v>
      </c>
      <c r="I157" s="613">
        <f t="shared" si="41"/>
        <v>0</v>
      </c>
      <c r="J157" s="613">
        <f t="shared" si="42"/>
        <v>0</v>
      </c>
      <c r="K157" s="615">
        <f>+IF(D157=0,0,HLOOKUP(YEAR(D157)+(MONTH(D157)/100),TC!$5:$37,DAY(D157)+2,FALSE))</f>
        <v>0</v>
      </c>
      <c r="L157" s="613">
        <f t="shared" si="43"/>
        <v>0</v>
      </c>
      <c r="M157" s="460"/>
      <c r="N157" s="460"/>
      <c r="O157" s="459">
        <f t="shared" si="47"/>
        <v>0</v>
      </c>
      <c r="P157" s="461"/>
      <c r="Q157" s="479">
        <f t="shared" si="45"/>
        <v>0</v>
      </c>
      <c r="R157" s="479"/>
      <c r="S157" s="459">
        <f t="shared" si="46"/>
        <v>0</v>
      </c>
      <c r="T157" s="1"/>
      <c r="U157" s="1"/>
      <c r="V157" s="1"/>
      <c r="W157" s="1"/>
      <c r="X157" s="1"/>
      <c r="Y157" s="1"/>
      <c r="Z157" s="1"/>
      <c r="AA157" s="1"/>
    </row>
    <row r="158" spans="2:27">
      <c r="B158" s="3"/>
      <c r="C158" s="1"/>
      <c r="D158" s="1"/>
      <c r="E158" s="1"/>
      <c r="F158" s="1"/>
      <c r="G158" s="3"/>
      <c r="H158" s="464"/>
      <c r="I158" s="441"/>
      <c r="J158" s="441"/>
      <c r="K158" s="441"/>
      <c r="L158" s="441"/>
      <c r="M158" s="440"/>
      <c r="N158" s="440"/>
      <c r="O158" s="441"/>
      <c r="P158" s="441"/>
      <c r="Q158" s="441"/>
      <c r="R158" s="441"/>
      <c r="S158" s="441"/>
      <c r="T158" s="1"/>
      <c r="U158" s="1"/>
      <c r="V158" s="1"/>
      <c r="W158" s="1"/>
      <c r="X158" s="1"/>
      <c r="Y158" s="1"/>
      <c r="Z158" s="1"/>
      <c r="AA158" s="1"/>
    </row>
    <row r="159" spans="2:27">
      <c r="B159" s="3"/>
      <c r="C159" s="1"/>
      <c r="D159" s="1"/>
      <c r="E159" s="1"/>
      <c r="F159" s="1"/>
      <c r="G159" s="3"/>
      <c r="H159" s="465"/>
      <c r="I159" s="466"/>
      <c r="J159" s="467"/>
      <c r="K159" s="467"/>
      <c r="L159" s="467">
        <f>SUM(L146:L157)</f>
        <v>0</v>
      </c>
      <c r="M159" s="468"/>
      <c r="N159" s="468"/>
      <c r="O159" s="466"/>
      <c r="P159" s="466"/>
      <c r="Q159" s="466"/>
      <c r="R159" s="466"/>
      <c r="S159" s="467">
        <f>+SUMIF(S146:S158,"&gt;0",S146:S158)</f>
        <v>0</v>
      </c>
      <c r="T159" s="1"/>
      <c r="U159" s="1"/>
      <c r="V159" s="467">
        <f>+L159</f>
        <v>0</v>
      </c>
      <c r="W159" s="467">
        <f>+S159</f>
        <v>0</v>
      </c>
      <c r="X159" s="467">
        <f>+V159+W159</f>
        <v>0</v>
      </c>
      <c r="Y159" s="1"/>
      <c r="Z159" s="1"/>
      <c r="AA159" s="1"/>
    </row>
    <row r="160" spans="2:27">
      <c r="B160" s="3"/>
      <c r="C160" s="1"/>
      <c r="D160" s="1"/>
      <c r="E160" s="1"/>
      <c r="F160" s="1"/>
      <c r="G160" s="3"/>
      <c r="H160" s="134"/>
      <c r="I160" s="441"/>
      <c r="J160" s="441"/>
      <c r="K160" s="441"/>
      <c r="L160" s="441"/>
      <c r="M160" s="440"/>
      <c r="N160" s="440"/>
      <c r="O160" s="441"/>
      <c r="P160" s="441"/>
      <c r="Q160" s="441"/>
      <c r="R160" s="441"/>
      <c r="S160" s="441"/>
      <c r="T160" s="1"/>
      <c r="U160" s="1"/>
      <c r="V160" s="1"/>
      <c r="W160" s="1"/>
      <c r="X160" s="1"/>
      <c r="Y160" s="1"/>
      <c r="Z160" s="1"/>
      <c r="AA160" s="1"/>
    </row>
    <row r="161" spans="2:27">
      <c r="B161" s="1"/>
      <c r="C161" s="1"/>
      <c r="D161" s="1"/>
      <c r="E161" s="1"/>
      <c r="F161" s="1"/>
      <c r="G161" s="3"/>
      <c r="H161" s="134"/>
      <c r="I161" s="441"/>
      <c r="J161" s="441"/>
      <c r="K161" s="441"/>
      <c r="L161" s="441"/>
      <c r="M161" s="440"/>
      <c r="N161" s="440"/>
      <c r="O161" s="441"/>
      <c r="P161" s="469"/>
      <c r="Q161" s="469"/>
      <c r="R161" s="469"/>
      <c r="S161" s="470" t="s">
        <v>568</v>
      </c>
      <c r="T161" s="471">
        <f>+L159+S159</f>
        <v>0</v>
      </c>
      <c r="U161" s="1"/>
      <c r="V161" s="1"/>
      <c r="W161" s="1"/>
      <c r="X161" s="1"/>
      <c r="Y161" s="1"/>
      <c r="Z161" s="1"/>
      <c r="AA161" s="1"/>
    </row>
    <row r="162" spans="2:27">
      <c r="B162" s="1"/>
      <c r="C162" s="1"/>
      <c r="D162" s="1"/>
      <c r="E162" s="1"/>
      <c r="F162" s="1"/>
      <c r="G162" s="3"/>
      <c r="H162" s="134"/>
      <c r="I162" s="441"/>
      <c r="J162" s="441"/>
      <c r="K162" s="441"/>
      <c r="L162" s="441"/>
      <c r="M162" s="440"/>
      <c r="N162" s="440"/>
      <c r="O162" s="441"/>
      <c r="P162" s="441"/>
      <c r="Q162" s="441"/>
      <c r="R162" s="441"/>
      <c r="S162" s="441"/>
      <c r="T162" s="1"/>
      <c r="U162" s="1"/>
      <c r="V162" s="1"/>
      <c r="W162" s="1"/>
      <c r="X162" s="1"/>
      <c r="Y162" s="1"/>
      <c r="Z162" s="1"/>
      <c r="AA162" s="1"/>
    </row>
    <row r="163" spans="2:27">
      <c r="B163" s="1"/>
      <c r="C163" s="1"/>
      <c r="D163" s="1"/>
      <c r="E163" s="1"/>
      <c r="F163" s="1"/>
      <c r="G163" s="3"/>
      <c r="H163" s="134"/>
      <c r="I163" s="441"/>
      <c r="J163" s="441"/>
      <c r="K163" s="441"/>
      <c r="L163" s="441"/>
      <c r="M163" s="440"/>
      <c r="N163" s="440"/>
      <c r="O163" s="441"/>
      <c r="P163" s="441"/>
      <c r="Q163" s="441"/>
      <c r="R163" s="441"/>
      <c r="S163" s="441"/>
      <c r="T163" s="1"/>
      <c r="U163" s="1"/>
      <c r="V163" s="1"/>
      <c r="W163" s="1"/>
      <c r="X163" s="1"/>
      <c r="Y163" s="1"/>
      <c r="Z163" s="1"/>
      <c r="AA163" s="1"/>
    </row>
    <row r="164" spans="2:27">
      <c r="B164" s="1"/>
      <c r="C164" s="1"/>
      <c r="D164" s="1"/>
      <c r="E164" s="1"/>
      <c r="F164" s="1"/>
      <c r="G164" s="3"/>
      <c r="H164" s="134"/>
      <c r="I164" s="441"/>
      <c r="J164" s="441"/>
      <c r="K164" s="441"/>
      <c r="L164" s="441"/>
      <c r="M164" s="440"/>
      <c r="N164" s="440"/>
      <c r="O164" s="441"/>
      <c r="P164" s="441"/>
      <c r="Q164" s="441"/>
      <c r="R164" s="441"/>
      <c r="S164" s="441"/>
      <c r="T164" s="1"/>
      <c r="U164" s="1"/>
      <c r="V164" s="1"/>
      <c r="W164" s="1"/>
      <c r="X164" s="1"/>
      <c r="Y164" s="1"/>
      <c r="Z164" s="1"/>
      <c r="AA164" s="1"/>
    </row>
    <row r="165" spans="2:27">
      <c r="B165" s="1"/>
      <c r="C165" s="1"/>
      <c r="D165" s="1"/>
      <c r="E165" s="1"/>
      <c r="F165" s="1"/>
      <c r="G165" s="3"/>
      <c r="H165" s="134"/>
      <c r="I165" s="441"/>
      <c r="J165" s="441"/>
      <c r="K165" s="441"/>
      <c r="L165" s="441"/>
      <c r="M165" s="441"/>
      <c r="N165" s="441"/>
      <c r="O165" s="616"/>
      <c r="P165" s="617"/>
      <c r="Q165" s="617"/>
      <c r="R165" s="617"/>
      <c r="S165" s="616" t="s">
        <v>569</v>
      </c>
      <c r="T165" s="618">
        <f>SUM(T7:T164)</f>
        <v>0</v>
      </c>
      <c r="U165" s="1"/>
      <c r="V165" s="477">
        <f>SUM(V22:V163)</f>
        <v>0</v>
      </c>
      <c r="W165" s="477">
        <f>SUM(W22:W163)</f>
        <v>0</v>
      </c>
      <c r="X165" s="477">
        <f>SUM(X22:X163)</f>
        <v>0</v>
      </c>
      <c r="Y165" s="1"/>
      <c r="Z165" s="1"/>
      <c r="AA165" s="1"/>
    </row>
  </sheetData>
  <mergeCells count="1">
    <mergeCell ref="B2:T2"/>
  </mergeCells>
  <dataValidations disablePrompts="1" count="1">
    <dataValidation type="list" allowBlank="1" showInputMessage="1" showErrorMessage="1" sqref="B16:B27 B42:B53 B68:B79 B94:B105 B120:B131 B146:B157" xr:uid="{005E0823-BDF9-4144-8056-223E8C3FFB13}">
      <formula1>$AA$6:$AA$10</formula1>
    </dataValidation>
  </dataValidations>
  <pageMargins left="0.7" right="0.7" top="0.75" bottom="0.75" header="0.3" footer="0.3"/>
  <pageSetup scale="32" fitToHeight="6"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9545486-39C7-2349-9E0F-10121E38D5CC}">
          <x14:formula1>
            <xm:f>Equivalencia!$A$4:$A$23</xm:f>
          </x14:formula1>
          <xm:sqref>E146:E157 E42:E53 E68:E79 E94:E105 E120:E131 E16:E27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2:P127"/>
  <sheetViews>
    <sheetView view="pageBreakPreview" zoomScale="90" zoomScaleNormal="80" zoomScaleSheetLayoutView="90" workbookViewId="0">
      <pane ySplit="6" topLeftCell="A7" activePane="bottomLeft" state="frozen"/>
      <selection pane="bottomLeft" activeCell="C16" sqref="C16"/>
    </sheetView>
  </sheetViews>
  <sheetFormatPr baseColWidth="10" defaultColWidth="10.83203125" defaultRowHeight="23" customHeight="1"/>
  <cols>
    <col min="1" max="1" width="10.83203125" style="1"/>
    <col min="2" max="3" width="23" style="1" customWidth="1"/>
    <col min="4" max="4" width="18.33203125" style="1" customWidth="1"/>
    <col min="5" max="5" width="50.83203125" style="1" customWidth="1"/>
    <col min="6" max="6" width="19.33203125" style="1" customWidth="1"/>
    <col min="7" max="11" width="18.83203125" style="1" customWidth="1"/>
    <col min="12" max="15" width="10.83203125" style="1"/>
    <col min="16" max="16" width="26.5" style="1" customWidth="1"/>
    <col min="17" max="16384" width="10.83203125" style="1"/>
  </cols>
  <sheetData>
    <row r="2" spans="2:16" ht="23" customHeight="1">
      <c r="B2" s="758" t="s">
        <v>656</v>
      </c>
      <c r="C2" s="758"/>
      <c r="D2" s="758"/>
      <c r="E2" s="758"/>
      <c r="F2" s="758"/>
      <c r="G2" s="758"/>
      <c r="H2" s="758"/>
      <c r="I2" s="758"/>
      <c r="J2" s="758"/>
      <c r="K2" s="758"/>
    </row>
    <row r="3" spans="2:16" ht="23" customHeight="1">
      <c r="B3" s="759" t="s">
        <v>657</v>
      </c>
      <c r="C3" s="759"/>
      <c r="D3" s="759"/>
      <c r="E3" s="759"/>
      <c r="F3" s="759"/>
      <c r="G3" s="759"/>
      <c r="H3" s="759"/>
      <c r="I3" s="759"/>
      <c r="J3" s="759"/>
      <c r="K3" s="759"/>
      <c r="P3" s="280" t="s">
        <v>406</v>
      </c>
    </row>
    <row r="4" spans="2:16" ht="14" customHeight="1">
      <c r="B4" s="24" t="s">
        <v>443</v>
      </c>
      <c r="C4" s="24"/>
      <c r="D4" s="24" t="s">
        <v>673</v>
      </c>
      <c r="E4" s="24"/>
      <c r="F4" s="24"/>
      <c r="G4" s="24"/>
      <c r="H4" s="24"/>
      <c r="I4" s="24"/>
      <c r="J4" s="24"/>
      <c r="K4" s="24"/>
      <c r="P4" s="280" t="s">
        <v>407</v>
      </c>
    </row>
    <row r="5" spans="2:16" ht="23" customHeight="1">
      <c r="B5" s="282"/>
      <c r="C5" s="282"/>
      <c r="D5" s="133"/>
      <c r="E5" s="133"/>
      <c r="F5" s="282"/>
      <c r="G5" s="283"/>
      <c r="H5" s="133"/>
      <c r="I5" s="133"/>
      <c r="J5" s="133"/>
      <c r="K5" s="133"/>
      <c r="P5" s="280"/>
    </row>
    <row r="6" spans="2:16" ht="30">
      <c r="B6" s="153" t="s">
        <v>178</v>
      </c>
      <c r="C6" s="120" t="s">
        <v>405</v>
      </c>
      <c r="D6" s="284" t="s">
        <v>54</v>
      </c>
      <c r="E6" s="120" t="s">
        <v>403</v>
      </c>
      <c r="F6" s="120" t="s">
        <v>208</v>
      </c>
      <c r="G6" s="273" t="s">
        <v>387</v>
      </c>
      <c r="H6" s="120" t="s">
        <v>56</v>
      </c>
      <c r="I6" s="120" t="s">
        <v>395</v>
      </c>
      <c r="J6" s="120" t="s">
        <v>361</v>
      </c>
      <c r="K6" s="120" t="s">
        <v>408</v>
      </c>
      <c r="P6" s="280"/>
    </row>
    <row r="7" spans="2:16" ht="23" customHeight="1">
      <c r="B7" s="76"/>
      <c r="C7" s="140"/>
      <c r="D7" s="281"/>
      <c r="E7" s="140"/>
      <c r="F7" s="76"/>
      <c r="G7" s="142"/>
      <c r="H7" s="143"/>
      <c r="I7" s="142"/>
      <c r="J7" s="143"/>
      <c r="K7" s="142"/>
      <c r="P7" s="280"/>
    </row>
    <row r="8" spans="2:16" s="134" customFormat="1" ht="23" customHeight="1">
      <c r="B8" s="7" t="s">
        <v>3</v>
      </c>
      <c r="C8" s="7"/>
      <c r="D8" s="159"/>
      <c r="E8" s="229"/>
      <c r="F8" s="7"/>
      <c r="G8" s="163"/>
      <c r="H8" s="162">
        <f>IF(F8=0,0,IF(F8="MXN",1/HLOOKUP(YEAR(D8)+(MONTH(D8)/100),TC!$5:$37,DAY(D8)+2,FALSE),VLOOKUP(F8,Equivalencia!$1:$23,((MAX(Equivalencia!$3:$3)-YEAR(D8))*14)+MONTH(D8)+2,FALSE)))</f>
        <v>0</v>
      </c>
      <c r="I8" s="163">
        <f>+H8*G8</f>
        <v>0</v>
      </c>
      <c r="J8" s="162">
        <f>IF(D8=0,0,HLOOKUP(YEAR(D8)+(MONTH(D8)/100),TC!$5:$37,DAY(D8)+2,FALSE))</f>
        <v>0</v>
      </c>
      <c r="K8" s="163">
        <f>+I8*J8</f>
        <v>0</v>
      </c>
      <c r="P8" s="280"/>
    </row>
    <row r="9" spans="2:16" s="134" customFormat="1" ht="23" customHeight="1">
      <c r="B9" s="7" t="s">
        <v>4</v>
      </c>
      <c r="C9" s="7"/>
      <c r="D9" s="159"/>
      <c r="E9" s="229"/>
      <c r="F9" s="7"/>
      <c r="G9" s="163"/>
      <c r="H9" s="162">
        <f>IF(F9=0,0,IF(F9="MXN",1/HLOOKUP(YEAR(D9)+(MONTH(D9)/100),TC!$5:$37,DAY(D9)+2,FALSE),VLOOKUP(F9,Equivalencia!$1:$23,((MAX(Equivalencia!$3:$3)-YEAR(D9))*14)+MONTH(D9)+2,FALSE)))</f>
        <v>0</v>
      </c>
      <c r="I9" s="163">
        <f t="shared" ref="I9:I16" si="0">+H9*G9</f>
        <v>0</v>
      </c>
      <c r="J9" s="162">
        <f>IF(D9=0,0,HLOOKUP(YEAR(D9)+(MONTH(D9)/100),TC!$5:$37,DAY(D9)+2,FALSE))</f>
        <v>0</v>
      </c>
      <c r="K9" s="163">
        <f t="shared" ref="K9:K16" si="1">+I9*J9</f>
        <v>0</v>
      </c>
      <c r="P9" s="280"/>
    </row>
    <row r="10" spans="2:16" s="134" customFormat="1" ht="23" customHeight="1">
      <c r="B10" s="7" t="s">
        <v>5</v>
      </c>
      <c r="C10" s="7"/>
      <c r="D10" s="159"/>
      <c r="E10" s="229"/>
      <c r="F10" s="7"/>
      <c r="G10" s="163"/>
      <c r="H10" s="162">
        <f>IF(F10=0,0,IF(F10="MXN",1/HLOOKUP(YEAR(D10)+(MONTH(D10)/100),TC!$5:$37,DAY(D10)+2,FALSE),VLOOKUP(F10,Equivalencia!$1:$23,((MAX(Equivalencia!$3:$3)-YEAR(D10))*14)+MONTH(D10)+2,FALSE)))</f>
        <v>0</v>
      </c>
      <c r="I10" s="163">
        <f t="shared" si="0"/>
        <v>0</v>
      </c>
      <c r="J10" s="162">
        <f>IF(D10=0,0,HLOOKUP(YEAR(D10)+(MONTH(D10)/100),TC!$5:$37,DAY(D10)+2,FALSE))</f>
        <v>0</v>
      </c>
      <c r="K10" s="163">
        <f t="shared" si="1"/>
        <v>0</v>
      </c>
    </row>
    <row r="11" spans="2:16" s="134" customFormat="1" ht="23" customHeight="1">
      <c r="B11" s="7" t="s">
        <v>6</v>
      </c>
      <c r="C11" s="7"/>
      <c r="D11" s="159"/>
      <c r="E11" s="229"/>
      <c r="F11" s="7"/>
      <c r="G11" s="163"/>
      <c r="H11" s="162">
        <f>IF(F11=0,0,IF(F11="MXN",1/HLOOKUP(YEAR(D11)+(MONTH(D11)/100),TC!$5:$37,DAY(D11)+2,FALSE),VLOOKUP(F11,Equivalencia!$1:$23,((MAX(Equivalencia!$3:$3)-YEAR(D11))*14)+MONTH(D11)+2,FALSE)))</f>
        <v>0</v>
      </c>
      <c r="I11" s="163">
        <f t="shared" si="0"/>
        <v>0</v>
      </c>
      <c r="J11" s="162">
        <f>IF(D11=0,0,HLOOKUP(YEAR(D11)+(MONTH(D11)/100),TC!$5:$37,DAY(D11)+2,FALSE))</f>
        <v>0</v>
      </c>
      <c r="K11" s="163">
        <f t="shared" si="1"/>
        <v>0</v>
      </c>
    </row>
    <row r="12" spans="2:16" s="134" customFormat="1" ht="23" customHeight="1">
      <c r="B12" s="7" t="s">
        <v>7</v>
      </c>
      <c r="C12" s="7"/>
      <c r="D12" s="159"/>
      <c r="E12" s="229"/>
      <c r="F12" s="7"/>
      <c r="G12" s="163"/>
      <c r="H12" s="162">
        <f>IF(F12=0,0,IF(F12="MXN",1/HLOOKUP(YEAR(D12)+(MONTH(D12)/100),TC!$5:$37,DAY(D12)+2,FALSE),VLOOKUP(F12,Equivalencia!$1:$23,((MAX(Equivalencia!$3:$3)-YEAR(D12))*14)+MONTH(D12)+2,FALSE)))</f>
        <v>0</v>
      </c>
      <c r="I12" s="163">
        <f t="shared" si="0"/>
        <v>0</v>
      </c>
      <c r="J12" s="162">
        <f>IF(D12=0,0,HLOOKUP(YEAR(D12)+(MONTH(D12)/100),TC!$5:$37,DAY(D12)+2,FALSE))</f>
        <v>0</v>
      </c>
      <c r="K12" s="163">
        <f t="shared" si="1"/>
        <v>0</v>
      </c>
    </row>
    <row r="13" spans="2:16" s="134" customFormat="1" ht="23" customHeight="1">
      <c r="B13" s="7" t="s">
        <v>8</v>
      </c>
      <c r="C13" s="7"/>
      <c r="D13" s="159"/>
      <c r="E13" s="229"/>
      <c r="F13" s="7"/>
      <c r="G13" s="163"/>
      <c r="H13" s="162">
        <f>IF(F13=0,0,IF(F13="MXN",1/HLOOKUP(YEAR(D13)+(MONTH(D13)/100),TC!$5:$37,DAY(D13)+2,FALSE),VLOOKUP(F13,Equivalencia!$1:$23,((MAX(Equivalencia!$3:$3)-YEAR(D13))*14)+MONTH(D13)+2,FALSE)))</f>
        <v>0</v>
      </c>
      <c r="I13" s="163">
        <f t="shared" si="0"/>
        <v>0</v>
      </c>
      <c r="J13" s="162">
        <f>IF(D13=0,0,HLOOKUP(YEAR(D13)+(MONTH(D13)/100),TC!$5:$37,DAY(D13)+2,FALSE))</f>
        <v>0</v>
      </c>
      <c r="K13" s="163">
        <f t="shared" si="1"/>
        <v>0</v>
      </c>
    </row>
    <row r="14" spans="2:16" s="134" customFormat="1" ht="23" customHeight="1">
      <c r="B14" s="7" t="s">
        <v>9</v>
      </c>
      <c r="C14" s="7"/>
      <c r="D14" s="159"/>
      <c r="E14" s="229"/>
      <c r="F14" s="7"/>
      <c r="G14" s="163"/>
      <c r="H14" s="162">
        <f>IF(F14=0,0,IF(F14="MXN",1/HLOOKUP(YEAR(D14)+(MONTH(D14)/100),TC!$5:$37,DAY(D14)+2,FALSE),VLOOKUP(F14,Equivalencia!$1:$23,((MAX(Equivalencia!$3:$3)-YEAR(D14))*14)+MONTH(D14)+2,FALSE)))</f>
        <v>0</v>
      </c>
      <c r="I14" s="163">
        <f t="shared" si="0"/>
        <v>0</v>
      </c>
      <c r="J14" s="162">
        <f>IF(D14=0,0,HLOOKUP(YEAR(D14)+(MONTH(D14)/100),TC!$5:$37,DAY(D14)+2,FALSE))</f>
        <v>0</v>
      </c>
      <c r="K14" s="163">
        <f t="shared" si="1"/>
        <v>0</v>
      </c>
    </row>
    <row r="15" spans="2:16" s="134" customFormat="1" ht="23" customHeight="1">
      <c r="B15" s="7" t="s">
        <v>10</v>
      </c>
      <c r="C15" s="7"/>
      <c r="D15" s="159"/>
      <c r="E15" s="229"/>
      <c r="F15" s="7"/>
      <c r="G15" s="163"/>
      <c r="H15" s="162">
        <f>IF(F15=0,0,IF(F15="MXN",1/HLOOKUP(YEAR(D15)+(MONTH(D15)/100),TC!$5:$37,DAY(D15)+2,FALSE),VLOOKUP(F15,Equivalencia!$1:$23,((MAX(Equivalencia!$3:$3)-YEAR(D15))*14)+MONTH(D15)+2,FALSE)))</f>
        <v>0</v>
      </c>
      <c r="I15" s="163">
        <f t="shared" si="0"/>
        <v>0</v>
      </c>
      <c r="J15" s="162">
        <f>IF(D15=0,0,HLOOKUP(YEAR(D15)+(MONTH(D15)/100),TC!$5:$37,DAY(D15)+2,FALSE))</f>
        <v>0</v>
      </c>
      <c r="K15" s="163">
        <f t="shared" si="1"/>
        <v>0</v>
      </c>
    </row>
    <row r="16" spans="2:16" s="134" customFormat="1" ht="23" customHeight="1">
      <c r="B16" s="7" t="s">
        <v>11</v>
      </c>
      <c r="C16" s="7"/>
      <c r="D16" s="159"/>
      <c r="E16" s="229"/>
      <c r="F16" s="7"/>
      <c r="G16" s="163"/>
      <c r="H16" s="162">
        <f>IF(F16=0,0,IF(F16="MXN",1/HLOOKUP(YEAR(D16)+(MONTH(D16)/100),TC!$5:$37,DAY(D16)+2,FALSE),VLOOKUP(F16,Equivalencia!$1:$23,((MAX(Equivalencia!$3:$3)-YEAR(D16))*14)+MONTH(D16)+2,FALSE)))</f>
        <v>0</v>
      </c>
      <c r="I16" s="163">
        <f t="shared" si="0"/>
        <v>0</v>
      </c>
      <c r="J16" s="162">
        <f>IF(D16=0,0,HLOOKUP(YEAR(D16)+(MONTH(D16)/100),TC!$5:$37,DAY(D16)+2,FALSE))</f>
        <v>0</v>
      </c>
      <c r="K16" s="163">
        <f t="shared" si="1"/>
        <v>0</v>
      </c>
      <c r="P16" s="1"/>
    </row>
    <row r="17" spans="2:11" ht="23" customHeight="1">
      <c r="B17" s="45"/>
      <c r="C17" s="140"/>
      <c r="D17" s="76"/>
      <c r="E17" s="140"/>
      <c r="F17" s="76"/>
      <c r="G17" s="140"/>
      <c r="H17" s="140"/>
      <c r="I17" s="140"/>
      <c r="J17" s="140"/>
      <c r="K17" s="140"/>
    </row>
    <row r="18" spans="2:11" ht="23" customHeight="1">
      <c r="B18" s="196" t="s">
        <v>179</v>
      </c>
      <c r="C18" s="196"/>
      <c r="D18" s="197"/>
      <c r="E18" s="198"/>
      <c r="F18" s="210"/>
      <c r="G18" s="198">
        <f>SUM(G7:G17)</f>
        <v>0</v>
      </c>
      <c r="H18" s="198"/>
      <c r="I18" s="198">
        <f>SUM(I7:I17)</f>
        <v>0</v>
      </c>
      <c r="J18" s="198"/>
      <c r="K18" s="198">
        <f>SUM(K7:K17)</f>
        <v>0</v>
      </c>
    </row>
    <row r="19" spans="2:11" ht="23" customHeight="1">
      <c r="B19" s="41"/>
      <c r="C19" s="41"/>
      <c r="D19" s="4"/>
      <c r="E19" s="4"/>
      <c r="F19" s="41"/>
      <c r="G19" s="148"/>
      <c r="H19" s="4"/>
      <c r="I19" s="4"/>
      <c r="J19" s="4"/>
      <c r="K19" s="4"/>
    </row>
    <row r="20" spans="2:11" ht="23" customHeight="1">
      <c r="B20" s="3"/>
      <c r="C20" s="3"/>
      <c r="F20" s="3"/>
      <c r="G20" s="188"/>
    </row>
    <row r="21" spans="2:11" ht="30">
      <c r="B21" s="3"/>
      <c r="C21" s="3"/>
      <c r="F21" s="3"/>
      <c r="G21" s="273" t="s">
        <v>396</v>
      </c>
      <c r="H21" s="85"/>
      <c r="I21" s="273" t="s">
        <v>397</v>
      </c>
      <c r="J21" s="268"/>
      <c r="K21" s="273" t="s">
        <v>398</v>
      </c>
    </row>
    <row r="22" spans="2:11" ht="23" customHeight="1">
      <c r="B22" s="3"/>
      <c r="C22" s="3"/>
      <c r="F22" s="3"/>
      <c r="G22" s="188"/>
    </row>
    <row r="23" spans="2:11" ht="23" customHeight="1">
      <c r="B23" s="3"/>
      <c r="C23" s="3"/>
      <c r="E23" s="178" t="s">
        <v>95</v>
      </c>
      <c r="F23" s="179" t="str">
        <f>Cuentas!B6</f>
        <v>AR2XXXX3387-0008</v>
      </c>
      <c r="G23" s="246">
        <f t="shared" ref="G23:G43" si="2">SUMIF($B$7:$B$520,F23,$G$7:$G$520)</f>
        <v>0</v>
      </c>
      <c r="H23" s="200"/>
      <c r="I23" s="246">
        <f t="shared" ref="I23:I43" si="3">SUMIF($B$7:$B$520,F23,$I$7:$I$520)</f>
        <v>0</v>
      </c>
      <c r="J23" s="200"/>
      <c r="K23" s="246">
        <f t="shared" ref="K23:K43" si="4">SUMIF($B$7:$B$520,F23,$K$7:$K$520)</f>
        <v>0</v>
      </c>
    </row>
    <row r="24" spans="2:11" ht="23" customHeight="1">
      <c r="B24" s="3"/>
      <c r="C24" s="3"/>
      <c r="E24" s="178" t="s">
        <v>95</v>
      </c>
      <c r="F24" s="179" t="str">
        <f>Cuentas!B7</f>
        <v>AR2XXXX3387-0003</v>
      </c>
      <c r="G24" s="246">
        <f t="shared" si="2"/>
        <v>0</v>
      </c>
      <c r="H24" s="200"/>
      <c r="I24" s="246">
        <f t="shared" si="3"/>
        <v>0</v>
      </c>
      <c r="J24" s="200"/>
      <c r="K24" s="246">
        <f t="shared" si="4"/>
        <v>0</v>
      </c>
    </row>
    <row r="25" spans="2:11" ht="23" customHeight="1">
      <c r="B25" s="3"/>
      <c r="C25" s="3"/>
      <c r="E25" s="178" t="s">
        <v>95</v>
      </c>
      <c r="F25" s="179" t="str">
        <f>Cuentas!B8</f>
        <v>029-2XXX1-9</v>
      </c>
      <c r="G25" s="246">
        <f t="shared" si="2"/>
        <v>0</v>
      </c>
      <c r="H25" s="200"/>
      <c r="I25" s="246">
        <f t="shared" si="3"/>
        <v>0</v>
      </c>
      <c r="J25" s="200"/>
      <c r="K25" s="246">
        <f t="shared" si="4"/>
        <v>0</v>
      </c>
    </row>
    <row r="26" spans="2:11" ht="23" customHeight="1">
      <c r="B26" s="3"/>
      <c r="C26" s="3"/>
      <c r="E26" s="178" t="s">
        <v>95</v>
      </c>
      <c r="F26" s="179" t="str">
        <f>Cuentas!B9</f>
        <v>029-2XXX2-7</v>
      </c>
      <c r="G26" s="246">
        <f t="shared" si="2"/>
        <v>0</v>
      </c>
      <c r="H26" s="200"/>
      <c r="I26" s="246">
        <f t="shared" si="3"/>
        <v>0</v>
      </c>
      <c r="J26" s="200"/>
      <c r="K26" s="246">
        <f t="shared" si="4"/>
        <v>0</v>
      </c>
    </row>
    <row r="27" spans="2:11" ht="23" customHeight="1">
      <c r="B27" s="3"/>
      <c r="C27" s="3"/>
      <c r="E27" s="178" t="s">
        <v>95</v>
      </c>
      <c r="F27" s="179" t="str">
        <f>Cuentas!B10</f>
        <v>029-2XXX3-5</v>
      </c>
      <c r="G27" s="246">
        <f t="shared" si="2"/>
        <v>0</v>
      </c>
      <c r="H27" s="200"/>
      <c r="I27" s="246">
        <f t="shared" si="3"/>
        <v>0</v>
      </c>
      <c r="J27" s="200"/>
      <c r="K27" s="246">
        <f t="shared" si="4"/>
        <v>0</v>
      </c>
    </row>
    <row r="28" spans="2:11" ht="23" customHeight="1">
      <c r="B28" s="3"/>
      <c r="C28" s="3"/>
      <c r="E28" s="178" t="s">
        <v>95</v>
      </c>
      <c r="F28" s="179" t="str">
        <f>Cuentas!B11</f>
        <v>F</v>
      </c>
      <c r="G28" s="246">
        <f t="shared" si="2"/>
        <v>0</v>
      </c>
      <c r="H28" s="200"/>
      <c r="I28" s="246">
        <f t="shared" si="3"/>
        <v>0</v>
      </c>
      <c r="J28" s="200"/>
      <c r="K28" s="246">
        <f t="shared" si="4"/>
        <v>0</v>
      </c>
    </row>
    <row r="29" spans="2:11" ht="23" customHeight="1">
      <c r="B29" s="3"/>
      <c r="C29" s="3"/>
      <c r="E29" s="178" t="s">
        <v>95</v>
      </c>
      <c r="F29" s="179" t="str">
        <f>Cuentas!B12</f>
        <v>G</v>
      </c>
      <c r="G29" s="246">
        <f t="shared" si="2"/>
        <v>0</v>
      </c>
      <c r="H29" s="200"/>
      <c r="I29" s="246">
        <f t="shared" si="3"/>
        <v>0</v>
      </c>
      <c r="J29" s="200"/>
      <c r="K29" s="246">
        <f t="shared" si="4"/>
        <v>0</v>
      </c>
    </row>
    <row r="30" spans="2:11" ht="23" customHeight="1">
      <c r="B30" s="3"/>
      <c r="C30" s="3"/>
      <c r="E30" s="178" t="s">
        <v>95</v>
      </c>
      <c r="F30" s="179" t="str">
        <f>Cuentas!B13</f>
        <v>H</v>
      </c>
      <c r="G30" s="246">
        <f t="shared" si="2"/>
        <v>0</v>
      </c>
      <c r="H30" s="200"/>
      <c r="I30" s="246">
        <f t="shared" si="3"/>
        <v>0</v>
      </c>
      <c r="J30" s="200"/>
      <c r="K30" s="246">
        <f t="shared" si="4"/>
        <v>0</v>
      </c>
    </row>
    <row r="31" spans="2:11" ht="23" customHeight="1">
      <c r="B31" s="3"/>
      <c r="C31" s="3"/>
      <c r="E31" s="178" t="s">
        <v>95</v>
      </c>
      <c r="F31" s="179" t="str">
        <f>Cuentas!B14</f>
        <v>I</v>
      </c>
      <c r="G31" s="246">
        <f t="shared" si="2"/>
        <v>0</v>
      </c>
      <c r="H31" s="200"/>
      <c r="I31" s="246">
        <f t="shared" si="3"/>
        <v>0</v>
      </c>
      <c r="J31" s="200"/>
      <c r="K31" s="246">
        <f t="shared" si="4"/>
        <v>0</v>
      </c>
    </row>
    <row r="32" spans="2:11" ht="23" customHeight="1">
      <c r="B32" s="3"/>
      <c r="C32" s="3"/>
      <c r="E32" s="178" t="s">
        <v>95</v>
      </c>
      <c r="F32" s="179" t="str">
        <f>Cuentas!B15</f>
        <v>J</v>
      </c>
      <c r="G32" s="246">
        <f t="shared" si="2"/>
        <v>0</v>
      </c>
      <c r="H32" s="200"/>
      <c r="I32" s="246">
        <f t="shared" si="3"/>
        <v>0</v>
      </c>
      <c r="J32" s="200"/>
      <c r="K32" s="246">
        <f t="shared" si="4"/>
        <v>0</v>
      </c>
    </row>
    <row r="33" spans="2:11" ht="23" customHeight="1">
      <c r="B33" s="3"/>
      <c r="C33" s="3"/>
      <c r="E33" s="178" t="s">
        <v>95</v>
      </c>
      <c r="F33" s="179" t="str">
        <f>Cuentas!B16</f>
        <v>K</v>
      </c>
      <c r="G33" s="246">
        <f t="shared" si="2"/>
        <v>0</v>
      </c>
      <c r="H33" s="200"/>
      <c r="I33" s="246">
        <f t="shared" si="3"/>
        <v>0</v>
      </c>
      <c r="J33" s="200"/>
      <c r="K33" s="246">
        <f t="shared" si="4"/>
        <v>0</v>
      </c>
    </row>
    <row r="34" spans="2:11" ht="23" customHeight="1">
      <c r="B34" s="3"/>
      <c r="C34" s="3"/>
      <c r="E34" s="178" t="s">
        <v>95</v>
      </c>
      <c r="F34" s="179" t="str">
        <f>Cuentas!B17</f>
        <v>L</v>
      </c>
      <c r="G34" s="246">
        <f t="shared" si="2"/>
        <v>0</v>
      </c>
      <c r="H34" s="200"/>
      <c r="I34" s="246">
        <f t="shared" si="3"/>
        <v>0</v>
      </c>
      <c r="J34" s="200"/>
      <c r="K34" s="246">
        <f t="shared" si="4"/>
        <v>0</v>
      </c>
    </row>
    <row r="35" spans="2:11" ht="23" customHeight="1">
      <c r="B35" s="3"/>
      <c r="C35" s="3"/>
      <c r="E35" s="178" t="s">
        <v>95</v>
      </c>
      <c r="F35" s="179" t="str">
        <f>Cuentas!B18</f>
        <v>M</v>
      </c>
      <c r="G35" s="246">
        <f t="shared" si="2"/>
        <v>0</v>
      </c>
      <c r="H35" s="200"/>
      <c r="I35" s="246">
        <f t="shared" si="3"/>
        <v>0</v>
      </c>
      <c r="J35" s="200"/>
      <c r="K35" s="246">
        <f t="shared" si="4"/>
        <v>0</v>
      </c>
    </row>
    <row r="36" spans="2:11" ht="23" customHeight="1">
      <c r="B36" s="3"/>
      <c r="C36" s="3"/>
      <c r="E36" s="178" t="s">
        <v>95</v>
      </c>
      <c r="F36" s="179" t="str">
        <f>Cuentas!B19</f>
        <v>N</v>
      </c>
      <c r="G36" s="246">
        <f t="shared" si="2"/>
        <v>0</v>
      </c>
      <c r="H36" s="200"/>
      <c r="I36" s="246">
        <f t="shared" si="3"/>
        <v>0</v>
      </c>
      <c r="J36" s="200"/>
      <c r="K36" s="246">
        <f t="shared" si="4"/>
        <v>0</v>
      </c>
    </row>
    <row r="37" spans="2:11" ht="23" customHeight="1">
      <c r="B37" s="3"/>
      <c r="C37" s="3"/>
      <c r="E37" s="178" t="s">
        <v>95</v>
      </c>
      <c r="F37" s="179" t="str">
        <f>Cuentas!B20</f>
        <v>O</v>
      </c>
      <c r="G37" s="246">
        <f t="shared" si="2"/>
        <v>0</v>
      </c>
      <c r="H37" s="200"/>
      <c r="I37" s="246">
        <f t="shared" si="3"/>
        <v>0</v>
      </c>
      <c r="J37" s="200"/>
      <c r="K37" s="246">
        <f t="shared" si="4"/>
        <v>0</v>
      </c>
    </row>
    <row r="38" spans="2:11" ht="23" customHeight="1">
      <c r="B38" s="3"/>
      <c r="C38" s="3"/>
      <c r="E38" s="178" t="s">
        <v>95</v>
      </c>
      <c r="F38" s="179" t="str">
        <f>Cuentas!B21</f>
        <v>P</v>
      </c>
      <c r="G38" s="246">
        <f t="shared" si="2"/>
        <v>0</v>
      </c>
      <c r="H38" s="200"/>
      <c r="I38" s="246">
        <f t="shared" si="3"/>
        <v>0</v>
      </c>
      <c r="J38" s="200"/>
      <c r="K38" s="246">
        <f t="shared" si="4"/>
        <v>0</v>
      </c>
    </row>
    <row r="39" spans="2:11" ht="23" customHeight="1">
      <c r="B39" s="3"/>
      <c r="C39" s="3"/>
      <c r="E39" s="178" t="s">
        <v>95</v>
      </c>
      <c r="F39" s="179" t="str">
        <f>Cuentas!B22</f>
        <v>Q</v>
      </c>
      <c r="G39" s="246">
        <f t="shared" si="2"/>
        <v>0</v>
      </c>
      <c r="H39" s="200"/>
      <c r="I39" s="246">
        <f t="shared" si="3"/>
        <v>0</v>
      </c>
      <c r="J39" s="200"/>
      <c r="K39" s="246">
        <f t="shared" si="4"/>
        <v>0</v>
      </c>
    </row>
    <row r="40" spans="2:11" ht="23" customHeight="1">
      <c r="B40" s="3"/>
      <c r="C40" s="3"/>
      <c r="E40" s="178" t="s">
        <v>95</v>
      </c>
      <c r="F40" s="179" t="str">
        <f>Cuentas!B23</f>
        <v>R</v>
      </c>
      <c r="G40" s="246">
        <f t="shared" si="2"/>
        <v>0</v>
      </c>
      <c r="H40" s="200"/>
      <c r="I40" s="246">
        <f t="shared" si="3"/>
        <v>0</v>
      </c>
      <c r="J40" s="200"/>
      <c r="K40" s="246">
        <f t="shared" si="4"/>
        <v>0</v>
      </c>
    </row>
    <row r="41" spans="2:11" ht="23" customHeight="1">
      <c r="B41" s="3"/>
      <c r="C41" s="3"/>
      <c r="E41" s="178" t="s">
        <v>95</v>
      </c>
      <c r="F41" s="179" t="str">
        <f>Cuentas!B24</f>
        <v>S</v>
      </c>
      <c r="G41" s="246">
        <f t="shared" si="2"/>
        <v>0</v>
      </c>
      <c r="H41" s="200"/>
      <c r="I41" s="246">
        <f t="shared" si="3"/>
        <v>0</v>
      </c>
      <c r="J41" s="200"/>
      <c r="K41" s="246">
        <f t="shared" si="4"/>
        <v>0</v>
      </c>
    </row>
    <row r="42" spans="2:11" ht="23" customHeight="1">
      <c r="B42" s="3"/>
      <c r="C42" s="3"/>
      <c r="E42" s="178" t="s">
        <v>95</v>
      </c>
      <c r="F42" s="179" t="str">
        <f>Cuentas!B25</f>
        <v>T</v>
      </c>
      <c r="G42" s="246">
        <f t="shared" si="2"/>
        <v>0</v>
      </c>
      <c r="H42" s="200"/>
      <c r="I42" s="246">
        <f t="shared" si="3"/>
        <v>0</v>
      </c>
      <c r="J42" s="200"/>
      <c r="K42" s="246">
        <f t="shared" si="4"/>
        <v>0</v>
      </c>
    </row>
    <row r="43" spans="2:11" ht="23" customHeight="1">
      <c r="B43" s="3"/>
      <c r="C43" s="3"/>
      <c r="E43" s="178" t="s">
        <v>95</v>
      </c>
      <c r="F43" s="179" t="str">
        <f>Cuentas!B26</f>
        <v>U</v>
      </c>
      <c r="G43" s="246">
        <f t="shared" si="2"/>
        <v>0</v>
      </c>
      <c r="H43" s="200"/>
      <c r="I43" s="246">
        <f t="shared" si="3"/>
        <v>0</v>
      </c>
      <c r="J43" s="200"/>
      <c r="K43" s="246">
        <f t="shared" si="4"/>
        <v>0</v>
      </c>
    </row>
    <row r="44" spans="2:11" ht="23" customHeight="1">
      <c r="B44" s="3"/>
      <c r="C44" s="3"/>
      <c r="F44" s="3"/>
      <c r="G44" s="41"/>
      <c r="I44" s="118"/>
      <c r="K44" s="118"/>
    </row>
    <row r="45" spans="2:11" ht="23" customHeight="1">
      <c r="E45" s="103"/>
      <c r="F45" s="119" t="s">
        <v>404</v>
      </c>
      <c r="G45" s="285">
        <f>SUM(G23:G44)</f>
        <v>0</v>
      </c>
      <c r="H45" s="103"/>
      <c r="I45" s="285">
        <f>SUM(I23:I44)</f>
        <v>0</v>
      </c>
      <c r="J45" s="233"/>
      <c r="K45" s="285">
        <f>SUM(K23:K44)</f>
        <v>0</v>
      </c>
    </row>
    <row r="51" spans="2:11" ht="23" customHeight="1">
      <c r="B51" s="333" t="s">
        <v>12</v>
      </c>
      <c r="C51" s="333"/>
      <c r="D51" s="134"/>
      <c r="E51" s="134"/>
      <c r="F51" s="134"/>
      <c r="G51" s="134"/>
      <c r="H51" s="134"/>
      <c r="I51" s="134"/>
      <c r="J51" s="134"/>
      <c r="K51" s="134"/>
    </row>
    <row r="52" spans="2:11" ht="23" customHeight="1">
      <c r="B52" s="134"/>
      <c r="C52" s="134"/>
      <c r="D52" s="134"/>
      <c r="E52" s="134"/>
      <c r="F52" s="134"/>
      <c r="G52" s="134"/>
      <c r="H52" s="134"/>
      <c r="I52" s="134"/>
      <c r="J52" s="134"/>
      <c r="K52" s="134"/>
    </row>
    <row r="53" spans="2:11" ht="23" customHeight="1">
      <c r="B53" s="134"/>
      <c r="C53" s="134"/>
      <c r="D53" s="134"/>
      <c r="E53" s="134"/>
      <c r="F53" s="134"/>
      <c r="G53" s="134"/>
      <c r="H53" s="134"/>
      <c r="I53" s="134"/>
      <c r="J53" s="134"/>
      <c r="K53" s="134"/>
    </row>
    <row r="54" spans="2:11" ht="23" customHeight="1">
      <c r="B54" s="134"/>
      <c r="C54" s="134"/>
      <c r="D54" s="134"/>
      <c r="E54" s="134"/>
      <c r="F54" s="134"/>
      <c r="G54" s="134"/>
      <c r="H54" s="134"/>
      <c r="I54" s="134"/>
      <c r="J54" s="134"/>
      <c r="K54" s="134"/>
    </row>
    <row r="55" spans="2:11" ht="23" customHeight="1">
      <c r="B55" s="134"/>
      <c r="C55" s="134"/>
      <c r="D55" s="134"/>
      <c r="E55" s="134"/>
      <c r="F55" s="134"/>
      <c r="G55" s="134"/>
      <c r="H55" s="134"/>
      <c r="I55" s="134"/>
      <c r="J55" s="134"/>
      <c r="K55" s="134"/>
    </row>
    <row r="56" spans="2:11" ht="23" customHeight="1">
      <c r="B56" s="134"/>
      <c r="C56" s="134"/>
      <c r="D56" s="134"/>
      <c r="E56" s="134"/>
      <c r="F56" s="134"/>
      <c r="G56" s="134"/>
      <c r="H56" s="134"/>
      <c r="I56" s="134"/>
      <c r="J56" s="134"/>
      <c r="K56" s="134"/>
    </row>
    <row r="57" spans="2:11" ht="23" customHeight="1">
      <c r="B57" s="134"/>
      <c r="C57" s="134"/>
      <c r="D57" s="134"/>
      <c r="E57" s="134"/>
      <c r="F57" s="134"/>
      <c r="G57" s="134"/>
      <c r="H57" s="134"/>
      <c r="I57" s="134"/>
      <c r="J57" s="134"/>
      <c r="K57" s="134"/>
    </row>
    <row r="58" spans="2:11" ht="23" customHeight="1">
      <c r="B58" s="134"/>
      <c r="C58" s="134"/>
      <c r="D58" s="134"/>
      <c r="E58" s="134"/>
      <c r="F58" s="134"/>
      <c r="G58" s="134"/>
      <c r="H58" s="134"/>
      <c r="I58" s="134"/>
      <c r="J58" s="134"/>
      <c r="K58" s="134"/>
    </row>
    <row r="59" spans="2:11" ht="23" customHeight="1">
      <c r="B59" s="134"/>
      <c r="C59" s="134"/>
      <c r="D59" s="134"/>
      <c r="E59" s="134"/>
      <c r="F59" s="134"/>
      <c r="G59" s="134"/>
      <c r="H59" s="134"/>
      <c r="I59" s="134"/>
      <c r="J59" s="134"/>
      <c r="K59" s="134"/>
    </row>
    <row r="60" spans="2:11" ht="23" customHeight="1">
      <c r="B60" s="134"/>
      <c r="C60" s="134"/>
      <c r="D60" s="134"/>
      <c r="E60" s="134"/>
      <c r="F60" s="134"/>
      <c r="G60" s="134"/>
      <c r="H60" s="134"/>
      <c r="I60" s="134"/>
      <c r="J60" s="134"/>
      <c r="K60" s="134"/>
    </row>
    <row r="61" spans="2:11" ht="23" customHeight="1">
      <c r="B61" s="134"/>
      <c r="C61" s="134"/>
      <c r="D61" s="134"/>
      <c r="E61" s="134"/>
      <c r="F61" s="134"/>
      <c r="G61" s="134"/>
      <c r="H61" s="134"/>
      <c r="I61" s="134"/>
      <c r="J61" s="134"/>
      <c r="K61" s="134"/>
    </row>
    <row r="62" spans="2:11" ht="23" customHeight="1">
      <c r="B62" s="134"/>
      <c r="C62" s="134"/>
      <c r="D62" s="134"/>
      <c r="E62" s="134"/>
      <c r="F62" s="134"/>
      <c r="G62" s="134"/>
      <c r="H62" s="134"/>
      <c r="I62" s="134"/>
      <c r="J62" s="134"/>
      <c r="K62" s="134"/>
    </row>
    <row r="63" spans="2:11" ht="23" customHeight="1">
      <c r="B63" s="134"/>
      <c r="C63" s="134"/>
      <c r="D63" s="134"/>
      <c r="E63" s="134"/>
      <c r="F63" s="134"/>
      <c r="G63" s="134"/>
      <c r="H63" s="134"/>
      <c r="I63" s="134"/>
      <c r="J63" s="134"/>
      <c r="K63" s="134"/>
    </row>
    <row r="64" spans="2:11" ht="23" customHeight="1">
      <c r="B64" s="134"/>
      <c r="C64" s="134"/>
      <c r="D64" s="134"/>
      <c r="E64" s="134"/>
      <c r="F64" s="134"/>
      <c r="G64" s="134"/>
      <c r="H64" s="134"/>
      <c r="I64" s="134"/>
      <c r="J64" s="134"/>
      <c r="K64" s="134"/>
    </row>
    <row r="65" spans="2:11" ht="23" customHeight="1">
      <c r="B65" s="134"/>
      <c r="C65" s="134"/>
      <c r="D65" s="134"/>
      <c r="E65" s="134"/>
      <c r="F65" s="134"/>
      <c r="G65" s="134"/>
      <c r="H65" s="134"/>
      <c r="I65" s="134"/>
      <c r="J65" s="134"/>
      <c r="K65" s="134"/>
    </row>
    <row r="66" spans="2:11" ht="23" customHeight="1">
      <c r="B66" s="134"/>
      <c r="C66" s="134"/>
      <c r="D66" s="134"/>
      <c r="E66" s="134"/>
      <c r="F66" s="134"/>
      <c r="G66" s="134"/>
      <c r="H66" s="134"/>
      <c r="I66" s="134"/>
      <c r="J66" s="134"/>
      <c r="K66" s="134"/>
    </row>
    <row r="67" spans="2:11" ht="23" customHeight="1">
      <c r="B67" s="134"/>
      <c r="C67" s="134"/>
      <c r="D67" s="134"/>
      <c r="E67" s="134"/>
      <c r="F67" s="134"/>
      <c r="G67" s="134"/>
      <c r="H67" s="134"/>
      <c r="I67" s="134"/>
      <c r="J67" s="134"/>
      <c r="K67" s="134"/>
    </row>
    <row r="68" spans="2:11" ht="23" customHeight="1">
      <c r="B68" s="134"/>
      <c r="C68" s="134"/>
      <c r="D68" s="134"/>
      <c r="E68" s="134"/>
      <c r="F68" s="134"/>
      <c r="G68" s="134"/>
      <c r="H68" s="134"/>
      <c r="I68" s="134"/>
      <c r="J68" s="134"/>
      <c r="K68" s="134"/>
    </row>
    <row r="69" spans="2:11" ht="23" customHeight="1">
      <c r="B69" s="134"/>
      <c r="C69" s="134"/>
      <c r="D69" s="134"/>
      <c r="E69" s="134"/>
      <c r="F69" s="134"/>
      <c r="G69" s="134"/>
      <c r="H69" s="134"/>
      <c r="I69" s="134"/>
      <c r="J69" s="134"/>
      <c r="K69" s="134"/>
    </row>
    <row r="70" spans="2:11" ht="23" customHeight="1">
      <c r="B70" s="134"/>
      <c r="C70" s="134"/>
      <c r="D70" s="134"/>
      <c r="E70" s="134"/>
      <c r="F70" s="134"/>
      <c r="G70" s="134"/>
      <c r="H70" s="134"/>
      <c r="I70" s="134"/>
      <c r="J70" s="134"/>
      <c r="K70" s="134"/>
    </row>
    <row r="71" spans="2:11" ht="23" customHeight="1">
      <c r="B71" s="134"/>
      <c r="C71" s="134"/>
      <c r="D71" s="134"/>
      <c r="E71" s="134"/>
      <c r="F71" s="134"/>
      <c r="G71" s="134"/>
      <c r="H71" s="134"/>
      <c r="I71" s="134"/>
      <c r="J71" s="134"/>
      <c r="K71" s="134"/>
    </row>
    <row r="72" spans="2:11" ht="23" customHeight="1">
      <c r="B72" s="134"/>
      <c r="C72" s="134"/>
      <c r="D72" s="134"/>
      <c r="E72" s="134"/>
      <c r="F72" s="134"/>
      <c r="G72" s="134"/>
      <c r="H72" s="134"/>
      <c r="I72" s="134"/>
      <c r="J72" s="134"/>
      <c r="K72" s="134"/>
    </row>
    <row r="73" spans="2:11" ht="23" customHeight="1">
      <c r="B73" s="134"/>
      <c r="C73" s="134"/>
      <c r="D73" s="134"/>
      <c r="E73" s="134"/>
      <c r="F73" s="134"/>
      <c r="G73" s="134"/>
      <c r="H73" s="134"/>
      <c r="I73" s="134"/>
      <c r="J73" s="134"/>
      <c r="K73" s="134"/>
    </row>
    <row r="74" spans="2:11" ht="23" customHeight="1">
      <c r="B74" s="134"/>
      <c r="C74" s="134"/>
      <c r="D74" s="134"/>
      <c r="E74" s="134"/>
      <c r="F74" s="134"/>
      <c r="G74" s="134"/>
      <c r="H74" s="134"/>
      <c r="I74" s="134"/>
      <c r="J74" s="134"/>
      <c r="K74" s="134"/>
    </row>
    <row r="75" spans="2:11" ht="23" customHeight="1">
      <c r="B75" s="134"/>
      <c r="C75" s="134"/>
      <c r="D75" s="134"/>
      <c r="E75" s="134"/>
      <c r="F75" s="134"/>
      <c r="G75" s="134"/>
      <c r="H75" s="134"/>
      <c r="I75" s="134"/>
      <c r="J75" s="134"/>
      <c r="K75" s="134"/>
    </row>
    <row r="76" spans="2:11" ht="23" customHeight="1">
      <c r="B76" s="134"/>
      <c r="C76" s="134"/>
      <c r="D76" s="134"/>
      <c r="E76" s="134"/>
      <c r="F76" s="134"/>
      <c r="G76" s="134"/>
      <c r="H76" s="134"/>
      <c r="I76" s="134"/>
      <c r="J76" s="134"/>
      <c r="K76" s="134"/>
    </row>
    <row r="77" spans="2:11" ht="23" customHeight="1">
      <c r="B77" s="134"/>
      <c r="C77" s="134"/>
      <c r="D77" s="134"/>
      <c r="E77" s="134"/>
      <c r="F77" s="134"/>
      <c r="G77" s="134"/>
      <c r="H77" s="134"/>
      <c r="I77" s="134"/>
      <c r="J77" s="134"/>
      <c r="K77" s="134"/>
    </row>
    <row r="78" spans="2:11" ht="23" customHeight="1">
      <c r="B78" s="134"/>
      <c r="C78" s="134"/>
      <c r="D78" s="134"/>
      <c r="E78" s="134"/>
      <c r="F78" s="134"/>
      <c r="G78" s="134"/>
      <c r="H78" s="134"/>
      <c r="I78" s="134"/>
      <c r="J78" s="134"/>
      <c r="K78" s="134"/>
    </row>
    <row r="79" spans="2:11" ht="23" customHeight="1">
      <c r="B79" s="134"/>
      <c r="C79" s="134"/>
      <c r="D79" s="134"/>
      <c r="E79" s="134"/>
      <c r="F79" s="134"/>
      <c r="G79" s="134"/>
      <c r="H79" s="134"/>
      <c r="I79" s="134"/>
      <c r="J79" s="134"/>
      <c r="K79" s="134"/>
    </row>
    <row r="80" spans="2:11" ht="23" customHeight="1">
      <c r="B80" s="134"/>
      <c r="C80" s="134"/>
      <c r="D80" s="134"/>
      <c r="E80" s="134"/>
      <c r="F80" s="134"/>
      <c r="G80" s="134"/>
      <c r="H80" s="134"/>
      <c r="I80" s="134"/>
      <c r="J80" s="134"/>
      <c r="K80" s="134"/>
    </row>
    <row r="81" spans="2:11" ht="23" customHeight="1">
      <c r="B81" s="134"/>
      <c r="C81" s="134"/>
      <c r="D81" s="134"/>
      <c r="E81" s="134"/>
      <c r="F81" s="134"/>
      <c r="G81" s="134"/>
      <c r="H81" s="134"/>
      <c r="I81" s="134"/>
      <c r="J81" s="134"/>
      <c r="K81" s="134"/>
    </row>
    <row r="82" spans="2:11" ht="23" customHeight="1">
      <c r="B82" s="134"/>
      <c r="C82" s="134"/>
      <c r="D82" s="134"/>
      <c r="E82" s="134"/>
      <c r="F82" s="134"/>
      <c r="G82" s="134"/>
      <c r="H82" s="134"/>
      <c r="I82" s="134"/>
      <c r="J82" s="134"/>
      <c r="K82" s="134"/>
    </row>
    <row r="83" spans="2:11" ht="23" customHeight="1">
      <c r="B83" s="134"/>
      <c r="C83" s="134"/>
      <c r="D83" s="134"/>
      <c r="E83" s="134"/>
      <c r="F83" s="134"/>
      <c r="G83" s="134"/>
      <c r="H83" s="134"/>
      <c r="I83" s="134"/>
      <c r="J83" s="134"/>
      <c r="K83" s="134"/>
    </row>
    <row r="84" spans="2:11" ht="23" customHeight="1">
      <c r="B84" s="134"/>
      <c r="C84" s="134"/>
      <c r="D84" s="134"/>
      <c r="E84" s="134"/>
      <c r="F84" s="134"/>
      <c r="G84" s="134"/>
      <c r="H84" s="134"/>
      <c r="I84" s="134"/>
      <c r="J84" s="134"/>
      <c r="K84" s="134"/>
    </row>
    <row r="85" spans="2:11" ht="23" customHeight="1">
      <c r="B85" s="134"/>
      <c r="C85" s="134"/>
      <c r="D85" s="134"/>
      <c r="E85" s="134"/>
      <c r="F85" s="134"/>
      <c r="G85" s="134"/>
      <c r="H85" s="134"/>
      <c r="I85" s="134"/>
      <c r="J85" s="134"/>
      <c r="K85" s="134"/>
    </row>
    <row r="86" spans="2:11" ht="23" customHeight="1">
      <c r="B86" s="134"/>
      <c r="C86" s="134"/>
      <c r="D86" s="134"/>
      <c r="E86" s="134"/>
      <c r="F86" s="134"/>
      <c r="G86" s="134"/>
      <c r="H86" s="134"/>
      <c r="I86" s="134"/>
      <c r="J86" s="134"/>
      <c r="K86" s="134"/>
    </row>
    <row r="87" spans="2:11" ht="23" customHeight="1">
      <c r="B87" s="134"/>
      <c r="C87" s="134"/>
      <c r="D87" s="134"/>
      <c r="E87" s="134"/>
      <c r="F87" s="134"/>
      <c r="G87" s="134"/>
      <c r="H87" s="134"/>
      <c r="I87" s="134"/>
      <c r="J87" s="134"/>
      <c r="K87" s="134"/>
    </row>
    <row r="88" spans="2:11" ht="23" customHeight="1">
      <c r="B88" s="134"/>
      <c r="C88" s="134"/>
      <c r="D88" s="134"/>
      <c r="E88" s="134"/>
      <c r="F88" s="134"/>
      <c r="G88" s="134"/>
      <c r="H88" s="134"/>
      <c r="I88" s="134"/>
      <c r="J88" s="134"/>
      <c r="K88" s="134"/>
    </row>
    <row r="89" spans="2:11" ht="23" customHeight="1">
      <c r="B89" s="134"/>
      <c r="C89" s="134"/>
      <c r="D89" s="134"/>
      <c r="E89" s="134"/>
      <c r="F89" s="134"/>
      <c r="G89" s="134"/>
      <c r="H89" s="134"/>
      <c r="I89" s="134"/>
      <c r="J89" s="134"/>
      <c r="K89" s="134"/>
    </row>
    <row r="90" spans="2:11" ht="23" customHeight="1">
      <c r="B90" s="134"/>
      <c r="C90" s="134"/>
      <c r="D90" s="134"/>
      <c r="E90" s="134"/>
      <c r="F90" s="134"/>
      <c r="G90" s="134"/>
      <c r="H90" s="134"/>
      <c r="I90" s="134"/>
      <c r="J90" s="134"/>
      <c r="K90" s="134"/>
    </row>
    <row r="91" spans="2:11" ht="23" customHeight="1">
      <c r="B91" s="134"/>
      <c r="C91" s="134"/>
      <c r="D91" s="134"/>
      <c r="E91" s="134"/>
      <c r="F91" s="134"/>
      <c r="G91" s="134"/>
      <c r="H91" s="134"/>
      <c r="I91" s="134"/>
      <c r="J91" s="134"/>
      <c r="K91" s="134"/>
    </row>
    <row r="92" spans="2:11" ht="23" customHeight="1">
      <c r="B92" s="134"/>
      <c r="C92" s="134"/>
      <c r="D92" s="134"/>
      <c r="E92" s="134"/>
      <c r="F92" s="134"/>
      <c r="G92" s="134"/>
      <c r="H92" s="134"/>
      <c r="I92" s="134"/>
      <c r="J92" s="134"/>
      <c r="K92" s="134"/>
    </row>
    <row r="93" spans="2:11" ht="23" customHeight="1">
      <c r="B93" s="134"/>
      <c r="C93" s="134"/>
      <c r="D93" s="134"/>
      <c r="E93" s="134"/>
      <c r="F93" s="134"/>
      <c r="G93" s="134"/>
      <c r="H93" s="134"/>
      <c r="I93" s="134"/>
      <c r="J93" s="134"/>
      <c r="K93" s="134"/>
    </row>
    <row r="94" spans="2:11" ht="23" customHeight="1">
      <c r="B94" s="134"/>
      <c r="C94" s="134"/>
      <c r="D94" s="134"/>
      <c r="E94" s="134"/>
      <c r="F94" s="134"/>
      <c r="G94" s="134"/>
      <c r="H94" s="134"/>
      <c r="I94" s="134"/>
      <c r="J94" s="134"/>
      <c r="K94" s="134"/>
    </row>
    <row r="95" spans="2:11" ht="23" customHeight="1">
      <c r="B95" s="134"/>
      <c r="C95" s="134"/>
      <c r="D95" s="134"/>
      <c r="E95" s="134"/>
      <c r="F95" s="134"/>
      <c r="G95" s="134"/>
      <c r="H95" s="134"/>
      <c r="I95" s="134"/>
      <c r="J95" s="134"/>
      <c r="K95" s="134"/>
    </row>
    <row r="96" spans="2:11" ht="23" customHeight="1">
      <c r="B96" s="134"/>
      <c r="C96" s="134"/>
      <c r="D96" s="134"/>
      <c r="E96" s="134"/>
      <c r="F96" s="134"/>
      <c r="G96" s="134"/>
      <c r="H96" s="134"/>
      <c r="I96" s="134"/>
      <c r="J96" s="134"/>
      <c r="K96" s="134"/>
    </row>
    <row r="97" spans="2:11" ht="23" customHeight="1">
      <c r="B97" s="134"/>
      <c r="C97" s="134"/>
      <c r="D97" s="134"/>
      <c r="E97" s="134"/>
      <c r="F97" s="134"/>
      <c r="G97" s="134"/>
      <c r="H97" s="134"/>
      <c r="I97" s="134"/>
      <c r="J97" s="134"/>
      <c r="K97" s="134"/>
    </row>
    <row r="98" spans="2:11" ht="23" customHeight="1">
      <c r="B98" s="134"/>
      <c r="C98" s="134"/>
      <c r="D98" s="134"/>
      <c r="E98" s="134"/>
      <c r="F98" s="134"/>
      <c r="G98" s="134"/>
      <c r="H98" s="134"/>
      <c r="I98" s="134"/>
      <c r="J98" s="134"/>
      <c r="K98" s="134"/>
    </row>
    <row r="99" spans="2:11" ht="23" customHeight="1">
      <c r="B99" s="134"/>
      <c r="C99" s="134"/>
      <c r="D99" s="134"/>
      <c r="E99" s="134"/>
      <c r="F99" s="134"/>
      <c r="G99" s="134"/>
      <c r="H99" s="134"/>
      <c r="I99" s="134"/>
      <c r="J99" s="134"/>
      <c r="K99" s="134"/>
    </row>
    <row r="100" spans="2:11" ht="23" customHeight="1">
      <c r="B100" s="134"/>
      <c r="C100" s="134"/>
      <c r="D100" s="134"/>
      <c r="E100" s="134"/>
      <c r="F100" s="134"/>
      <c r="G100" s="134"/>
      <c r="H100" s="134"/>
      <c r="I100" s="134"/>
      <c r="J100" s="134"/>
      <c r="K100" s="134"/>
    </row>
    <row r="101" spans="2:11" ht="23" customHeight="1">
      <c r="B101" s="134"/>
      <c r="C101" s="134"/>
      <c r="D101" s="134"/>
      <c r="E101" s="134"/>
      <c r="F101" s="134"/>
      <c r="G101" s="134"/>
      <c r="H101" s="134"/>
      <c r="I101" s="134"/>
      <c r="J101" s="134"/>
      <c r="K101" s="134"/>
    </row>
    <row r="102" spans="2:11" ht="23" customHeight="1">
      <c r="B102" s="134"/>
      <c r="C102" s="134"/>
      <c r="D102" s="134"/>
      <c r="E102" s="134"/>
      <c r="F102" s="134"/>
      <c r="G102" s="134"/>
      <c r="H102" s="134"/>
      <c r="I102" s="134"/>
      <c r="J102" s="134"/>
      <c r="K102" s="134"/>
    </row>
    <row r="103" spans="2:11" ht="23" customHeight="1">
      <c r="B103" s="134"/>
      <c r="C103" s="134"/>
      <c r="D103" s="134"/>
      <c r="E103" s="134"/>
      <c r="F103" s="134"/>
      <c r="G103" s="134"/>
      <c r="H103" s="134"/>
      <c r="I103" s="134"/>
      <c r="J103" s="134"/>
      <c r="K103" s="134"/>
    </row>
    <row r="104" spans="2:11" ht="23" customHeight="1">
      <c r="B104" s="134"/>
      <c r="C104" s="134"/>
      <c r="D104" s="134"/>
      <c r="E104" s="134"/>
      <c r="F104" s="134"/>
      <c r="G104" s="134"/>
      <c r="H104" s="134"/>
      <c r="I104" s="134"/>
      <c r="J104" s="134"/>
      <c r="K104" s="134"/>
    </row>
    <row r="105" spans="2:11" ht="23" customHeight="1">
      <c r="B105" s="134"/>
      <c r="C105" s="134"/>
      <c r="D105" s="134"/>
      <c r="E105" s="134"/>
      <c r="F105" s="134"/>
      <c r="G105" s="134"/>
      <c r="H105" s="134"/>
      <c r="I105" s="134"/>
      <c r="J105" s="134"/>
      <c r="K105" s="134"/>
    </row>
    <row r="106" spans="2:11" ht="23" customHeight="1">
      <c r="B106" s="134"/>
      <c r="C106" s="134"/>
      <c r="D106" s="134"/>
      <c r="E106" s="134"/>
      <c r="F106" s="134"/>
      <c r="G106" s="134"/>
      <c r="H106" s="134"/>
      <c r="I106" s="134"/>
      <c r="J106" s="134"/>
      <c r="K106" s="134"/>
    </row>
    <row r="107" spans="2:11" ht="23" customHeight="1">
      <c r="B107" s="134"/>
      <c r="C107" s="134"/>
      <c r="D107" s="134"/>
      <c r="E107" s="134"/>
      <c r="F107" s="134"/>
      <c r="G107" s="134"/>
      <c r="H107" s="134"/>
      <c r="I107" s="134"/>
      <c r="J107" s="134"/>
      <c r="K107" s="134"/>
    </row>
    <row r="108" spans="2:11" ht="23" customHeight="1">
      <c r="B108" s="134"/>
      <c r="C108" s="134"/>
      <c r="D108" s="134"/>
      <c r="E108" s="134"/>
      <c r="F108" s="134"/>
      <c r="G108" s="134"/>
      <c r="H108" s="134"/>
      <c r="I108" s="134"/>
      <c r="J108" s="134"/>
      <c r="K108" s="134"/>
    </row>
    <row r="109" spans="2:11" ht="23" customHeight="1">
      <c r="B109" s="134"/>
      <c r="C109" s="134"/>
      <c r="D109" s="134"/>
      <c r="E109" s="134"/>
      <c r="F109" s="134"/>
      <c r="G109" s="134"/>
      <c r="H109" s="134"/>
      <c r="I109" s="134"/>
      <c r="J109" s="134"/>
      <c r="K109" s="134"/>
    </row>
    <row r="110" spans="2:11" ht="23" customHeight="1">
      <c r="B110" s="134"/>
      <c r="C110" s="134"/>
      <c r="D110" s="134"/>
      <c r="E110" s="134"/>
      <c r="F110" s="134"/>
      <c r="G110" s="134"/>
      <c r="H110" s="134"/>
      <c r="I110" s="134"/>
      <c r="J110" s="134"/>
      <c r="K110" s="134"/>
    </row>
    <row r="111" spans="2:11" ht="23" customHeight="1">
      <c r="B111" s="134"/>
      <c r="C111" s="134"/>
      <c r="D111" s="134"/>
      <c r="E111" s="134"/>
      <c r="F111" s="134"/>
      <c r="G111" s="134"/>
      <c r="H111" s="134"/>
      <c r="I111" s="134"/>
      <c r="J111" s="134"/>
      <c r="K111" s="134"/>
    </row>
    <row r="112" spans="2:11" ht="23" customHeight="1">
      <c r="B112" s="134"/>
      <c r="C112" s="134"/>
      <c r="D112" s="134"/>
      <c r="E112" s="134"/>
      <c r="F112" s="134"/>
      <c r="G112" s="134"/>
      <c r="H112" s="134"/>
      <c r="I112" s="134"/>
      <c r="J112" s="134"/>
      <c r="K112" s="134"/>
    </row>
    <row r="113" spans="2:11" ht="23" customHeight="1">
      <c r="B113" s="134"/>
      <c r="C113" s="134"/>
      <c r="D113" s="134"/>
      <c r="E113" s="134"/>
      <c r="F113" s="134"/>
      <c r="G113" s="134"/>
      <c r="H113" s="134"/>
      <c r="I113" s="134"/>
      <c r="J113" s="134"/>
      <c r="K113" s="134"/>
    </row>
    <row r="114" spans="2:11" ht="23" customHeight="1">
      <c r="B114" s="134"/>
      <c r="C114" s="134"/>
      <c r="D114" s="134"/>
      <c r="E114" s="134"/>
      <c r="F114" s="134"/>
      <c r="G114" s="134"/>
      <c r="H114" s="134"/>
      <c r="I114" s="134"/>
      <c r="J114" s="134"/>
      <c r="K114" s="134"/>
    </row>
    <row r="115" spans="2:11" ht="23" customHeight="1">
      <c r="B115" s="134"/>
      <c r="C115" s="134"/>
      <c r="D115" s="134"/>
      <c r="E115" s="134"/>
      <c r="F115" s="134"/>
      <c r="G115" s="134"/>
      <c r="H115" s="134"/>
      <c r="I115" s="134"/>
      <c r="J115" s="134"/>
      <c r="K115" s="134"/>
    </row>
    <row r="116" spans="2:11" ht="23" customHeight="1">
      <c r="B116" s="134"/>
      <c r="C116" s="134"/>
      <c r="D116" s="134"/>
      <c r="E116" s="134"/>
      <c r="F116" s="134"/>
      <c r="G116" s="134"/>
      <c r="H116" s="134"/>
      <c r="I116" s="134"/>
      <c r="J116" s="134"/>
      <c r="K116" s="134"/>
    </row>
    <row r="117" spans="2:11" ht="23" customHeight="1">
      <c r="B117" s="134"/>
      <c r="C117" s="134"/>
      <c r="D117" s="134"/>
      <c r="E117" s="134"/>
      <c r="F117" s="134"/>
      <c r="G117" s="134"/>
      <c r="H117" s="134"/>
      <c r="I117" s="134"/>
      <c r="J117" s="134"/>
      <c r="K117" s="134"/>
    </row>
    <row r="118" spans="2:11" ht="23" customHeight="1">
      <c r="B118" s="134"/>
      <c r="C118" s="134"/>
      <c r="D118" s="134"/>
      <c r="E118" s="134"/>
      <c r="F118" s="134"/>
      <c r="G118" s="134"/>
      <c r="H118" s="134"/>
      <c r="I118" s="134"/>
      <c r="J118" s="134"/>
      <c r="K118" s="134"/>
    </row>
    <row r="119" spans="2:11" ht="23" customHeight="1">
      <c r="B119" s="134"/>
      <c r="C119" s="134"/>
      <c r="D119" s="134"/>
      <c r="E119" s="134"/>
      <c r="F119" s="134"/>
      <c r="G119" s="134"/>
      <c r="H119" s="134"/>
      <c r="I119" s="134"/>
      <c r="J119" s="134"/>
      <c r="K119" s="134"/>
    </row>
    <row r="120" spans="2:11" ht="23" customHeight="1">
      <c r="B120" s="134"/>
      <c r="C120" s="134"/>
      <c r="D120" s="134"/>
      <c r="E120" s="134"/>
      <c r="F120" s="134"/>
      <c r="G120" s="134"/>
      <c r="H120" s="134"/>
      <c r="I120" s="134"/>
      <c r="J120" s="134"/>
      <c r="K120" s="134"/>
    </row>
    <row r="121" spans="2:11" ht="23" customHeight="1">
      <c r="B121" s="134"/>
      <c r="C121" s="134"/>
      <c r="D121" s="134"/>
      <c r="E121" s="134"/>
      <c r="F121" s="134"/>
      <c r="G121" s="134"/>
      <c r="H121" s="134"/>
      <c r="I121" s="134"/>
      <c r="J121" s="134"/>
      <c r="K121" s="134"/>
    </row>
    <row r="122" spans="2:11" ht="23" customHeight="1">
      <c r="B122" s="134"/>
      <c r="C122" s="134"/>
      <c r="D122" s="134"/>
      <c r="E122" s="134"/>
      <c r="F122" s="134"/>
      <c r="G122" s="134"/>
      <c r="H122" s="134"/>
      <c r="I122" s="134"/>
      <c r="J122" s="134"/>
      <c r="K122" s="134"/>
    </row>
    <row r="123" spans="2:11" ht="23" customHeight="1">
      <c r="B123" s="134"/>
      <c r="C123" s="134"/>
      <c r="D123" s="134"/>
      <c r="E123" s="134"/>
      <c r="F123" s="134"/>
      <c r="G123" s="134"/>
      <c r="H123" s="134"/>
      <c r="I123" s="134"/>
      <c r="J123" s="134"/>
      <c r="K123" s="134"/>
    </row>
    <row r="124" spans="2:11" ht="23" customHeight="1">
      <c r="B124" s="134"/>
      <c r="C124" s="134"/>
      <c r="D124" s="134"/>
      <c r="E124" s="134"/>
      <c r="F124" s="134"/>
      <c r="G124" s="134"/>
      <c r="H124" s="134"/>
      <c r="I124" s="134"/>
      <c r="J124" s="134"/>
      <c r="K124" s="134"/>
    </row>
    <row r="125" spans="2:11" ht="23" customHeight="1">
      <c r="B125" s="134"/>
      <c r="C125" s="134"/>
      <c r="D125" s="134"/>
      <c r="E125" s="134"/>
      <c r="F125" s="134"/>
      <c r="G125" s="134"/>
      <c r="H125" s="134"/>
      <c r="I125" s="134"/>
      <c r="J125" s="134"/>
      <c r="K125" s="134"/>
    </row>
    <row r="126" spans="2:11" ht="23" customHeight="1">
      <c r="B126" s="134"/>
      <c r="C126" s="134"/>
      <c r="D126" s="134"/>
      <c r="E126" s="134"/>
      <c r="F126" s="134"/>
      <c r="G126" s="134"/>
      <c r="H126" s="134"/>
      <c r="I126" s="134"/>
      <c r="J126" s="134"/>
      <c r="K126" s="134"/>
    </row>
    <row r="127" spans="2:11" ht="23" customHeight="1">
      <c r="B127" s="134"/>
      <c r="C127" s="134"/>
      <c r="D127" s="134"/>
      <c r="E127" s="134"/>
      <c r="F127" s="134"/>
      <c r="G127" s="134"/>
      <c r="H127" s="134"/>
      <c r="I127" s="134"/>
      <c r="J127" s="134"/>
      <c r="K127" s="134"/>
    </row>
  </sheetData>
  <sheetProtection algorithmName="SHA-512" hashValue="n9W2eFFrEnFP1MNF/4o0ONDYSweCEHJYNRStoL4Pxukr+Q5zao1YL5W+EQYLtWuoEwRFPTWTDu/dCNWzNYIeoQ==" saltValue="BLm2YDWAw0ZXzP73+BRSrA==" spinCount="100000" sheet="1" formatCells="0" formatColumns="0" formatRows="0" insertColumns="0" insertRows="0" insertHyperlinks="0" deleteColumns="0" deleteRows="0"/>
  <autoFilter ref="B6:K16" xr:uid="{4029CF38-E111-554D-A441-11C35DE4EB4B}"/>
  <mergeCells count="2">
    <mergeCell ref="B2:K2"/>
    <mergeCell ref="B3:K3"/>
  </mergeCells>
  <phoneticPr fontId="8" type="noConversion"/>
  <dataValidations count="1">
    <dataValidation type="list" allowBlank="1" showInputMessage="1" showErrorMessage="1" promptTitle="Selecciona una opción:" prompt="Agrega un concepto en las celdas sombreadas en verde de la columna &quot;r&quot;._x000a_" sqref="C8:C16" xr:uid="{114EE6F0-2241-E843-8EAF-23D67594CE55}">
      <formula1>Retenciones</formula1>
    </dataValidation>
  </dataValidations>
  <printOptions horizontalCentered="1"/>
  <pageMargins left="0.70000000000000007" right="0.70000000000000007" top="0.75000000000000011" bottom="0.75000000000000011" header="0.30000000000000004" footer="0.30000000000000004"/>
  <pageSetup scale="50" fitToHeight="5"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C86D0340-443E-0746-96DA-94CBAA74B6F3}">
          <x14:formula1>
            <xm:f>Equivalencia!$A$4:$A$23</xm:f>
          </x14:formula1>
          <xm:sqref>F8:F16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7D8D0-67A7-1F4F-ACD1-0FDE7397CA29}">
  <sheetPr>
    <pageSetUpPr fitToPage="1"/>
  </sheetPr>
  <dimension ref="B2:J63"/>
  <sheetViews>
    <sheetView view="pageBreakPreview" zoomScale="110" zoomScaleNormal="100" zoomScaleSheetLayoutView="110" workbookViewId="0">
      <selection activeCell="D5" sqref="D5"/>
    </sheetView>
  </sheetViews>
  <sheetFormatPr baseColWidth="10" defaultColWidth="10.83203125" defaultRowHeight="20" customHeight="1"/>
  <cols>
    <col min="1" max="1" width="10.83203125" style="378"/>
    <col min="2" max="3" width="27.83203125" style="378" customWidth="1"/>
    <col min="4" max="4" width="18.6640625" style="378" customWidth="1"/>
    <col min="5" max="5" width="50.83203125" style="378" customWidth="1"/>
    <col min="6" max="6" width="27.6640625" style="378" customWidth="1"/>
    <col min="7" max="7" width="20.6640625" style="378" customWidth="1"/>
    <col min="8" max="9" width="16.83203125" style="378" customWidth="1"/>
    <col min="10" max="10" width="20.6640625" style="378" customWidth="1"/>
    <col min="11" max="16384" width="10.83203125" style="378"/>
  </cols>
  <sheetData>
    <row r="2" spans="2:10" ht="20" customHeight="1">
      <c r="B2" s="768" t="s">
        <v>534</v>
      </c>
      <c r="C2" s="768"/>
      <c r="D2" s="768"/>
      <c r="E2" s="768"/>
      <c r="F2" s="768"/>
      <c r="G2" s="768"/>
      <c r="H2" s="768"/>
      <c r="I2" s="768"/>
      <c r="J2" s="768"/>
    </row>
    <row r="3" spans="2:10" ht="20" customHeight="1">
      <c r="B3" s="769" t="s">
        <v>535</v>
      </c>
      <c r="C3" s="769"/>
      <c r="D3" s="769"/>
      <c r="E3" s="769"/>
      <c r="F3" s="769"/>
      <c r="G3" s="769"/>
      <c r="H3" s="769"/>
      <c r="I3" s="769"/>
      <c r="J3" s="769"/>
    </row>
    <row r="4" spans="2:10" ht="14" customHeight="1">
      <c r="B4" s="379" t="s">
        <v>443</v>
      </c>
      <c r="C4" s="379"/>
      <c r="D4" s="379" t="s">
        <v>673</v>
      </c>
      <c r="E4" s="380"/>
      <c r="F4" s="380"/>
      <c r="G4" s="380"/>
      <c r="H4" s="380"/>
      <c r="I4" s="380"/>
      <c r="J4" s="380"/>
    </row>
    <row r="5" spans="2:10" ht="23" customHeight="1">
      <c r="B5" s="385"/>
      <c r="C5" s="385"/>
      <c r="D5" s="385"/>
      <c r="E5" s="386"/>
      <c r="F5" s="386"/>
      <c r="G5" s="386"/>
      <c r="H5" s="386"/>
      <c r="I5" s="386"/>
      <c r="J5" s="386"/>
    </row>
    <row r="6" spans="2:10" s="388" customFormat="1" ht="15">
      <c r="B6" s="387" t="s">
        <v>178</v>
      </c>
      <c r="C6" s="387" t="s">
        <v>531</v>
      </c>
      <c r="D6" s="387" t="s">
        <v>54</v>
      </c>
      <c r="E6" s="387" t="s">
        <v>55</v>
      </c>
      <c r="F6" s="387" t="s">
        <v>208</v>
      </c>
      <c r="G6" s="387" t="s">
        <v>210</v>
      </c>
      <c r="H6" s="387" t="s">
        <v>56</v>
      </c>
      <c r="I6" s="120" t="s">
        <v>361</v>
      </c>
      <c r="J6" s="387" t="s">
        <v>536</v>
      </c>
    </row>
    <row r="8" spans="2:10" ht="20" customHeight="1">
      <c r="B8" s="389" t="s">
        <v>3</v>
      </c>
      <c r="C8" s="389"/>
      <c r="D8" s="390"/>
      <c r="E8" s="391"/>
      <c r="F8" s="389"/>
      <c r="G8" s="392"/>
      <c r="H8" s="393">
        <f>+IF(F8=0,0,IF(F8="MXN",1/HLOOKUP(YEAR(D8)+(MONTH(D8)/100),TC!$5:$37,DAY(D8)+2,FALSE),VLOOKUP(F8,Equivalencia!$3:$23,((MAX(Equivalencia!$3:$3)-YEAR(D8))*14)+MONTH(D8)+2,FALSE)))</f>
        <v>0</v>
      </c>
      <c r="I8" s="162">
        <f>IF(D8=0,0,HLOOKUP(YEAR(D8)+(MONTH(D8)/100),TC!$5:$37,DAY(D8)+2,FALSE))</f>
        <v>0</v>
      </c>
      <c r="J8" s="394">
        <f>+H8*G8*I8</f>
        <v>0</v>
      </c>
    </row>
    <row r="9" spans="2:10" ht="20" customHeight="1">
      <c r="B9" s="389" t="s">
        <v>4</v>
      </c>
      <c r="C9" s="389"/>
      <c r="D9" s="390"/>
      <c r="E9" s="391"/>
      <c r="F9" s="389"/>
      <c r="G9" s="392"/>
      <c r="H9" s="393">
        <f>+IF(F9=0,0,IF(F9="MXN",1/HLOOKUP(YEAR(D9)+(MONTH(D9)/100),TC!$5:$37,DAY(D9)+2,FALSE),VLOOKUP(F9,Equivalencia!$3:$23,((MAX(Equivalencia!$3:$3)-YEAR(D9))*14)+MONTH(D9)+2,FALSE)))</f>
        <v>0</v>
      </c>
      <c r="I9" s="162">
        <f>IF(D9=0,0,HLOOKUP(YEAR(D9)+(MONTH(D9)/100),TC!$5:$37,DAY(D9)+2,FALSE))</f>
        <v>0</v>
      </c>
      <c r="J9" s="394">
        <f t="shared" ref="J9:J14" si="0">+H9*G9*I9</f>
        <v>0</v>
      </c>
    </row>
    <row r="10" spans="2:10" ht="20" customHeight="1">
      <c r="B10" s="389" t="s">
        <v>5</v>
      </c>
      <c r="C10" s="389"/>
      <c r="D10" s="390"/>
      <c r="E10" s="391"/>
      <c r="F10" s="389"/>
      <c r="G10" s="392"/>
      <c r="H10" s="393">
        <f>+IF(F10=0,0,IF(F10="MXN",1/HLOOKUP(YEAR(D10)+(MONTH(D10)/100),TC!$5:$37,DAY(D10)+2,FALSE),VLOOKUP(F10,Equivalencia!$3:$23,((MAX(Equivalencia!$3:$3)-YEAR(D10))*14)+MONTH(D10)+2,FALSE)))</f>
        <v>0</v>
      </c>
      <c r="I10" s="162">
        <f>IF(D10=0,0,HLOOKUP(YEAR(D10)+(MONTH(D10)/100),TC!$5:$37,DAY(D10)+2,FALSE))</f>
        <v>0</v>
      </c>
      <c r="J10" s="394">
        <f t="shared" si="0"/>
        <v>0</v>
      </c>
    </row>
    <row r="11" spans="2:10" ht="20" customHeight="1">
      <c r="B11" s="389" t="s">
        <v>6</v>
      </c>
      <c r="C11" s="389"/>
      <c r="D11" s="390"/>
      <c r="E11" s="391"/>
      <c r="F11" s="389"/>
      <c r="G11" s="392"/>
      <c r="H11" s="393">
        <f>+IF(F11=0,0,IF(F11="MXN",1/HLOOKUP(YEAR(D11)+(MONTH(D11)/100),TC!$5:$37,DAY(D11)+2,FALSE),VLOOKUP(F11,Equivalencia!$3:$23,((MAX(Equivalencia!$3:$3)-YEAR(D11))*14)+MONTH(D11)+2,FALSE)))</f>
        <v>0</v>
      </c>
      <c r="I11" s="162">
        <f>IF(D11=0,0,HLOOKUP(YEAR(D11)+(MONTH(D11)/100),TC!$5:$37,DAY(D11)+2,FALSE))</f>
        <v>0</v>
      </c>
      <c r="J11" s="394">
        <f t="shared" si="0"/>
        <v>0</v>
      </c>
    </row>
    <row r="12" spans="2:10" ht="20" customHeight="1">
      <c r="B12" s="389" t="s">
        <v>7</v>
      </c>
      <c r="C12" s="389"/>
      <c r="D12" s="390"/>
      <c r="E12" s="391"/>
      <c r="F12" s="389"/>
      <c r="G12" s="392"/>
      <c r="H12" s="393">
        <f>+IF(F12=0,0,IF(F12="MXN",1/HLOOKUP(YEAR(D12)+(MONTH(D12)/100),TC!$5:$37,DAY(D12)+2,FALSE),VLOOKUP(F12,Equivalencia!$3:$23,((MAX(Equivalencia!$3:$3)-YEAR(D12))*14)+MONTH(D12)+2,FALSE)))</f>
        <v>0</v>
      </c>
      <c r="I12" s="162">
        <f>IF(D12=0,0,HLOOKUP(YEAR(D12)+(MONTH(D12)/100),TC!$5:$37,DAY(D12)+2,FALSE))</f>
        <v>0</v>
      </c>
      <c r="J12" s="394">
        <f t="shared" si="0"/>
        <v>0</v>
      </c>
    </row>
    <row r="13" spans="2:10" ht="20" customHeight="1">
      <c r="B13" s="389" t="s">
        <v>8</v>
      </c>
      <c r="C13" s="389"/>
      <c r="D13" s="390"/>
      <c r="E13" s="391"/>
      <c r="F13" s="389"/>
      <c r="G13" s="392"/>
      <c r="H13" s="393">
        <f>+IF(F13=0,0,IF(F13="MXN",1/HLOOKUP(YEAR(D13)+(MONTH(D13)/100),TC!$5:$37,DAY(D13)+2,FALSE),VLOOKUP(F13,Equivalencia!$3:$23,((MAX(Equivalencia!$3:$3)-YEAR(D13))*14)+MONTH(D13)+2,FALSE)))</f>
        <v>0</v>
      </c>
      <c r="I13" s="162">
        <f>IF(D13=0,0,HLOOKUP(YEAR(D13)+(MONTH(D13)/100),TC!$5:$37,DAY(D13)+2,FALSE))</f>
        <v>0</v>
      </c>
      <c r="J13" s="394">
        <f t="shared" si="0"/>
        <v>0</v>
      </c>
    </row>
    <row r="14" spans="2:10" ht="20" customHeight="1">
      <c r="B14" s="389" t="s">
        <v>9</v>
      </c>
      <c r="C14" s="389"/>
      <c r="D14" s="390"/>
      <c r="E14" s="391"/>
      <c r="F14" s="389"/>
      <c r="G14" s="392"/>
      <c r="H14" s="393">
        <f>+IF(F14=0,0,IF(F14="MXN",1/HLOOKUP(YEAR(D14)+(MONTH(D14)/100),TC!$5:$37,DAY(D14)+2,FALSE),VLOOKUP(F14,Equivalencia!$3:$23,((MAX(Equivalencia!$3:$3)-YEAR(D14))*14)+MONTH(D14)+2,FALSE)))</f>
        <v>0</v>
      </c>
      <c r="I14" s="162">
        <f>IF(D14=0,0,HLOOKUP(YEAR(D14)+(MONTH(D14)/100),TC!$5:$37,DAY(D14)+2,FALSE))</f>
        <v>0</v>
      </c>
      <c r="J14" s="394">
        <f t="shared" si="0"/>
        <v>0</v>
      </c>
    </row>
    <row r="15" spans="2:10" ht="20" customHeight="1">
      <c r="B15" s="395"/>
      <c r="C15" s="395"/>
      <c r="D15" s="395"/>
      <c r="E15" s="395"/>
      <c r="F15" s="395"/>
      <c r="G15" s="395"/>
      <c r="H15" s="395"/>
      <c r="I15" s="395"/>
      <c r="J15" s="395"/>
    </row>
    <row r="16" spans="2:10" ht="20" customHeight="1">
      <c r="B16" s="396" t="s">
        <v>532</v>
      </c>
      <c r="C16" s="396"/>
      <c r="D16" s="397"/>
      <c r="E16" s="397"/>
      <c r="F16" s="397"/>
      <c r="G16" s="398">
        <f>SUM(G7:G15)</f>
        <v>0</v>
      </c>
      <c r="H16" s="397"/>
      <c r="I16" s="397"/>
      <c r="J16" s="398">
        <f>SUM(J7:J15)</f>
        <v>0</v>
      </c>
    </row>
    <row r="18" spans="5:10" ht="20" customHeight="1">
      <c r="G18" s="388"/>
      <c r="H18" s="388"/>
      <c r="I18" s="388"/>
      <c r="J18" s="388"/>
    </row>
    <row r="19" spans="5:10" ht="20" customHeight="1">
      <c r="G19" s="399" t="s">
        <v>208</v>
      </c>
      <c r="H19" s="400"/>
      <c r="I19" s="400"/>
      <c r="J19" s="401" t="s">
        <v>59</v>
      </c>
    </row>
    <row r="20" spans="5:10" ht="20" customHeight="1">
      <c r="F20" s="402"/>
    </row>
    <row r="21" spans="5:10" ht="20" customHeight="1">
      <c r="E21" s="403" t="s">
        <v>533</v>
      </c>
      <c r="F21" s="404" t="str">
        <f>Cuentas!B6</f>
        <v>AR2XXXX3387-0008</v>
      </c>
      <c r="G21" s="405">
        <f t="shared" ref="G21:G38" si="1">SUMIF($B$7:$B$537,F21,$G$7:$G$537)</f>
        <v>0</v>
      </c>
      <c r="H21" s="406"/>
      <c r="I21" s="406"/>
      <c r="J21" s="405">
        <f t="shared" ref="J21:J38" si="2">SUMIF($B$7:$B$537,F21,$J$7:$J$537)</f>
        <v>0</v>
      </c>
    </row>
    <row r="22" spans="5:10" ht="20" customHeight="1">
      <c r="E22" s="403" t="s">
        <v>533</v>
      </c>
      <c r="F22" s="404" t="str">
        <f>Cuentas!B7</f>
        <v>AR2XXXX3387-0003</v>
      </c>
      <c r="G22" s="405">
        <f t="shared" si="1"/>
        <v>0</v>
      </c>
      <c r="H22" s="406"/>
      <c r="I22" s="406"/>
      <c r="J22" s="405">
        <f t="shared" si="2"/>
        <v>0</v>
      </c>
    </row>
    <row r="23" spans="5:10" ht="20" customHeight="1">
      <c r="E23" s="403" t="s">
        <v>533</v>
      </c>
      <c r="F23" s="404" t="str">
        <f>Cuentas!B8</f>
        <v>029-2XXX1-9</v>
      </c>
      <c r="G23" s="405">
        <f t="shared" si="1"/>
        <v>0</v>
      </c>
      <c r="H23" s="406"/>
      <c r="I23" s="406"/>
      <c r="J23" s="405">
        <f t="shared" si="2"/>
        <v>0</v>
      </c>
    </row>
    <row r="24" spans="5:10" ht="20" customHeight="1">
      <c r="E24" s="403" t="s">
        <v>533</v>
      </c>
      <c r="F24" s="404" t="str">
        <f>Cuentas!B9</f>
        <v>029-2XXX2-7</v>
      </c>
      <c r="G24" s="405">
        <f t="shared" si="1"/>
        <v>0</v>
      </c>
      <c r="H24" s="406"/>
      <c r="I24" s="406"/>
      <c r="J24" s="405">
        <f t="shared" si="2"/>
        <v>0</v>
      </c>
    </row>
    <row r="25" spans="5:10" ht="20" customHeight="1">
      <c r="E25" s="403" t="s">
        <v>533</v>
      </c>
      <c r="F25" s="404" t="str">
        <f>Cuentas!B10</f>
        <v>029-2XXX3-5</v>
      </c>
      <c r="G25" s="405">
        <f t="shared" si="1"/>
        <v>0</v>
      </c>
      <c r="H25" s="406"/>
      <c r="I25" s="406"/>
      <c r="J25" s="405">
        <f t="shared" si="2"/>
        <v>0</v>
      </c>
    </row>
    <row r="26" spans="5:10" ht="20" customHeight="1">
      <c r="E26" s="403" t="s">
        <v>533</v>
      </c>
      <c r="F26" s="404" t="str">
        <f>Cuentas!B11</f>
        <v>F</v>
      </c>
      <c r="G26" s="405">
        <f t="shared" si="1"/>
        <v>0</v>
      </c>
      <c r="H26" s="406"/>
      <c r="I26" s="406"/>
      <c r="J26" s="405">
        <f t="shared" si="2"/>
        <v>0</v>
      </c>
    </row>
    <row r="27" spans="5:10" ht="20" customHeight="1">
      <c r="E27" s="403" t="s">
        <v>533</v>
      </c>
      <c r="F27" s="404" t="str">
        <f>Cuentas!B12</f>
        <v>G</v>
      </c>
      <c r="G27" s="405">
        <f t="shared" si="1"/>
        <v>0</v>
      </c>
      <c r="H27" s="406"/>
      <c r="I27" s="406"/>
      <c r="J27" s="405">
        <f t="shared" si="2"/>
        <v>0</v>
      </c>
    </row>
    <row r="28" spans="5:10" ht="20" customHeight="1">
      <c r="E28" s="403" t="s">
        <v>533</v>
      </c>
      <c r="F28" s="404" t="str">
        <f>Cuentas!B13</f>
        <v>H</v>
      </c>
      <c r="G28" s="405">
        <f t="shared" si="1"/>
        <v>0</v>
      </c>
      <c r="H28" s="406"/>
      <c r="I28" s="406"/>
      <c r="J28" s="405">
        <f t="shared" si="2"/>
        <v>0</v>
      </c>
    </row>
    <row r="29" spans="5:10" ht="20" customHeight="1">
      <c r="E29" s="403" t="s">
        <v>533</v>
      </c>
      <c r="F29" s="404" t="str">
        <f>Cuentas!B14</f>
        <v>I</v>
      </c>
      <c r="G29" s="405">
        <f t="shared" si="1"/>
        <v>0</v>
      </c>
      <c r="H29" s="406"/>
      <c r="I29" s="406"/>
      <c r="J29" s="405">
        <f t="shared" si="2"/>
        <v>0</v>
      </c>
    </row>
    <row r="30" spans="5:10" ht="20" customHeight="1">
      <c r="E30" s="403" t="s">
        <v>533</v>
      </c>
      <c r="F30" s="404" t="str">
        <f>Cuentas!B15</f>
        <v>J</v>
      </c>
      <c r="G30" s="405">
        <f t="shared" si="1"/>
        <v>0</v>
      </c>
      <c r="H30" s="406"/>
      <c r="I30" s="406"/>
      <c r="J30" s="405">
        <f t="shared" si="2"/>
        <v>0</v>
      </c>
    </row>
    <row r="31" spans="5:10" ht="20" customHeight="1">
      <c r="E31" s="403" t="s">
        <v>533</v>
      </c>
      <c r="F31" s="404" t="str">
        <f>Cuentas!B16</f>
        <v>K</v>
      </c>
      <c r="G31" s="405">
        <f t="shared" si="1"/>
        <v>0</v>
      </c>
      <c r="H31" s="406"/>
      <c r="I31" s="406"/>
      <c r="J31" s="405">
        <f t="shared" si="2"/>
        <v>0</v>
      </c>
    </row>
    <row r="32" spans="5:10" ht="20" customHeight="1">
      <c r="E32" s="403" t="s">
        <v>533</v>
      </c>
      <c r="F32" s="404" t="str">
        <f>Cuentas!B17</f>
        <v>L</v>
      </c>
      <c r="G32" s="405">
        <f t="shared" si="1"/>
        <v>0</v>
      </c>
      <c r="H32" s="406"/>
      <c r="I32" s="406"/>
      <c r="J32" s="405">
        <f t="shared" si="2"/>
        <v>0</v>
      </c>
    </row>
    <row r="33" spans="2:10" ht="20" customHeight="1">
      <c r="E33" s="403" t="s">
        <v>533</v>
      </c>
      <c r="F33" s="404" t="str">
        <f>Cuentas!B18</f>
        <v>M</v>
      </c>
      <c r="G33" s="405">
        <f t="shared" si="1"/>
        <v>0</v>
      </c>
      <c r="H33" s="406"/>
      <c r="I33" s="406"/>
      <c r="J33" s="405">
        <f t="shared" si="2"/>
        <v>0</v>
      </c>
    </row>
    <row r="34" spans="2:10" ht="20" customHeight="1">
      <c r="E34" s="403" t="s">
        <v>533</v>
      </c>
      <c r="F34" s="404" t="str">
        <f>Cuentas!B19</f>
        <v>N</v>
      </c>
      <c r="G34" s="405">
        <f t="shared" si="1"/>
        <v>0</v>
      </c>
      <c r="H34" s="406"/>
      <c r="I34" s="406"/>
      <c r="J34" s="405">
        <f t="shared" si="2"/>
        <v>0</v>
      </c>
    </row>
    <row r="35" spans="2:10" ht="20" customHeight="1">
      <c r="E35" s="403" t="s">
        <v>533</v>
      </c>
      <c r="F35" s="404" t="str">
        <f>Cuentas!B20</f>
        <v>O</v>
      </c>
      <c r="G35" s="405">
        <f t="shared" si="1"/>
        <v>0</v>
      </c>
      <c r="H35" s="406"/>
      <c r="I35" s="406"/>
      <c r="J35" s="405">
        <f t="shared" si="2"/>
        <v>0</v>
      </c>
    </row>
    <row r="36" spans="2:10" ht="20" customHeight="1">
      <c r="E36" s="403" t="s">
        <v>533</v>
      </c>
      <c r="F36" s="404" t="str">
        <f>Cuentas!B21</f>
        <v>P</v>
      </c>
      <c r="G36" s="405">
        <f t="shared" si="1"/>
        <v>0</v>
      </c>
      <c r="H36" s="406"/>
      <c r="I36" s="406"/>
      <c r="J36" s="405">
        <f t="shared" si="2"/>
        <v>0</v>
      </c>
    </row>
    <row r="37" spans="2:10" ht="20" customHeight="1">
      <c r="E37" s="403" t="s">
        <v>533</v>
      </c>
      <c r="F37" s="404" t="str">
        <f>Cuentas!B22</f>
        <v>Q</v>
      </c>
      <c r="G37" s="405">
        <f t="shared" si="1"/>
        <v>0</v>
      </c>
      <c r="H37" s="406"/>
      <c r="I37" s="406"/>
      <c r="J37" s="405">
        <f t="shared" si="2"/>
        <v>0</v>
      </c>
    </row>
    <row r="38" spans="2:10" ht="20" customHeight="1">
      <c r="E38" s="403" t="s">
        <v>533</v>
      </c>
      <c r="F38" s="404" t="str">
        <f>Cuentas!B23</f>
        <v>R</v>
      </c>
      <c r="G38" s="405">
        <f t="shared" si="1"/>
        <v>0</v>
      </c>
      <c r="H38" s="406"/>
      <c r="I38" s="406"/>
      <c r="J38" s="405">
        <f t="shared" si="2"/>
        <v>0</v>
      </c>
    </row>
    <row r="40" spans="2:10" ht="20" customHeight="1">
      <c r="F40" s="407" t="s">
        <v>61</v>
      </c>
      <c r="G40" s="183">
        <f>SUM(G21:G39)</f>
        <v>0</v>
      </c>
      <c r="H40" s="408"/>
      <c r="I40" s="408"/>
      <c r="J40" s="183">
        <f>SUM(J21:J39)</f>
        <v>0</v>
      </c>
    </row>
    <row r="43" spans="2:10" ht="20" customHeight="1">
      <c r="B43" s="409" t="s">
        <v>431</v>
      </c>
      <c r="C43" s="409"/>
    </row>
    <row r="44" spans="2:10" ht="20" customHeight="1">
      <c r="B44" s="395"/>
      <c r="C44" s="395"/>
      <c r="D44" s="395"/>
      <c r="E44" s="395"/>
      <c r="F44" s="395"/>
      <c r="G44" s="395"/>
      <c r="H44" s="395"/>
      <c r="I44" s="395"/>
      <c r="J44" s="395"/>
    </row>
    <row r="45" spans="2:10" ht="20" customHeight="1">
      <c r="B45" s="395"/>
      <c r="C45" s="395"/>
      <c r="D45" s="395"/>
      <c r="E45" s="395"/>
      <c r="F45" s="395"/>
      <c r="G45" s="395"/>
      <c r="H45" s="395"/>
      <c r="I45" s="395"/>
      <c r="J45" s="395"/>
    </row>
    <row r="46" spans="2:10" ht="20" customHeight="1">
      <c r="B46" s="395"/>
      <c r="C46" s="395"/>
      <c r="D46" s="395"/>
      <c r="E46" s="395"/>
      <c r="F46" s="395"/>
      <c r="G46" s="395"/>
      <c r="H46" s="395"/>
      <c r="I46" s="395"/>
      <c r="J46" s="395"/>
    </row>
    <row r="47" spans="2:10" ht="20" customHeight="1">
      <c r="B47" s="395"/>
      <c r="C47" s="395"/>
      <c r="D47" s="395"/>
      <c r="E47" s="395"/>
      <c r="F47" s="395"/>
      <c r="G47" s="395"/>
      <c r="H47" s="395"/>
      <c r="I47" s="395"/>
      <c r="J47" s="395"/>
    </row>
    <row r="48" spans="2:10" ht="20" customHeight="1">
      <c r="B48" s="395"/>
      <c r="C48" s="395"/>
      <c r="D48" s="395"/>
      <c r="E48" s="395"/>
      <c r="F48" s="395"/>
      <c r="G48" s="395"/>
      <c r="H48" s="395"/>
      <c r="I48" s="395"/>
      <c r="J48" s="395"/>
    </row>
    <row r="49" spans="2:10" ht="20" customHeight="1">
      <c r="B49" s="395"/>
      <c r="C49" s="395"/>
      <c r="D49" s="395"/>
      <c r="E49" s="395"/>
      <c r="F49" s="395"/>
      <c r="G49" s="395"/>
      <c r="H49" s="395"/>
      <c r="I49" s="395"/>
      <c r="J49" s="395"/>
    </row>
    <row r="50" spans="2:10" ht="20" customHeight="1">
      <c r="B50" s="395"/>
      <c r="C50" s="395"/>
      <c r="D50" s="395"/>
      <c r="E50" s="395"/>
      <c r="F50" s="395"/>
      <c r="G50" s="395"/>
      <c r="H50" s="395"/>
      <c r="I50" s="395"/>
      <c r="J50" s="395"/>
    </row>
    <row r="51" spans="2:10" ht="20" customHeight="1">
      <c r="B51" s="395"/>
      <c r="C51" s="395"/>
      <c r="D51" s="395"/>
      <c r="E51" s="395"/>
      <c r="F51" s="395"/>
      <c r="G51" s="395"/>
      <c r="H51" s="395"/>
      <c r="I51" s="395"/>
      <c r="J51" s="395"/>
    </row>
    <row r="52" spans="2:10" ht="20" customHeight="1">
      <c r="B52" s="395"/>
      <c r="C52" s="395"/>
      <c r="D52" s="395"/>
      <c r="E52" s="395"/>
      <c r="F52" s="395"/>
      <c r="G52" s="395"/>
      <c r="H52" s="395"/>
      <c r="I52" s="395"/>
      <c r="J52" s="395"/>
    </row>
    <row r="53" spans="2:10" ht="20" customHeight="1">
      <c r="B53" s="395"/>
      <c r="C53" s="395"/>
      <c r="D53" s="395"/>
      <c r="E53" s="395"/>
      <c r="F53" s="395"/>
      <c r="G53" s="395"/>
      <c r="H53" s="395"/>
      <c r="I53" s="395"/>
      <c r="J53" s="395"/>
    </row>
    <row r="54" spans="2:10" ht="20" customHeight="1">
      <c r="B54" s="395"/>
      <c r="C54" s="395"/>
      <c r="D54" s="395"/>
      <c r="E54" s="395"/>
      <c r="F54" s="395"/>
      <c r="G54" s="395"/>
      <c r="H54" s="395"/>
      <c r="I54" s="395"/>
      <c r="J54" s="395"/>
    </row>
    <row r="55" spans="2:10" ht="20" customHeight="1">
      <c r="B55" s="395"/>
      <c r="C55" s="395"/>
      <c r="D55" s="395"/>
      <c r="E55" s="395"/>
      <c r="F55" s="395"/>
      <c r="G55" s="395"/>
      <c r="H55" s="395"/>
      <c r="I55" s="395"/>
      <c r="J55" s="395"/>
    </row>
    <row r="56" spans="2:10" ht="20" customHeight="1">
      <c r="B56" s="395"/>
      <c r="C56" s="395"/>
      <c r="D56" s="395"/>
      <c r="E56" s="395"/>
      <c r="F56" s="395"/>
      <c r="G56" s="395"/>
      <c r="H56" s="395"/>
      <c r="I56" s="395"/>
      <c r="J56" s="395"/>
    </row>
    <row r="57" spans="2:10" ht="20" customHeight="1">
      <c r="B57" s="395"/>
      <c r="C57" s="395"/>
      <c r="D57" s="395"/>
      <c r="E57" s="395"/>
      <c r="F57" s="395"/>
      <c r="G57" s="395"/>
      <c r="H57" s="395"/>
      <c r="I57" s="395"/>
      <c r="J57" s="395"/>
    </row>
    <row r="58" spans="2:10" ht="20" customHeight="1">
      <c r="B58" s="395"/>
      <c r="C58" s="395"/>
      <c r="D58" s="395"/>
      <c r="E58" s="395"/>
      <c r="F58" s="395"/>
      <c r="G58" s="395"/>
      <c r="H58" s="395"/>
      <c r="I58" s="395"/>
      <c r="J58" s="395"/>
    </row>
    <row r="59" spans="2:10" ht="20" customHeight="1">
      <c r="B59" s="395"/>
      <c r="C59" s="395"/>
      <c r="D59" s="395"/>
      <c r="E59" s="395"/>
      <c r="F59" s="395"/>
      <c r="G59" s="395"/>
      <c r="H59" s="395"/>
      <c r="I59" s="395"/>
      <c r="J59" s="395"/>
    </row>
    <row r="60" spans="2:10" ht="20" customHeight="1">
      <c r="B60" s="395"/>
      <c r="C60" s="395"/>
      <c r="D60" s="395"/>
      <c r="E60" s="395"/>
      <c r="F60" s="395"/>
      <c r="G60" s="395"/>
      <c r="H60" s="395"/>
      <c r="I60" s="395"/>
      <c r="J60" s="395"/>
    </row>
    <row r="61" spans="2:10" ht="20" customHeight="1">
      <c r="B61" s="395"/>
      <c r="C61" s="395"/>
      <c r="D61" s="395"/>
      <c r="E61" s="395"/>
      <c r="F61" s="395"/>
      <c r="G61" s="395"/>
      <c r="H61" s="395"/>
      <c r="I61" s="395"/>
      <c r="J61" s="395"/>
    </row>
    <row r="62" spans="2:10" ht="20" customHeight="1">
      <c r="B62" s="395"/>
      <c r="C62" s="395"/>
      <c r="D62" s="395"/>
      <c r="E62" s="395"/>
      <c r="F62" s="395"/>
      <c r="G62" s="395"/>
      <c r="H62" s="395"/>
      <c r="I62" s="395"/>
      <c r="J62" s="395"/>
    </row>
    <row r="63" spans="2:10" ht="20" customHeight="1">
      <c r="B63" s="395"/>
      <c r="C63" s="395"/>
      <c r="D63" s="395"/>
      <c r="E63" s="395"/>
      <c r="F63" s="395"/>
      <c r="G63" s="395"/>
      <c r="H63" s="395"/>
      <c r="I63" s="395"/>
      <c r="J63" s="395"/>
    </row>
  </sheetData>
  <sheetProtection algorithmName="SHA-512" hashValue="wZRPAi8MThznzUeEQIDjWxIiu4YPMrMRjPUtcPlsQ/9GL5z+nqkMOdh7/wQJDb3uJboCAbBMGgOwyZA3YLNfmA==" saltValue="aUr/1wE+E8Thvp41/FKCsA==" spinCount="100000" sheet="1" formatCells="0" formatColumns="0" formatRows="0" insertColumns="0" insertRows="0" deleteColumns="0" deleteRows="0" sort="0" autoFilter="0"/>
  <autoFilter ref="B6:J16" xr:uid="{B1190D58-1A93-8E40-B2AE-426F3F44CA09}"/>
  <mergeCells count="2">
    <mergeCell ref="B2:J2"/>
    <mergeCell ref="B3:J3"/>
  </mergeCells>
  <printOptions horizontalCentered="1"/>
  <pageMargins left="0.7" right="0.7" top="0.75" bottom="0.75" header="0.3" footer="0.3"/>
  <pageSetup scale="50"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AF18AA7F-14DA-AD49-AE7F-10D36B45CEBF}">
          <x14:formula1>
            <xm:f>Equivalencia!$A$5:$A$23</xm:f>
          </x14:formula1>
          <xm:sqref>F8:F14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D99AE-693B-E347-95DC-A7AEA424005A}">
  <sheetPr>
    <pageSetUpPr fitToPage="1"/>
  </sheetPr>
  <dimension ref="B2:J63"/>
  <sheetViews>
    <sheetView view="pageBreakPreview" topLeftCell="C20" zoomScaleNormal="100" zoomScaleSheetLayoutView="100" workbookViewId="0">
      <selection activeCell="F21" sqref="F21"/>
    </sheetView>
  </sheetViews>
  <sheetFormatPr baseColWidth="10" defaultColWidth="10.83203125" defaultRowHeight="20" customHeight="1"/>
  <cols>
    <col min="1" max="1" width="10.83203125" style="378"/>
    <col min="2" max="3" width="27.83203125" style="378" customWidth="1"/>
    <col min="4" max="4" width="18.6640625" style="378" customWidth="1"/>
    <col min="5" max="5" width="50.83203125" style="378" customWidth="1"/>
    <col min="6" max="6" width="27.6640625" style="378" customWidth="1"/>
    <col min="7" max="7" width="20.6640625" style="378" customWidth="1"/>
    <col min="8" max="9" width="16.83203125" style="378" customWidth="1"/>
    <col min="10" max="10" width="20.6640625" style="378" customWidth="1"/>
    <col min="11" max="16384" width="10.83203125" style="378"/>
  </cols>
  <sheetData>
    <row r="2" spans="2:10" ht="20" customHeight="1">
      <c r="B2" s="768" t="s">
        <v>537</v>
      </c>
      <c r="C2" s="768"/>
      <c r="D2" s="768"/>
      <c r="E2" s="768"/>
      <c r="F2" s="768"/>
      <c r="G2" s="768"/>
      <c r="H2" s="768"/>
      <c r="I2" s="768"/>
      <c r="J2" s="768"/>
    </row>
    <row r="3" spans="2:10" ht="20" customHeight="1">
      <c r="B3" s="769" t="s">
        <v>538</v>
      </c>
      <c r="C3" s="769"/>
      <c r="D3" s="769"/>
      <c r="E3" s="769"/>
      <c r="F3" s="769"/>
      <c r="G3" s="769"/>
      <c r="H3" s="769"/>
      <c r="I3" s="769"/>
      <c r="J3" s="769"/>
    </row>
    <row r="4" spans="2:10" ht="14" customHeight="1">
      <c r="B4" s="379" t="s">
        <v>443</v>
      </c>
      <c r="C4" s="379"/>
      <c r="D4" s="379" t="s">
        <v>673</v>
      </c>
      <c r="E4" s="380"/>
      <c r="F4" s="380"/>
      <c r="G4" s="380"/>
      <c r="H4" s="380"/>
      <c r="I4" s="380"/>
      <c r="J4" s="380"/>
    </row>
    <row r="5" spans="2:10" ht="23" customHeight="1">
      <c r="B5" s="385"/>
      <c r="C5" s="385"/>
      <c r="D5" s="385"/>
      <c r="E5" s="386"/>
      <c r="F5" s="386"/>
      <c r="G5" s="386"/>
      <c r="H5" s="386"/>
      <c r="I5" s="386"/>
      <c r="J5" s="386"/>
    </row>
    <row r="6" spans="2:10" s="388" customFormat="1" ht="15">
      <c r="B6" s="387" t="s">
        <v>178</v>
      </c>
      <c r="C6" s="387" t="s">
        <v>531</v>
      </c>
      <c r="D6" s="387" t="s">
        <v>54</v>
      </c>
      <c r="E6" s="387" t="s">
        <v>55</v>
      </c>
      <c r="F6" s="387" t="s">
        <v>208</v>
      </c>
      <c r="G6" s="387" t="s">
        <v>210</v>
      </c>
      <c r="H6" s="387" t="s">
        <v>56</v>
      </c>
      <c r="I6" s="120" t="s">
        <v>361</v>
      </c>
      <c r="J6" s="387" t="s">
        <v>536</v>
      </c>
    </row>
    <row r="8" spans="2:10" ht="20" customHeight="1">
      <c r="B8" s="389" t="s">
        <v>3</v>
      </c>
      <c r="C8" s="389"/>
      <c r="D8" s="390"/>
      <c r="E8" s="391"/>
      <c r="F8" s="389"/>
      <c r="G8" s="392"/>
      <c r="H8" s="393">
        <f>+IF(F8=0,0,IF(F8="MXN",1/HLOOKUP(YEAR(D8)+(MONTH(D8)/100),TC!$5:$37,DAY(D8)+2,FALSE),VLOOKUP(F8,Equivalencia!$3:$23,((MAX(Equivalencia!$3:$3)-YEAR(D8))*14)+MONTH(D8)+2,FALSE)))</f>
        <v>0</v>
      </c>
      <c r="I8" s="162">
        <f>IF(D8=0,0,HLOOKUP(YEAR(D8)+(MONTH(D8)/100),TC!$5:$37,DAY(D8)+2,FALSE))</f>
        <v>0</v>
      </c>
      <c r="J8" s="394">
        <f>+H8*G8*I8</f>
        <v>0</v>
      </c>
    </row>
    <row r="9" spans="2:10" ht="20" customHeight="1">
      <c r="B9" s="389" t="s">
        <v>4</v>
      </c>
      <c r="C9" s="389"/>
      <c r="D9" s="390"/>
      <c r="E9" s="391"/>
      <c r="F9" s="389"/>
      <c r="G9" s="392"/>
      <c r="H9" s="393">
        <f>+IF(F9=0,0,IF(F9="MXN",1/HLOOKUP(YEAR(D9)+(MONTH(D9)/100),TC!$5:$37,DAY(D9)+2,FALSE),VLOOKUP(F9,Equivalencia!$3:$23,((MAX(Equivalencia!$3:$3)-YEAR(D9))*14)+MONTH(D9)+2,FALSE)))</f>
        <v>0</v>
      </c>
      <c r="I9" s="162">
        <f>IF(D9=0,0,HLOOKUP(YEAR(D9)+(MONTH(D9)/100),TC!$5:$37,DAY(D9)+2,FALSE))</f>
        <v>0</v>
      </c>
      <c r="J9" s="394">
        <f t="shared" ref="J9:J14" si="0">+H9*G9*I9</f>
        <v>0</v>
      </c>
    </row>
    <row r="10" spans="2:10" ht="20" customHeight="1">
      <c r="B10" s="389" t="s">
        <v>5</v>
      </c>
      <c r="C10" s="389"/>
      <c r="D10" s="390"/>
      <c r="E10" s="391"/>
      <c r="F10" s="389"/>
      <c r="G10" s="392"/>
      <c r="H10" s="393">
        <f>+IF(F10=0,0,IF(F10="MXN",1/HLOOKUP(YEAR(D10)+(MONTH(D10)/100),TC!$5:$37,DAY(D10)+2,FALSE),VLOOKUP(F10,Equivalencia!$3:$23,((MAX(Equivalencia!$3:$3)-YEAR(D10))*14)+MONTH(D10)+2,FALSE)))</f>
        <v>0</v>
      </c>
      <c r="I10" s="162">
        <f>IF(D10=0,0,HLOOKUP(YEAR(D10)+(MONTH(D10)/100),TC!$5:$37,DAY(D10)+2,FALSE))</f>
        <v>0</v>
      </c>
      <c r="J10" s="394">
        <f t="shared" si="0"/>
        <v>0</v>
      </c>
    </row>
    <row r="11" spans="2:10" ht="20" customHeight="1">
      <c r="B11" s="389" t="s">
        <v>6</v>
      </c>
      <c r="C11" s="389"/>
      <c r="D11" s="390"/>
      <c r="E11" s="391"/>
      <c r="F11" s="389"/>
      <c r="G11" s="392"/>
      <c r="H11" s="393">
        <f>+IF(F11=0,0,IF(F11="MXN",1/HLOOKUP(YEAR(D11)+(MONTH(D11)/100),TC!$5:$37,DAY(D11)+2,FALSE),VLOOKUP(F11,Equivalencia!$3:$23,((MAX(Equivalencia!$3:$3)-YEAR(D11))*14)+MONTH(D11)+2,FALSE)))</f>
        <v>0</v>
      </c>
      <c r="I11" s="162">
        <f>IF(D11=0,0,HLOOKUP(YEAR(D11)+(MONTH(D11)/100),TC!$5:$37,DAY(D11)+2,FALSE))</f>
        <v>0</v>
      </c>
      <c r="J11" s="394">
        <f t="shared" si="0"/>
        <v>0</v>
      </c>
    </row>
    <row r="12" spans="2:10" ht="20" customHeight="1">
      <c r="B12" s="389" t="s">
        <v>7</v>
      </c>
      <c r="C12" s="389"/>
      <c r="D12" s="390"/>
      <c r="E12" s="391"/>
      <c r="F12" s="389"/>
      <c r="G12" s="392"/>
      <c r="H12" s="393">
        <f>+IF(F12=0,0,IF(F12="MXN",1/HLOOKUP(YEAR(D12)+(MONTH(D12)/100),TC!$5:$37,DAY(D12)+2,FALSE),VLOOKUP(F12,Equivalencia!$3:$23,((MAX(Equivalencia!$3:$3)-YEAR(D12))*14)+MONTH(D12)+2,FALSE)))</f>
        <v>0</v>
      </c>
      <c r="I12" s="162">
        <f>IF(D12=0,0,HLOOKUP(YEAR(D12)+(MONTH(D12)/100),TC!$5:$37,DAY(D12)+2,FALSE))</f>
        <v>0</v>
      </c>
      <c r="J12" s="394">
        <f t="shared" si="0"/>
        <v>0</v>
      </c>
    </row>
    <row r="13" spans="2:10" ht="20" customHeight="1">
      <c r="B13" s="389" t="s">
        <v>8</v>
      </c>
      <c r="C13" s="389"/>
      <c r="D13" s="390"/>
      <c r="E13" s="391"/>
      <c r="F13" s="389"/>
      <c r="G13" s="392"/>
      <c r="H13" s="393">
        <f>+IF(F13=0,0,IF(F13="MXN",1/HLOOKUP(YEAR(D13)+(MONTH(D13)/100),TC!$5:$37,DAY(D13)+2,FALSE),VLOOKUP(F13,Equivalencia!$3:$23,((MAX(Equivalencia!$3:$3)-YEAR(D13))*14)+MONTH(D13)+2,FALSE)))</f>
        <v>0</v>
      </c>
      <c r="I13" s="162">
        <f>IF(D13=0,0,HLOOKUP(YEAR(D13)+(MONTH(D13)/100),TC!$5:$37,DAY(D13)+2,FALSE))</f>
        <v>0</v>
      </c>
      <c r="J13" s="394">
        <f t="shared" si="0"/>
        <v>0</v>
      </c>
    </row>
    <row r="14" spans="2:10" ht="20" customHeight="1">
      <c r="B14" s="389" t="s">
        <v>9</v>
      </c>
      <c r="C14" s="389"/>
      <c r="D14" s="390"/>
      <c r="E14" s="391"/>
      <c r="F14" s="389"/>
      <c r="G14" s="392"/>
      <c r="H14" s="393">
        <f>+IF(F14=0,0,IF(F14="MXN",1/HLOOKUP(YEAR(D14)+(MONTH(D14)/100),TC!$5:$37,DAY(D14)+2,FALSE),VLOOKUP(F14,Equivalencia!$3:$23,((MAX(Equivalencia!$3:$3)-YEAR(D14))*14)+MONTH(D14)+2,FALSE)))</f>
        <v>0</v>
      </c>
      <c r="I14" s="162">
        <f>IF(D14=0,0,HLOOKUP(YEAR(D14)+(MONTH(D14)/100),TC!$5:$37,DAY(D14)+2,FALSE))</f>
        <v>0</v>
      </c>
      <c r="J14" s="394">
        <f t="shared" si="0"/>
        <v>0</v>
      </c>
    </row>
    <row r="15" spans="2:10" ht="20" customHeight="1">
      <c r="B15" s="395"/>
      <c r="C15" s="395"/>
      <c r="D15" s="395"/>
      <c r="E15" s="395"/>
      <c r="F15" s="395"/>
      <c r="G15" s="395"/>
      <c r="H15" s="395"/>
      <c r="I15" s="395"/>
      <c r="J15" s="395"/>
    </row>
    <row r="16" spans="2:10" ht="20" customHeight="1">
      <c r="B16" s="396" t="s">
        <v>532</v>
      </c>
      <c r="C16" s="396"/>
      <c r="D16" s="397"/>
      <c r="E16" s="397"/>
      <c r="F16" s="397"/>
      <c r="G16" s="398">
        <f>SUM(G7:G15)</f>
        <v>0</v>
      </c>
      <c r="H16" s="397"/>
      <c r="I16" s="397"/>
      <c r="J16" s="398">
        <f>SUM(J7:J15)</f>
        <v>0</v>
      </c>
    </row>
    <row r="18" spans="5:10" ht="20" customHeight="1">
      <c r="G18" s="388"/>
      <c r="H18" s="388"/>
      <c r="I18" s="388"/>
      <c r="J18" s="388"/>
    </row>
    <row r="19" spans="5:10" ht="20" customHeight="1">
      <c r="G19" s="399" t="s">
        <v>208</v>
      </c>
      <c r="H19" s="400"/>
      <c r="I19" s="400"/>
      <c r="J19" s="401" t="s">
        <v>60</v>
      </c>
    </row>
    <row r="20" spans="5:10" ht="20" customHeight="1">
      <c r="F20" s="402"/>
    </row>
    <row r="21" spans="5:10" ht="20" customHeight="1">
      <c r="E21" s="403" t="s">
        <v>539</v>
      </c>
      <c r="F21" s="404" t="str">
        <f>Cuentas!B6</f>
        <v>AR2XXXX3387-0008</v>
      </c>
      <c r="G21" s="405">
        <f t="shared" ref="G21:G38" si="1">SUMIF($B$7:$B$537,F21,$G$7:$G$537)</f>
        <v>0</v>
      </c>
      <c r="H21" s="406"/>
      <c r="I21" s="406"/>
      <c r="J21" s="405">
        <f t="shared" ref="J21:J38" si="2">SUMIF($B$7:$B$537,F21,$J$7:$J$537)</f>
        <v>0</v>
      </c>
    </row>
    <row r="22" spans="5:10" ht="20" customHeight="1">
      <c r="E22" s="403" t="s">
        <v>539</v>
      </c>
      <c r="F22" s="404" t="str">
        <f>Cuentas!B7</f>
        <v>AR2XXXX3387-0003</v>
      </c>
      <c r="G22" s="405">
        <f t="shared" si="1"/>
        <v>0</v>
      </c>
      <c r="H22" s="406"/>
      <c r="I22" s="406"/>
      <c r="J22" s="405">
        <f t="shared" si="2"/>
        <v>0</v>
      </c>
    </row>
    <row r="23" spans="5:10" ht="20" customHeight="1">
      <c r="E23" s="403" t="s">
        <v>539</v>
      </c>
      <c r="F23" s="404" t="str">
        <f>Cuentas!B8</f>
        <v>029-2XXX1-9</v>
      </c>
      <c r="G23" s="405">
        <f t="shared" si="1"/>
        <v>0</v>
      </c>
      <c r="H23" s="406"/>
      <c r="I23" s="406"/>
      <c r="J23" s="405">
        <f t="shared" si="2"/>
        <v>0</v>
      </c>
    </row>
    <row r="24" spans="5:10" ht="20" customHeight="1">
      <c r="E24" s="403" t="s">
        <v>539</v>
      </c>
      <c r="F24" s="404" t="str">
        <f>Cuentas!B9</f>
        <v>029-2XXX2-7</v>
      </c>
      <c r="G24" s="405">
        <f t="shared" si="1"/>
        <v>0</v>
      </c>
      <c r="H24" s="406"/>
      <c r="I24" s="406"/>
      <c r="J24" s="405">
        <f t="shared" si="2"/>
        <v>0</v>
      </c>
    </row>
    <row r="25" spans="5:10" ht="20" customHeight="1">
      <c r="E25" s="403" t="s">
        <v>539</v>
      </c>
      <c r="F25" s="404" t="str">
        <f>Cuentas!B10</f>
        <v>029-2XXX3-5</v>
      </c>
      <c r="G25" s="405">
        <f t="shared" si="1"/>
        <v>0</v>
      </c>
      <c r="H25" s="406"/>
      <c r="I25" s="406"/>
      <c r="J25" s="405">
        <f t="shared" si="2"/>
        <v>0</v>
      </c>
    </row>
    <row r="26" spans="5:10" ht="20" customHeight="1">
      <c r="E26" s="403" t="s">
        <v>539</v>
      </c>
      <c r="F26" s="404" t="str">
        <f>Cuentas!B11</f>
        <v>F</v>
      </c>
      <c r="G26" s="405">
        <f t="shared" si="1"/>
        <v>0</v>
      </c>
      <c r="H26" s="406"/>
      <c r="I26" s="406"/>
      <c r="J26" s="405">
        <f t="shared" si="2"/>
        <v>0</v>
      </c>
    </row>
    <row r="27" spans="5:10" ht="20" customHeight="1">
      <c r="E27" s="403" t="s">
        <v>539</v>
      </c>
      <c r="F27" s="404" t="str">
        <f>Cuentas!B12</f>
        <v>G</v>
      </c>
      <c r="G27" s="405">
        <f t="shared" si="1"/>
        <v>0</v>
      </c>
      <c r="H27" s="406"/>
      <c r="I27" s="406"/>
      <c r="J27" s="405">
        <f t="shared" si="2"/>
        <v>0</v>
      </c>
    </row>
    <row r="28" spans="5:10" ht="20" customHeight="1">
      <c r="E28" s="403" t="s">
        <v>539</v>
      </c>
      <c r="F28" s="404" t="str">
        <f>Cuentas!B13</f>
        <v>H</v>
      </c>
      <c r="G28" s="405">
        <f t="shared" si="1"/>
        <v>0</v>
      </c>
      <c r="H28" s="406"/>
      <c r="I28" s="406"/>
      <c r="J28" s="405">
        <f t="shared" si="2"/>
        <v>0</v>
      </c>
    </row>
    <row r="29" spans="5:10" ht="20" customHeight="1">
      <c r="E29" s="403" t="s">
        <v>539</v>
      </c>
      <c r="F29" s="404" t="str">
        <f>Cuentas!B14</f>
        <v>I</v>
      </c>
      <c r="G29" s="405">
        <f t="shared" si="1"/>
        <v>0</v>
      </c>
      <c r="H29" s="406"/>
      <c r="I29" s="406"/>
      <c r="J29" s="405">
        <f t="shared" si="2"/>
        <v>0</v>
      </c>
    </row>
    <row r="30" spans="5:10" ht="20" customHeight="1">
      <c r="E30" s="403" t="s">
        <v>539</v>
      </c>
      <c r="F30" s="404" t="str">
        <f>Cuentas!B15</f>
        <v>J</v>
      </c>
      <c r="G30" s="405">
        <f t="shared" si="1"/>
        <v>0</v>
      </c>
      <c r="H30" s="406"/>
      <c r="I30" s="406"/>
      <c r="J30" s="405">
        <f t="shared" si="2"/>
        <v>0</v>
      </c>
    </row>
    <row r="31" spans="5:10" ht="20" customHeight="1">
      <c r="E31" s="403" t="s">
        <v>539</v>
      </c>
      <c r="F31" s="404" t="str">
        <f>Cuentas!B16</f>
        <v>K</v>
      </c>
      <c r="G31" s="405">
        <f t="shared" si="1"/>
        <v>0</v>
      </c>
      <c r="H31" s="406"/>
      <c r="I31" s="406"/>
      <c r="J31" s="405">
        <f t="shared" si="2"/>
        <v>0</v>
      </c>
    </row>
    <row r="32" spans="5:10" ht="20" customHeight="1">
      <c r="E32" s="403" t="s">
        <v>539</v>
      </c>
      <c r="F32" s="404" t="str">
        <f>Cuentas!B17</f>
        <v>L</v>
      </c>
      <c r="G32" s="405">
        <f t="shared" si="1"/>
        <v>0</v>
      </c>
      <c r="H32" s="406"/>
      <c r="I32" s="406"/>
      <c r="J32" s="405">
        <f t="shared" si="2"/>
        <v>0</v>
      </c>
    </row>
    <row r="33" spans="2:10" ht="20" customHeight="1">
      <c r="E33" s="403" t="s">
        <v>539</v>
      </c>
      <c r="F33" s="404" t="str">
        <f>Cuentas!B18</f>
        <v>M</v>
      </c>
      <c r="G33" s="405">
        <f t="shared" si="1"/>
        <v>0</v>
      </c>
      <c r="H33" s="406"/>
      <c r="I33" s="406"/>
      <c r="J33" s="405">
        <f t="shared" si="2"/>
        <v>0</v>
      </c>
    </row>
    <row r="34" spans="2:10" ht="20" customHeight="1">
      <c r="E34" s="403" t="s">
        <v>539</v>
      </c>
      <c r="F34" s="404" t="str">
        <f>Cuentas!B19</f>
        <v>N</v>
      </c>
      <c r="G34" s="405">
        <f t="shared" si="1"/>
        <v>0</v>
      </c>
      <c r="H34" s="406"/>
      <c r="I34" s="406"/>
      <c r="J34" s="405">
        <f t="shared" si="2"/>
        <v>0</v>
      </c>
    </row>
    <row r="35" spans="2:10" ht="20" customHeight="1">
      <c r="E35" s="403" t="s">
        <v>539</v>
      </c>
      <c r="F35" s="404" t="str">
        <f>Cuentas!B20</f>
        <v>O</v>
      </c>
      <c r="G35" s="405">
        <f t="shared" si="1"/>
        <v>0</v>
      </c>
      <c r="H35" s="406"/>
      <c r="I35" s="406"/>
      <c r="J35" s="405">
        <f t="shared" si="2"/>
        <v>0</v>
      </c>
    </row>
    <row r="36" spans="2:10" ht="20" customHeight="1">
      <c r="E36" s="403" t="s">
        <v>539</v>
      </c>
      <c r="F36" s="404" t="str">
        <f>Cuentas!B21</f>
        <v>P</v>
      </c>
      <c r="G36" s="405">
        <f t="shared" si="1"/>
        <v>0</v>
      </c>
      <c r="H36" s="406"/>
      <c r="I36" s="406"/>
      <c r="J36" s="405">
        <f t="shared" si="2"/>
        <v>0</v>
      </c>
    </row>
    <row r="37" spans="2:10" ht="20" customHeight="1">
      <c r="E37" s="403" t="s">
        <v>539</v>
      </c>
      <c r="F37" s="404" t="str">
        <f>Cuentas!B22</f>
        <v>Q</v>
      </c>
      <c r="G37" s="405">
        <f t="shared" si="1"/>
        <v>0</v>
      </c>
      <c r="H37" s="406"/>
      <c r="I37" s="406"/>
      <c r="J37" s="405">
        <f t="shared" si="2"/>
        <v>0</v>
      </c>
    </row>
    <row r="38" spans="2:10" ht="20" customHeight="1">
      <c r="E38" s="403" t="s">
        <v>539</v>
      </c>
      <c r="F38" s="404" t="str">
        <f>Cuentas!B23</f>
        <v>R</v>
      </c>
      <c r="G38" s="405">
        <f t="shared" si="1"/>
        <v>0</v>
      </c>
      <c r="H38" s="406"/>
      <c r="I38" s="406"/>
      <c r="J38" s="405">
        <f t="shared" si="2"/>
        <v>0</v>
      </c>
    </row>
    <row r="40" spans="2:10" ht="20" customHeight="1">
      <c r="F40" s="407" t="s">
        <v>61</v>
      </c>
      <c r="G40" s="183">
        <f>SUM(G21:G39)</f>
        <v>0</v>
      </c>
      <c r="H40" s="408"/>
      <c r="I40" s="408"/>
      <c r="J40" s="183">
        <f>SUM(J21:J39)</f>
        <v>0</v>
      </c>
    </row>
    <row r="43" spans="2:10" ht="20" customHeight="1">
      <c r="B43" s="409" t="s">
        <v>431</v>
      </c>
      <c r="C43" s="409"/>
    </row>
    <row r="44" spans="2:10" ht="20" customHeight="1">
      <c r="B44" s="395"/>
      <c r="C44" s="395"/>
      <c r="D44" s="395"/>
      <c r="E44" s="395"/>
      <c r="F44" s="395"/>
      <c r="G44" s="395"/>
      <c r="H44" s="395"/>
      <c r="I44" s="395"/>
      <c r="J44" s="395"/>
    </row>
    <row r="45" spans="2:10" ht="20" customHeight="1">
      <c r="B45" s="395"/>
      <c r="C45" s="395"/>
      <c r="D45" s="395"/>
      <c r="E45" s="395"/>
      <c r="F45" s="395"/>
      <c r="G45" s="395"/>
      <c r="H45" s="395"/>
      <c r="I45" s="395"/>
      <c r="J45" s="395"/>
    </row>
    <row r="46" spans="2:10" ht="20" customHeight="1">
      <c r="B46" s="395"/>
      <c r="C46" s="395"/>
      <c r="D46" s="395"/>
      <c r="E46" s="395"/>
      <c r="F46" s="395"/>
      <c r="G46" s="395"/>
      <c r="H46" s="395"/>
      <c r="I46" s="395"/>
      <c r="J46" s="395"/>
    </row>
    <row r="47" spans="2:10" ht="20" customHeight="1">
      <c r="B47" s="395"/>
      <c r="C47" s="395"/>
      <c r="D47" s="395"/>
      <c r="E47" s="395"/>
      <c r="F47" s="395"/>
      <c r="G47" s="395"/>
      <c r="H47" s="395"/>
      <c r="I47" s="395"/>
      <c r="J47" s="395"/>
    </row>
    <row r="48" spans="2:10" ht="20" customHeight="1">
      <c r="B48" s="395"/>
      <c r="C48" s="395"/>
      <c r="D48" s="395"/>
      <c r="E48" s="395"/>
      <c r="F48" s="395"/>
      <c r="G48" s="395"/>
      <c r="H48" s="395"/>
      <c r="I48" s="395"/>
      <c r="J48" s="395"/>
    </row>
    <row r="49" spans="2:10" ht="20" customHeight="1">
      <c r="B49" s="395"/>
      <c r="C49" s="395"/>
      <c r="D49" s="395"/>
      <c r="E49" s="395"/>
      <c r="F49" s="395"/>
      <c r="G49" s="395"/>
      <c r="H49" s="395"/>
      <c r="I49" s="395"/>
      <c r="J49" s="395"/>
    </row>
    <row r="50" spans="2:10" ht="20" customHeight="1">
      <c r="B50" s="395"/>
      <c r="C50" s="395"/>
      <c r="D50" s="395"/>
      <c r="E50" s="395"/>
      <c r="F50" s="395"/>
      <c r="G50" s="395"/>
      <c r="H50" s="395"/>
      <c r="I50" s="395"/>
      <c r="J50" s="395"/>
    </row>
    <row r="51" spans="2:10" ht="20" customHeight="1">
      <c r="B51" s="395"/>
      <c r="C51" s="395"/>
      <c r="D51" s="395"/>
      <c r="E51" s="395"/>
      <c r="F51" s="395"/>
      <c r="G51" s="395"/>
      <c r="H51" s="395"/>
      <c r="I51" s="395"/>
      <c r="J51" s="395"/>
    </row>
    <row r="52" spans="2:10" ht="20" customHeight="1">
      <c r="B52" s="395"/>
      <c r="C52" s="395"/>
      <c r="D52" s="395"/>
      <c r="E52" s="395"/>
      <c r="F52" s="395"/>
      <c r="G52" s="395"/>
      <c r="H52" s="395"/>
      <c r="I52" s="395"/>
      <c r="J52" s="395"/>
    </row>
    <row r="53" spans="2:10" ht="20" customHeight="1">
      <c r="B53" s="395"/>
      <c r="C53" s="395"/>
      <c r="D53" s="395"/>
      <c r="E53" s="395"/>
      <c r="F53" s="395"/>
      <c r="G53" s="395"/>
      <c r="H53" s="395"/>
      <c r="I53" s="395"/>
      <c r="J53" s="395"/>
    </row>
    <row r="54" spans="2:10" ht="20" customHeight="1">
      <c r="B54" s="395"/>
      <c r="C54" s="395"/>
      <c r="D54" s="395"/>
      <c r="E54" s="395"/>
      <c r="F54" s="395"/>
      <c r="G54" s="395"/>
      <c r="H54" s="395"/>
      <c r="I54" s="395"/>
      <c r="J54" s="395"/>
    </row>
    <row r="55" spans="2:10" ht="20" customHeight="1">
      <c r="B55" s="395"/>
      <c r="C55" s="395"/>
      <c r="D55" s="395"/>
      <c r="E55" s="395"/>
      <c r="F55" s="395"/>
      <c r="G55" s="395"/>
      <c r="H55" s="395"/>
      <c r="I55" s="395"/>
      <c r="J55" s="395"/>
    </row>
    <row r="56" spans="2:10" ht="20" customHeight="1">
      <c r="B56" s="395"/>
      <c r="C56" s="395"/>
      <c r="D56" s="395"/>
      <c r="E56" s="395"/>
      <c r="F56" s="395"/>
      <c r="G56" s="395"/>
      <c r="H56" s="395"/>
      <c r="I56" s="395"/>
      <c r="J56" s="395"/>
    </row>
    <row r="57" spans="2:10" ht="20" customHeight="1">
      <c r="B57" s="395"/>
      <c r="C57" s="395"/>
      <c r="D57" s="395"/>
      <c r="E57" s="395"/>
      <c r="F57" s="395"/>
      <c r="G57" s="395"/>
      <c r="H57" s="395"/>
      <c r="I57" s="395"/>
      <c r="J57" s="395"/>
    </row>
    <row r="58" spans="2:10" ht="20" customHeight="1">
      <c r="B58" s="395"/>
      <c r="C58" s="395"/>
      <c r="D58" s="395"/>
      <c r="E58" s="395"/>
      <c r="F58" s="395"/>
      <c r="G58" s="395"/>
      <c r="H58" s="395"/>
      <c r="I58" s="395"/>
      <c r="J58" s="395"/>
    </row>
    <row r="59" spans="2:10" ht="20" customHeight="1">
      <c r="B59" s="395"/>
      <c r="C59" s="395"/>
      <c r="D59" s="395"/>
      <c r="E59" s="395"/>
      <c r="F59" s="395"/>
      <c r="G59" s="395"/>
      <c r="H59" s="395"/>
      <c r="I59" s="395"/>
      <c r="J59" s="395"/>
    </row>
    <row r="60" spans="2:10" ht="20" customHeight="1">
      <c r="B60" s="395"/>
      <c r="C60" s="395"/>
      <c r="D60" s="395"/>
      <c r="E60" s="395"/>
      <c r="F60" s="395"/>
      <c r="G60" s="395"/>
      <c r="H60" s="395"/>
      <c r="I60" s="395"/>
      <c r="J60" s="395"/>
    </row>
    <row r="61" spans="2:10" ht="20" customHeight="1">
      <c r="B61" s="395"/>
      <c r="C61" s="395"/>
      <c r="D61" s="395"/>
      <c r="E61" s="395"/>
      <c r="F61" s="395"/>
      <c r="G61" s="395"/>
      <c r="H61" s="395"/>
      <c r="I61" s="395"/>
      <c r="J61" s="395"/>
    </row>
    <row r="62" spans="2:10" ht="20" customHeight="1">
      <c r="B62" s="395"/>
      <c r="C62" s="395"/>
      <c r="D62" s="395"/>
      <c r="E62" s="395"/>
      <c r="F62" s="395"/>
      <c r="G62" s="395"/>
      <c r="H62" s="395"/>
      <c r="I62" s="395"/>
      <c r="J62" s="395"/>
    </row>
    <row r="63" spans="2:10" ht="20" customHeight="1">
      <c r="B63" s="395"/>
      <c r="C63" s="395"/>
      <c r="D63" s="395"/>
      <c r="E63" s="395"/>
      <c r="F63" s="395"/>
      <c r="G63" s="395"/>
      <c r="H63" s="395"/>
      <c r="I63" s="395"/>
      <c r="J63" s="395"/>
    </row>
  </sheetData>
  <sheetProtection algorithmName="SHA-512" hashValue="O39X7utxuDWyvdT49GKJd8cDugdbIbZMBqoG08hAPzspUy8ijUFYMA5VSuXRI/n7RkhFswMnHPpi7aKdybOkCg==" saltValue="KEssloWZgSOBOlq+UImp5g==" spinCount="100000" sheet="1" formatCells="0" formatColumns="0" formatRows="0" insertColumns="0" insertRows="0" deleteColumns="0" deleteRows="0" sort="0" autoFilter="0"/>
  <autoFilter ref="B6:J16" xr:uid="{B1190D58-1A93-8E40-B2AE-426F3F44CA09}"/>
  <mergeCells count="2">
    <mergeCell ref="B2:J2"/>
    <mergeCell ref="B3:J3"/>
  </mergeCells>
  <printOptions horizontalCentered="1"/>
  <pageMargins left="0.7" right="0.7" top="0.75" bottom="0.75" header="0.3" footer="0.3"/>
  <pageSetup scale="50"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B59889EF-934A-F849-89E5-78649A082DC0}">
          <x14:formula1>
            <xm:f>Equivalencia!$A$5:$A$23</xm:f>
          </x14:formula1>
          <xm:sqref>F8:F14</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AU560"/>
  <sheetViews>
    <sheetView tabSelected="1" zoomScale="110" zoomScaleNormal="110" workbookViewId="0">
      <pane ySplit="1" topLeftCell="A2" activePane="bottomLeft" state="frozen"/>
      <selection activeCell="C1" sqref="C1"/>
      <selection pane="bottomLeft" activeCell="B108" sqref="B108"/>
    </sheetView>
  </sheetViews>
  <sheetFormatPr baseColWidth="10" defaultColWidth="11.5" defaultRowHeight="16"/>
  <cols>
    <col min="1" max="1" width="11.5" style="191"/>
    <col min="2" max="2" width="22.83203125" style="320" customWidth="1"/>
    <col min="3" max="3" width="22.83203125" style="191" customWidth="1"/>
    <col min="4" max="4" width="42.6640625" style="320" bestFit="1" customWidth="1"/>
    <col min="5" max="6" width="22.83203125" style="320" customWidth="1"/>
    <col min="7" max="7" width="22.83203125" style="297" customWidth="1"/>
    <col min="8" max="8" width="22.6640625" style="320" customWidth="1"/>
    <col min="9" max="9" width="45.33203125" style="320" hidden="1" customWidth="1"/>
    <col min="10" max="10" width="17.83203125" style="320" hidden="1" customWidth="1"/>
    <col min="11" max="11" width="16.83203125" style="191" hidden="1" customWidth="1"/>
    <col min="12" max="20" width="15.83203125" style="191" hidden="1" customWidth="1"/>
    <col min="21" max="21" width="1.83203125" style="191" bestFit="1" customWidth="1"/>
    <col min="22" max="22" width="22.6640625" style="321" customWidth="1"/>
    <col min="23" max="26" width="22.6640625" style="320" customWidth="1"/>
    <col min="27" max="32" width="16.33203125" style="191" customWidth="1"/>
    <col min="33" max="33" width="16.33203125" style="191" hidden="1" customWidth="1"/>
    <col min="34" max="34" width="11.6640625" style="191" hidden="1" customWidth="1"/>
    <col min="35" max="36" width="22.6640625" style="191" hidden="1" customWidth="1"/>
    <col min="37" max="37" width="2.33203125" style="191" bestFit="1" customWidth="1"/>
    <col min="38" max="38" width="22.83203125" style="191" customWidth="1"/>
    <col min="39" max="39" width="5.5" style="311" customWidth="1"/>
    <col min="40" max="41" width="22.6640625" style="191" customWidth="1"/>
    <col min="42" max="42" width="22.6640625" style="319" customWidth="1"/>
    <col min="43" max="45" width="11.5" style="191"/>
    <col min="46" max="46" width="30" style="319" customWidth="1"/>
    <col min="47" max="47" width="20.1640625" style="319" customWidth="1"/>
    <col min="48" max="16384" width="11.5" style="191"/>
  </cols>
  <sheetData>
    <row r="1" spans="2:47" ht="51">
      <c r="B1" s="286" t="s">
        <v>96</v>
      </c>
      <c r="C1" s="287" t="s">
        <v>275</v>
      </c>
      <c r="D1" s="286" t="s">
        <v>226</v>
      </c>
      <c r="E1" s="286" t="s">
        <v>284</v>
      </c>
      <c r="F1" s="286" t="s">
        <v>280</v>
      </c>
      <c r="G1" s="286" t="s">
        <v>227</v>
      </c>
      <c r="H1" s="288" t="s">
        <v>281</v>
      </c>
      <c r="I1" s="286" t="s">
        <v>285</v>
      </c>
      <c r="J1" s="288" t="s">
        <v>282</v>
      </c>
      <c r="K1" s="289" t="s">
        <v>320</v>
      </c>
      <c r="L1" s="287" t="s">
        <v>56</v>
      </c>
      <c r="M1" s="287" t="s">
        <v>321</v>
      </c>
      <c r="N1" s="287" t="s">
        <v>322</v>
      </c>
      <c r="O1" s="287" t="s">
        <v>323</v>
      </c>
      <c r="P1" s="287" t="s">
        <v>324</v>
      </c>
      <c r="Q1" s="287" t="s">
        <v>325</v>
      </c>
      <c r="R1" s="287" t="s">
        <v>97</v>
      </c>
      <c r="S1" s="290" t="s">
        <v>326</v>
      </c>
      <c r="T1" s="287" t="s">
        <v>327</v>
      </c>
      <c r="U1" s="291" t="s">
        <v>98</v>
      </c>
      <c r="V1" s="292" t="s">
        <v>167</v>
      </c>
      <c r="W1" s="286" t="s">
        <v>328</v>
      </c>
      <c r="X1" s="286" t="s">
        <v>228</v>
      </c>
      <c r="Y1" s="286" t="s">
        <v>286</v>
      </c>
      <c r="Z1" s="286" t="s">
        <v>329</v>
      </c>
      <c r="AA1" s="287" t="s">
        <v>56</v>
      </c>
      <c r="AB1" s="287" t="s">
        <v>330</v>
      </c>
      <c r="AC1" s="287" t="s">
        <v>331</v>
      </c>
      <c r="AD1" s="287" t="s">
        <v>225</v>
      </c>
      <c r="AE1" s="290" t="s">
        <v>326</v>
      </c>
      <c r="AF1" s="290" t="s">
        <v>287</v>
      </c>
      <c r="AG1" s="287" t="s">
        <v>232</v>
      </c>
      <c r="AH1" s="287" t="s">
        <v>288</v>
      </c>
      <c r="AI1" s="290" t="s">
        <v>289</v>
      </c>
      <c r="AJ1" s="290" t="s">
        <v>290</v>
      </c>
      <c r="AK1" s="291" t="s">
        <v>103</v>
      </c>
      <c r="AL1" s="290" t="s">
        <v>104</v>
      </c>
      <c r="AM1" s="293" t="s">
        <v>626</v>
      </c>
      <c r="AN1" s="287" t="s">
        <v>627</v>
      </c>
      <c r="AO1" s="287" t="s">
        <v>4</v>
      </c>
      <c r="AP1" s="286" t="s">
        <v>5</v>
      </c>
      <c r="AQ1" s="294"/>
      <c r="AR1" s="294"/>
      <c r="AS1" s="294"/>
      <c r="AT1" s="295" t="s">
        <v>199</v>
      </c>
      <c r="AU1" s="295" t="s">
        <v>200</v>
      </c>
    </row>
    <row r="2" spans="2:47" ht="17" thickBot="1">
      <c r="B2" s="296"/>
      <c r="C2" s="299"/>
      <c r="D2" s="298"/>
      <c r="E2" s="299"/>
      <c r="F2" s="299"/>
      <c r="G2" s="300"/>
      <c r="H2" s="375"/>
      <c r="I2" s="301">
        <f t="shared" ref="I2:I65" si="0">IF(D2=0,0,IF(OR(E2=$AT$9,E2=$AT$10),"Ingresos Sección II LISR (SIC &amp; BMV)","Ingresos Sección I LISR"))</f>
        <v>0</v>
      </c>
      <c r="J2" s="302">
        <f t="shared" ref="J2" si="1">+V2</f>
        <v>0</v>
      </c>
      <c r="K2" s="304">
        <f t="shared" ref="K2:K65" si="2">IF(H2=0,0,H2/J2)</f>
        <v>0</v>
      </c>
      <c r="L2" s="305">
        <f>IF(H2=0,0,IF(OR(E2=$AT$5,E2=$AT$6),AA2,IF(F2="MXN",1/HLOOKUP(YEAR(G2)+(MONTH(G2)/100),TC!$5:$37,DAY(G2)+2,FALSE),VLOOKUP(F2,Equivalencia!$5:$23,((MAX(Equivalencia!$3:$3)-YEAR(G2))*14)+MONTH(G2)+2,FALSE))))</f>
        <v>0</v>
      </c>
      <c r="M2" s="306">
        <f t="shared" ref="M2:M65" si="3">+H2*L2</f>
        <v>0</v>
      </c>
      <c r="N2" s="305">
        <f>IF(G2=0,0,(IF(OR(E2=$AT$5,E2=$AT$6),AC2,HLOOKUP(YEAR(G2)+(MONTH(G2)/100),TC!$5:$37,DAY(G2)+2,FALSE))))</f>
        <v>0</v>
      </c>
      <c r="O2" s="307">
        <f>+M2*N2</f>
        <v>0</v>
      </c>
      <c r="P2" s="552">
        <f>IF(G2=0,0,VLOOKUP(YEAR(G2),INPC!$B$4:$P$30,MONTH(G2)+2))</f>
        <v>0</v>
      </c>
      <c r="Q2" s="552">
        <f>IF(X2=0,0,IF(OR(E2=$AT$10,E2=$AT$9),VLOOKUP(YEAR(X2),INPC!$B$4:$P$30,MONTH(X2)+1),VLOOKUP(YEAR(X2),INPC!$B$4:$P$30,MONTH(X2)+2,0)))</f>
        <v>0</v>
      </c>
      <c r="R2" s="309">
        <f t="shared" ref="R2:R65" si="4">IF(H2=0,0,IF(OR(E2=$AT$5,E2=$AT$6),1,IF(TRUNC(Q2/P2,4)&gt;=1,TRUNC(Q2/P2,4),1)))</f>
        <v>0</v>
      </c>
      <c r="S2" s="310">
        <f>+R2*O2</f>
        <v>0</v>
      </c>
      <c r="T2" s="547">
        <f>IF(V2=0,0,S2/V2)</f>
        <v>0</v>
      </c>
      <c r="U2" s="311"/>
      <c r="V2" s="312"/>
      <c r="W2" s="299"/>
      <c r="X2" s="300"/>
      <c r="Y2" s="299"/>
      <c r="Z2" s="313"/>
      <c r="AA2" s="305">
        <f>IF(Z2=0,0,IF(Y2="MXN",1/HLOOKUP(YEAR(X2)+(MONTH(X2)/100),TC!$5:$37,DAY(X2)+2,FALSE),VLOOKUP(Y2,Equivalencia!$1:$23,((MAX(Equivalencia!$3:$3)-YEAR(X2))*14)+MONTH(X2)+2,FALSE)))</f>
        <v>0</v>
      </c>
      <c r="AB2" s="306">
        <f>+AA2*Z2</f>
        <v>0</v>
      </c>
      <c r="AC2" s="305">
        <f>+IF(X2=0,0,HLOOKUP(YEAR(X2)+(MONTH(X2)/100),TC!$5:$37,DAY(X2)+2,FALSE))</f>
        <v>0</v>
      </c>
      <c r="AD2" s="307">
        <f>+AC2*AB2</f>
        <v>0</v>
      </c>
      <c r="AE2" s="314">
        <f t="shared" ref="AE2:AE65" si="5">+V2*T2</f>
        <v>0</v>
      </c>
      <c r="AF2" s="315">
        <f t="shared" ref="AF2:AF65" si="6">IF(E2=$AT$11,0,AD2-AE2)</f>
        <v>0</v>
      </c>
      <c r="AG2" s="316">
        <f t="shared" ref="AG2:AG65" si="7">+IF(AND(AF2&lt;0,OR(E2=$AT$5,E2=$AT$6)),1,((X2-G2)/365))</f>
        <v>0</v>
      </c>
      <c r="AH2" s="314">
        <v>1</v>
      </c>
      <c r="AI2" s="314">
        <f t="shared" ref="AI2:AI65" si="8">+IF(OR(E2=$AT$9,E2=$AT$10),AF2,+AF2/AH2)</f>
        <v>0</v>
      </c>
      <c r="AJ2" s="314">
        <f>+AF2-AI2</f>
        <v>0</v>
      </c>
      <c r="AK2" s="317"/>
      <c r="AL2" s="315">
        <f>+AB2-M2</f>
        <v>0</v>
      </c>
      <c r="AM2" s="293"/>
      <c r="AN2" s="546">
        <f t="shared" ref="AN2:AN65" si="9">IF(AL2=0,0,AL2/H2)</f>
        <v>0</v>
      </c>
      <c r="AO2" s="314"/>
      <c r="AP2" s="318"/>
      <c r="AQ2" s="294"/>
      <c r="AR2" s="294"/>
      <c r="AS2" s="294"/>
    </row>
    <row r="3" spans="2:47">
      <c r="B3" s="296" t="s">
        <v>953</v>
      </c>
      <c r="C3" s="299" t="s">
        <v>276</v>
      </c>
      <c r="D3" s="298" t="s">
        <v>722</v>
      </c>
      <c r="E3" s="299" t="s">
        <v>113</v>
      </c>
      <c r="F3" s="299" t="s">
        <v>59</v>
      </c>
      <c r="G3" s="300">
        <v>44218</v>
      </c>
      <c r="H3" s="645">
        <v>227758.02275159437</v>
      </c>
      <c r="I3" s="301" t="str">
        <f t="shared" si="0"/>
        <v>Ingresos Sección II LISR (SIC &amp; BMV)</v>
      </c>
      <c r="J3" s="302">
        <f t="shared" ref="J3:J66" si="10">+V3</f>
        <v>41209</v>
      </c>
      <c r="K3" s="304">
        <f t="shared" si="2"/>
        <v>5.5269000158119432</v>
      </c>
      <c r="L3" s="305">
        <f>IF(H3=0,0,IF(OR(E3=$AT$5,E3=$AT$6),AA3,IF(F3="MXN",1/HLOOKUP(YEAR(G3)+(MONTH(G3)/100),TC!$5:$37,DAY(G3)+2,FALSE),VLOOKUP(F3,Equivalencia!$5:$23,((MAX(Equivalencia!$3:$3)-YEAR(G3))*14)+MONTH(G3)+2,FALSE))))</f>
        <v>1</v>
      </c>
      <c r="M3" s="306">
        <f t="shared" si="3"/>
        <v>227758.02275159437</v>
      </c>
      <c r="N3" s="305">
        <f>IF(G3=0,0,(IF(OR(E3=$AT$5,E3=$AT$6),AC3,HLOOKUP(YEAR(G3)+(MONTH(G3)/100),TC!$5:$37,DAY(G3)+2,FALSE))))</f>
        <v>19.5793</v>
      </c>
      <c r="O3" s="307">
        <f t="shared" ref="O3:O66" si="11">+M3*N3</f>
        <v>4459342.6548602916</v>
      </c>
      <c r="P3" s="552">
        <f>IF(G3=0,0,VLOOKUP(YEAR(G3),INPC!$B$4:$P$30,MONTH(G3)+2))</f>
        <v>110.21</v>
      </c>
      <c r="Q3" s="552">
        <f>IF(X3=0,0,IF(OR(E3=$AT$10,E3=$AT$9),VLOOKUP(YEAR(X3),INPC!$B$4:$P$30,MONTH(X3)+1),VLOOKUP(YEAR(X3),INPC!$B$4:$P$30,MONTH(X3)+2,0)))</f>
        <v>118.002</v>
      </c>
      <c r="R3" s="309">
        <f t="shared" si="4"/>
        <v>1.0707</v>
      </c>
      <c r="S3" s="310">
        <f t="shared" ref="S3:S66" si="12">+R3*O3</f>
        <v>4774618.1805589143</v>
      </c>
      <c r="T3" s="547">
        <f t="shared" ref="T3:T66" si="13">IF(V3=0,0,S3/V3)</f>
        <v>115.86348080659357</v>
      </c>
      <c r="U3" s="311"/>
      <c r="V3" s="312">
        <v>41209</v>
      </c>
      <c r="W3" s="299" t="s">
        <v>194</v>
      </c>
      <c r="X3" s="300">
        <v>44603</v>
      </c>
      <c r="Y3" s="299" t="s">
        <v>59</v>
      </c>
      <c r="Z3" s="648">
        <v>226711.31336324479</v>
      </c>
      <c r="AA3" s="305">
        <f>IF(Z3=0,0,IF(Y3="MXN",1/HLOOKUP(YEAR(X3)+(MONTH(X3)/100),TC!$5:$37,DAY(X3)+2,FALSE),VLOOKUP(Y3,Equivalencia!$1:$23,((MAX(Equivalencia!$3:$3)-YEAR(X3))*14)+MONTH(X3)+2,FALSE)))</f>
        <v>1</v>
      </c>
      <c r="AB3" s="306">
        <f t="shared" ref="AB3:AB66" si="14">+AA3*Z3</f>
        <v>226711.31336324479</v>
      </c>
      <c r="AC3" s="305">
        <f>+IF(X3=0,0,HLOOKUP(YEAR(X3)+(MONTH(X3)/100),TC!$5:$37,DAY(X3)+2,FALSE))</f>
        <v>20.500800000000002</v>
      </c>
      <c r="AD3" s="307">
        <f t="shared" ref="AD3:AD66" si="15">+AC3*AB3</f>
        <v>4647763.2929972094</v>
      </c>
      <c r="AE3" s="314">
        <f t="shared" si="5"/>
        <v>4774618.1805589143</v>
      </c>
      <c r="AF3" s="315">
        <f t="shared" si="6"/>
        <v>-126854.88756170496</v>
      </c>
      <c r="AG3" s="316">
        <f t="shared" si="7"/>
        <v>1.0547945205479452</v>
      </c>
      <c r="AH3" s="314">
        <v>1</v>
      </c>
      <c r="AI3" s="314">
        <f t="shared" si="8"/>
        <v>-126854.88756170496</v>
      </c>
      <c r="AJ3" s="314">
        <f t="shared" ref="AJ3:AJ66" si="16">+AF3-AI3</f>
        <v>0</v>
      </c>
      <c r="AK3" s="317"/>
      <c r="AL3" s="315">
        <f t="shared" ref="AL3:AL65" si="17">+AB3-M3</f>
        <v>-1046.7093883495836</v>
      </c>
      <c r="AM3" s="293"/>
      <c r="AN3" s="546">
        <f t="shared" si="9"/>
        <v>-4.5957080927558954E-3</v>
      </c>
      <c r="AO3" s="314"/>
      <c r="AP3" s="318"/>
      <c r="AQ3" s="294"/>
      <c r="AR3" s="294"/>
      <c r="AS3" s="294"/>
      <c r="AT3" s="297" t="s">
        <v>105</v>
      </c>
      <c r="AU3" s="297" t="s">
        <v>194</v>
      </c>
    </row>
    <row r="4" spans="2:47">
      <c r="B4" s="296" t="s">
        <v>953</v>
      </c>
      <c r="C4" s="299" t="s">
        <v>276</v>
      </c>
      <c r="D4" s="298" t="s">
        <v>722</v>
      </c>
      <c r="E4" s="299" t="s">
        <v>113</v>
      </c>
      <c r="F4" s="299" t="s">
        <v>59</v>
      </c>
      <c r="G4" s="300">
        <v>44293</v>
      </c>
      <c r="H4" s="646">
        <v>578372.30000000005</v>
      </c>
      <c r="I4" s="301" t="str">
        <f t="shared" si="0"/>
        <v>Ingresos Sección II LISR (SIC &amp; BMV)</v>
      </c>
      <c r="J4" s="302">
        <f t="shared" ref="J4" si="18">+V4</f>
        <v>103386</v>
      </c>
      <c r="K4" s="304">
        <f t="shared" si="2"/>
        <v>5.5943000019344984</v>
      </c>
      <c r="L4" s="305">
        <f>IF(H4=0,0,IF(OR(E4=$AT$5,E4=$AT$6),AA4,IF(F4="MXN",1/HLOOKUP(YEAR(G4)+(MONTH(G4)/100),TC!$5:$37,DAY(G4)+2,FALSE),VLOOKUP(F4,Equivalencia!$5:$23,((MAX(Equivalencia!$3:$3)-YEAR(G4))*14)+MONTH(G4)+2,FALSE))))</f>
        <v>1</v>
      </c>
      <c r="M4" s="306">
        <f t="shared" si="3"/>
        <v>578372.30000000005</v>
      </c>
      <c r="N4" s="305">
        <f>IF(G4=0,0,(IF(OR(E4=$AT$5,E4=$AT$6),AC4,HLOOKUP(YEAR(G4)+(MONTH(G4)/100),TC!$5:$37,DAY(G4)+2,FALSE))))</f>
        <v>20.2483</v>
      </c>
      <c r="O4" s="307">
        <f t="shared" si="11"/>
        <v>11711055.842090001</v>
      </c>
      <c r="P4" s="552">
        <f>IF(G4=0,0,VLOOKUP(YEAR(G4),INPC!$B$4:$P$30,MONTH(G4)+2))</f>
        <v>112.19</v>
      </c>
      <c r="Q4" s="552">
        <f>IF(X4=0,0,IF(OR(E4=$AT$10,E4=$AT$9),VLOOKUP(YEAR(X4),INPC!$B$4:$P$30,MONTH(X4)+1),VLOOKUP(YEAR(X4),INPC!$B$4:$P$30,MONTH(X4)+2,0)))</f>
        <v>118.002</v>
      </c>
      <c r="R4" s="309">
        <f t="shared" si="4"/>
        <v>1.0518000000000001</v>
      </c>
      <c r="S4" s="310">
        <f t="shared" si="12"/>
        <v>12317688.534710264</v>
      </c>
      <c r="T4" s="547">
        <f t="shared" si="13"/>
        <v>119.14271308214133</v>
      </c>
      <c r="U4" s="311"/>
      <c r="V4" s="312">
        <v>103386</v>
      </c>
      <c r="W4" s="299" t="s">
        <v>194</v>
      </c>
      <c r="X4" s="300">
        <v>44603</v>
      </c>
      <c r="Y4" s="299" t="s">
        <v>59</v>
      </c>
      <c r="Z4" s="649">
        <v>568778.07865690568</v>
      </c>
      <c r="AA4" s="305">
        <f>IF(Z4=0,0,IF(Y4="MXN",1/HLOOKUP(YEAR(X4)+(MONTH(X4)/100),TC!$5:$37,DAY(X4)+2,FALSE),VLOOKUP(Y4,Equivalencia!$1:$23,((MAX(Equivalencia!$3:$3)-YEAR(X4))*14)+MONTH(X4)+2,FALSE)))</f>
        <v>1</v>
      </c>
      <c r="AB4" s="306">
        <f t="shared" si="14"/>
        <v>568778.07865690568</v>
      </c>
      <c r="AC4" s="305">
        <f>+IF(X4=0,0,HLOOKUP(YEAR(X4)+(MONTH(X4)/100),TC!$5:$37,DAY(X4)+2,FALSE))</f>
        <v>20.500800000000002</v>
      </c>
      <c r="AD4" s="307">
        <f t="shared" si="15"/>
        <v>11660405.634929493</v>
      </c>
      <c r="AE4" s="314">
        <f t="shared" si="5"/>
        <v>12317688.534710264</v>
      </c>
      <c r="AF4" s="315">
        <f t="shared" si="6"/>
        <v>-657282.89978077076</v>
      </c>
      <c r="AG4" s="316">
        <f t="shared" si="7"/>
        <v>0.84931506849315064</v>
      </c>
      <c r="AH4" s="314">
        <v>1</v>
      </c>
      <c r="AI4" s="314">
        <f t="shared" si="8"/>
        <v>-657282.89978077076</v>
      </c>
      <c r="AJ4" s="314">
        <f t="shared" si="16"/>
        <v>0</v>
      </c>
      <c r="AK4" s="317"/>
      <c r="AL4" s="315">
        <f t="shared" si="17"/>
        <v>-9594.2213430943666</v>
      </c>
      <c r="AM4" s="293"/>
      <c r="AN4" s="546">
        <f t="shared" si="9"/>
        <v>-1.658831403767844E-2</v>
      </c>
      <c r="AO4" s="314"/>
      <c r="AP4" s="318"/>
      <c r="AQ4" s="294"/>
      <c r="AR4" s="294"/>
      <c r="AS4" s="294"/>
      <c r="AT4" s="297" t="s">
        <v>106</v>
      </c>
      <c r="AU4" s="297" t="s">
        <v>195</v>
      </c>
    </row>
    <row r="5" spans="2:47">
      <c r="B5" s="296" t="s">
        <v>953</v>
      </c>
      <c r="C5" s="299" t="s">
        <v>276</v>
      </c>
      <c r="D5" s="298" t="s">
        <v>722</v>
      </c>
      <c r="E5" s="299" t="s">
        <v>113</v>
      </c>
      <c r="F5" s="299" t="s">
        <v>59</v>
      </c>
      <c r="G5" s="300">
        <v>44370</v>
      </c>
      <c r="H5" s="646">
        <v>8658.2800000000007</v>
      </c>
      <c r="I5" s="301" t="str">
        <f t="shared" si="0"/>
        <v>Ingresos Sección II LISR (SIC &amp; BMV)</v>
      </c>
      <c r="J5" s="302">
        <f t="shared" si="10"/>
        <v>1536</v>
      </c>
      <c r="K5" s="304">
        <f t="shared" si="2"/>
        <v>5.6369010416666674</v>
      </c>
      <c r="L5" s="305">
        <f>IF(H5=0,0,IF(OR(E5=$AT$5,E5=$AT$6),AA5,IF(F5="MXN",1/HLOOKUP(YEAR(G5)+(MONTH(G5)/100),TC!$5:$37,DAY(G5)+2,FALSE),VLOOKUP(F5,Equivalencia!$5:$23,((MAX(Equivalencia!$3:$3)-YEAR(G5))*14)+MONTH(G5)+2,FALSE))))</f>
        <v>1</v>
      </c>
      <c r="M5" s="306">
        <f t="shared" si="3"/>
        <v>8658.2800000000007</v>
      </c>
      <c r="N5" s="305">
        <f>IF(G5=0,0,(IF(OR(E5=$AT$5,E5=$AT$6),AC5,HLOOKUP(YEAR(G5)+(MONTH(G5)/100),TC!$5:$37,DAY(G5)+2,FALSE))))</f>
        <v>20.6</v>
      </c>
      <c r="O5" s="307">
        <f t="shared" si="11"/>
        <v>178360.56800000003</v>
      </c>
      <c r="P5" s="552">
        <f>IF(G5=0,0,VLOOKUP(YEAR(G5),INPC!$B$4:$P$30,MONTH(G5)+2))</f>
        <v>113.018</v>
      </c>
      <c r="Q5" s="552">
        <f>IF(X5=0,0,IF(OR(E5=$AT$10,E5=$AT$9),VLOOKUP(YEAR(X5),INPC!$B$4:$P$30,MONTH(X5)+1),VLOOKUP(YEAR(X5),INPC!$B$4:$P$30,MONTH(X5)+2,0)))</f>
        <v>118.002</v>
      </c>
      <c r="R5" s="309">
        <f t="shared" si="4"/>
        <v>1.044</v>
      </c>
      <c r="S5" s="310">
        <f t="shared" si="12"/>
        <v>186208.43299200005</v>
      </c>
      <c r="T5" s="547">
        <f t="shared" si="13"/>
        <v>121.22944856250002</v>
      </c>
      <c r="U5" s="311"/>
      <c r="V5" s="312">
        <v>1536</v>
      </c>
      <c r="W5" s="299" t="s">
        <v>194</v>
      </c>
      <c r="X5" s="300">
        <v>44603</v>
      </c>
      <c r="Y5" s="299" t="s">
        <v>59</v>
      </c>
      <c r="Z5" s="649">
        <v>8450.3039949026661</v>
      </c>
      <c r="AA5" s="305">
        <f>IF(Z5=0,0,IF(Y5="MXN",1/HLOOKUP(YEAR(X5)+(MONTH(X5)/100),TC!$5:$37,DAY(X5)+2,FALSE),VLOOKUP(Y5,Equivalencia!$1:$23,((MAX(Equivalencia!$3:$3)-YEAR(X5))*14)+MONTH(X5)+2,FALSE)))</f>
        <v>1</v>
      </c>
      <c r="AB5" s="306">
        <f t="shared" si="14"/>
        <v>8450.3039949026661</v>
      </c>
      <c r="AC5" s="305">
        <f>+IF(X5=0,0,HLOOKUP(YEAR(X5)+(MONTH(X5)/100),TC!$5:$37,DAY(X5)+2,FALSE))</f>
        <v>20.500800000000002</v>
      </c>
      <c r="AD5" s="307">
        <f t="shared" si="15"/>
        <v>173237.99213870059</v>
      </c>
      <c r="AE5" s="314">
        <f t="shared" si="5"/>
        <v>186208.43299200005</v>
      </c>
      <c r="AF5" s="315">
        <f t="shared" si="6"/>
        <v>-12970.440853299457</v>
      </c>
      <c r="AG5" s="316">
        <f t="shared" si="7"/>
        <v>0.63835616438356169</v>
      </c>
      <c r="AH5" s="314">
        <v>1</v>
      </c>
      <c r="AI5" s="314">
        <f t="shared" si="8"/>
        <v>-12970.440853299457</v>
      </c>
      <c r="AJ5" s="314">
        <f t="shared" si="16"/>
        <v>0</v>
      </c>
      <c r="AK5" s="317"/>
      <c r="AL5" s="315">
        <f t="shared" si="17"/>
        <v>-207.97600509733456</v>
      </c>
      <c r="AM5" s="293"/>
      <c r="AN5" s="546">
        <f t="shared" si="9"/>
        <v>-2.4020475787030975E-2</v>
      </c>
      <c r="AO5" s="314"/>
      <c r="AP5" s="318"/>
      <c r="AQ5" s="294"/>
      <c r="AR5" s="294"/>
      <c r="AS5" s="294"/>
      <c r="AT5" s="297" t="s">
        <v>107</v>
      </c>
      <c r="AU5" s="297" t="s">
        <v>196</v>
      </c>
    </row>
    <row r="6" spans="2:47">
      <c r="B6" s="296" t="s">
        <v>953</v>
      </c>
      <c r="C6" s="299" t="s">
        <v>276</v>
      </c>
      <c r="D6" s="298" t="s">
        <v>722</v>
      </c>
      <c r="E6" s="299" t="s">
        <v>113</v>
      </c>
      <c r="F6" s="299" t="s">
        <v>59</v>
      </c>
      <c r="G6" s="300">
        <v>44441</v>
      </c>
      <c r="H6" s="646">
        <v>11603.34</v>
      </c>
      <c r="I6" s="301" t="str">
        <f t="shared" si="0"/>
        <v>Ingresos Sección II LISR (SIC &amp; BMV)</v>
      </c>
      <c r="J6" s="302">
        <f t="shared" ref="J6:J7" si="19">+V6</f>
        <v>2068</v>
      </c>
      <c r="K6" s="304">
        <f t="shared" si="2"/>
        <v>5.6108994197292068</v>
      </c>
      <c r="L6" s="305">
        <f>IF(H6=0,0,IF(OR(E6=$AT$5,E6=$AT$6),AA6,IF(F6="MXN",1/HLOOKUP(YEAR(G6)+(MONTH(G6)/100),TC!$5:$37,DAY(G6)+2,FALSE),VLOOKUP(F6,Equivalencia!$5:$23,((MAX(Equivalencia!$3:$3)-YEAR(G6))*14)+MONTH(G6)+2,FALSE))))</f>
        <v>1</v>
      </c>
      <c r="M6" s="306">
        <f t="shared" si="3"/>
        <v>11603.34</v>
      </c>
      <c r="N6" s="305">
        <f>IF(G6=0,0,(IF(OR(E6=$AT$5,E6=$AT$6),AC6,HLOOKUP(YEAR(G6)+(MONTH(G6)/100),TC!$5:$37,DAY(G6)+2,FALSE))))</f>
        <v>20.060500000000001</v>
      </c>
      <c r="O6" s="307">
        <f t="shared" si="11"/>
        <v>232768.80207000001</v>
      </c>
      <c r="P6" s="552">
        <f>IF(G6=0,0,VLOOKUP(YEAR(G6),INPC!$B$4:$P$30,MONTH(G6)+2))</f>
        <v>114.601</v>
      </c>
      <c r="Q6" s="552">
        <f>IF(X6=0,0,IF(OR(E6=$AT$10,E6=$AT$9),VLOOKUP(YEAR(X6),INPC!$B$4:$P$30,MONTH(X6)+1),VLOOKUP(YEAR(X6),INPC!$B$4:$P$30,MONTH(X6)+2,0)))</f>
        <v>118.002</v>
      </c>
      <c r="R6" s="309">
        <f t="shared" si="4"/>
        <v>1.0296000000000001</v>
      </c>
      <c r="S6" s="310">
        <f t="shared" si="12"/>
        <v>239658.75861127203</v>
      </c>
      <c r="T6" s="547">
        <f t="shared" si="13"/>
        <v>115.88914826463831</v>
      </c>
      <c r="U6" s="311"/>
      <c r="V6" s="312">
        <v>2068</v>
      </c>
      <c r="W6" s="299" t="s">
        <v>194</v>
      </c>
      <c r="X6" s="300">
        <v>44603</v>
      </c>
      <c r="Y6" s="299" t="s">
        <v>59</v>
      </c>
      <c r="Z6" s="649">
        <v>11377.101993137185</v>
      </c>
      <c r="AA6" s="305">
        <f>IF(Z6=0,0,IF(Y6="MXN",1/HLOOKUP(YEAR(X6)+(MONTH(X6)/100),TC!$5:$37,DAY(X6)+2,FALSE),VLOOKUP(Y6,Equivalencia!$1:$23,((MAX(Equivalencia!$3:$3)-YEAR(X6))*14)+MONTH(X6)+2,FALSE)))</f>
        <v>1</v>
      </c>
      <c r="AB6" s="306">
        <f t="shared" si="14"/>
        <v>11377.101993137185</v>
      </c>
      <c r="AC6" s="305">
        <f>+IF(X6=0,0,HLOOKUP(YEAR(X6)+(MONTH(X6)/100),TC!$5:$37,DAY(X6)+2,FALSE))</f>
        <v>20.500800000000002</v>
      </c>
      <c r="AD6" s="307">
        <f t="shared" si="15"/>
        <v>233239.69254090681</v>
      </c>
      <c r="AE6" s="314">
        <f t="shared" si="5"/>
        <v>239658.75861127203</v>
      </c>
      <c r="AF6" s="315">
        <f t="shared" si="6"/>
        <v>-6419.0660703652247</v>
      </c>
      <c r="AG6" s="316">
        <f t="shared" si="7"/>
        <v>0.44383561643835617</v>
      </c>
      <c r="AH6" s="314">
        <v>1</v>
      </c>
      <c r="AI6" s="314">
        <f t="shared" si="8"/>
        <v>-6419.0660703652247</v>
      </c>
      <c r="AJ6" s="314">
        <f t="shared" si="16"/>
        <v>0</v>
      </c>
      <c r="AK6" s="317"/>
      <c r="AL6" s="315">
        <f t="shared" si="17"/>
        <v>-226.23800686281538</v>
      </c>
      <c r="AM6" s="293"/>
      <c r="AN6" s="546">
        <f t="shared" si="9"/>
        <v>-1.9497662471565546E-2</v>
      </c>
      <c r="AO6" s="314"/>
      <c r="AP6" s="318"/>
      <c r="AQ6" s="294"/>
      <c r="AR6" s="294"/>
      <c r="AS6" s="294"/>
      <c r="AT6" s="297" t="s">
        <v>108</v>
      </c>
      <c r="AU6" s="297" t="s">
        <v>197</v>
      </c>
    </row>
    <row r="7" spans="2:47" ht="17" thickBot="1">
      <c r="B7" s="296" t="s">
        <v>953</v>
      </c>
      <c r="C7" s="299" t="s">
        <v>276</v>
      </c>
      <c r="D7" s="298" t="s">
        <v>722</v>
      </c>
      <c r="E7" s="299" t="s">
        <v>113</v>
      </c>
      <c r="F7" s="299" t="s">
        <v>59</v>
      </c>
      <c r="G7" s="300">
        <v>44491</v>
      </c>
      <c r="H7" s="647">
        <v>13923.72</v>
      </c>
      <c r="I7" s="301" t="str">
        <f t="shared" si="0"/>
        <v>Ingresos Sección II LISR (SIC &amp; BMV)</v>
      </c>
      <c r="J7" s="302">
        <f t="shared" si="19"/>
        <v>2468</v>
      </c>
      <c r="K7" s="304">
        <f t="shared" si="2"/>
        <v>5.641701782820097</v>
      </c>
      <c r="L7" s="305">
        <f>IF(H7=0,0,IF(OR(E7=$AT$5,E7=$AT$6),AA7,IF(F7="MXN",1/HLOOKUP(YEAR(G7)+(MONTH(G7)/100),TC!$5:$37,DAY(G7)+2,FALSE),VLOOKUP(F7,Equivalencia!$5:$23,((MAX(Equivalencia!$3:$3)-YEAR(G7))*14)+MONTH(G7)+2,FALSE))))</f>
        <v>1</v>
      </c>
      <c r="M7" s="306">
        <f t="shared" si="3"/>
        <v>13923.72</v>
      </c>
      <c r="N7" s="305">
        <f>IF(G7=0,0,(IF(OR(E7=$AT$5,E7=$AT$6),AC7,HLOOKUP(YEAR(G7)+(MONTH(G7)/100),TC!$5:$37,DAY(G7)+2,FALSE))))</f>
        <v>20.184999999999999</v>
      </c>
      <c r="O7" s="307">
        <f t="shared" si="11"/>
        <v>281050.28819999995</v>
      </c>
      <c r="P7" s="552">
        <f>IF(G7=0,0,VLOOKUP(YEAR(G7),INPC!$B$4:$P$30,MONTH(G7)+2))</f>
        <v>115.56100000000001</v>
      </c>
      <c r="Q7" s="552">
        <f>IF(X7=0,0,IF(OR(E7=$AT$10,E7=$AT$9),VLOOKUP(YEAR(X7),INPC!$B$4:$P$30,MONTH(X7)+1),VLOOKUP(YEAR(X7),INPC!$B$4:$P$30,MONTH(X7)+2,0)))</f>
        <v>118.002</v>
      </c>
      <c r="R7" s="309">
        <f t="shared" si="4"/>
        <v>1.0210999999999999</v>
      </c>
      <c r="S7" s="310">
        <f t="shared" si="12"/>
        <v>286980.44928101992</v>
      </c>
      <c r="T7" s="547">
        <f t="shared" si="13"/>
        <v>116.28057102148294</v>
      </c>
      <c r="U7" s="311"/>
      <c r="V7" s="312">
        <v>2468</v>
      </c>
      <c r="W7" s="299" t="s">
        <v>194</v>
      </c>
      <c r="X7" s="300">
        <v>44603</v>
      </c>
      <c r="Y7" s="299" t="s">
        <v>59</v>
      </c>
      <c r="Z7" s="650">
        <v>13577.701991809754</v>
      </c>
      <c r="AA7" s="305">
        <f>IF(Z7=0,0,IF(Y7="MXN",1/HLOOKUP(YEAR(X7)+(MONTH(X7)/100),TC!$5:$37,DAY(X7)+2,FALSE),VLOOKUP(Y7,Equivalencia!$1:$23,((MAX(Equivalencia!$3:$3)-YEAR(X7))*14)+MONTH(X7)+2,FALSE)))</f>
        <v>1</v>
      </c>
      <c r="AB7" s="306">
        <f t="shared" si="14"/>
        <v>13577.701991809754</v>
      </c>
      <c r="AC7" s="305">
        <f>+IF(X7=0,0,HLOOKUP(YEAR(X7)+(MONTH(X7)/100),TC!$5:$37,DAY(X7)+2,FALSE))</f>
        <v>20.500800000000002</v>
      </c>
      <c r="AD7" s="307">
        <f t="shared" si="15"/>
        <v>278353.7529936934</v>
      </c>
      <c r="AE7" s="314">
        <f t="shared" si="5"/>
        <v>286980.44928101992</v>
      </c>
      <c r="AF7" s="315">
        <f t="shared" si="6"/>
        <v>-8626.6962873265147</v>
      </c>
      <c r="AG7" s="316">
        <f t="shared" si="7"/>
        <v>0.30684931506849317</v>
      </c>
      <c r="AH7" s="314">
        <v>1</v>
      </c>
      <c r="AI7" s="314">
        <f t="shared" si="8"/>
        <v>-8626.6962873265147</v>
      </c>
      <c r="AJ7" s="314">
        <f t="shared" si="16"/>
        <v>0</v>
      </c>
      <c r="AK7" s="317"/>
      <c r="AL7" s="315">
        <f t="shared" si="17"/>
        <v>-346.01800819024538</v>
      </c>
      <c r="AM7" s="293"/>
      <c r="AN7" s="546">
        <f t="shared" si="9"/>
        <v>-2.485097432225335E-2</v>
      </c>
      <c r="AO7" s="314"/>
      <c r="AP7" s="318"/>
      <c r="AQ7" s="294"/>
      <c r="AR7" s="294"/>
      <c r="AS7" s="294"/>
      <c r="AT7" s="297" t="s">
        <v>111</v>
      </c>
      <c r="AU7" s="297" t="s">
        <v>198</v>
      </c>
    </row>
    <row r="8" spans="2:47">
      <c r="B8" s="296" t="s">
        <v>953</v>
      </c>
      <c r="C8" s="299" t="s">
        <v>276</v>
      </c>
      <c r="D8" s="298" t="s">
        <v>721</v>
      </c>
      <c r="E8" s="299" t="s">
        <v>113</v>
      </c>
      <c r="F8" s="299" t="s">
        <v>59</v>
      </c>
      <c r="G8" s="300">
        <v>44302</v>
      </c>
      <c r="H8" s="651">
        <v>405584.64000000001</v>
      </c>
      <c r="I8" s="301" t="str">
        <f t="shared" si="0"/>
        <v>Ingresos Sección II LISR (SIC &amp; BMV)</v>
      </c>
      <c r="J8" s="302">
        <f t="shared" si="10"/>
        <v>72960</v>
      </c>
      <c r="K8" s="304">
        <f t="shared" si="2"/>
        <v>5.5590000000000002</v>
      </c>
      <c r="L8" s="305">
        <f>IF(H8=0,0,IF(OR(E8=$AT$5,E8=$AT$6),AA8,IF(F8="MXN",1/HLOOKUP(YEAR(G8)+(MONTH(G8)/100),TC!$5:$37,DAY(G8)+2,FALSE),VLOOKUP(F8,Equivalencia!$5:$23,((MAX(Equivalencia!$3:$3)-YEAR(G8))*14)+MONTH(G8)+2,FALSE))))</f>
        <v>1</v>
      </c>
      <c r="M8" s="306">
        <f t="shared" si="3"/>
        <v>405584.64000000001</v>
      </c>
      <c r="N8" s="305">
        <f>IF(G8=0,0,(IF(OR(E8=$AT$5,E8=$AT$6),AC8,HLOOKUP(YEAR(G8)+(MONTH(G8)/100),TC!$5:$37,DAY(G8)+2,FALSE))))</f>
        <v>20.058299999999999</v>
      </c>
      <c r="O8" s="307">
        <f t="shared" si="11"/>
        <v>8135338.3845119998</v>
      </c>
      <c r="P8" s="552">
        <f>IF(G8=0,0,VLOOKUP(YEAR(G8),INPC!$B$4:$P$30,MONTH(G8)+2))</f>
        <v>112.19</v>
      </c>
      <c r="Q8" s="552">
        <f>IF(X8=0,0,IF(OR(E8=$AT$10,E8=$AT$9),VLOOKUP(YEAR(X8),INPC!$B$4:$P$30,MONTH(X8)+1),VLOOKUP(YEAR(X8),INPC!$B$4:$P$30,MONTH(X8)+2,0)))</f>
        <v>118.002</v>
      </c>
      <c r="R8" s="309">
        <f t="shared" si="4"/>
        <v>1.0518000000000001</v>
      </c>
      <c r="S8" s="310">
        <f t="shared" si="12"/>
        <v>8556748.9128297213</v>
      </c>
      <c r="T8" s="547">
        <f t="shared" si="13"/>
        <v>117.28000154646</v>
      </c>
      <c r="U8" s="311"/>
      <c r="V8" s="312">
        <v>72960</v>
      </c>
      <c r="W8" s="299" t="s">
        <v>194</v>
      </c>
      <c r="X8" s="300">
        <v>44603</v>
      </c>
      <c r="Y8" s="299" t="s">
        <v>59</v>
      </c>
      <c r="Z8" s="648">
        <v>389723.13258093485</v>
      </c>
      <c r="AA8" s="305">
        <f>IF(Z8=0,0,IF(Y8="MXN",1/HLOOKUP(YEAR(X8)+(MONTH(X8)/100),TC!$5:$37,DAY(X8)+2,FALSE),VLOOKUP(Y8,Equivalencia!$1:$23,((MAX(Equivalencia!$3:$3)-YEAR(X8))*14)+MONTH(X8)+2,FALSE)))</f>
        <v>1</v>
      </c>
      <c r="AB8" s="306">
        <f t="shared" si="14"/>
        <v>389723.13258093485</v>
      </c>
      <c r="AC8" s="305">
        <f>+IF(X8=0,0,HLOOKUP(YEAR(X8)+(MONTH(X8)/100),TC!$5:$37,DAY(X8)+2,FALSE))</f>
        <v>20.500800000000002</v>
      </c>
      <c r="AD8" s="307">
        <f t="shared" si="15"/>
        <v>7989635.9964152295</v>
      </c>
      <c r="AE8" s="314">
        <f t="shared" si="5"/>
        <v>8556748.9128297213</v>
      </c>
      <c r="AF8" s="315">
        <f t="shared" si="6"/>
        <v>-567112.91641449183</v>
      </c>
      <c r="AG8" s="316">
        <f t="shared" si="7"/>
        <v>0.8246575342465754</v>
      </c>
      <c r="AH8" s="314">
        <v>1</v>
      </c>
      <c r="AI8" s="314">
        <f t="shared" si="8"/>
        <v>-567112.91641449183</v>
      </c>
      <c r="AJ8" s="314">
        <f t="shared" si="16"/>
        <v>0</v>
      </c>
      <c r="AK8" s="317"/>
      <c r="AL8" s="315">
        <f t="shared" si="17"/>
        <v>-15861.507419065165</v>
      </c>
      <c r="AM8" s="293"/>
      <c r="AN8" s="546">
        <f t="shared" si="9"/>
        <v>-3.9107761622987409E-2</v>
      </c>
      <c r="AO8" s="314"/>
      <c r="AP8" s="318"/>
      <c r="AQ8" s="294"/>
      <c r="AR8" s="294"/>
      <c r="AS8" s="294"/>
      <c r="AT8" s="297" t="s">
        <v>112</v>
      </c>
      <c r="AU8" s="297" t="s">
        <v>229</v>
      </c>
    </row>
    <row r="9" spans="2:47">
      <c r="B9" s="296" t="s">
        <v>953</v>
      </c>
      <c r="C9" s="299" t="s">
        <v>276</v>
      </c>
      <c r="D9" s="298" t="s">
        <v>721</v>
      </c>
      <c r="E9" s="299" t="s">
        <v>113</v>
      </c>
      <c r="F9" s="299" t="s">
        <v>59</v>
      </c>
      <c r="G9" s="300">
        <v>44370</v>
      </c>
      <c r="H9" s="646">
        <v>7719.59</v>
      </c>
      <c r="I9" s="301" t="str">
        <f t="shared" si="0"/>
        <v>Ingresos Sección II LISR (SIC &amp; BMV)</v>
      </c>
      <c r="J9" s="302">
        <f t="shared" si="10"/>
        <v>1393</v>
      </c>
      <c r="K9" s="304">
        <f t="shared" si="2"/>
        <v>5.5417013639626704</v>
      </c>
      <c r="L9" s="305">
        <f>IF(H9=0,0,IF(OR(E9=$AT$5,E9=$AT$6),AA9,IF(F9="MXN",1/HLOOKUP(YEAR(G9)+(MONTH(G9)/100),TC!$5:$37,DAY(G9)+2,FALSE),VLOOKUP(F9,Equivalencia!$5:$23,((MAX(Equivalencia!$3:$3)-YEAR(G9))*14)+MONTH(G9)+2,FALSE))))</f>
        <v>1</v>
      </c>
      <c r="M9" s="306">
        <f t="shared" si="3"/>
        <v>7719.59</v>
      </c>
      <c r="N9" s="305">
        <f>IF(G9=0,0,(IF(OR(E9=$AT$5,E9=$AT$6),AC9,HLOOKUP(YEAR(G9)+(MONTH(G9)/100),TC!$5:$37,DAY(G9)+2,FALSE))))</f>
        <v>20.6</v>
      </c>
      <c r="O9" s="307">
        <f t="shared" si="11"/>
        <v>159023.554</v>
      </c>
      <c r="P9" s="552">
        <f>IF(G9=0,0,VLOOKUP(YEAR(G9),INPC!$B$4:$P$30,MONTH(G9)+2))</f>
        <v>113.018</v>
      </c>
      <c r="Q9" s="552">
        <f>IF(X9=0,0,IF(OR(E9=$AT$10,E9=$AT$9),VLOOKUP(YEAR(X9),INPC!$B$4:$P$30,MONTH(X9)+1),VLOOKUP(YEAR(X9),INPC!$B$4:$P$30,MONTH(X9)+2,0)))</f>
        <v>118.002</v>
      </c>
      <c r="R9" s="309">
        <f t="shared" si="4"/>
        <v>1.044</v>
      </c>
      <c r="S9" s="310">
        <f t="shared" si="12"/>
        <v>166020.59037600001</v>
      </c>
      <c r="T9" s="547">
        <f t="shared" si="13"/>
        <v>119.18204621392678</v>
      </c>
      <c r="U9" s="311"/>
      <c r="V9" s="312">
        <v>1393</v>
      </c>
      <c r="W9" s="299" t="s">
        <v>194</v>
      </c>
      <c r="X9" s="300">
        <v>44603</v>
      </c>
      <c r="Y9" s="299" t="s">
        <v>59</v>
      </c>
      <c r="Z9" s="649">
        <v>7440.8487347209739</v>
      </c>
      <c r="AA9" s="305">
        <f>IF(Z9=0,0,IF(Y9="MXN",1/HLOOKUP(YEAR(X9)+(MONTH(X9)/100),TC!$5:$37,DAY(X9)+2,FALSE),VLOOKUP(Y9,Equivalencia!$1:$23,((MAX(Equivalencia!$3:$3)-YEAR(X9))*14)+MONTH(X9)+2,FALSE)))</f>
        <v>1</v>
      </c>
      <c r="AB9" s="306">
        <f t="shared" si="14"/>
        <v>7440.8487347209739</v>
      </c>
      <c r="AC9" s="305">
        <f>+IF(X9=0,0,HLOOKUP(YEAR(X9)+(MONTH(X9)/100),TC!$5:$37,DAY(X9)+2,FALSE))</f>
        <v>20.500800000000002</v>
      </c>
      <c r="AD9" s="307">
        <f t="shared" si="15"/>
        <v>152543.35174076774</v>
      </c>
      <c r="AE9" s="314">
        <f t="shared" si="5"/>
        <v>166020.59037600001</v>
      </c>
      <c r="AF9" s="315">
        <f t="shared" si="6"/>
        <v>-13477.238635232265</v>
      </c>
      <c r="AG9" s="316">
        <f t="shared" si="7"/>
        <v>0.63835616438356169</v>
      </c>
      <c r="AH9" s="314">
        <v>1</v>
      </c>
      <c r="AI9" s="314">
        <f t="shared" si="8"/>
        <v>-13477.238635232265</v>
      </c>
      <c r="AJ9" s="314">
        <f t="shared" si="16"/>
        <v>0</v>
      </c>
      <c r="AK9" s="317"/>
      <c r="AL9" s="315">
        <f t="shared" si="17"/>
        <v>-278.74126527902627</v>
      </c>
      <c r="AM9" s="293"/>
      <c r="AN9" s="546">
        <f t="shared" si="9"/>
        <v>-3.6108299181566154E-2</v>
      </c>
      <c r="AO9" s="314"/>
      <c r="AP9" s="318"/>
      <c r="AQ9" s="294"/>
      <c r="AR9" s="294"/>
      <c r="AS9" s="294"/>
      <c r="AT9" s="297" t="s">
        <v>263</v>
      </c>
      <c r="AU9" s="297" t="s">
        <v>276</v>
      </c>
    </row>
    <row r="10" spans="2:47">
      <c r="B10" s="296" t="s">
        <v>953</v>
      </c>
      <c r="C10" s="299" t="s">
        <v>276</v>
      </c>
      <c r="D10" s="298" t="s">
        <v>721</v>
      </c>
      <c r="E10" s="299" t="s">
        <v>113</v>
      </c>
      <c r="F10" s="299" t="s">
        <v>59</v>
      </c>
      <c r="G10" s="300">
        <v>44441</v>
      </c>
      <c r="H10" s="646">
        <v>11671.27</v>
      </c>
      <c r="I10" s="301" t="str">
        <f t="shared" si="0"/>
        <v>Ingresos Sección II LISR (SIC &amp; BMV)</v>
      </c>
      <c r="J10" s="302">
        <f t="shared" si="10"/>
        <v>2097</v>
      </c>
      <c r="K10" s="304">
        <f t="shared" si="2"/>
        <v>5.565698617072008</v>
      </c>
      <c r="L10" s="305">
        <f>IF(H10=0,0,IF(OR(E10=$AT$5,E10=$AT$6),AA10,IF(F10="MXN",1/HLOOKUP(YEAR(G10)+(MONTH(G10)/100),TC!$5:$37,DAY(G10)+2,FALSE),VLOOKUP(F10,Equivalencia!$5:$23,((MAX(Equivalencia!$3:$3)-YEAR(G10))*14)+MONTH(G10)+2,FALSE))))</f>
        <v>1</v>
      </c>
      <c r="M10" s="306">
        <f t="shared" si="3"/>
        <v>11671.27</v>
      </c>
      <c r="N10" s="305">
        <f>IF(G10=0,0,(IF(OR(E10=$AT$5,E10=$AT$6),AC10,HLOOKUP(YEAR(G10)+(MONTH(G10)/100),TC!$5:$37,DAY(G10)+2,FALSE))))</f>
        <v>20.060500000000001</v>
      </c>
      <c r="O10" s="307">
        <f t="shared" si="11"/>
        <v>234131.51183500001</v>
      </c>
      <c r="P10" s="552">
        <f>IF(G10=0,0,VLOOKUP(YEAR(G10),INPC!$B$4:$P$30,MONTH(G10)+2))</f>
        <v>114.601</v>
      </c>
      <c r="Q10" s="552">
        <f>IF(X10=0,0,IF(OR(E10=$AT$10,E10=$AT$9),VLOOKUP(YEAR(X10),INPC!$B$4:$P$30,MONTH(X10)+1),VLOOKUP(YEAR(X10),INPC!$B$4:$P$30,MONTH(X10)+2,0)))</f>
        <v>118.002</v>
      </c>
      <c r="R10" s="309">
        <f t="shared" si="4"/>
        <v>1.0296000000000001</v>
      </c>
      <c r="S10" s="310">
        <f t="shared" si="12"/>
        <v>241061.80458531601</v>
      </c>
      <c r="T10" s="547">
        <f t="shared" si="13"/>
        <v>114.95555774216309</v>
      </c>
      <c r="U10" s="311"/>
      <c r="V10" s="312">
        <v>2097</v>
      </c>
      <c r="W10" s="299" t="s">
        <v>194</v>
      </c>
      <c r="X10" s="300">
        <v>44603</v>
      </c>
      <c r="Y10" s="299" t="s">
        <v>59</v>
      </c>
      <c r="Z10" s="649">
        <v>11201.335101729996</v>
      </c>
      <c r="AA10" s="305">
        <f>IF(Z10=0,0,IF(Y10="MXN",1/HLOOKUP(YEAR(X10)+(MONTH(X10)/100),TC!$5:$37,DAY(X10)+2,FALSE),VLOOKUP(Y10,Equivalencia!$1:$23,((MAX(Equivalencia!$3:$3)-YEAR(X10))*14)+MONTH(X10)+2,FALSE)))</f>
        <v>1</v>
      </c>
      <c r="AB10" s="306">
        <f t="shared" si="14"/>
        <v>11201.335101729996</v>
      </c>
      <c r="AC10" s="305">
        <f>+IF(X10=0,0,HLOOKUP(YEAR(X10)+(MONTH(X10)/100),TC!$5:$37,DAY(X10)+2,FALSE))</f>
        <v>20.500800000000002</v>
      </c>
      <c r="AD10" s="307">
        <f t="shared" si="15"/>
        <v>229636.33065354632</v>
      </c>
      <c r="AE10" s="314">
        <f t="shared" si="5"/>
        <v>241061.80458531601</v>
      </c>
      <c r="AF10" s="315">
        <f t="shared" si="6"/>
        <v>-11425.473931769695</v>
      </c>
      <c r="AG10" s="316">
        <f t="shared" si="7"/>
        <v>0.44383561643835617</v>
      </c>
      <c r="AH10" s="314">
        <v>1</v>
      </c>
      <c r="AI10" s="314">
        <f t="shared" si="8"/>
        <v>-11425.473931769695</v>
      </c>
      <c r="AJ10" s="314">
        <f t="shared" si="16"/>
        <v>0</v>
      </c>
      <c r="AK10" s="317"/>
      <c r="AL10" s="315">
        <f t="shared" si="17"/>
        <v>-469.93489827000485</v>
      </c>
      <c r="AM10" s="293"/>
      <c r="AN10" s="546">
        <f t="shared" si="9"/>
        <v>-4.0264247015963546E-2</v>
      </c>
      <c r="AO10" s="314"/>
      <c r="AP10" s="318"/>
      <c r="AQ10" s="294"/>
      <c r="AR10" s="294"/>
      <c r="AS10" s="294"/>
      <c r="AT10" s="297" t="s">
        <v>113</v>
      </c>
      <c r="AU10" s="297" t="s">
        <v>277</v>
      </c>
    </row>
    <row r="11" spans="2:47" ht="17" thickBot="1">
      <c r="B11" s="296" t="s">
        <v>953</v>
      </c>
      <c r="C11" s="299" t="s">
        <v>276</v>
      </c>
      <c r="D11" s="298" t="s">
        <v>721</v>
      </c>
      <c r="E11" s="299" t="s">
        <v>113</v>
      </c>
      <c r="F11" s="299" t="s">
        <v>59</v>
      </c>
      <c r="G11" s="300">
        <v>44491</v>
      </c>
      <c r="H11" s="647">
        <v>2047.99</v>
      </c>
      <c r="I11" s="301" t="str">
        <f t="shared" si="0"/>
        <v>Ingresos Sección II LISR (SIC &amp; BMV)</v>
      </c>
      <c r="J11" s="302">
        <f t="shared" si="10"/>
        <v>371</v>
      </c>
      <c r="K11" s="304">
        <f t="shared" si="2"/>
        <v>5.5201886792452832</v>
      </c>
      <c r="L11" s="305">
        <f>IF(H11=0,0,IF(OR(E11=$AT$5,E11=$AT$6),AA11,IF(F11="MXN",1/HLOOKUP(YEAR(G11)+(MONTH(G11)/100),TC!$5:$37,DAY(G11)+2,FALSE),VLOOKUP(F11,Equivalencia!$5:$23,((MAX(Equivalencia!$3:$3)-YEAR(G11))*14)+MONTH(G11)+2,FALSE))))</f>
        <v>1</v>
      </c>
      <c r="M11" s="306">
        <f t="shared" si="3"/>
        <v>2047.99</v>
      </c>
      <c r="N11" s="305">
        <f>IF(G11=0,0,(IF(OR(E11=$AT$5,E11=$AT$6),AC11,HLOOKUP(YEAR(G11)+(MONTH(G11)/100),TC!$5:$37,DAY(G11)+2,FALSE))))</f>
        <v>20.184999999999999</v>
      </c>
      <c r="O11" s="307">
        <f t="shared" si="11"/>
        <v>41338.67815</v>
      </c>
      <c r="P11" s="552">
        <f>IF(G11=0,0,VLOOKUP(YEAR(G11),INPC!$B$4:$P$30,MONTH(G11)+2))</f>
        <v>115.56100000000001</v>
      </c>
      <c r="Q11" s="552">
        <f>IF(X11=0,0,IF(OR(E11=$AT$10,E11=$AT$9),VLOOKUP(YEAR(X11),INPC!$B$4:$P$30,MONTH(X11)+1),VLOOKUP(YEAR(X11),INPC!$B$4:$P$30,MONTH(X11)+2,0)))</f>
        <v>118.002</v>
      </c>
      <c r="R11" s="309">
        <f t="shared" si="4"/>
        <v>1.0210999999999999</v>
      </c>
      <c r="S11" s="310">
        <f t="shared" si="12"/>
        <v>42210.924258964995</v>
      </c>
      <c r="T11" s="547">
        <f t="shared" si="13"/>
        <v>113.77607616971697</v>
      </c>
      <c r="U11" s="311"/>
      <c r="V11" s="312">
        <v>371</v>
      </c>
      <c r="W11" s="299" t="s">
        <v>194</v>
      </c>
      <c r="X11" s="300">
        <v>44603</v>
      </c>
      <c r="Y11" s="299" t="s">
        <v>59</v>
      </c>
      <c r="Z11" s="650">
        <v>1981.7335826141289</v>
      </c>
      <c r="AA11" s="305">
        <f>IF(Z11=0,0,IF(Y11="MXN",1/HLOOKUP(YEAR(X11)+(MONTH(X11)/100),TC!$5:$37,DAY(X11)+2,FALSE),VLOOKUP(Y11,Equivalencia!$1:$23,((MAX(Equivalencia!$3:$3)-YEAR(X11))*14)+MONTH(X11)+2,FALSE)))</f>
        <v>1</v>
      </c>
      <c r="AB11" s="306">
        <f t="shared" si="14"/>
        <v>1981.7335826141289</v>
      </c>
      <c r="AC11" s="305">
        <f>+IF(X11=0,0,HLOOKUP(YEAR(X11)+(MONTH(X11)/100),TC!$5:$37,DAY(X11)+2,FALSE))</f>
        <v>20.500800000000002</v>
      </c>
      <c r="AD11" s="307">
        <f t="shared" si="15"/>
        <v>40627.123830455734</v>
      </c>
      <c r="AE11" s="314">
        <f t="shared" si="5"/>
        <v>42210.924258964995</v>
      </c>
      <c r="AF11" s="315">
        <f t="shared" si="6"/>
        <v>-1583.8004285092611</v>
      </c>
      <c r="AG11" s="316">
        <f t="shared" si="7"/>
        <v>0.30684931506849317</v>
      </c>
      <c r="AH11" s="314">
        <v>1</v>
      </c>
      <c r="AI11" s="314">
        <f t="shared" si="8"/>
        <v>-1583.8004285092611</v>
      </c>
      <c r="AJ11" s="314">
        <f t="shared" si="16"/>
        <v>0</v>
      </c>
      <c r="AK11" s="317"/>
      <c r="AL11" s="315">
        <f t="shared" si="17"/>
        <v>-66.256417385871146</v>
      </c>
      <c r="AM11" s="293"/>
      <c r="AN11" s="546">
        <f t="shared" si="9"/>
        <v>-3.2351924270075119E-2</v>
      </c>
      <c r="AO11" s="314"/>
      <c r="AP11" s="318"/>
      <c r="AQ11" s="294"/>
      <c r="AR11" s="294"/>
      <c r="AS11" s="294"/>
      <c r="AT11" s="297" t="s">
        <v>201</v>
      </c>
      <c r="AU11" s="297" t="s">
        <v>278</v>
      </c>
    </row>
    <row r="12" spans="2:47">
      <c r="B12" s="296" t="s">
        <v>953</v>
      </c>
      <c r="C12" s="299" t="s">
        <v>276</v>
      </c>
      <c r="D12" s="298" t="s">
        <v>720</v>
      </c>
      <c r="E12" s="299" t="s">
        <v>113</v>
      </c>
      <c r="F12" s="299" t="s">
        <v>59</v>
      </c>
      <c r="G12" s="300">
        <v>44231</v>
      </c>
      <c r="H12" s="651">
        <v>689746.47</v>
      </c>
      <c r="I12" s="301" t="str">
        <f t="shared" si="0"/>
        <v>Ingresos Sección II LISR (SIC &amp; BMV)</v>
      </c>
      <c r="J12" s="302">
        <f t="shared" si="10"/>
        <v>117980</v>
      </c>
      <c r="K12" s="304">
        <f t="shared" si="2"/>
        <v>5.8462999660959483</v>
      </c>
      <c r="L12" s="305">
        <f>IF(H12=0,0,IF(OR(E12=$AT$5,E12=$AT$6),AA12,IF(F12="MXN",1/HLOOKUP(YEAR(G12)+(MONTH(G12)/100),TC!$5:$37,DAY(G12)+2,FALSE),VLOOKUP(F12,Equivalencia!$5:$23,((MAX(Equivalencia!$3:$3)-YEAR(G12))*14)+MONTH(G12)+2,FALSE))))</f>
        <v>1</v>
      </c>
      <c r="M12" s="306">
        <f t="shared" si="3"/>
        <v>689746.47</v>
      </c>
      <c r="N12" s="305">
        <f>IF(G12=0,0,(IF(OR(E12=$AT$5,E12=$AT$6),AC12,HLOOKUP(YEAR(G12)+(MONTH(G12)/100),TC!$5:$37,DAY(G12)+2,FALSE))))</f>
        <v>20.1722</v>
      </c>
      <c r="O12" s="307">
        <f t="shared" si="11"/>
        <v>13913703.742133999</v>
      </c>
      <c r="P12" s="552">
        <f>IF(G12=0,0,VLOOKUP(YEAR(G12),INPC!$B$4:$P$30,MONTH(G12)+2))</f>
        <v>110.907</v>
      </c>
      <c r="Q12" s="552">
        <f>IF(X12=0,0,IF(OR(E12=$AT$10,E12=$AT$9),VLOOKUP(YEAR(X12),INPC!$B$4:$P$30,MONTH(X12)+1),VLOOKUP(YEAR(X12),INPC!$B$4:$P$30,MONTH(X12)+2,0)))</f>
        <v>118.002</v>
      </c>
      <c r="R12" s="309">
        <f t="shared" si="4"/>
        <v>1.0639000000000001</v>
      </c>
      <c r="S12" s="310">
        <f t="shared" si="12"/>
        <v>14802789.411256364</v>
      </c>
      <c r="T12" s="547">
        <f t="shared" si="13"/>
        <v>125.46863376213226</v>
      </c>
      <c r="U12" s="311"/>
      <c r="V12" s="312">
        <v>117980</v>
      </c>
      <c r="W12" s="299" t="s">
        <v>194</v>
      </c>
      <c r="X12" s="300">
        <v>44603</v>
      </c>
      <c r="Y12" s="299" t="s">
        <v>59</v>
      </c>
      <c r="Z12" s="648">
        <v>657478.94170113793</v>
      </c>
      <c r="AA12" s="305">
        <f>IF(Z12=0,0,IF(Y12="MXN",1/HLOOKUP(YEAR(X12)+(MONTH(X12)/100),TC!$5:$37,DAY(X12)+2,FALSE),VLOOKUP(Y12,Equivalencia!$1:$23,((MAX(Equivalencia!$3:$3)-YEAR(X12))*14)+MONTH(X12)+2,FALSE)))</f>
        <v>1</v>
      </c>
      <c r="AB12" s="306">
        <f t="shared" si="14"/>
        <v>657478.94170113793</v>
      </c>
      <c r="AC12" s="305">
        <f>+IF(X12=0,0,HLOOKUP(YEAR(X12)+(MONTH(X12)/100),TC!$5:$37,DAY(X12)+2,FALSE))</f>
        <v>20.500800000000002</v>
      </c>
      <c r="AD12" s="307">
        <f t="shared" si="15"/>
        <v>13478844.288026689</v>
      </c>
      <c r="AE12" s="314">
        <f t="shared" si="5"/>
        <v>14802789.411256364</v>
      </c>
      <c r="AF12" s="315">
        <f t="shared" si="6"/>
        <v>-1323945.123229675</v>
      </c>
      <c r="AG12" s="316">
        <f t="shared" si="7"/>
        <v>1.0191780821917809</v>
      </c>
      <c r="AH12" s="314">
        <v>1</v>
      </c>
      <c r="AI12" s="314">
        <f t="shared" si="8"/>
        <v>-1323945.123229675</v>
      </c>
      <c r="AJ12" s="314">
        <f t="shared" si="16"/>
        <v>0</v>
      </c>
      <c r="AK12" s="317"/>
      <c r="AL12" s="315">
        <f t="shared" si="17"/>
        <v>-32267.528298862046</v>
      </c>
      <c r="AM12" s="293"/>
      <c r="AN12" s="546">
        <f t="shared" si="9"/>
        <v>-4.6781722998686819E-2</v>
      </c>
      <c r="AO12" s="314"/>
      <c r="AP12" s="318"/>
      <c r="AQ12" s="294"/>
      <c r="AR12" s="294"/>
      <c r="AS12" s="294"/>
      <c r="AT12" s="299"/>
      <c r="AU12" s="297" t="s">
        <v>279</v>
      </c>
    </row>
    <row r="13" spans="2:47">
      <c r="B13" s="296" t="s">
        <v>953</v>
      </c>
      <c r="C13" s="299" t="s">
        <v>276</v>
      </c>
      <c r="D13" s="298" t="s">
        <v>720</v>
      </c>
      <c r="E13" s="299" t="s">
        <v>113</v>
      </c>
      <c r="F13" s="299" t="s">
        <v>59</v>
      </c>
      <c r="G13" s="300">
        <v>44293</v>
      </c>
      <c r="H13" s="646">
        <v>722062.04</v>
      </c>
      <c r="I13" s="301" t="str">
        <f t="shared" si="0"/>
        <v>Ingresos Sección II LISR (SIC &amp; BMV)</v>
      </c>
      <c r="J13" s="302">
        <f t="shared" si="10"/>
        <v>125933</v>
      </c>
      <c r="K13" s="304">
        <f t="shared" si="2"/>
        <v>5.7336999833244668</v>
      </c>
      <c r="L13" s="305">
        <f>IF(H13=0,0,IF(OR(E13=$AT$5,E13=$AT$6),AA13,IF(F13="MXN",1/HLOOKUP(YEAR(G13)+(MONTH(G13)/100),TC!$5:$37,DAY(G13)+2,FALSE),VLOOKUP(F13,Equivalencia!$5:$23,((MAX(Equivalencia!$3:$3)-YEAR(G13))*14)+MONTH(G13)+2,FALSE))))</f>
        <v>1</v>
      </c>
      <c r="M13" s="306">
        <f t="shared" si="3"/>
        <v>722062.04</v>
      </c>
      <c r="N13" s="305">
        <f>IF(G13=0,0,(IF(OR(E13=$AT$5,E13=$AT$6),AC13,HLOOKUP(YEAR(G13)+(MONTH(G13)/100),TC!$5:$37,DAY(G13)+2,FALSE))))</f>
        <v>20.2483</v>
      </c>
      <c r="O13" s="307">
        <f t="shared" si="11"/>
        <v>14620528.804532001</v>
      </c>
      <c r="P13" s="552">
        <f>IF(G13=0,0,VLOOKUP(YEAR(G13),INPC!$B$4:$P$30,MONTH(G13)+2))</f>
        <v>112.19</v>
      </c>
      <c r="Q13" s="552">
        <f>IF(X13=0,0,IF(OR(E13=$AT$10,E13=$AT$9),VLOOKUP(YEAR(X13),INPC!$B$4:$P$30,MONTH(X13)+1),VLOOKUP(YEAR(X13),INPC!$B$4:$P$30,MONTH(X13)+2,0)))</f>
        <v>118.002</v>
      </c>
      <c r="R13" s="309">
        <f t="shared" si="4"/>
        <v>1.0518000000000001</v>
      </c>
      <c r="S13" s="310">
        <f t="shared" si="12"/>
        <v>15377872.196606759</v>
      </c>
      <c r="T13" s="547">
        <f t="shared" si="13"/>
        <v>122.11153706023647</v>
      </c>
      <c r="U13" s="311"/>
      <c r="V13" s="312">
        <v>125933</v>
      </c>
      <c r="W13" s="299" t="s">
        <v>194</v>
      </c>
      <c r="X13" s="300">
        <v>44603</v>
      </c>
      <c r="Y13" s="299" t="s">
        <v>59</v>
      </c>
      <c r="Z13" s="649">
        <v>701799.41994617216</v>
      </c>
      <c r="AA13" s="305">
        <f>IF(Z13=0,0,IF(Y13="MXN",1/HLOOKUP(YEAR(X13)+(MONTH(X13)/100),TC!$5:$37,DAY(X13)+2,FALSE),VLOOKUP(Y13,Equivalencia!$1:$23,((MAX(Equivalencia!$3:$3)-YEAR(X13))*14)+MONTH(X13)+2,FALSE)))</f>
        <v>1</v>
      </c>
      <c r="AB13" s="306">
        <f t="shared" si="14"/>
        <v>701799.41994617216</v>
      </c>
      <c r="AC13" s="305">
        <f>+IF(X13=0,0,HLOOKUP(YEAR(X13)+(MONTH(X13)/100),TC!$5:$37,DAY(X13)+2,FALSE))</f>
        <v>20.500800000000002</v>
      </c>
      <c r="AD13" s="307">
        <f t="shared" si="15"/>
        <v>14387449.548432488</v>
      </c>
      <c r="AE13" s="314">
        <f t="shared" si="5"/>
        <v>15377872.196606759</v>
      </c>
      <c r="AF13" s="315">
        <f t="shared" si="6"/>
        <v>-990422.64817427099</v>
      </c>
      <c r="AG13" s="316">
        <f t="shared" si="7"/>
        <v>0.84931506849315064</v>
      </c>
      <c r="AH13" s="314">
        <v>1</v>
      </c>
      <c r="AI13" s="314">
        <f t="shared" si="8"/>
        <v>-990422.64817427099</v>
      </c>
      <c r="AJ13" s="314">
        <f t="shared" si="16"/>
        <v>0</v>
      </c>
      <c r="AK13" s="317"/>
      <c r="AL13" s="315">
        <f t="shared" si="17"/>
        <v>-20262.620053827879</v>
      </c>
      <c r="AM13" s="293"/>
      <c r="AN13" s="546">
        <f t="shared" si="9"/>
        <v>-2.8062159387063027E-2</v>
      </c>
      <c r="AO13" s="314"/>
      <c r="AP13" s="318"/>
      <c r="AQ13" s="294"/>
      <c r="AR13" s="294"/>
      <c r="AS13" s="294"/>
      <c r="AT13" s="299"/>
      <c r="AU13" s="299"/>
    </row>
    <row r="14" spans="2:47" ht="17" thickBot="1">
      <c r="B14" s="296" t="s">
        <v>953</v>
      </c>
      <c r="C14" s="299" t="s">
        <v>276</v>
      </c>
      <c r="D14" s="298" t="s">
        <v>720</v>
      </c>
      <c r="E14" s="299" t="s">
        <v>113</v>
      </c>
      <c r="F14" s="299" t="s">
        <v>59</v>
      </c>
      <c r="G14" s="300">
        <v>44302</v>
      </c>
      <c r="H14" s="647">
        <v>13970.954498429168</v>
      </c>
      <c r="I14" s="301" t="str">
        <f t="shared" si="0"/>
        <v>Ingresos Sección II LISR (SIC &amp; BMV)</v>
      </c>
      <c r="J14" s="302">
        <f t="shared" si="10"/>
        <v>2428</v>
      </c>
      <c r="K14" s="304">
        <f t="shared" si="2"/>
        <v>5.7540998757945498</v>
      </c>
      <c r="L14" s="305">
        <f>IF(H14=0,0,IF(OR(E14=$AT$5,E14=$AT$6),AA14,IF(F14="MXN",1/HLOOKUP(YEAR(G14)+(MONTH(G14)/100),TC!$5:$37,DAY(G14)+2,FALSE),VLOOKUP(F14,Equivalencia!$5:$23,((MAX(Equivalencia!$3:$3)-YEAR(G14))*14)+MONTH(G14)+2,FALSE))))</f>
        <v>1</v>
      </c>
      <c r="M14" s="306">
        <f t="shared" si="3"/>
        <v>13970.954498429168</v>
      </c>
      <c r="N14" s="305">
        <f>IF(G14=0,0,(IF(OR(E14=$AT$5,E14=$AT$6),AC14,HLOOKUP(YEAR(G14)+(MONTH(G14)/100),TC!$5:$37,DAY(G14)+2,FALSE))))</f>
        <v>20.058299999999999</v>
      </c>
      <c r="O14" s="307">
        <f t="shared" si="11"/>
        <v>280233.59661584179</v>
      </c>
      <c r="P14" s="552">
        <f>IF(G14=0,0,VLOOKUP(YEAR(G14),INPC!$B$4:$P$30,MONTH(G14)+2))</f>
        <v>112.19</v>
      </c>
      <c r="Q14" s="552">
        <f>IF(X14=0,0,IF(OR(E14=$AT$10,E14=$AT$9),VLOOKUP(YEAR(X14),INPC!$B$4:$P$30,MONTH(X14)+1),VLOOKUP(YEAR(X14),INPC!$B$4:$P$30,MONTH(X14)+2,0)))</f>
        <v>118.002</v>
      </c>
      <c r="R14" s="309">
        <f t="shared" si="4"/>
        <v>1.0518000000000001</v>
      </c>
      <c r="S14" s="310">
        <f t="shared" si="12"/>
        <v>294749.6969205424</v>
      </c>
      <c r="T14" s="547">
        <f t="shared" si="13"/>
        <v>121.3960860463519</v>
      </c>
      <c r="U14" s="311"/>
      <c r="V14" s="312">
        <v>2428</v>
      </c>
      <c r="W14" s="299" t="s">
        <v>194</v>
      </c>
      <c r="X14" s="300">
        <v>44603</v>
      </c>
      <c r="Y14" s="299" t="s">
        <v>59</v>
      </c>
      <c r="Z14" s="650">
        <v>13530.758352689971</v>
      </c>
      <c r="AA14" s="305">
        <f>IF(Z14=0,0,IF(Y14="MXN",1/HLOOKUP(YEAR(X14)+(MONTH(X14)/100),TC!$5:$37,DAY(X14)+2,FALSE),VLOOKUP(Y14,Equivalencia!$1:$23,((MAX(Equivalencia!$3:$3)-YEAR(X14))*14)+MONTH(X14)+2,FALSE)))</f>
        <v>1</v>
      </c>
      <c r="AB14" s="306">
        <f t="shared" si="14"/>
        <v>13530.758352689971</v>
      </c>
      <c r="AC14" s="305">
        <f>+IF(X14=0,0,HLOOKUP(YEAR(X14)+(MONTH(X14)/100),TC!$5:$37,DAY(X14)+2,FALSE))</f>
        <v>20.500800000000002</v>
      </c>
      <c r="AD14" s="307">
        <f t="shared" si="15"/>
        <v>277391.37083682657</v>
      </c>
      <c r="AE14" s="314">
        <f t="shared" si="5"/>
        <v>294749.6969205424</v>
      </c>
      <c r="AF14" s="315">
        <f t="shared" si="6"/>
        <v>-17358.32608371583</v>
      </c>
      <c r="AG14" s="316">
        <f t="shared" si="7"/>
        <v>0.8246575342465754</v>
      </c>
      <c r="AH14" s="314">
        <v>1</v>
      </c>
      <c r="AI14" s="314">
        <f t="shared" si="8"/>
        <v>-17358.32608371583</v>
      </c>
      <c r="AJ14" s="314">
        <f t="shared" si="16"/>
        <v>0</v>
      </c>
      <c r="AK14" s="317"/>
      <c r="AL14" s="315">
        <f t="shared" si="17"/>
        <v>-440.19614573919716</v>
      </c>
      <c r="AM14" s="293"/>
      <c r="AN14" s="546">
        <f t="shared" si="9"/>
        <v>-3.1507950712221622E-2</v>
      </c>
      <c r="AO14" s="314"/>
      <c r="AP14" s="318"/>
      <c r="AQ14" s="294"/>
      <c r="AR14" s="294"/>
      <c r="AS14" s="294"/>
      <c r="AT14" s="299"/>
      <c r="AU14" s="299"/>
    </row>
    <row r="15" spans="2:47">
      <c r="B15" s="296" t="s">
        <v>953</v>
      </c>
      <c r="C15" s="299" t="s">
        <v>276</v>
      </c>
      <c r="D15" s="298" t="s">
        <v>723</v>
      </c>
      <c r="E15" s="299" t="s">
        <v>113</v>
      </c>
      <c r="F15" s="299" t="s">
        <v>59</v>
      </c>
      <c r="G15" s="300">
        <v>44293</v>
      </c>
      <c r="H15" s="651">
        <v>72516.826253348132</v>
      </c>
      <c r="I15" s="301" t="str">
        <f t="shared" si="0"/>
        <v>Ingresos Sección II LISR (SIC &amp; BMV)</v>
      </c>
      <c r="J15" s="302">
        <f t="shared" si="10"/>
        <v>11896</v>
      </c>
      <c r="K15" s="304">
        <f t="shared" si="2"/>
        <v>6.09589998767217</v>
      </c>
      <c r="L15" s="305">
        <f>IF(H15=0,0,IF(OR(E15=$AT$5,E15=$AT$6),AA15,IF(F15="MXN",1/HLOOKUP(YEAR(G15)+(MONTH(G15)/100),TC!$5:$37,DAY(G15)+2,FALSE),VLOOKUP(F15,Equivalencia!$5:$23,((MAX(Equivalencia!$3:$3)-YEAR(G15))*14)+MONTH(G15)+2,FALSE))))</f>
        <v>1</v>
      </c>
      <c r="M15" s="306">
        <f t="shared" si="3"/>
        <v>72516.826253348132</v>
      </c>
      <c r="N15" s="305">
        <f>IF(G15=0,0,(IF(OR(E15=$AT$5,E15=$AT$6),AC15,HLOOKUP(YEAR(G15)+(MONTH(G15)/100),TC!$5:$37,DAY(G15)+2,FALSE))))</f>
        <v>20.2483</v>
      </c>
      <c r="O15" s="307">
        <f t="shared" si="11"/>
        <v>1468342.4530256691</v>
      </c>
      <c r="P15" s="552">
        <f>IF(G15=0,0,VLOOKUP(YEAR(G15),INPC!$B$4:$P$30,MONTH(G15)+2))</f>
        <v>112.19</v>
      </c>
      <c r="Q15" s="552">
        <f>IF(X15=0,0,IF(OR(E15=$AT$10,E15=$AT$9),VLOOKUP(YEAR(X15),INPC!$B$4:$P$30,MONTH(X15)+1),VLOOKUP(YEAR(X15),INPC!$B$4:$P$30,MONTH(X15)+2,0)))</f>
        <v>118.002</v>
      </c>
      <c r="R15" s="309">
        <f t="shared" si="4"/>
        <v>1.0518000000000001</v>
      </c>
      <c r="S15" s="310">
        <f t="shared" si="12"/>
        <v>1544402.5920923988</v>
      </c>
      <c r="T15" s="547">
        <f t="shared" si="13"/>
        <v>129.82536920749823</v>
      </c>
      <c r="U15" s="311"/>
      <c r="V15" s="312">
        <v>11896</v>
      </c>
      <c r="W15" s="299" t="s">
        <v>194</v>
      </c>
      <c r="X15" s="300">
        <v>44603</v>
      </c>
      <c r="Y15" s="299" t="s">
        <v>59</v>
      </c>
      <c r="Z15" s="651">
        <v>71481.873275240854</v>
      </c>
      <c r="AA15" s="305">
        <f>IF(Z15=0,0,IF(Y15="MXN",1/HLOOKUP(YEAR(X15)+(MONTH(X15)/100),TC!$5:$37,DAY(X15)+2,FALSE),VLOOKUP(Y15,Equivalencia!$1:$23,((MAX(Equivalencia!$3:$3)-YEAR(X15))*14)+MONTH(X15)+2,FALSE)))</f>
        <v>1</v>
      </c>
      <c r="AB15" s="306">
        <f t="shared" si="14"/>
        <v>71481.873275240854</v>
      </c>
      <c r="AC15" s="305">
        <f>+IF(X15=0,0,HLOOKUP(YEAR(X15)+(MONTH(X15)/100),TC!$5:$37,DAY(X15)+2,FALSE))</f>
        <v>20.500800000000002</v>
      </c>
      <c r="AD15" s="307">
        <f t="shared" si="15"/>
        <v>1465435.5876410578</v>
      </c>
      <c r="AE15" s="314">
        <f t="shared" si="5"/>
        <v>1544402.592092399</v>
      </c>
      <c r="AF15" s="315">
        <f t="shared" si="6"/>
        <v>-78967.004451341229</v>
      </c>
      <c r="AG15" s="316">
        <f t="shared" si="7"/>
        <v>0.84931506849315064</v>
      </c>
      <c r="AH15" s="314">
        <v>1</v>
      </c>
      <c r="AI15" s="314">
        <f t="shared" si="8"/>
        <v>-78967.004451341229</v>
      </c>
      <c r="AJ15" s="314">
        <f t="shared" si="16"/>
        <v>0</v>
      </c>
      <c r="AK15" s="317"/>
      <c r="AL15" s="315">
        <f t="shared" si="17"/>
        <v>-1034.9529781072779</v>
      </c>
      <c r="AN15" s="546">
        <f t="shared" si="9"/>
        <v>-1.4271901179065924E-2</v>
      </c>
      <c r="AO15" s="314"/>
      <c r="AP15" s="318"/>
      <c r="AT15" s="299"/>
      <c r="AU15" s="299"/>
    </row>
    <row r="16" spans="2:47" ht="17" thickBot="1">
      <c r="B16" s="296" t="s">
        <v>953</v>
      </c>
      <c r="C16" s="299" t="s">
        <v>276</v>
      </c>
      <c r="D16" s="298" t="s">
        <v>723</v>
      </c>
      <c r="E16" s="299" t="s">
        <v>113</v>
      </c>
      <c r="F16" s="299" t="s">
        <v>59</v>
      </c>
      <c r="G16" s="300">
        <v>44302</v>
      </c>
      <c r="H16" s="647">
        <v>166546.08362036344</v>
      </c>
      <c r="I16" s="301" t="str">
        <f t="shared" si="0"/>
        <v>Ingresos Sección II LISR (SIC &amp; BMV)</v>
      </c>
      <c r="J16" s="302">
        <f t="shared" si="10"/>
        <v>27237</v>
      </c>
      <c r="K16" s="304">
        <f t="shared" si="2"/>
        <v>6.1146999897332099</v>
      </c>
      <c r="L16" s="305">
        <f>IF(H16=0,0,IF(OR(E16=$AT$5,E16=$AT$6),AA16,IF(F16="MXN",1/HLOOKUP(YEAR(G16)+(MONTH(G16)/100),TC!$5:$37,DAY(G16)+2,FALSE),VLOOKUP(F16,Equivalencia!$5:$23,((MAX(Equivalencia!$3:$3)-YEAR(G16))*14)+MONTH(G16)+2,FALSE))))</f>
        <v>1</v>
      </c>
      <c r="M16" s="306">
        <f t="shared" si="3"/>
        <v>166546.08362036344</v>
      </c>
      <c r="N16" s="305">
        <f>IF(G16=0,0,(IF(OR(E16=$AT$5,E16=$AT$6),AC16,HLOOKUP(YEAR(G16)+(MONTH(G16)/100),TC!$5:$37,DAY(G16)+2,FALSE))))</f>
        <v>20.058299999999999</v>
      </c>
      <c r="O16" s="307">
        <f t="shared" si="11"/>
        <v>3340631.3090823358</v>
      </c>
      <c r="P16" s="552">
        <f>IF(G16=0,0,VLOOKUP(YEAR(G16),INPC!$B$4:$P$30,MONTH(G16)+2))</f>
        <v>112.19</v>
      </c>
      <c r="Q16" s="552">
        <f>IF(X16=0,0,IF(OR(E16=$AT$10,E16=$AT$9),VLOOKUP(YEAR(X16),INPC!$B$4:$P$30,MONTH(X16)+1),VLOOKUP(YEAR(X16),INPC!$B$4:$P$30,MONTH(X16)+2,0)))</f>
        <v>118.002</v>
      </c>
      <c r="R16" s="309">
        <f t="shared" si="4"/>
        <v>1.0518000000000001</v>
      </c>
      <c r="S16" s="310">
        <f t="shared" si="12"/>
        <v>3513676.010892801</v>
      </c>
      <c r="T16" s="547">
        <f t="shared" si="13"/>
        <v>129.00378202051624</v>
      </c>
      <c r="U16" s="311"/>
      <c r="V16" s="312">
        <v>27237</v>
      </c>
      <c r="W16" s="299" t="s">
        <v>194</v>
      </c>
      <c r="X16" s="300">
        <v>44603</v>
      </c>
      <c r="Y16" s="299" t="s">
        <v>59</v>
      </c>
      <c r="Z16" s="647">
        <v>163664.40672475917</v>
      </c>
      <c r="AA16" s="305">
        <f>IF(Z16=0,0,IF(Y16="MXN",1/HLOOKUP(YEAR(X16)+(MONTH(X16)/100),TC!$5:$37,DAY(X16)+2,FALSE),VLOOKUP(Y16,Equivalencia!$1:$23,((MAX(Equivalencia!$3:$3)-YEAR(X16))*14)+MONTH(X16)+2,FALSE)))</f>
        <v>1</v>
      </c>
      <c r="AB16" s="306">
        <f t="shared" si="14"/>
        <v>163664.40672475917</v>
      </c>
      <c r="AC16" s="305">
        <f>+IF(X16=0,0,HLOOKUP(YEAR(X16)+(MONTH(X16)/100),TC!$5:$37,DAY(X16)+2,FALSE))</f>
        <v>20.500800000000002</v>
      </c>
      <c r="AD16" s="307">
        <f t="shared" si="15"/>
        <v>3355251.2693829429</v>
      </c>
      <c r="AE16" s="314">
        <f t="shared" si="5"/>
        <v>3513676.010892801</v>
      </c>
      <c r="AF16" s="315">
        <f t="shared" si="6"/>
        <v>-158424.74150985805</v>
      </c>
      <c r="AG16" s="316">
        <f t="shared" si="7"/>
        <v>0.8246575342465754</v>
      </c>
      <c r="AH16" s="314">
        <v>1</v>
      </c>
      <c r="AI16" s="314">
        <f t="shared" si="8"/>
        <v>-158424.74150985805</v>
      </c>
      <c r="AJ16" s="314">
        <f t="shared" si="16"/>
        <v>0</v>
      </c>
      <c r="AK16" s="317"/>
      <c r="AL16" s="315">
        <f t="shared" si="17"/>
        <v>-2881.6768956042652</v>
      </c>
      <c r="AN16" s="546">
        <f t="shared" si="9"/>
        <v>-1.7302579760283987E-2</v>
      </c>
      <c r="AO16" s="314"/>
      <c r="AP16" s="318"/>
      <c r="AT16" s="299"/>
      <c r="AU16" s="299"/>
    </row>
    <row r="17" spans="2:47">
      <c r="B17" s="296" t="s">
        <v>953</v>
      </c>
      <c r="C17" s="299" t="s">
        <v>276</v>
      </c>
      <c r="D17" s="298" t="s">
        <v>710</v>
      </c>
      <c r="E17" s="299" t="s">
        <v>113</v>
      </c>
      <c r="F17" s="299" t="s">
        <v>59</v>
      </c>
      <c r="G17" s="300">
        <v>44218</v>
      </c>
      <c r="H17" s="651">
        <v>117216.80901112485</v>
      </c>
      <c r="I17" s="301" t="str">
        <f t="shared" si="0"/>
        <v>Ingresos Sección II LISR (SIC &amp; BMV)</v>
      </c>
      <c r="J17" s="302">
        <f t="shared" si="10"/>
        <v>22442</v>
      </c>
      <c r="K17" s="304">
        <f t="shared" si="2"/>
        <v>5.2230999470245454</v>
      </c>
      <c r="L17" s="305">
        <f>IF(H17=0,0,IF(OR(E17=$AT$5,E17=$AT$6),AA17,IF(F17="MXN",1/HLOOKUP(YEAR(G17)+(MONTH(G17)/100),TC!$5:$37,DAY(G17)+2,FALSE),VLOOKUP(F17,Equivalencia!$5:$23,((MAX(Equivalencia!$3:$3)-YEAR(G17))*14)+MONTH(G17)+2,FALSE))))</f>
        <v>1</v>
      </c>
      <c r="M17" s="306">
        <f t="shared" si="3"/>
        <v>117216.80901112485</v>
      </c>
      <c r="N17" s="305">
        <f>IF(G17=0,0,(IF(OR(E17=$AT$5,E17=$AT$6),AC17,HLOOKUP(YEAR(G17)+(MONTH(G17)/100),TC!$5:$37,DAY(G17)+2,FALSE))))</f>
        <v>19.5793</v>
      </c>
      <c r="O17" s="307">
        <f t="shared" si="11"/>
        <v>2295023.0686715166</v>
      </c>
      <c r="P17" s="552">
        <f>IF(G17=0,0,VLOOKUP(YEAR(G17),INPC!$B$4:$P$30,MONTH(G17)+2))</f>
        <v>110.21</v>
      </c>
      <c r="Q17" s="552">
        <f>IF(X17=0,0,IF(OR(E17=$AT$10,E17=$AT$9),VLOOKUP(YEAR(X17),INPC!$B$4:$P$30,MONTH(X17)+1),VLOOKUP(YEAR(X17),INPC!$B$4:$P$30,MONTH(X17)+2,0)))</f>
        <v>118.002</v>
      </c>
      <c r="R17" s="309">
        <f t="shared" si="4"/>
        <v>1.0707</v>
      </c>
      <c r="S17" s="310">
        <f t="shared" si="12"/>
        <v>2457281.1996265929</v>
      </c>
      <c r="T17" s="547">
        <f t="shared" si="13"/>
        <v>109.49475089682706</v>
      </c>
      <c r="U17" s="311"/>
      <c r="V17" s="312">
        <v>22442</v>
      </c>
      <c r="W17" s="299" t="s">
        <v>194</v>
      </c>
      <c r="X17" s="300">
        <v>44603</v>
      </c>
      <c r="Y17" s="299" t="s">
        <v>59</v>
      </c>
      <c r="Z17" s="651">
        <v>138305.55614343664</v>
      </c>
      <c r="AA17" s="305">
        <f>IF(Z17=0,0,IF(Y17="MXN",1/HLOOKUP(YEAR(X17)+(MONTH(X17)/100),TC!$5:$37,DAY(X17)+2,FALSE),VLOOKUP(Y17,Equivalencia!$1:$23,((MAX(Equivalencia!$3:$3)-YEAR(X17))*14)+MONTH(X17)+2,FALSE)))</f>
        <v>1</v>
      </c>
      <c r="AB17" s="306">
        <f t="shared" si="14"/>
        <v>138305.55614343664</v>
      </c>
      <c r="AC17" s="305">
        <f>+IF(X17=0,0,HLOOKUP(YEAR(X17)+(MONTH(X17)/100),TC!$5:$37,DAY(X17)+2,FALSE))</f>
        <v>20.500800000000002</v>
      </c>
      <c r="AD17" s="307">
        <f t="shared" si="15"/>
        <v>2835374.5453853663</v>
      </c>
      <c r="AE17" s="314">
        <f t="shared" si="5"/>
        <v>2457281.1996265929</v>
      </c>
      <c r="AF17" s="315">
        <f t="shared" si="6"/>
        <v>378093.34575877339</v>
      </c>
      <c r="AG17" s="316">
        <f t="shared" si="7"/>
        <v>1.0547945205479452</v>
      </c>
      <c r="AH17" s="314">
        <v>1</v>
      </c>
      <c r="AI17" s="314">
        <f t="shared" si="8"/>
        <v>378093.34575877339</v>
      </c>
      <c r="AJ17" s="314">
        <f t="shared" si="16"/>
        <v>0</v>
      </c>
      <c r="AK17" s="317"/>
      <c r="AL17" s="315">
        <f t="shared" si="17"/>
        <v>21088.747132311793</v>
      </c>
      <c r="AN17" s="546">
        <f t="shared" si="9"/>
        <v>0.17991231215234921</v>
      </c>
      <c r="AO17" s="314"/>
      <c r="AP17" s="318"/>
      <c r="AT17" s="299"/>
      <c r="AU17" s="299"/>
    </row>
    <row r="18" spans="2:47">
      <c r="B18" s="296" t="s">
        <v>953</v>
      </c>
      <c r="C18" s="299" t="s">
        <v>276</v>
      </c>
      <c r="D18" s="298" t="s">
        <v>710</v>
      </c>
      <c r="E18" s="299" t="s">
        <v>113</v>
      </c>
      <c r="F18" s="299" t="s">
        <v>59</v>
      </c>
      <c r="G18" s="300">
        <v>44231</v>
      </c>
      <c r="H18" s="646">
        <v>23830.930000000004</v>
      </c>
      <c r="I18" s="301" t="str">
        <f t="shared" si="0"/>
        <v>Ingresos Sección II LISR (SIC &amp; BMV)</v>
      </c>
      <c r="J18" s="302">
        <f t="shared" si="10"/>
        <v>4704</v>
      </c>
      <c r="K18" s="304">
        <f t="shared" si="2"/>
        <v>5.0660990646258508</v>
      </c>
      <c r="L18" s="305">
        <f>IF(H18=0,0,IF(OR(E18=$AT$5,E18=$AT$6),AA18,IF(F18="MXN",1/HLOOKUP(YEAR(G18)+(MONTH(G18)/100),TC!$5:$37,DAY(G18)+2,FALSE),VLOOKUP(F18,Equivalencia!$5:$23,((MAX(Equivalencia!$3:$3)-YEAR(G18))*14)+MONTH(G18)+2,FALSE))))</f>
        <v>1</v>
      </c>
      <c r="M18" s="306">
        <f t="shared" si="3"/>
        <v>23830.930000000004</v>
      </c>
      <c r="N18" s="305">
        <f>IF(G18=0,0,(IF(OR(E18=$AT$5,E18=$AT$6),AC18,HLOOKUP(YEAR(G18)+(MONTH(G18)/100),TC!$5:$37,DAY(G18)+2,FALSE))))</f>
        <v>20.1722</v>
      </c>
      <c r="O18" s="307">
        <f t="shared" si="11"/>
        <v>480722.28614600009</v>
      </c>
      <c r="P18" s="552">
        <f>IF(G18=0,0,VLOOKUP(YEAR(G18),INPC!$B$4:$P$30,MONTH(G18)+2))</f>
        <v>110.907</v>
      </c>
      <c r="Q18" s="552">
        <f>IF(X18=0,0,IF(OR(E18=$AT$10,E18=$AT$9),VLOOKUP(YEAR(X18),INPC!$B$4:$P$30,MONTH(X18)+1),VLOOKUP(YEAR(X18),INPC!$B$4:$P$30,MONTH(X18)+2,0)))</f>
        <v>118.002</v>
      </c>
      <c r="R18" s="309">
        <f t="shared" si="4"/>
        <v>1.0639000000000001</v>
      </c>
      <c r="S18" s="310">
        <f t="shared" si="12"/>
        <v>511440.44023072952</v>
      </c>
      <c r="T18" s="547">
        <f t="shared" si="13"/>
        <v>108.72458338238297</v>
      </c>
      <c r="U18" s="311"/>
      <c r="V18" s="312">
        <v>4704</v>
      </c>
      <c r="W18" s="299" t="s">
        <v>194</v>
      </c>
      <c r="X18" s="300">
        <v>44603</v>
      </c>
      <c r="Y18" s="299" t="s">
        <v>59</v>
      </c>
      <c r="Z18" s="646">
        <v>28989.810894694143</v>
      </c>
      <c r="AA18" s="305">
        <f>IF(Z18=0,0,IF(Y18="MXN",1/HLOOKUP(YEAR(X18)+(MONTH(X18)/100),TC!$5:$37,DAY(X18)+2,FALSE),VLOOKUP(Y18,Equivalencia!$1:$23,((MAX(Equivalencia!$3:$3)-YEAR(X18))*14)+MONTH(X18)+2,FALSE)))</f>
        <v>1</v>
      </c>
      <c r="AB18" s="306">
        <f t="shared" si="14"/>
        <v>28989.810894694143</v>
      </c>
      <c r="AC18" s="305">
        <f>+IF(X18=0,0,HLOOKUP(YEAR(X18)+(MONTH(X18)/100),TC!$5:$37,DAY(X18)+2,FALSE))</f>
        <v>20.500800000000002</v>
      </c>
      <c r="AD18" s="307">
        <f t="shared" si="15"/>
        <v>594314.31518994574</v>
      </c>
      <c r="AE18" s="314">
        <f t="shared" si="5"/>
        <v>511440.44023072952</v>
      </c>
      <c r="AF18" s="315">
        <f t="shared" si="6"/>
        <v>82873.87495921622</v>
      </c>
      <c r="AG18" s="316">
        <f t="shared" si="7"/>
        <v>1.0191780821917809</v>
      </c>
      <c r="AH18" s="314">
        <v>1</v>
      </c>
      <c r="AI18" s="314">
        <f t="shared" si="8"/>
        <v>82873.87495921622</v>
      </c>
      <c r="AJ18" s="314">
        <f t="shared" si="16"/>
        <v>0</v>
      </c>
      <c r="AK18" s="317"/>
      <c r="AL18" s="315">
        <f t="shared" si="17"/>
        <v>5158.880894694139</v>
      </c>
      <c r="AN18" s="546">
        <f t="shared" si="9"/>
        <v>0.2164783705333421</v>
      </c>
      <c r="AO18" s="314"/>
      <c r="AP18" s="318"/>
      <c r="AT18" s="299"/>
      <c r="AU18" s="299"/>
    </row>
    <row r="19" spans="2:47" ht="17" thickBot="1">
      <c r="B19" s="296" t="s">
        <v>953</v>
      </c>
      <c r="C19" s="299" t="s">
        <v>276</v>
      </c>
      <c r="D19" s="298" t="s">
        <v>710</v>
      </c>
      <c r="E19" s="299" t="s">
        <v>113</v>
      </c>
      <c r="F19" s="299" t="s">
        <v>59</v>
      </c>
      <c r="G19" s="300">
        <v>44293</v>
      </c>
      <c r="H19" s="647">
        <v>19937.712434686113</v>
      </c>
      <c r="I19" s="301" t="str">
        <f t="shared" si="0"/>
        <v>Ingresos Sección II LISR (SIC &amp; BMV)</v>
      </c>
      <c r="J19" s="302">
        <f t="shared" si="10"/>
        <v>3669</v>
      </c>
      <c r="K19" s="304">
        <f t="shared" si="2"/>
        <v>5.4340998731769181</v>
      </c>
      <c r="L19" s="305">
        <f>IF(H19=0,0,IF(OR(E19=$AT$5,E19=$AT$6),AA19,IF(F19="MXN",1/HLOOKUP(YEAR(G19)+(MONTH(G19)/100),TC!$5:$37,DAY(G19)+2,FALSE),VLOOKUP(F19,Equivalencia!$5:$23,((MAX(Equivalencia!$3:$3)-YEAR(G19))*14)+MONTH(G19)+2,FALSE))))</f>
        <v>1</v>
      </c>
      <c r="M19" s="306">
        <f t="shared" si="3"/>
        <v>19937.712434686113</v>
      </c>
      <c r="N19" s="305">
        <f>IF(G19=0,0,(IF(OR(E19=$AT$5,E19=$AT$6),AC19,HLOOKUP(YEAR(G19)+(MONTH(G19)/100),TC!$5:$37,DAY(G19)+2,FALSE))))</f>
        <v>20.2483</v>
      </c>
      <c r="O19" s="307">
        <f t="shared" si="11"/>
        <v>403704.7826912548</v>
      </c>
      <c r="P19" s="552">
        <f>IF(G19=0,0,VLOOKUP(YEAR(G19),INPC!$B$4:$P$30,MONTH(G19)+2))</f>
        <v>112.19</v>
      </c>
      <c r="Q19" s="552">
        <f>IF(X19=0,0,IF(OR(E19=$AT$10,E19=$AT$9),VLOOKUP(YEAR(X19),INPC!$B$4:$P$30,MONTH(X19)+1),VLOOKUP(YEAR(X19),INPC!$B$4:$P$30,MONTH(X19)+2,0)))</f>
        <v>118.002</v>
      </c>
      <c r="R19" s="309">
        <f t="shared" si="4"/>
        <v>1.0518000000000001</v>
      </c>
      <c r="S19" s="310">
        <f t="shared" si="12"/>
        <v>424616.69043466181</v>
      </c>
      <c r="T19" s="547">
        <f t="shared" si="13"/>
        <v>115.73090499718229</v>
      </c>
      <c r="U19" s="311"/>
      <c r="V19" s="312">
        <v>3669</v>
      </c>
      <c r="W19" s="299" t="s">
        <v>194</v>
      </c>
      <c r="X19" s="300">
        <v>44603</v>
      </c>
      <c r="Y19" s="299" t="s">
        <v>59</v>
      </c>
      <c r="Z19" s="647">
        <v>22611.312961869218</v>
      </c>
      <c r="AA19" s="305">
        <f>IF(Z19=0,0,IF(Y19="MXN",1/HLOOKUP(YEAR(X19)+(MONTH(X19)/100),TC!$5:$37,DAY(X19)+2,FALSE),VLOOKUP(Y19,Equivalencia!$1:$23,((MAX(Equivalencia!$3:$3)-YEAR(X19))*14)+MONTH(X19)+2,FALSE)))</f>
        <v>1</v>
      </c>
      <c r="AB19" s="306">
        <f t="shared" si="14"/>
        <v>22611.312961869218</v>
      </c>
      <c r="AC19" s="305">
        <f>+IF(X19=0,0,HLOOKUP(YEAR(X19)+(MONTH(X19)/100),TC!$5:$37,DAY(X19)+2,FALSE))</f>
        <v>20.500800000000002</v>
      </c>
      <c r="AD19" s="307">
        <f t="shared" si="15"/>
        <v>463550.00476868852</v>
      </c>
      <c r="AE19" s="314">
        <f t="shared" si="5"/>
        <v>424616.69043466181</v>
      </c>
      <c r="AF19" s="315">
        <f t="shared" si="6"/>
        <v>38933.314334026712</v>
      </c>
      <c r="AG19" s="316">
        <f t="shared" si="7"/>
        <v>0.84931506849315064</v>
      </c>
      <c r="AH19" s="314">
        <v>1</v>
      </c>
      <c r="AI19" s="314">
        <f t="shared" si="8"/>
        <v>38933.314334026712</v>
      </c>
      <c r="AJ19" s="314">
        <f t="shared" si="16"/>
        <v>0</v>
      </c>
      <c r="AK19" s="317"/>
      <c r="AL19" s="315">
        <f t="shared" si="17"/>
        <v>2673.6005271831054</v>
      </c>
      <c r="AN19" s="546">
        <f t="shared" si="9"/>
        <v>0.13409765718818267</v>
      </c>
      <c r="AO19" s="314"/>
      <c r="AP19" s="318"/>
      <c r="AT19" s="299"/>
      <c r="AU19" s="299"/>
    </row>
    <row r="20" spans="2:47">
      <c r="B20" s="296" t="s">
        <v>953</v>
      </c>
      <c r="C20" s="299" t="s">
        <v>276</v>
      </c>
      <c r="D20" s="298" t="s">
        <v>714</v>
      </c>
      <c r="E20" s="299" t="s">
        <v>113</v>
      </c>
      <c r="F20" s="299" t="s">
        <v>59</v>
      </c>
      <c r="G20" s="300">
        <v>44118</v>
      </c>
      <c r="H20" s="651">
        <v>182.66600000000003</v>
      </c>
      <c r="I20" s="301" t="str">
        <f t="shared" si="0"/>
        <v>Ingresos Sección II LISR (SIC &amp; BMV)</v>
      </c>
      <c r="J20" s="302">
        <f t="shared" si="10"/>
        <v>38</v>
      </c>
      <c r="K20" s="304">
        <f t="shared" si="2"/>
        <v>4.8070000000000004</v>
      </c>
      <c r="L20" s="305">
        <f>IF(H20=0,0,IF(OR(E20=$AT$5,E20=$AT$6),AA20,IF(F20="MXN",1/HLOOKUP(YEAR(G20)+(MONTH(G20)/100),TC!$5:$37,DAY(G20)+2,FALSE),VLOOKUP(F20,Equivalencia!$5:$23,((MAX(Equivalencia!$3:$3)-YEAR(G20))*14)+MONTH(G20)+2,FALSE))))</f>
        <v>1</v>
      </c>
      <c r="M20" s="306">
        <f t="shared" si="3"/>
        <v>182.66600000000003</v>
      </c>
      <c r="N20" s="305">
        <f>IF(G20=0,0,(IF(OR(E20=$AT$5,E20=$AT$6),AC20,HLOOKUP(YEAR(G20)+(MONTH(G20)/100),TC!$5:$37,DAY(G20)+2,FALSE))))</f>
        <v>21.218299999999999</v>
      </c>
      <c r="O20" s="307">
        <f t="shared" si="11"/>
        <v>3875.8619878000004</v>
      </c>
      <c r="P20" s="552">
        <f>IF(G20=0,0,VLOOKUP(YEAR(G20),INPC!$B$4:$P$30,MONTH(G20)+2))</f>
        <v>108.774</v>
      </c>
      <c r="Q20" s="552">
        <f>IF(X20=0,0,IF(OR(E20=$AT$10,E20=$AT$9),VLOOKUP(YEAR(X20),INPC!$B$4:$P$30,MONTH(X20)+1),VLOOKUP(YEAR(X20),INPC!$B$4:$P$30,MONTH(X20)+2,0)))</f>
        <v>118.002</v>
      </c>
      <c r="R20" s="309">
        <f t="shared" si="4"/>
        <v>1.0848</v>
      </c>
      <c r="S20" s="310">
        <f t="shared" si="12"/>
        <v>4204.5350843654405</v>
      </c>
      <c r="T20" s="547">
        <f t="shared" si="13"/>
        <v>110.64566011488002</v>
      </c>
      <c r="U20" s="311"/>
      <c r="V20" s="312">
        <v>38</v>
      </c>
      <c r="W20" s="299" t="s">
        <v>194</v>
      </c>
      <c r="X20" s="300">
        <v>44603</v>
      </c>
      <c r="Y20" s="299" t="s">
        <v>59</v>
      </c>
      <c r="Z20" s="651">
        <v>236.2574043622599</v>
      </c>
      <c r="AA20" s="305">
        <f>IF(Z20=0,0,IF(Y20="MXN",1/HLOOKUP(YEAR(X20)+(MONTH(X20)/100),TC!$5:$37,DAY(X20)+2,FALSE),VLOOKUP(Y20,Equivalencia!$1:$23,((MAX(Equivalencia!$3:$3)-YEAR(X20))*14)+MONTH(X20)+2,FALSE)))</f>
        <v>1</v>
      </c>
      <c r="AB20" s="306">
        <f t="shared" si="14"/>
        <v>236.2574043622599</v>
      </c>
      <c r="AC20" s="305">
        <f>+IF(X20=0,0,HLOOKUP(YEAR(X20)+(MONTH(X20)/100),TC!$5:$37,DAY(X20)+2,FALSE))</f>
        <v>20.500800000000002</v>
      </c>
      <c r="AD20" s="307">
        <f t="shared" si="15"/>
        <v>4843.4657953498181</v>
      </c>
      <c r="AE20" s="314">
        <f t="shared" si="5"/>
        <v>4204.5350843654405</v>
      </c>
      <c r="AF20" s="315">
        <f t="shared" si="6"/>
        <v>638.93071098437758</v>
      </c>
      <c r="AG20" s="316">
        <f t="shared" si="7"/>
        <v>1.3287671232876712</v>
      </c>
      <c r="AH20" s="314">
        <v>1</v>
      </c>
      <c r="AI20" s="314">
        <f t="shared" si="8"/>
        <v>638.93071098437758</v>
      </c>
      <c r="AJ20" s="314">
        <f t="shared" si="16"/>
        <v>0</v>
      </c>
      <c r="AK20" s="317"/>
      <c r="AL20" s="315">
        <f t="shared" si="17"/>
        <v>53.59140436225988</v>
      </c>
      <c r="AN20" s="546">
        <f t="shared" si="9"/>
        <v>0.29338467127029588</v>
      </c>
      <c r="AO20" s="314"/>
      <c r="AP20" s="318"/>
    </row>
    <row r="21" spans="2:47">
      <c r="B21" s="296" t="s">
        <v>953</v>
      </c>
      <c r="C21" s="299" t="s">
        <v>276</v>
      </c>
      <c r="D21" s="298" t="s">
        <v>714</v>
      </c>
      <c r="E21" s="299" t="s">
        <v>113</v>
      </c>
      <c r="F21" s="299" t="s">
        <v>59</v>
      </c>
      <c r="G21" s="300">
        <v>44158</v>
      </c>
      <c r="H21" s="646">
        <v>22290.79</v>
      </c>
      <c r="I21" s="301" t="str">
        <f t="shared" si="0"/>
        <v>Ingresos Sección II LISR (SIC &amp; BMV)</v>
      </c>
      <c r="J21" s="302">
        <f t="shared" si="10"/>
        <v>4301</v>
      </c>
      <c r="K21" s="304">
        <f t="shared" si="2"/>
        <v>5.1826993722390142</v>
      </c>
      <c r="L21" s="305">
        <f>IF(H21=0,0,IF(OR(E21=$AT$5,E21=$AT$6),AA21,IF(F21="MXN",1/HLOOKUP(YEAR(G21)+(MONTH(G21)/100),TC!$5:$37,DAY(G21)+2,FALSE),VLOOKUP(F21,Equivalencia!$5:$23,((MAX(Equivalencia!$3:$3)-YEAR(G21))*14)+MONTH(G21)+2,FALSE))))</f>
        <v>1</v>
      </c>
      <c r="M21" s="306">
        <f t="shared" si="3"/>
        <v>22290.79</v>
      </c>
      <c r="N21" s="305">
        <f>IF(G21=0,0,(IF(OR(E21=$AT$5,E21=$AT$6),AC21,HLOOKUP(YEAR(G21)+(MONTH(G21)/100),TC!$5:$37,DAY(G21)+2,FALSE))))</f>
        <v>20.1858</v>
      </c>
      <c r="O21" s="307">
        <f t="shared" si="11"/>
        <v>449957.42878200003</v>
      </c>
      <c r="P21" s="552">
        <f>IF(G21=0,0,VLOOKUP(YEAR(G21),INPC!$B$4:$P$30,MONTH(G21)+2))</f>
        <v>108.85599999999999</v>
      </c>
      <c r="Q21" s="552">
        <f>IF(X21=0,0,IF(OR(E21=$AT$10,E21=$AT$9),VLOOKUP(YEAR(X21),INPC!$B$4:$P$30,MONTH(X21)+1),VLOOKUP(YEAR(X21),INPC!$B$4:$P$30,MONTH(X21)+2,0)))</f>
        <v>118.002</v>
      </c>
      <c r="R21" s="309">
        <f t="shared" si="4"/>
        <v>1.0840000000000001</v>
      </c>
      <c r="S21" s="310">
        <f t="shared" si="12"/>
        <v>487753.85279968806</v>
      </c>
      <c r="T21" s="547">
        <f t="shared" si="13"/>
        <v>113.40475535914626</v>
      </c>
      <c r="U21" s="311"/>
      <c r="V21" s="312">
        <v>4301</v>
      </c>
      <c r="W21" s="299" t="s">
        <v>194</v>
      </c>
      <c r="X21" s="300">
        <v>44603</v>
      </c>
      <c r="Y21" s="299" t="s">
        <v>59</v>
      </c>
      <c r="Z21" s="646">
        <v>26740.607793738945</v>
      </c>
      <c r="AA21" s="305">
        <f>IF(Z21=0,0,IF(Y21="MXN",1/HLOOKUP(YEAR(X21)+(MONTH(X21)/100),TC!$5:$37,DAY(X21)+2,FALSE),VLOOKUP(Y21,Equivalencia!$1:$23,((MAX(Equivalencia!$3:$3)-YEAR(X21))*14)+MONTH(X21)+2,FALSE)))</f>
        <v>1</v>
      </c>
      <c r="AB21" s="306">
        <f t="shared" si="14"/>
        <v>26740.607793738945</v>
      </c>
      <c r="AC21" s="305">
        <f>+IF(X21=0,0,HLOOKUP(YEAR(X21)+(MONTH(X21)/100),TC!$5:$37,DAY(X21)+2,FALSE))</f>
        <v>20.500800000000002</v>
      </c>
      <c r="AD21" s="307">
        <f t="shared" si="15"/>
        <v>548203.85225788341</v>
      </c>
      <c r="AE21" s="314">
        <f t="shared" si="5"/>
        <v>487753.85279968806</v>
      </c>
      <c r="AF21" s="315">
        <f t="shared" si="6"/>
        <v>60449.999458195351</v>
      </c>
      <c r="AG21" s="316">
        <f t="shared" si="7"/>
        <v>1.2191780821917808</v>
      </c>
      <c r="AH21" s="314">
        <v>1</v>
      </c>
      <c r="AI21" s="314">
        <f t="shared" si="8"/>
        <v>60449.999458195351</v>
      </c>
      <c r="AJ21" s="314">
        <f t="shared" si="16"/>
        <v>0</v>
      </c>
      <c r="AK21" s="317"/>
      <c r="AL21" s="315">
        <f t="shared" si="17"/>
        <v>4449.8177937389446</v>
      </c>
      <c r="AN21" s="546">
        <f t="shared" si="9"/>
        <v>0.19962584519162149</v>
      </c>
      <c r="AO21" s="314"/>
      <c r="AP21" s="318"/>
    </row>
    <row r="22" spans="2:47" ht="17" thickBot="1">
      <c r="B22" s="296" t="s">
        <v>953</v>
      </c>
      <c r="C22" s="299" t="s">
        <v>276</v>
      </c>
      <c r="D22" s="298" t="s">
        <v>714</v>
      </c>
      <c r="E22" s="299" t="s">
        <v>113</v>
      </c>
      <c r="F22" s="299" t="s">
        <v>59</v>
      </c>
      <c r="G22" s="300">
        <v>44218</v>
      </c>
      <c r="H22" s="647">
        <v>147261.38788514325</v>
      </c>
      <c r="I22" s="301" t="str">
        <f t="shared" si="0"/>
        <v>Ingresos Sección II LISR (SIC &amp; BMV)</v>
      </c>
      <c r="J22" s="302">
        <f t="shared" si="10"/>
        <v>27892</v>
      </c>
      <c r="K22" s="304">
        <f t="shared" si="2"/>
        <v>5.2796998381307638</v>
      </c>
      <c r="L22" s="305">
        <f>IF(H22=0,0,IF(OR(E22=$AT$5,E22=$AT$6),AA22,IF(F22="MXN",1/HLOOKUP(YEAR(G22)+(MONTH(G22)/100),TC!$5:$37,DAY(G22)+2,FALSE),VLOOKUP(F22,Equivalencia!$5:$23,((MAX(Equivalencia!$3:$3)-YEAR(G22))*14)+MONTH(G22)+2,FALSE))))</f>
        <v>1</v>
      </c>
      <c r="M22" s="306">
        <f t="shared" si="3"/>
        <v>147261.38788514325</v>
      </c>
      <c r="N22" s="305">
        <f>IF(G22=0,0,(IF(OR(E22=$AT$5,E22=$AT$6),AC22,HLOOKUP(YEAR(G22)+(MONTH(G22)/100),TC!$5:$37,DAY(G22)+2,FALSE))))</f>
        <v>19.5793</v>
      </c>
      <c r="O22" s="307">
        <f t="shared" si="11"/>
        <v>2883274.8918195851</v>
      </c>
      <c r="P22" s="552">
        <f>IF(G22=0,0,VLOOKUP(YEAR(G22),INPC!$B$4:$P$30,MONTH(G22)+2))</f>
        <v>110.21</v>
      </c>
      <c r="Q22" s="552">
        <f>IF(X22=0,0,IF(OR(E22=$AT$10,E22=$AT$9),VLOOKUP(YEAR(X22),INPC!$B$4:$P$30,MONTH(X22)+1),VLOOKUP(YEAR(X22),INPC!$B$4:$P$30,MONTH(X22)+2,0)))</f>
        <v>118.002</v>
      </c>
      <c r="R22" s="309">
        <f t="shared" si="4"/>
        <v>1.0707</v>
      </c>
      <c r="S22" s="310">
        <f t="shared" si="12"/>
        <v>3087122.4266712298</v>
      </c>
      <c r="T22" s="547">
        <f t="shared" si="13"/>
        <v>110.6812859124921</v>
      </c>
      <c r="U22" s="311"/>
      <c r="V22" s="312">
        <v>27892</v>
      </c>
      <c r="W22" s="299" t="s">
        <v>194</v>
      </c>
      <c r="X22" s="300">
        <v>44603</v>
      </c>
      <c r="Y22" s="299" t="s">
        <v>59</v>
      </c>
      <c r="Z22" s="647">
        <v>173412.93480189878</v>
      </c>
      <c r="AA22" s="305">
        <f>IF(Z22=0,0,IF(Y22="MXN",1/HLOOKUP(YEAR(X22)+(MONTH(X22)/100),TC!$5:$37,DAY(X22)+2,FALSE),VLOOKUP(Y22,Equivalencia!$1:$23,((MAX(Equivalencia!$3:$3)-YEAR(X22))*14)+MONTH(X22)+2,FALSE)))</f>
        <v>1</v>
      </c>
      <c r="AB22" s="306">
        <f t="shared" si="14"/>
        <v>173412.93480189878</v>
      </c>
      <c r="AC22" s="305">
        <f>+IF(X22=0,0,HLOOKUP(YEAR(X22)+(MONTH(X22)/100),TC!$5:$37,DAY(X22)+2,FALSE))</f>
        <v>20.500800000000002</v>
      </c>
      <c r="AD22" s="307">
        <f t="shared" si="15"/>
        <v>3555103.893786767</v>
      </c>
      <c r="AE22" s="314">
        <f t="shared" si="5"/>
        <v>3087122.4266712298</v>
      </c>
      <c r="AF22" s="315">
        <f t="shared" si="6"/>
        <v>467981.46711553726</v>
      </c>
      <c r="AG22" s="316">
        <f t="shared" si="7"/>
        <v>1.0547945205479452</v>
      </c>
      <c r="AH22" s="314">
        <v>1</v>
      </c>
      <c r="AI22" s="314">
        <f t="shared" si="8"/>
        <v>467981.46711553726</v>
      </c>
      <c r="AJ22" s="314">
        <f t="shared" si="16"/>
        <v>0</v>
      </c>
      <c r="AK22" s="317"/>
      <c r="AL22" s="315">
        <f t="shared" si="17"/>
        <v>26151.546916755527</v>
      </c>
      <c r="AN22" s="546">
        <f t="shared" si="9"/>
        <v>0.17758590552706502</v>
      </c>
      <c r="AO22" s="314"/>
      <c r="AP22" s="318"/>
    </row>
    <row r="23" spans="2:47">
      <c r="B23" s="296" t="s">
        <v>953</v>
      </c>
      <c r="C23" s="299" t="s">
        <v>276</v>
      </c>
      <c r="D23" s="298" t="s">
        <v>709</v>
      </c>
      <c r="E23" s="299" t="s">
        <v>113</v>
      </c>
      <c r="F23" s="299" t="s">
        <v>59</v>
      </c>
      <c r="G23" s="300">
        <v>44218</v>
      </c>
      <c r="H23" s="651">
        <v>222805.76837402699</v>
      </c>
      <c r="I23" s="301" t="str">
        <f t="shared" si="0"/>
        <v>Ingresos Sección II LISR (SIC &amp; BMV)</v>
      </c>
      <c r="J23" s="302">
        <f t="shared" si="10"/>
        <v>32767</v>
      </c>
      <c r="K23" s="304">
        <f t="shared" si="2"/>
        <v>6.7996999534295783</v>
      </c>
      <c r="L23" s="305">
        <f>IF(H23=0,0,IF(OR(E23=$AT$5,E23=$AT$6),AA23,IF(F23="MXN",1/HLOOKUP(YEAR(G23)+(MONTH(G23)/100),TC!$5:$37,DAY(G23)+2,FALSE),VLOOKUP(F23,Equivalencia!$5:$23,((MAX(Equivalencia!$3:$3)-YEAR(G23))*14)+MONTH(G23)+2,FALSE))))</f>
        <v>1</v>
      </c>
      <c r="M23" s="306">
        <f t="shared" si="3"/>
        <v>222805.76837402699</v>
      </c>
      <c r="N23" s="305">
        <f>IF(G23=0,0,(IF(OR(E23=$AT$5,E23=$AT$6),AC23,HLOOKUP(YEAR(G23)+(MONTH(G23)/100),TC!$5:$37,DAY(G23)+2,FALSE))))</f>
        <v>19.5793</v>
      </c>
      <c r="O23" s="307">
        <f t="shared" si="11"/>
        <v>4362380.9807255864</v>
      </c>
      <c r="P23" s="552">
        <f>IF(G23=0,0,VLOOKUP(YEAR(G23),INPC!$B$4:$P$30,MONTH(G23)+2))</f>
        <v>110.21</v>
      </c>
      <c r="Q23" s="552">
        <f>IF(X23=0,0,IF(OR(E23=$AT$10,E23=$AT$9),VLOOKUP(YEAR(X23),INPC!$B$4:$P$30,MONTH(X23)+1),VLOOKUP(YEAR(X23),INPC!$B$4:$P$30,MONTH(X23)+2,0)))</f>
        <v>118.002</v>
      </c>
      <c r="R23" s="309">
        <f t="shared" si="4"/>
        <v>1.0707</v>
      </c>
      <c r="S23" s="310">
        <f t="shared" si="12"/>
        <v>4670801.3160628853</v>
      </c>
      <c r="T23" s="547">
        <f t="shared" si="13"/>
        <v>142.54589422476533</v>
      </c>
      <c r="U23" s="311"/>
      <c r="V23" s="312">
        <v>32767</v>
      </c>
      <c r="W23" s="299" t="s">
        <v>194</v>
      </c>
      <c r="X23" s="300">
        <v>44603</v>
      </c>
      <c r="Y23" s="299" t="s">
        <v>59</v>
      </c>
      <c r="Z23" s="651">
        <v>204856.0082021475</v>
      </c>
      <c r="AA23" s="305">
        <f>IF(Z23=0,0,IF(Y23="MXN",1/HLOOKUP(YEAR(X23)+(MONTH(X23)/100),TC!$5:$37,DAY(X23)+2,FALSE),VLOOKUP(Y23,Equivalencia!$1:$23,((MAX(Equivalencia!$3:$3)-YEAR(X23))*14)+MONTH(X23)+2,FALSE)))</f>
        <v>1</v>
      </c>
      <c r="AB23" s="306">
        <f t="shared" si="14"/>
        <v>204856.0082021475</v>
      </c>
      <c r="AC23" s="305">
        <f>+IF(X23=0,0,HLOOKUP(YEAR(X23)+(MONTH(X23)/100),TC!$5:$37,DAY(X23)+2,FALSE))</f>
        <v>20.500800000000002</v>
      </c>
      <c r="AD23" s="307">
        <f t="shared" si="15"/>
        <v>4199712.0529505853</v>
      </c>
      <c r="AE23" s="314">
        <f t="shared" si="5"/>
        <v>4670801.3160628853</v>
      </c>
      <c r="AF23" s="315">
        <f t="shared" si="6"/>
        <v>-471089.26311230008</v>
      </c>
      <c r="AG23" s="316">
        <f t="shared" si="7"/>
        <v>1.0547945205479452</v>
      </c>
      <c r="AH23" s="314">
        <v>1</v>
      </c>
      <c r="AI23" s="314">
        <f t="shared" si="8"/>
        <v>-471089.26311230008</v>
      </c>
      <c r="AJ23" s="314">
        <f t="shared" si="16"/>
        <v>0</v>
      </c>
      <c r="AK23" s="317"/>
      <c r="AL23" s="315">
        <f t="shared" si="17"/>
        <v>-17949.76017187949</v>
      </c>
      <c r="AN23" s="546">
        <f t="shared" si="9"/>
        <v>-8.0562367405798002E-2</v>
      </c>
      <c r="AO23" s="314"/>
      <c r="AP23" s="318"/>
    </row>
    <row r="24" spans="2:47">
      <c r="B24" s="296" t="s">
        <v>953</v>
      </c>
      <c r="C24" s="299" t="s">
        <v>276</v>
      </c>
      <c r="D24" s="298" t="s">
        <v>709</v>
      </c>
      <c r="E24" s="299" t="s">
        <v>113</v>
      </c>
      <c r="F24" s="299" t="s">
        <v>59</v>
      </c>
      <c r="G24" s="300">
        <v>44293</v>
      </c>
      <c r="H24" s="646">
        <v>250870.09</v>
      </c>
      <c r="I24" s="301" t="str">
        <f t="shared" si="0"/>
        <v>Ingresos Sección II LISR (SIC &amp; BMV)</v>
      </c>
      <c r="J24" s="302">
        <f t="shared" si="10"/>
        <v>40491</v>
      </c>
      <c r="K24" s="304">
        <f t="shared" si="2"/>
        <v>6.1957000321058997</v>
      </c>
      <c r="L24" s="305">
        <f>IF(H24=0,0,IF(OR(E24=$AT$5,E24=$AT$6),AA24,IF(F24="MXN",1/HLOOKUP(YEAR(G24)+(MONTH(G24)/100),TC!$5:$37,DAY(G24)+2,FALSE),VLOOKUP(F24,Equivalencia!$5:$23,((MAX(Equivalencia!$3:$3)-YEAR(G24))*14)+MONTH(G24)+2,FALSE))))</f>
        <v>1</v>
      </c>
      <c r="M24" s="306">
        <f t="shared" si="3"/>
        <v>250870.09</v>
      </c>
      <c r="N24" s="305">
        <f>IF(G24=0,0,(IF(OR(E24=$AT$5,E24=$AT$6),AC24,HLOOKUP(YEAR(G24)+(MONTH(G24)/100),TC!$5:$37,DAY(G24)+2,FALSE))))</f>
        <v>20.2483</v>
      </c>
      <c r="O24" s="307">
        <f t="shared" si="11"/>
        <v>5079692.843347</v>
      </c>
      <c r="P24" s="552">
        <f>IF(G24=0,0,VLOOKUP(YEAR(G24),INPC!$B$4:$P$30,MONTH(G24)+2))</f>
        <v>112.19</v>
      </c>
      <c r="Q24" s="552">
        <f>IF(X24=0,0,IF(OR(E24=$AT$10,E24=$AT$9),VLOOKUP(YEAR(X24),INPC!$B$4:$P$30,MONTH(X24)+1),VLOOKUP(YEAR(X24),INPC!$B$4:$P$30,MONTH(X24)+2,0)))</f>
        <v>118.002</v>
      </c>
      <c r="R24" s="309">
        <f t="shared" si="4"/>
        <v>1.0518000000000001</v>
      </c>
      <c r="S24" s="310">
        <f t="shared" si="12"/>
        <v>5342820.9326323746</v>
      </c>
      <c r="T24" s="547">
        <f t="shared" si="13"/>
        <v>131.95082691542254</v>
      </c>
      <c r="U24" s="311"/>
      <c r="V24" s="312">
        <v>40491</v>
      </c>
      <c r="W24" s="299" t="s">
        <v>194</v>
      </c>
      <c r="X24" s="300">
        <v>44603</v>
      </c>
      <c r="Y24" s="299" t="s">
        <v>59</v>
      </c>
      <c r="Z24" s="646">
        <v>253145.68401480617</v>
      </c>
      <c r="AA24" s="305">
        <f>IF(Z24=0,0,IF(Y24="MXN",1/HLOOKUP(YEAR(X24)+(MONTH(X24)/100),TC!$5:$37,DAY(X24)+2,FALSE),VLOOKUP(Y24,Equivalencia!$1:$23,((MAX(Equivalencia!$3:$3)-YEAR(X24))*14)+MONTH(X24)+2,FALSE)))</f>
        <v>1</v>
      </c>
      <c r="AB24" s="306">
        <f t="shared" si="14"/>
        <v>253145.68401480617</v>
      </c>
      <c r="AC24" s="305">
        <f>+IF(X24=0,0,HLOOKUP(YEAR(X24)+(MONTH(X24)/100),TC!$5:$37,DAY(X24)+2,FALSE))</f>
        <v>20.500800000000002</v>
      </c>
      <c r="AD24" s="307">
        <f t="shared" si="15"/>
        <v>5189689.0388507387</v>
      </c>
      <c r="AE24" s="314">
        <f t="shared" si="5"/>
        <v>5342820.9326323736</v>
      </c>
      <c r="AF24" s="315">
        <f t="shared" si="6"/>
        <v>-153131.89378163498</v>
      </c>
      <c r="AG24" s="316">
        <f t="shared" si="7"/>
        <v>0.84931506849315064</v>
      </c>
      <c r="AH24" s="314">
        <v>1</v>
      </c>
      <c r="AI24" s="314">
        <f t="shared" si="8"/>
        <v>-153131.89378163498</v>
      </c>
      <c r="AJ24" s="314">
        <f t="shared" si="16"/>
        <v>0</v>
      </c>
      <c r="AK24" s="317"/>
      <c r="AL24" s="315">
        <f t="shared" si="17"/>
        <v>2275.5940148061782</v>
      </c>
      <c r="AN24" s="546">
        <f t="shared" si="9"/>
        <v>9.0708063875058927E-3</v>
      </c>
      <c r="AO24" s="314"/>
      <c r="AP24" s="318"/>
    </row>
    <row r="25" spans="2:47">
      <c r="B25" s="296" t="s">
        <v>953</v>
      </c>
      <c r="C25" s="299" t="s">
        <v>276</v>
      </c>
      <c r="D25" s="298" t="s">
        <v>709</v>
      </c>
      <c r="E25" s="299" t="s">
        <v>113</v>
      </c>
      <c r="F25" s="299" t="s">
        <v>59</v>
      </c>
      <c r="G25" s="300">
        <v>44441</v>
      </c>
      <c r="H25" s="646">
        <v>37474.620000000003</v>
      </c>
      <c r="I25" s="301" t="str">
        <f t="shared" si="0"/>
        <v>Ingresos Sección II LISR (SIC &amp; BMV)</v>
      </c>
      <c r="J25" s="302">
        <f t="shared" si="10"/>
        <v>5549</v>
      </c>
      <c r="K25" s="304">
        <f t="shared" si="2"/>
        <v>6.7534006127230137</v>
      </c>
      <c r="L25" s="305">
        <f>IF(H25=0,0,IF(OR(E25=$AT$5,E25=$AT$6),AA25,IF(F25="MXN",1/HLOOKUP(YEAR(G25)+(MONTH(G25)/100),TC!$5:$37,DAY(G25)+2,FALSE),VLOOKUP(F25,Equivalencia!$5:$23,((MAX(Equivalencia!$3:$3)-YEAR(G25))*14)+MONTH(G25)+2,FALSE))))</f>
        <v>1</v>
      </c>
      <c r="M25" s="306">
        <f t="shared" si="3"/>
        <v>37474.620000000003</v>
      </c>
      <c r="N25" s="305">
        <f>IF(G25=0,0,(IF(OR(E25=$AT$5,E25=$AT$6),AC25,HLOOKUP(YEAR(G25)+(MONTH(G25)/100),TC!$5:$37,DAY(G25)+2,FALSE))))</f>
        <v>20.060500000000001</v>
      </c>
      <c r="O25" s="307">
        <f t="shared" si="11"/>
        <v>751759.6145100001</v>
      </c>
      <c r="P25" s="552">
        <f>IF(G25=0,0,VLOOKUP(YEAR(G25),INPC!$B$4:$P$30,MONTH(G25)+2))</f>
        <v>114.601</v>
      </c>
      <c r="Q25" s="552">
        <f>IF(X25=0,0,IF(OR(E25=$AT$10,E25=$AT$9),VLOOKUP(YEAR(X25),INPC!$B$4:$P$30,MONTH(X25)+1),VLOOKUP(YEAR(X25),INPC!$B$4:$P$30,MONTH(X25)+2,0)))</f>
        <v>118.002</v>
      </c>
      <c r="R25" s="309">
        <f t="shared" si="4"/>
        <v>1.0296000000000001</v>
      </c>
      <c r="S25" s="310">
        <f t="shared" si="12"/>
        <v>774011.69909949612</v>
      </c>
      <c r="T25" s="547">
        <f t="shared" si="13"/>
        <v>139.48670014407932</v>
      </c>
      <c r="U25" s="311"/>
      <c r="V25" s="312">
        <v>5549</v>
      </c>
      <c r="W25" s="299" t="s">
        <v>194</v>
      </c>
      <c r="X25" s="300">
        <v>44603</v>
      </c>
      <c r="Y25" s="299" t="s">
        <v>59</v>
      </c>
      <c r="Z25" s="646">
        <v>34691.793252776159</v>
      </c>
      <c r="AA25" s="305">
        <f>IF(Z25=0,0,IF(Y25="MXN",1/HLOOKUP(YEAR(X25)+(MONTH(X25)/100),TC!$5:$37,DAY(X25)+2,FALSE),VLOOKUP(Y25,Equivalencia!$1:$23,((MAX(Equivalencia!$3:$3)-YEAR(X25))*14)+MONTH(X25)+2,FALSE)))</f>
        <v>1</v>
      </c>
      <c r="AB25" s="306">
        <f t="shared" si="14"/>
        <v>34691.793252776159</v>
      </c>
      <c r="AC25" s="305">
        <f>+IF(X25=0,0,HLOOKUP(YEAR(X25)+(MONTH(X25)/100),TC!$5:$37,DAY(X25)+2,FALSE))</f>
        <v>20.500800000000002</v>
      </c>
      <c r="AD25" s="307">
        <f t="shared" si="15"/>
        <v>711209.51511651347</v>
      </c>
      <c r="AE25" s="314">
        <f t="shared" si="5"/>
        <v>774011.69909949612</v>
      </c>
      <c r="AF25" s="315">
        <f t="shared" si="6"/>
        <v>-62802.183982982649</v>
      </c>
      <c r="AG25" s="316">
        <f t="shared" si="7"/>
        <v>0.44383561643835617</v>
      </c>
      <c r="AH25" s="314">
        <v>1</v>
      </c>
      <c r="AI25" s="314">
        <f t="shared" si="8"/>
        <v>-62802.183982982649</v>
      </c>
      <c r="AJ25" s="314">
        <f t="shared" si="16"/>
        <v>0</v>
      </c>
      <c r="AK25" s="317"/>
      <c r="AL25" s="315">
        <f t="shared" si="17"/>
        <v>-2782.826747223844</v>
      </c>
      <c r="AN25" s="546">
        <f t="shared" si="9"/>
        <v>-7.4258971731370291E-2</v>
      </c>
      <c r="AO25" s="314"/>
      <c r="AP25" s="318"/>
    </row>
    <row r="26" spans="2:47" ht="17" thickBot="1">
      <c r="B26" s="296" t="s">
        <v>953</v>
      </c>
      <c r="C26" s="299" t="s">
        <v>276</v>
      </c>
      <c r="D26" s="298" t="s">
        <v>709</v>
      </c>
      <c r="E26" s="299" t="s">
        <v>113</v>
      </c>
      <c r="F26" s="299" t="s">
        <v>59</v>
      </c>
      <c r="G26" s="300">
        <v>44491</v>
      </c>
      <c r="H26" s="647">
        <v>125476.97</v>
      </c>
      <c r="I26" s="301" t="str">
        <f t="shared" si="0"/>
        <v>Ingresos Sección II LISR (SIC &amp; BMV)</v>
      </c>
      <c r="J26" s="302">
        <f t="shared" si="10"/>
        <v>19260</v>
      </c>
      <c r="K26" s="304">
        <f t="shared" si="2"/>
        <v>6.5148997923156804</v>
      </c>
      <c r="L26" s="305">
        <f>IF(H26=0,0,IF(OR(E26=$AT$5,E26=$AT$6),AA26,IF(F26="MXN",1/HLOOKUP(YEAR(G26)+(MONTH(G26)/100),TC!$5:$37,DAY(G26)+2,FALSE),VLOOKUP(F26,Equivalencia!$5:$23,((MAX(Equivalencia!$3:$3)-YEAR(G26))*14)+MONTH(G26)+2,FALSE))))</f>
        <v>1</v>
      </c>
      <c r="M26" s="306">
        <f t="shared" si="3"/>
        <v>125476.97</v>
      </c>
      <c r="N26" s="305">
        <f>IF(G26=0,0,(IF(OR(E26=$AT$5,E26=$AT$6),AC26,HLOOKUP(YEAR(G26)+(MONTH(G26)/100),TC!$5:$37,DAY(G26)+2,FALSE))))</f>
        <v>20.184999999999999</v>
      </c>
      <c r="O26" s="307">
        <f t="shared" si="11"/>
        <v>2532752.6394499997</v>
      </c>
      <c r="P26" s="552">
        <f>IF(G26=0,0,VLOOKUP(YEAR(G26),INPC!$B$4:$P$30,MONTH(G26)+2))</f>
        <v>115.56100000000001</v>
      </c>
      <c r="Q26" s="552">
        <f>IF(X26=0,0,IF(OR(E26=$AT$10,E26=$AT$9),VLOOKUP(YEAR(X26),INPC!$B$4:$P$30,MONTH(X26)+1),VLOOKUP(YEAR(X26),INPC!$B$4:$P$30,MONTH(X26)+2,0)))</f>
        <v>118.002</v>
      </c>
      <c r="R26" s="309">
        <f t="shared" si="4"/>
        <v>1.0210999999999999</v>
      </c>
      <c r="S26" s="310">
        <f t="shared" si="12"/>
        <v>2586193.7201423943</v>
      </c>
      <c r="T26" s="547">
        <f t="shared" si="13"/>
        <v>134.2779709315885</v>
      </c>
      <c r="U26" s="311"/>
      <c r="V26" s="312">
        <v>19260</v>
      </c>
      <c r="W26" s="299" t="s">
        <v>194</v>
      </c>
      <c r="X26" s="300">
        <v>44603</v>
      </c>
      <c r="Y26" s="299" t="s">
        <v>59</v>
      </c>
      <c r="Z26" s="647">
        <v>120411.59453027011</v>
      </c>
      <c r="AA26" s="305">
        <f>IF(Z26=0,0,IF(Y26="MXN",1/HLOOKUP(YEAR(X26)+(MONTH(X26)/100),TC!$5:$37,DAY(X26)+2,FALSE),VLOOKUP(Y26,Equivalencia!$1:$23,((MAX(Equivalencia!$3:$3)-YEAR(X26))*14)+MONTH(X26)+2,FALSE)))</f>
        <v>1</v>
      </c>
      <c r="AB26" s="306">
        <f t="shared" si="14"/>
        <v>120411.59453027011</v>
      </c>
      <c r="AC26" s="305">
        <f>+IF(X26=0,0,HLOOKUP(YEAR(X26)+(MONTH(X26)/100),TC!$5:$37,DAY(X26)+2,FALSE))</f>
        <v>20.500800000000002</v>
      </c>
      <c r="AD26" s="307">
        <f t="shared" si="15"/>
        <v>2468534.0171461618</v>
      </c>
      <c r="AE26" s="314">
        <f t="shared" si="5"/>
        <v>2586193.7201423943</v>
      </c>
      <c r="AF26" s="315">
        <f t="shared" si="6"/>
        <v>-117659.70299623255</v>
      </c>
      <c r="AG26" s="316">
        <f t="shared" si="7"/>
        <v>0.30684931506849317</v>
      </c>
      <c r="AH26" s="314">
        <v>1</v>
      </c>
      <c r="AI26" s="314">
        <f t="shared" si="8"/>
        <v>-117659.70299623255</v>
      </c>
      <c r="AJ26" s="314">
        <f t="shared" si="16"/>
        <v>0</v>
      </c>
      <c r="AK26" s="317"/>
      <c r="AL26" s="315">
        <f t="shared" si="17"/>
        <v>-5065.3754697298864</v>
      </c>
      <c r="AN26" s="546">
        <f t="shared" si="9"/>
        <v>-4.0368965474141483E-2</v>
      </c>
      <c r="AO26" s="314"/>
      <c r="AP26" s="318"/>
    </row>
    <row r="27" spans="2:47">
      <c r="B27" s="296" t="s">
        <v>953</v>
      </c>
      <c r="C27" s="299" t="s">
        <v>276</v>
      </c>
      <c r="D27" s="298" t="s">
        <v>727</v>
      </c>
      <c r="E27" s="299" t="s">
        <v>113</v>
      </c>
      <c r="F27" s="299" t="s">
        <v>59</v>
      </c>
      <c r="G27" s="300">
        <v>43957</v>
      </c>
      <c r="H27" s="651">
        <v>397.83881068399205</v>
      </c>
      <c r="I27" s="301" t="str">
        <f t="shared" si="0"/>
        <v>Ingresos Sección II LISR (SIC &amp; BMV)</v>
      </c>
      <c r="J27" s="302">
        <f t="shared" si="10"/>
        <v>74</v>
      </c>
      <c r="K27" s="304">
        <f t="shared" si="2"/>
        <v>5.376200144378271</v>
      </c>
      <c r="L27" s="305">
        <f>IF(H27=0,0,IF(OR(E27=$AT$5,E27=$AT$6),AA27,IF(F27="MXN",1/HLOOKUP(YEAR(G27)+(MONTH(G27)/100),TC!$5:$37,DAY(G27)+2,FALSE),VLOOKUP(F27,Equivalencia!$5:$23,((MAX(Equivalencia!$3:$3)-YEAR(G27))*14)+MONTH(G27)+2,FALSE))))</f>
        <v>1</v>
      </c>
      <c r="M27" s="306">
        <f t="shared" si="3"/>
        <v>397.83881068399205</v>
      </c>
      <c r="N27" s="305">
        <f>IF(G27=0,0,(IF(OR(E27=$AT$5,E27=$AT$6),AC27,HLOOKUP(YEAR(G27)+(MONTH(G27)/100),TC!$5:$37,DAY(G27)+2,FALSE))))</f>
        <v>24.3812</v>
      </c>
      <c r="O27" s="307">
        <f t="shared" si="11"/>
        <v>9699.7876110485468</v>
      </c>
      <c r="P27" s="552">
        <f>IF(G27=0,0,VLOOKUP(YEAR(G27),INPC!$B$4:$P$30,MONTH(G27)+2))</f>
        <v>106.16200000000001</v>
      </c>
      <c r="Q27" s="552">
        <f>IF(X27=0,0,IF(OR(E27=$AT$10,E27=$AT$9),VLOOKUP(YEAR(X27),INPC!$B$4:$P$30,MONTH(X27)+1),VLOOKUP(YEAR(X27),INPC!$B$4:$P$30,MONTH(X27)+2,0)))</f>
        <v>118.002</v>
      </c>
      <c r="R27" s="309">
        <f t="shared" si="4"/>
        <v>1.1114999999999999</v>
      </c>
      <c r="S27" s="310">
        <f t="shared" si="12"/>
        <v>10781.313929680458</v>
      </c>
      <c r="T27" s="547">
        <f t="shared" si="13"/>
        <v>145.69343148216836</v>
      </c>
      <c r="U27" s="311"/>
      <c r="V27" s="312">
        <v>74</v>
      </c>
      <c r="W27" s="299" t="s">
        <v>194</v>
      </c>
      <c r="X27" s="300">
        <v>44603</v>
      </c>
      <c r="Y27" s="299" t="s">
        <v>59</v>
      </c>
      <c r="Z27" s="651">
        <v>438.36120341033467</v>
      </c>
      <c r="AA27" s="305">
        <f>IF(Z27=0,0,IF(Y27="MXN",1/HLOOKUP(YEAR(X27)+(MONTH(X27)/100),TC!$5:$37,DAY(X27)+2,FALSE),VLOOKUP(Y27,Equivalencia!$1:$23,((MAX(Equivalencia!$3:$3)-YEAR(X27))*14)+MONTH(X27)+2,FALSE)))</f>
        <v>1</v>
      </c>
      <c r="AB27" s="306">
        <f t="shared" si="14"/>
        <v>438.36120341033467</v>
      </c>
      <c r="AC27" s="305">
        <f>+IF(X27=0,0,HLOOKUP(YEAR(X27)+(MONTH(X27)/100),TC!$5:$37,DAY(X27)+2,FALSE))</f>
        <v>20.500800000000002</v>
      </c>
      <c r="AD27" s="307">
        <f t="shared" si="15"/>
        <v>8986.7553588745905</v>
      </c>
      <c r="AE27" s="314">
        <f t="shared" si="5"/>
        <v>10781.313929680458</v>
      </c>
      <c r="AF27" s="315">
        <f t="shared" si="6"/>
        <v>-1794.5585708058679</v>
      </c>
      <c r="AG27" s="316">
        <f t="shared" si="7"/>
        <v>1.7698630136986302</v>
      </c>
      <c r="AH27" s="314">
        <v>1</v>
      </c>
      <c r="AI27" s="314">
        <f t="shared" si="8"/>
        <v>-1794.5585708058679</v>
      </c>
      <c r="AJ27" s="314">
        <f t="shared" si="16"/>
        <v>0</v>
      </c>
      <c r="AK27" s="317"/>
      <c r="AL27" s="315">
        <f t="shared" si="17"/>
        <v>40.522392726342616</v>
      </c>
      <c r="AN27" s="546">
        <f t="shared" si="9"/>
        <v>0.10185630873135205</v>
      </c>
      <c r="AO27" s="314"/>
      <c r="AP27" s="318"/>
    </row>
    <row r="28" spans="2:47">
      <c r="B28" s="296" t="s">
        <v>953</v>
      </c>
      <c r="C28" s="299" t="s">
        <v>276</v>
      </c>
      <c r="D28" s="298" t="s">
        <v>727</v>
      </c>
      <c r="E28" s="299" t="s">
        <v>113</v>
      </c>
      <c r="F28" s="299" t="s">
        <v>59</v>
      </c>
      <c r="G28" s="300">
        <v>44118</v>
      </c>
      <c r="H28" s="646">
        <v>29737.07</v>
      </c>
      <c r="I28" s="301" t="str">
        <f t="shared" si="0"/>
        <v>Ingresos Sección II LISR (SIC &amp; BMV)</v>
      </c>
      <c r="J28" s="302">
        <f t="shared" si="10"/>
        <v>5007</v>
      </c>
      <c r="K28" s="304">
        <f t="shared" si="2"/>
        <v>5.9390992610345519</v>
      </c>
      <c r="L28" s="305">
        <f>IF(H28=0,0,IF(OR(E28=$AT$5,E28=$AT$6),AA28,IF(F28="MXN",1/HLOOKUP(YEAR(G28)+(MONTH(G28)/100),TC!$5:$37,DAY(G28)+2,FALSE),VLOOKUP(F28,Equivalencia!$5:$23,((MAX(Equivalencia!$3:$3)-YEAR(G28))*14)+MONTH(G28)+2,FALSE))))</f>
        <v>1</v>
      </c>
      <c r="M28" s="306">
        <f t="shared" si="3"/>
        <v>29737.07</v>
      </c>
      <c r="N28" s="305">
        <f>IF(G28=0,0,(IF(OR(E28=$AT$5,E28=$AT$6),AC28,HLOOKUP(YEAR(G28)+(MONTH(G28)/100),TC!$5:$37,DAY(G28)+2,FALSE))))</f>
        <v>21.218299999999999</v>
      </c>
      <c r="O28" s="307">
        <f t="shared" si="11"/>
        <v>630970.07238099992</v>
      </c>
      <c r="P28" s="552">
        <f>IF(G28=0,0,VLOOKUP(YEAR(G28),INPC!$B$4:$P$30,MONTH(G28)+2))</f>
        <v>108.774</v>
      </c>
      <c r="Q28" s="552">
        <f>IF(X28=0,0,IF(OR(E28=$AT$10,E28=$AT$9),VLOOKUP(YEAR(X28),INPC!$B$4:$P$30,MONTH(X28)+1),VLOOKUP(YEAR(X28),INPC!$B$4:$P$30,MONTH(X28)+2,0)))</f>
        <v>118.002</v>
      </c>
      <c r="R28" s="309">
        <f t="shared" si="4"/>
        <v>1.0848</v>
      </c>
      <c r="S28" s="310">
        <f t="shared" si="12"/>
        <v>684476.33451890876</v>
      </c>
      <c r="T28" s="547">
        <f t="shared" si="13"/>
        <v>136.70388146972414</v>
      </c>
      <c r="U28" s="311"/>
      <c r="V28" s="312">
        <v>5007</v>
      </c>
      <c r="W28" s="299" t="s">
        <v>194</v>
      </c>
      <c r="X28" s="300">
        <v>44603</v>
      </c>
      <c r="Y28" s="299" t="s">
        <v>59</v>
      </c>
      <c r="Z28" s="646">
        <v>29660.466830750618</v>
      </c>
      <c r="AA28" s="305">
        <f>IF(Z28=0,0,IF(Y28="MXN",1/HLOOKUP(YEAR(X28)+(MONTH(X28)/100),TC!$5:$37,DAY(X28)+2,FALSE),VLOOKUP(Y28,Equivalencia!$1:$23,((MAX(Equivalencia!$3:$3)-YEAR(X28))*14)+MONTH(X28)+2,FALSE)))</f>
        <v>1</v>
      </c>
      <c r="AB28" s="306">
        <f t="shared" si="14"/>
        <v>29660.466830750618</v>
      </c>
      <c r="AC28" s="305">
        <f>+IF(X28=0,0,HLOOKUP(YEAR(X28)+(MONTH(X28)/100),TC!$5:$37,DAY(X28)+2,FALSE))</f>
        <v>20.500800000000002</v>
      </c>
      <c r="AD28" s="307">
        <f t="shared" si="15"/>
        <v>608063.29840385227</v>
      </c>
      <c r="AE28" s="314">
        <f t="shared" si="5"/>
        <v>684476.33451890876</v>
      </c>
      <c r="AF28" s="315">
        <f t="shared" si="6"/>
        <v>-76413.036115056486</v>
      </c>
      <c r="AG28" s="316">
        <f t="shared" si="7"/>
        <v>1.3287671232876712</v>
      </c>
      <c r="AH28" s="314">
        <v>1</v>
      </c>
      <c r="AI28" s="314">
        <f t="shared" si="8"/>
        <v>-76413.036115056486</v>
      </c>
      <c r="AJ28" s="314">
        <f t="shared" si="16"/>
        <v>0</v>
      </c>
      <c r="AK28" s="317"/>
      <c r="AL28" s="315">
        <f t="shared" si="17"/>
        <v>-76.603169249381608</v>
      </c>
      <c r="AN28" s="546">
        <f t="shared" si="9"/>
        <v>-2.5760160382102743E-3</v>
      </c>
      <c r="AO28" s="314"/>
      <c r="AP28" s="318"/>
    </row>
    <row r="29" spans="2:47">
      <c r="B29" s="296" t="s">
        <v>953</v>
      </c>
      <c r="C29" s="299" t="s">
        <v>276</v>
      </c>
      <c r="D29" s="298" t="s">
        <v>727</v>
      </c>
      <c r="E29" s="299" t="s">
        <v>113</v>
      </c>
      <c r="F29" s="299" t="s">
        <v>59</v>
      </c>
      <c r="G29" s="300">
        <v>44158</v>
      </c>
      <c r="H29" s="646">
        <v>16785.939999999999</v>
      </c>
      <c r="I29" s="301" t="str">
        <f t="shared" si="0"/>
        <v>Ingresos Sección II LISR (SIC &amp; BMV)</v>
      </c>
      <c r="J29" s="302">
        <f t="shared" si="10"/>
        <v>2783</v>
      </c>
      <c r="K29" s="304">
        <f t="shared" si="2"/>
        <v>6.0315989938914836</v>
      </c>
      <c r="L29" s="305">
        <f>IF(H29=0,0,IF(OR(E29=$AT$5,E29=$AT$6),AA29,IF(F29="MXN",1/HLOOKUP(YEAR(G29)+(MONTH(G29)/100),TC!$5:$37,DAY(G29)+2,FALSE),VLOOKUP(F29,Equivalencia!$5:$23,((MAX(Equivalencia!$3:$3)-YEAR(G29))*14)+MONTH(G29)+2,FALSE))))</f>
        <v>1</v>
      </c>
      <c r="M29" s="306">
        <f t="shared" si="3"/>
        <v>16785.939999999999</v>
      </c>
      <c r="N29" s="305">
        <f>IF(G29=0,0,(IF(OR(E29=$AT$5,E29=$AT$6),AC29,HLOOKUP(YEAR(G29)+(MONTH(G29)/100),TC!$5:$37,DAY(G29)+2,FALSE))))</f>
        <v>20.1858</v>
      </c>
      <c r="O29" s="307">
        <f t="shared" si="11"/>
        <v>338837.627652</v>
      </c>
      <c r="P29" s="552">
        <f>IF(G29=0,0,VLOOKUP(YEAR(G29),INPC!$B$4:$P$30,MONTH(G29)+2))</f>
        <v>108.85599999999999</v>
      </c>
      <c r="Q29" s="552">
        <f>IF(X29=0,0,IF(OR(E29=$AT$10,E29=$AT$9),VLOOKUP(YEAR(X29),INPC!$B$4:$P$30,MONTH(X29)+1),VLOOKUP(YEAR(X29),INPC!$B$4:$P$30,MONTH(X29)+2,0)))</f>
        <v>118.002</v>
      </c>
      <c r="R29" s="309">
        <f t="shared" si="4"/>
        <v>1.0840000000000001</v>
      </c>
      <c r="S29" s="310">
        <f t="shared" si="12"/>
        <v>367299.988374768</v>
      </c>
      <c r="T29" s="547">
        <f t="shared" si="13"/>
        <v>131.97987365244987</v>
      </c>
      <c r="U29" s="311"/>
      <c r="V29" s="312">
        <v>2783</v>
      </c>
      <c r="W29" s="299" t="s">
        <v>194</v>
      </c>
      <c r="X29" s="300">
        <v>44603</v>
      </c>
      <c r="Y29" s="299" t="s">
        <v>59</v>
      </c>
      <c r="Z29" s="646">
        <v>16485.935528256236</v>
      </c>
      <c r="AA29" s="305">
        <f>IF(Z29=0,0,IF(Y29="MXN",1/HLOOKUP(YEAR(X29)+(MONTH(X29)/100),TC!$5:$37,DAY(X29)+2,FALSE),VLOOKUP(Y29,Equivalencia!$1:$23,((MAX(Equivalencia!$3:$3)-YEAR(X29))*14)+MONTH(X29)+2,FALSE)))</f>
        <v>1</v>
      </c>
      <c r="AB29" s="306">
        <f t="shared" si="14"/>
        <v>16485.935528256236</v>
      </c>
      <c r="AC29" s="305">
        <f>+IF(X29=0,0,HLOOKUP(YEAR(X29)+(MONTH(X29)/100),TC!$5:$37,DAY(X29)+2,FALSE))</f>
        <v>20.500800000000002</v>
      </c>
      <c r="AD29" s="307">
        <f t="shared" si="15"/>
        <v>337974.86707767547</v>
      </c>
      <c r="AE29" s="314">
        <f t="shared" si="5"/>
        <v>367299.988374768</v>
      </c>
      <c r="AF29" s="315">
        <f t="shared" si="6"/>
        <v>-29325.121297092526</v>
      </c>
      <c r="AG29" s="316">
        <f t="shared" si="7"/>
        <v>1.2191780821917808</v>
      </c>
      <c r="AH29" s="314">
        <v>1</v>
      </c>
      <c r="AI29" s="314">
        <f t="shared" si="8"/>
        <v>-29325.121297092526</v>
      </c>
      <c r="AJ29" s="314">
        <f t="shared" si="16"/>
        <v>0</v>
      </c>
      <c r="AK29" s="317"/>
      <c r="AL29" s="315">
        <f t="shared" si="17"/>
        <v>-300.00447174376313</v>
      </c>
      <c r="AN29" s="546">
        <f t="shared" si="9"/>
        <v>-1.7872366500998046E-2</v>
      </c>
      <c r="AO29" s="314"/>
      <c r="AP29" s="318"/>
    </row>
    <row r="30" spans="2:47">
      <c r="B30" s="296" t="s">
        <v>953</v>
      </c>
      <c r="C30" s="299" t="s">
        <v>276</v>
      </c>
      <c r="D30" s="298" t="s">
        <v>727</v>
      </c>
      <c r="E30" s="299" t="s">
        <v>113</v>
      </c>
      <c r="F30" s="299" t="s">
        <v>59</v>
      </c>
      <c r="G30" s="300">
        <v>44218</v>
      </c>
      <c r="H30" s="646">
        <v>188076.36</v>
      </c>
      <c r="I30" s="301" t="str">
        <f t="shared" si="0"/>
        <v>Ingresos Sección II LISR (SIC &amp; BMV)</v>
      </c>
      <c r="J30" s="302">
        <f t="shared" si="10"/>
        <v>30746</v>
      </c>
      <c r="K30" s="304">
        <f t="shared" si="2"/>
        <v>6.1171001105834897</v>
      </c>
      <c r="L30" s="305">
        <f>IF(H30=0,0,IF(OR(E30=$AT$5,E30=$AT$6),AA30,IF(F30="MXN",1/HLOOKUP(YEAR(G30)+(MONTH(G30)/100),TC!$5:$37,DAY(G30)+2,FALSE),VLOOKUP(F30,Equivalencia!$5:$23,((MAX(Equivalencia!$3:$3)-YEAR(G30))*14)+MONTH(G30)+2,FALSE))))</f>
        <v>1</v>
      </c>
      <c r="M30" s="306">
        <f t="shared" si="3"/>
        <v>188076.36</v>
      </c>
      <c r="N30" s="305">
        <f>IF(G30=0,0,(IF(OR(E30=$AT$5,E30=$AT$6),AC30,HLOOKUP(YEAR(G30)+(MONTH(G30)/100),TC!$5:$37,DAY(G30)+2,FALSE))))</f>
        <v>19.5793</v>
      </c>
      <c r="O30" s="307">
        <f t="shared" si="11"/>
        <v>3682403.4753479995</v>
      </c>
      <c r="P30" s="552">
        <f>IF(G30=0,0,VLOOKUP(YEAR(G30),INPC!$B$4:$P$30,MONTH(G30)+2))</f>
        <v>110.21</v>
      </c>
      <c r="Q30" s="552">
        <f>IF(X30=0,0,IF(OR(E30=$AT$10,E30=$AT$9),VLOOKUP(YEAR(X30),INPC!$B$4:$P$30,MONTH(X30)+1),VLOOKUP(YEAR(X30),INPC!$B$4:$P$30,MONTH(X30)+2,0)))</f>
        <v>118.002</v>
      </c>
      <c r="R30" s="309">
        <f t="shared" si="4"/>
        <v>1.0707</v>
      </c>
      <c r="S30" s="310">
        <f t="shared" si="12"/>
        <v>3942749.4010551032</v>
      </c>
      <c r="T30" s="547">
        <f t="shared" si="13"/>
        <v>128.23617384554424</v>
      </c>
      <c r="U30" s="311"/>
      <c r="V30" s="312">
        <v>30746</v>
      </c>
      <c r="W30" s="299" t="s">
        <v>194</v>
      </c>
      <c r="X30" s="300">
        <v>44603</v>
      </c>
      <c r="Y30" s="299" t="s">
        <v>59</v>
      </c>
      <c r="Z30" s="646">
        <v>182133.15621694797</v>
      </c>
      <c r="AA30" s="305">
        <f>IF(Z30=0,0,IF(Y30="MXN",1/HLOOKUP(YEAR(X30)+(MONTH(X30)/100),TC!$5:$37,DAY(X30)+2,FALSE),VLOOKUP(Y30,Equivalencia!$1:$23,((MAX(Equivalencia!$3:$3)-YEAR(X30))*14)+MONTH(X30)+2,FALSE)))</f>
        <v>1</v>
      </c>
      <c r="AB30" s="306">
        <f t="shared" si="14"/>
        <v>182133.15621694797</v>
      </c>
      <c r="AC30" s="305">
        <f>+IF(X30=0,0,HLOOKUP(YEAR(X30)+(MONTH(X30)/100),TC!$5:$37,DAY(X30)+2,FALSE))</f>
        <v>20.500800000000002</v>
      </c>
      <c r="AD30" s="307">
        <f t="shared" si="15"/>
        <v>3733875.4089724072</v>
      </c>
      <c r="AE30" s="314">
        <f t="shared" si="5"/>
        <v>3942749.4010551032</v>
      </c>
      <c r="AF30" s="315">
        <f t="shared" si="6"/>
        <v>-208873.99208269594</v>
      </c>
      <c r="AG30" s="316">
        <f t="shared" si="7"/>
        <v>1.0547945205479452</v>
      </c>
      <c r="AH30" s="314">
        <v>1</v>
      </c>
      <c r="AI30" s="314">
        <f t="shared" si="8"/>
        <v>-208873.99208269594</v>
      </c>
      <c r="AJ30" s="314">
        <f t="shared" si="16"/>
        <v>0</v>
      </c>
      <c r="AK30" s="317"/>
      <c r="AL30" s="315">
        <f t="shared" si="17"/>
        <v>-5943.203783052013</v>
      </c>
      <c r="AN30" s="546">
        <f t="shared" si="9"/>
        <v>-3.1599951121193612E-2</v>
      </c>
      <c r="AO30" s="314"/>
      <c r="AP30" s="318"/>
    </row>
    <row r="31" spans="2:47">
      <c r="B31" s="296" t="s">
        <v>953</v>
      </c>
      <c r="C31" s="299" t="s">
        <v>276</v>
      </c>
      <c r="D31" s="298" t="s">
        <v>727</v>
      </c>
      <c r="E31" s="299" t="s">
        <v>113</v>
      </c>
      <c r="F31" s="299" t="s">
        <v>59</v>
      </c>
      <c r="G31" s="300">
        <v>44293</v>
      </c>
      <c r="H31" s="646">
        <v>246363.87999999998</v>
      </c>
      <c r="I31" s="301" t="str">
        <f t="shared" si="0"/>
        <v>Ingresos Sección II LISR (SIC &amp; BMV)</v>
      </c>
      <c r="J31" s="302">
        <f t="shared" si="10"/>
        <v>40636</v>
      </c>
      <c r="K31" s="304">
        <f t="shared" si="2"/>
        <v>6.0627000689044195</v>
      </c>
      <c r="L31" s="305">
        <f>IF(H31=0,0,IF(OR(E31=$AT$5,E31=$AT$6),AA31,IF(F31="MXN",1/HLOOKUP(YEAR(G31)+(MONTH(G31)/100),TC!$5:$37,DAY(G31)+2,FALSE),VLOOKUP(F31,Equivalencia!$5:$23,((MAX(Equivalencia!$3:$3)-YEAR(G31))*14)+MONTH(G31)+2,FALSE))))</f>
        <v>1</v>
      </c>
      <c r="M31" s="306">
        <f t="shared" si="3"/>
        <v>246363.87999999998</v>
      </c>
      <c r="N31" s="305">
        <f>IF(G31=0,0,(IF(OR(E31=$AT$5,E31=$AT$6),AC31,HLOOKUP(YEAR(G31)+(MONTH(G31)/100),TC!$5:$37,DAY(G31)+2,FALSE))))</f>
        <v>20.2483</v>
      </c>
      <c r="O31" s="307">
        <f t="shared" si="11"/>
        <v>4988449.7514039995</v>
      </c>
      <c r="P31" s="552">
        <f>IF(G31=0,0,VLOOKUP(YEAR(G31),INPC!$B$4:$P$30,MONTH(G31)+2))</f>
        <v>112.19</v>
      </c>
      <c r="Q31" s="552">
        <f>IF(X31=0,0,IF(OR(E31=$AT$10,E31=$AT$9),VLOOKUP(YEAR(X31),INPC!$B$4:$P$30,MONTH(X31)+1),VLOOKUP(YEAR(X31),INPC!$B$4:$P$30,MONTH(X31)+2,0)))</f>
        <v>118.002</v>
      </c>
      <c r="R31" s="309">
        <f t="shared" si="4"/>
        <v>1.0518000000000001</v>
      </c>
      <c r="S31" s="310">
        <f t="shared" si="12"/>
        <v>5246851.448526727</v>
      </c>
      <c r="T31" s="547">
        <f t="shared" si="13"/>
        <v>129.11830516110658</v>
      </c>
      <c r="U31" s="311"/>
      <c r="V31" s="312">
        <v>40636</v>
      </c>
      <c r="W31" s="299" t="s">
        <v>194</v>
      </c>
      <c r="X31" s="300">
        <v>44603</v>
      </c>
      <c r="Y31" s="299" t="s">
        <v>59</v>
      </c>
      <c r="Z31" s="646">
        <v>240719.5386727346</v>
      </c>
      <c r="AA31" s="305">
        <f>IF(Z31=0,0,IF(Y31="MXN",1/HLOOKUP(YEAR(X31)+(MONTH(X31)/100),TC!$5:$37,DAY(X31)+2,FALSE),VLOOKUP(Y31,Equivalencia!$1:$23,((MAX(Equivalencia!$3:$3)-YEAR(X31))*14)+MONTH(X31)+2,FALSE)))</f>
        <v>1</v>
      </c>
      <c r="AB31" s="306">
        <f t="shared" si="14"/>
        <v>240719.5386727346</v>
      </c>
      <c r="AC31" s="305">
        <f>+IF(X31=0,0,HLOOKUP(YEAR(X31)+(MONTH(X31)/100),TC!$5:$37,DAY(X31)+2,FALSE))</f>
        <v>20.500800000000002</v>
      </c>
      <c r="AD31" s="307">
        <f t="shared" si="15"/>
        <v>4934943.1184219979</v>
      </c>
      <c r="AE31" s="314">
        <f t="shared" si="5"/>
        <v>5246851.448526727</v>
      </c>
      <c r="AF31" s="315">
        <f t="shared" si="6"/>
        <v>-311908.33010472916</v>
      </c>
      <c r="AG31" s="316">
        <f t="shared" si="7"/>
        <v>0.84931506849315064</v>
      </c>
      <c r="AH31" s="314">
        <v>1</v>
      </c>
      <c r="AI31" s="314">
        <f t="shared" si="8"/>
        <v>-311908.33010472916</v>
      </c>
      <c r="AJ31" s="314">
        <f t="shared" si="16"/>
        <v>0</v>
      </c>
      <c r="AK31" s="317"/>
      <c r="AL31" s="315">
        <f t="shared" si="17"/>
        <v>-5644.3413272653706</v>
      </c>
      <c r="AN31" s="546">
        <f t="shared" si="9"/>
        <v>-2.2910587896510525E-2</v>
      </c>
      <c r="AO31" s="314"/>
      <c r="AP31" s="318"/>
    </row>
    <row r="32" spans="2:47">
      <c r="B32" s="296" t="s">
        <v>953</v>
      </c>
      <c r="C32" s="299" t="s">
        <v>276</v>
      </c>
      <c r="D32" s="298" t="s">
        <v>727</v>
      </c>
      <c r="E32" s="299" t="s">
        <v>113</v>
      </c>
      <c r="F32" s="299" t="s">
        <v>59</v>
      </c>
      <c r="G32" s="300">
        <v>44302</v>
      </c>
      <c r="H32" s="646">
        <v>106915.41</v>
      </c>
      <c r="I32" s="301" t="str">
        <f t="shared" si="0"/>
        <v>Ingresos Sección II LISR (SIC &amp; BMV)</v>
      </c>
      <c r="J32" s="302">
        <f t="shared" si="10"/>
        <v>17612</v>
      </c>
      <c r="K32" s="304">
        <f t="shared" si="2"/>
        <v>6.0706001589825123</v>
      </c>
      <c r="L32" s="305">
        <f>IF(H32=0,0,IF(OR(E32=$AT$5,E32=$AT$6),AA32,IF(F32="MXN",1/HLOOKUP(YEAR(G32)+(MONTH(G32)/100),TC!$5:$37,DAY(G32)+2,FALSE),VLOOKUP(F32,Equivalencia!$5:$23,((MAX(Equivalencia!$3:$3)-YEAR(G32))*14)+MONTH(G32)+2,FALSE))))</f>
        <v>1</v>
      </c>
      <c r="M32" s="306">
        <f t="shared" si="3"/>
        <v>106915.41</v>
      </c>
      <c r="N32" s="305">
        <f>IF(G32=0,0,(IF(OR(E32=$AT$5,E32=$AT$6),AC32,HLOOKUP(YEAR(G32)+(MONTH(G32)/100),TC!$5:$37,DAY(G32)+2,FALSE))))</f>
        <v>20.058299999999999</v>
      </c>
      <c r="O32" s="307">
        <f t="shared" si="11"/>
        <v>2144541.3684029998</v>
      </c>
      <c r="P32" s="552">
        <f>IF(G32=0,0,VLOOKUP(YEAR(G32),INPC!$B$4:$P$30,MONTH(G32)+2))</f>
        <v>112.19</v>
      </c>
      <c r="Q32" s="552">
        <f>IF(X32=0,0,IF(OR(E32=$AT$10,E32=$AT$9),VLOOKUP(YEAR(X32),INPC!$B$4:$P$30,MONTH(X32)+1),VLOOKUP(YEAR(X32),INPC!$B$4:$P$30,MONTH(X32)+2,0)))</f>
        <v>118.002</v>
      </c>
      <c r="R32" s="309">
        <f t="shared" si="4"/>
        <v>1.0518000000000001</v>
      </c>
      <c r="S32" s="310">
        <f t="shared" si="12"/>
        <v>2255628.6112862756</v>
      </c>
      <c r="T32" s="547">
        <f t="shared" si="13"/>
        <v>128.07339378186893</v>
      </c>
      <c r="U32" s="311"/>
      <c r="V32" s="312">
        <v>17612</v>
      </c>
      <c r="W32" s="299" t="s">
        <v>194</v>
      </c>
      <c r="X32" s="300">
        <v>44603</v>
      </c>
      <c r="Y32" s="299" t="s">
        <v>59</v>
      </c>
      <c r="Z32" s="646">
        <v>104329.96641165965</v>
      </c>
      <c r="AA32" s="305">
        <f>IF(Z32=0,0,IF(Y32="MXN",1/HLOOKUP(YEAR(X32)+(MONTH(X32)/100),TC!$5:$37,DAY(X32)+2,FALSE),VLOOKUP(Y32,Equivalencia!$1:$23,((MAX(Equivalencia!$3:$3)-YEAR(X32))*14)+MONTH(X32)+2,FALSE)))</f>
        <v>1</v>
      </c>
      <c r="AB32" s="306">
        <f t="shared" si="14"/>
        <v>104329.96641165965</v>
      </c>
      <c r="AC32" s="305">
        <f>+IF(X32=0,0,HLOOKUP(YEAR(X32)+(MONTH(X32)/100),TC!$5:$37,DAY(X32)+2,FALSE))</f>
        <v>20.500800000000002</v>
      </c>
      <c r="AD32" s="307">
        <f t="shared" si="15"/>
        <v>2138847.7754121525</v>
      </c>
      <c r="AE32" s="314">
        <f t="shared" si="5"/>
        <v>2255628.6112862756</v>
      </c>
      <c r="AF32" s="315">
        <f t="shared" si="6"/>
        <v>-116780.83587412303</v>
      </c>
      <c r="AG32" s="316">
        <f t="shared" si="7"/>
        <v>0.8246575342465754</v>
      </c>
      <c r="AH32" s="314">
        <v>1</v>
      </c>
      <c r="AI32" s="314">
        <f t="shared" si="8"/>
        <v>-116780.83587412303</v>
      </c>
      <c r="AJ32" s="314">
        <f t="shared" si="16"/>
        <v>0</v>
      </c>
      <c r="AK32" s="317"/>
      <c r="AL32" s="315">
        <f t="shared" si="17"/>
        <v>-2585.4435883403494</v>
      </c>
      <c r="AN32" s="546">
        <f t="shared" si="9"/>
        <v>-2.4182141642073385E-2</v>
      </c>
      <c r="AO32" s="314"/>
      <c r="AP32" s="318"/>
    </row>
    <row r="33" spans="2:42">
      <c r="B33" s="296" t="s">
        <v>953</v>
      </c>
      <c r="C33" s="299" t="s">
        <v>276</v>
      </c>
      <c r="D33" s="298" t="s">
        <v>727</v>
      </c>
      <c r="E33" s="299" t="s">
        <v>113</v>
      </c>
      <c r="F33" s="299" t="s">
        <v>59</v>
      </c>
      <c r="G33" s="300">
        <v>44370</v>
      </c>
      <c r="H33" s="646">
        <v>21743.9</v>
      </c>
      <c r="I33" s="301" t="str">
        <f t="shared" si="0"/>
        <v>Ingresos Sección II LISR (SIC &amp; BMV)</v>
      </c>
      <c r="J33" s="302">
        <f t="shared" si="10"/>
        <v>3531</v>
      </c>
      <c r="K33" s="304">
        <f t="shared" si="2"/>
        <v>6.1580005664117818</v>
      </c>
      <c r="L33" s="305">
        <f>IF(H33=0,0,IF(OR(E33=$AT$5,E33=$AT$6),AA33,IF(F33="MXN",1/HLOOKUP(YEAR(G33)+(MONTH(G33)/100),TC!$5:$37,DAY(G33)+2,FALSE),VLOOKUP(F33,Equivalencia!$5:$23,((MAX(Equivalencia!$3:$3)-YEAR(G33))*14)+MONTH(G33)+2,FALSE))))</f>
        <v>1</v>
      </c>
      <c r="M33" s="306">
        <f t="shared" si="3"/>
        <v>21743.9</v>
      </c>
      <c r="N33" s="305">
        <f>IF(G33=0,0,(IF(OR(E33=$AT$5,E33=$AT$6),AC33,HLOOKUP(YEAR(G33)+(MONTH(G33)/100),TC!$5:$37,DAY(G33)+2,FALSE))))</f>
        <v>20.6</v>
      </c>
      <c r="O33" s="307">
        <f t="shared" si="11"/>
        <v>447924.34000000008</v>
      </c>
      <c r="P33" s="552">
        <f>IF(G33=0,0,VLOOKUP(YEAR(G33),INPC!$B$4:$P$30,MONTH(G33)+2))</f>
        <v>113.018</v>
      </c>
      <c r="Q33" s="552">
        <f>IF(X33=0,0,IF(OR(E33=$AT$10,E33=$AT$9),VLOOKUP(YEAR(X33),INPC!$B$4:$P$30,MONTH(X33)+1),VLOOKUP(YEAR(X33),INPC!$B$4:$P$30,MONTH(X33)+2,0)))</f>
        <v>118.002</v>
      </c>
      <c r="R33" s="309">
        <f t="shared" si="4"/>
        <v>1.044</v>
      </c>
      <c r="S33" s="310">
        <f t="shared" si="12"/>
        <v>467633.0109600001</v>
      </c>
      <c r="T33" s="547">
        <f t="shared" si="13"/>
        <v>132.43642338147836</v>
      </c>
      <c r="U33" s="311"/>
      <c r="V33" s="312">
        <v>3531</v>
      </c>
      <c r="W33" s="299" t="s">
        <v>194</v>
      </c>
      <c r="X33" s="300">
        <v>44603</v>
      </c>
      <c r="Y33" s="299" t="s">
        <v>59</v>
      </c>
      <c r="Z33" s="646">
        <v>20916.937962728265</v>
      </c>
      <c r="AA33" s="305">
        <f>IF(Z33=0,0,IF(Y33="MXN",1/HLOOKUP(YEAR(X33)+(MONTH(X33)/100),TC!$5:$37,DAY(X33)+2,FALSE),VLOOKUP(Y33,Equivalencia!$1:$23,((MAX(Equivalencia!$3:$3)-YEAR(X33))*14)+MONTH(X33)+2,FALSE)))</f>
        <v>1</v>
      </c>
      <c r="AB33" s="306">
        <f t="shared" si="14"/>
        <v>20916.937962728265</v>
      </c>
      <c r="AC33" s="305">
        <f>+IF(X33=0,0,HLOOKUP(YEAR(X33)+(MONTH(X33)/100),TC!$5:$37,DAY(X33)+2,FALSE))</f>
        <v>20.500800000000002</v>
      </c>
      <c r="AD33" s="307">
        <f t="shared" si="15"/>
        <v>428813.96178629965</v>
      </c>
      <c r="AE33" s="314">
        <f t="shared" si="5"/>
        <v>467633.0109600001</v>
      </c>
      <c r="AF33" s="315">
        <f t="shared" si="6"/>
        <v>-38819.049173700449</v>
      </c>
      <c r="AG33" s="316">
        <f t="shared" si="7"/>
        <v>0.63835616438356169</v>
      </c>
      <c r="AH33" s="314">
        <v>1</v>
      </c>
      <c r="AI33" s="314">
        <f t="shared" si="8"/>
        <v>-38819.049173700449</v>
      </c>
      <c r="AJ33" s="314">
        <f t="shared" si="16"/>
        <v>0</v>
      </c>
      <c r="AK33" s="317"/>
      <c r="AL33" s="315">
        <f t="shared" si="17"/>
        <v>-826.96203727173634</v>
      </c>
      <c r="AN33" s="546">
        <f t="shared" si="9"/>
        <v>-3.8031909513552592E-2</v>
      </c>
      <c r="AO33" s="314"/>
      <c r="AP33" s="318"/>
    </row>
    <row r="34" spans="2:42">
      <c r="B34" s="296" t="s">
        <v>953</v>
      </c>
      <c r="C34" s="299" t="s">
        <v>276</v>
      </c>
      <c r="D34" s="298" t="s">
        <v>727</v>
      </c>
      <c r="E34" s="299" t="s">
        <v>113</v>
      </c>
      <c r="F34" s="299" t="s">
        <v>59</v>
      </c>
      <c r="G34" s="300">
        <v>44441</v>
      </c>
      <c r="H34" s="646">
        <v>14420.19</v>
      </c>
      <c r="I34" s="301" t="str">
        <f t="shared" si="0"/>
        <v>Ingresos Sección II LISR (SIC &amp; BMV)</v>
      </c>
      <c r="J34" s="302">
        <f t="shared" si="10"/>
        <v>2320</v>
      </c>
      <c r="K34" s="304">
        <f t="shared" si="2"/>
        <v>6.2155991379310347</v>
      </c>
      <c r="L34" s="305">
        <f>IF(H34=0,0,IF(OR(E34=$AT$5,E34=$AT$6),AA34,IF(F34="MXN",1/HLOOKUP(YEAR(G34)+(MONTH(G34)/100),TC!$5:$37,DAY(G34)+2,FALSE),VLOOKUP(F34,Equivalencia!$5:$23,((MAX(Equivalencia!$3:$3)-YEAR(G34))*14)+MONTH(G34)+2,FALSE))))</f>
        <v>1</v>
      </c>
      <c r="M34" s="306">
        <f t="shared" si="3"/>
        <v>14420.19</v>
      </c>
      <c r="N34" s="305">
        <f>IF(G34=0,0,(IF(OR(E34=$AT$5,E34=$AT$6),AC34,HLOOKUP(YEAR(G34)+(MONTH(G34)/100),TC!$5:$37,DAY(G34)+2,FALSE))))</f>
        <v>20.060500000000001</v>
      </c>
      <c r="O34" s="307">
        <f t="shared" si="11"/>
        <v>289276.22149500001</v>
      </c>
      <c r="P34" s="552">
        <f>IF(G34=0,0,VLOOKUP(YEAR(G34),INPC!$B$4:$P$30,MONTH(G34)+2))</f>
        <v>114.601</v>
      </c>
      <c r="Q34" s="552">
        <f>IF(X34=0,0,IF(OR(E34=$AT$10,E34=$AT$9),VLOOKUP(YEAR(X34),INPC!$B$4:$P$30,MONTH(X34)+1),VLOOKUP(YEAR(X34),INPC!$B$4:$P$30,MONTH(X34)+2,0)))</f>
        <v>118.002</v>
      </c>
      <c r="R34" s="309">
        <f t="shared" si="4"/>
        <v>1.0296000000000001</v>
      </c>
      <c r="S34" s="310">
        <f t="shared" si="12"/>
        <v>297838.79765125201</v>
      </c>
      <c r="T34" s="547">
        <f t="shared" si="13"/>
        <v>128.37879209105691</v>
      </c>
      <c r="U34" s="311"/>
      <c r="V34" s="312">
        <v>2320</v>
      </c>
      <c r="W34" s="299" t="s">
        <v>194</v>
      </c>
      <c r="X34" s="300">
        <v>44603</v>
      </c>
      <c r="Y34" s="299" t="s">
        <v>59</v>
      </c>
      <c r="Z34" s="646">
        <v>13743.2161069186</v>
      </c>
      <c r="AA34" s="305">
        <f>IF(Z34=0,0,IF(Y34="MXN",1/HLOOKUP(YEAR(X34)+(MONTH(X34)/100),TC!$5:$37,DAY(X34)+2,FALSE),VLOOKUP(Y34,Equivalencia!$1:$23,((MAX(Equivalencia!$3:$3)-YEAR(X34))*14)+MONTH(X34)+2,FALSE)))</f>
        <v>1</v>
      </c>
      <c r="AB34" s="306">
        <f t="shared" si="14"/>
        <v>13743.2161069186</v>
      </c>
      <c r="AC34" s="305">
        <f>+IF(X34=0,0,HLOOKUP(YEAR(X34)+(MONTH(X34)/100),TC!$5:$37,DAY(X34)+2,FALSE))</f>
        <v>20.500800000000002</v>
      </c>
      <c r="AD34" s="307">
        <f t="shared" si="15"/>
        <v>281746.92476471688</v>
      </c>
      <c r="AE34" s="314">
        <f t="shared" si="5"/>
        <v>297838.79765125201</v>
      </c>
      <c r="AF34" s="315">
        <f t="shared" si="6"/>
        <v>-16091.87288653513</v>
      </c>
      <c r="AG34" s="316">
        <f t="shared" si="7"/>
        <v>0.44383561643835617</v>
      </c>
      <c r="AH34" s="314">
        <v>1</v>
      </c>
      <c r="AI34" s="314">
        <f t="shared" si="8"/>
        <v>-16091.87288653513</v>
      </c>
      <c r="AJ34" s="314">
        <f t="shared" si="16"/>
        <v>0</v>
      </c>
      <c r="AK34" s="317"/>
      <c r="AL34" s="315">
        <f t="shared" si="17"/>
        <v>-676.97389308140009</v>
      </c>
      <c r="AN34" s="546">
        <f t="shared" si="9"/>
        <v>-4.6946253349047416E-2</v>
      </c>
      <c r="AO34" s="314"/>
      <c r="AP34" s="318"/>
    </row>
    <row r="35" spans="2:42" ht="17" thickBot="1">
      <c r="B35" s="296" t="s">
        <v>953</v>
      </c>
      <c r="C35" s="299" t="s">
        <v>276</v>
      </c>
      <c r="D35" s="298" t="s">
        <v>727</v>
      </c>
      <c r="E35" s="299" t="s">
        <v>113</v>
      </c>
      <c r="F35" s="299" t="s">
        <v>59</v>
      </c>
      <c r="G35" s="300">
        <v>44491</v>
      </c>
      <c r="H35" s="647">
        <v>8817.5300000000007</v>
      </c>
      <c r="I35" s="301" t="str">
        <f t="shared" si="0"/>
        <v>Ingresos Sección II LISR (SIC &amp; BMV)</v>
      </c>
      <c r="J35" s="302">
        <f t="shared" si="10"/>
        <v>1445</v>
      </c>
      <c r="K35" s="304">
        <f t="shared" si="2"/>
        <v>6.1020968858131495</v>
      </c>
      <c r="L35" s="305">
        <f>IF(H35=0,0,IF(OR(E35=$AT$5,E35=$AT$6),AA35,IF(F35="MXN",1/HLOOKUP(YEAR(G35)+(MONTH(G35)/100),TC!$5:$37,DAY(G35)+2,FALSE),VLOOKUP(F35,Equivalencia!$5:$23,((MAX(Equivalencia!$3:$3)-YEAR(G35))*14)+MONTH(G35)+2,FALSE))))</f>
        <v>1</v>
      </c>
      <c r="M35" s="306">
        <f t="shared" si="3"/>
        <v>8817.5300000000007</v>
      </c>
      <c r="N35" s="305">
        <f>IF(G35=0,0,(IF(OR(E35=$AT$5,E35=$AT$6),AC35,HLOOKUP(YEAR(G35)+(MONTH(G35)/100),TC!$5:$37,DAY(G35)+2,FALSE))))</f>
        <v>20.184999999999999</v>
      </c>
      <c r="O35" s="307">
        <f t="shared" si="11"/>
        <v>177981.84305</v>
      </c>
      <c r="P35" s="552">
        <f>IF(G35=0,0,VLOOKUP(YEAR(G35),INPC!$B$4:$P$30,MONTH(G35)+2))</f>
        <v>115.56100000000001</v>
      </c>
      <c r="Q35" s="552">
        <f>IF(X35=0,0,IF(OR(E35=$AT$10,E35=$AT$9),VLOOKUP(YEAR(X35),INPC!$B$4:$P$30,MONTH(X35)+1),VLOOKUP(YEAR(X35),INPC!$B$4:$P$30,MONTH(X35)+2,0)))</f>
        <v>118.002</v>
      </c>
      <c r="R35" s="309">
        <f t="shared" si="4"/>
        <v>1.0210999999999999</v>
      </c>
      <c r="S35" s="310">
        <f t="shared" si="12"/>
        <v>181737.25993835498</v>
      </c>
      <c r="T35" s="547">
        <f t="shared" si="13"/>
        <v>125.76973006114531</v>
      </c>
      <c r="U35" s="311"/>
      <c r="V35" s="312">
        <v>1445</v>
      </c>
      <c r="W35" s="299" t="s">
        <v>194</v>
      </c>
      <c r="X35" s="300">
        <v>44603</v>
      </c>
      <c r="Y35" s="299" t="s">
        <v>59</v>
      </c>
      <c r="Z35" s="647">
        <v>8559.8910665936983</v>
      </c>
      <c r="AA35" s="305">
        <f>IF(Z35=0,0,IF(Y35="MXN",1/HLOOKUP(YEAR(X35)+(MONTH(X35)/100),TC!$5:$37,DAY(X35)+2,FALSE),VLOOKUP(Y35,Equivalencia!$1:$23,((MAX(Equivalencia!$3:$3)-YEAR(X35))*14)+MONTH(X35)+2,FALSE)))</f>
        <v>1</v>
      </c>
      <c r="AB35" s="306">
        <f t="shared" si="14"/>
        <v>8559.8910665936983</v>
      </c>
      <c r="AC35" s="305">
        <f>+IF(X35=0,0,HLOOKUP(YEAR(X35)+(MONTH(X35)/100),TC!$5:$37,DAY(X35)+2,FALSE))</f>
        <v>20.500800000000002</v>
      </c>
      <c r="AD35" s="307">
        <f t="shared" si="15"/>
        <v>175484.61477802412</v>
      </c>
      <c r="AE35" s="314">
        <f t="shared" si="5"/>
        <v>181737.25993835498</v>
      </c>
      <c r="AF35" s="315">
        <f t="shared" si="6"/>
        <v>-6252.6451603308669</v>
      </c>
      <c r="AG35" s="316">
        <f t="shared" si="7"/>
        <v>0.30684931506849317</v>
      </c>
      <c r="AH35" s="314">
        <v>1</v>
      </c>
      <c r="AI35" s="314">
        <f t="shared" si="8"/>
        <v>-6252.6451603308669</v>
      </c>
      <c r="AJ35" s="314">
        <f t="shared" si="16"/>
        <v>0</v>
      </c>
      <c r="AK35" s="317"/>
      <c r="AL35" s="315">
        <f t="shared" si="17"/>
        <v>-257.63893340630239</v>
      </c>
      <c r="AN35" s="546">
        <f t="shared" si="9"/>
        <v>-2.9218946054768439E-2</v>
      </c>
      <c r="AO35" s="314"/>
      <c r="AP35" s="318"/>
    </row>
    <row r="36" spans="2:42">
      <c r="B36" s="296" t="s">
        <v>953</v>
      </c>
      <c r="C36" s="299" t="s">
        <v>276</v>
      </c>
      <c r="D36" s="298" t="s">
        <v>724</v>
      </c>
      <c r="E36" s="299" t="s">
        <v>113</v>
      </c>
      <c r="F36" s="299" t="s">
        <v>59</v>
      </c>
      <c r="G36" s="300">
        <v>44218</v>
      </c>
      <c r="H36" s="651">
        <v>65597.509553773678</v>
      </c>
      <c r="I36" s="301" t="str">
        <f t="shared" si="0"/>
        <v>Ingresos Sección II LISR (SIC &amp; BMV)</v>
      </c>
      <c r="J36" s="302">
        <f t="shared" si="10"/>
        <v>12108</v>
      </c>
      <c r="K36" s="304">
        <f t="shared" si="2"/>
        <v>5.4176998310021212</v>
      </c>
      <c r="L36" s="305">
        <f>IF(H36=0,0,IF(OR(E36=$AT$5,E36=$AT$6),AA36,IF(F36="MXN",1/HLOOKUP(YEAR(G36)+(MONTH(G36)/100),TC!$5:$37,DAY(G36)+2,FALSE),VLOOKUP(F36,Equivalencia!$5:$23,((MAX(Equivalencia!$3:$3)-YEAR(G36))*14)+MONTH(G36)+2,FALSE))))</f>
        <v>1</v>
      </c>
      <c r="M36" s="306">
        <f t="shared" si="3"/>
        <v>65597.509553773678</v>
      </c>
      <c r="N36" s="305">
        <f>IF(G36=0,0,(IF(OR(E36=$AT$5,E36=$AT$6),AC36,HLOOKUP(YEAR(G36)+(MONTH(G36)/100),TC!$5:$37,DAY(G36)+2,FALSE))))</f>
        <v>19.5793</v>
      </c>
      <c r="O36" s="307">
        <f t="shared" si="11"/>
        <v>1284353.318806201</v>
      </c>
      <c r="P36" s="552">
        <f>IF(G36=0,0,VLOOKUP(YEAR(G36),INPC!$B$4:$P$30,MONTH(G36)+2))</f>
        <v>110.21</v>
      </c>
      <c r="Q36" s="552">
        <f>IF(X36=0,0,IF(OR(E36=$AT$10,E36=$AT$9),VLOOKUP(YEAR(X36),INPC!$B$4:$P$30,MONTH(X36)+1),VLOOKUP(YEAR(X36),INPC!$B$4:$P$30,MONTH(X36)+2,0)))</f>
        <v>118.002</v>
      </c>
      <c r="R36" s="309">
        <f t="shared" si="4"/>
        <v>1.0707</v>
      </c>
      <c r="S36" s="310">
        <f t="shared" si="12"/>
        <v>1375157.0984457994</v>
      </c>
      <c r="T36" s="547">
        <f t="shared" si="13"/>
        <v>113.57425656143042</v>
      </c>
      <c r="U36" s="311"/>
      <c r="V36" s="312">
        <v>12108</v>
      </c>
      <c r="W36" s="299" t="s">
        <v>194</v>
      </c>
      <c r="X36" s="300">
        <v>44603</v>
      </c>
      <c r="Y36" s="299" t="s">
        <v>59</v>
      </c>
      <c r="Z36" s="651">
        <v>64275.317753531737</v>
      </c>
      <c r="AA36" s="305">
        <f>IF(Z36=0,0,IF(Y36="MXN",1/HLOOKUP(YEAR(X36)+(MONTH(X36)/100),TC!$5:$37,DAY(X36)+2,FALSE),VLOOKUP(Y36,Equivalencia!$1:$23,((MAX(Equivalencia!$3:$3)-YEAR(X36))*14)+MONTH(X36)+2,FALSE)))</f>
        <v>1</v>
      </c>
      <c r="AB36" s="306">
        <f t="shared" si="14"/>
        <v>64275.317753531737</v>
      </c>
      <c r="AC36" s="305">
        <f>+IF(X36=0,0,HLOOKUP(YEAR(X36)+(MONTH(X36)/100),TC!$5:$37,DAY(X36)+2,FALSE))</f>
        <v>20.500800000000002</v>
      </c>
      <c r="AD36" s="307">
        <f t="shared" si="15"/>
        <v>1317695.4342016035</v>
      </c>
      <c r="AE36" s="314">
        <f t="shared" si="5"/>
        <v>1375157.0984457994</v>
      </c>
      <c r="AF36" s="315">
        <f t="shared" si="6"/>
        <v>-57461.664244195912</v>
      </c>
      <c r="AG36" s="316">
        <f t="shared" si="7"/>
        <v>1.0547945205479452</v>
      </c>
      <c r="AH36" s="314">
        <v>1</v>
      </c>
      <c r="AI36" s="314">
        <f t="shared" si="8"/>
        <v>-57461.664244195912</v>
      </c>
      <c r="AJ36" s="314">
        <f t="shared" si="16"/>
        <v>0</v>
      </c>
      <c r="AK36" s="317"/>
      <c r="AL36" s="315">
        <f t="shared" si="17"/>
        <v>-1322.1918002419407</v>
      </c>
      <c r="AN36" s="546">
        <f t="shared" si="9"/>
        <v>-2.0156128018214953E-2</v>
      </c>
      <c r="AO36" s="314"/>
      <c r="AP36" s="318"/>
    </row>
    <row r="37" spans="2:42">
      <c r="B37" s="296" t="s">
        <v>953</v>
      </c>
      <c r="C37" s="299" t="s">
        <v>276</v>
      </c>
      <c r="D37" s="298" t="s">
        <v>724</v>
      </c>
      <c r="E37" s="299" t="s">
        <v>113</v>
      </c>
      <c r="F37" s="299" t="s">
        <v>59</v>
      </c>
      <c r="G37" s="300">
        <v>44231</v>
      </c>
      <c r="H37" s="646">
        <v>137927</v>
      </c>
      <c r="I37" s="301" t="str">
        <f t="shared" si="0"/>
        <v>Ingresos Sección II LISR (SIC &amp; BMV)</v>
      </c>
      <c r="J37" s="302">
        <f t="shared" si="10"/>
        <v>25460</v>
      </c>
      <c r="K37" s="304">
        <f t="shared" si="2"/>
        <v>5.4173998428908092</v>
      </c>
      <c r="L37" s="305">
        <f>IF(H37=0,0,IF(OR(E37=$AT$5,E37=$AT$6),AA37,IF(F37="MXN",1/HLOOKUP(YEAR(G37)+(MONTH(G37)/100),TC!$5:$37,DAY(G37)+2,FALSE),VLOOKUP(F37,Equivalencia!$5:$23,((MAX(Equivalencia!$3:$3)-YEAR(G37))*14)+MONTH(G37)+2,FALSE))))</f>
        <v>1</v>
      </c>
      <c r="M37" s="306">
        <f t="shared" si="3"/>
        <v>137927</v>
      </c>
      <c r="N37" s="305">
        <f>IF(G37=0,0,(IF(OR(E37=$AT$5,E37=$AT$6),AC37,HLOOKUP(YEAR(G37)+(MONTH(G37)/100),TC!$5:$37,DAY(G37)+2,FALSE))))</f>
        <v>20.1722</v>
      </c>
      <c r="O37" s="307">
        <f t="shared" si="11"/>
        <v>2782291.0293999999</v>
      </c>
      <c r="P37" s="552">
        <f>IF(G37=0,0,VLOOKUP(YEAR(G37),INPC!$B$4:$P$30,MONTH(G37)+2))</f>
        <v>110.907</v>
      </c>
      <c r="Q37" s="552">
        <f>IF(X37=0,0,IF(OR(E37=$AT$10,E37=$AT$9),VLOOKUP(YEAR(X37),INPC!$B$4:$P$30,MONTH(X37)+1),VLOOKUP(YEAR(X37),INPC!$B$4:$P$30,MONTH(X37)+2,0)))</f>
        <v>118.002</v>
      </c>
      <c r="R37" s="309">
        <f t="shared" si="4"/>
        <v>1.0639000000000001</v>
      </c>
      <c r="S37" s="310">
        <f t="shared" si="12"/>
        <v>2960079.4261786602</v>
      </c>
      <c r="T37" s="547">
        <f t="shared" si="13"/>
        <v>116.26392090253968</v>
      </c>
      <c r="U37" s="311"/>
      <c r="V37" s="312">
        <v>25460</v>
      </c>
      <c r="W37" s="299" t="s">
        <v>194</v>
      </c>
      <c r="X37" s="300">
        <v>44603</v>
      </c>
      <c r="Y37" s="299" t="s">
        <v>59</v>
      </c>
      <c r="Z37" s="646">
        <v>135154.40948174082</v>
      </c>
      <c r="AA37" s="305">
        <f>IF(Z37=0,0,IF(Y37="MXN",1/HLOOKUP(YEAR(X37)+(MONTH(X37)/100),TC!$5:$37,DAY(X37)+2,FALSE),VLOOKUP(Y37,Equivalencia!$1:$23,((MAX(Equivalencia!$3:$3)-YEAR(X37))*14)+MONTH(X37)+2,FALSE)))</f>
        <v>1</v>
      </c>
      <c r="AB37" s="306">
        <f t="shared" si="14"/>
        <v>135154.40948174082</v>
      </c>
      <c r="AC37" s="305">
        <f>+IF(X37=0,0,HLOOKUP(YEAR(X37)+(MONTH(X37)/100),TC!$5:$37,DAY(X37)+2,FALSE))</f>
        <v>20.500800000000002</v>
      </c>
      <c r="AD37" s="307">
        <f t="shared" si="15"/>
        <v>2770773.5179032725</v>
      </c>
      <c r="AE37" s="314">
        <f t="shared" si="5"/>
        <v>2960079.4261786602</v>
      </c>
      <c r="AF37" s="315">
        <f t="shared" si="6"/>
        <v>-189305.90827538772</v>
      </c>
      <c r="AG37" s="316">
        <f t="shared" si="7"/>
        <v>1.0191780821917809</v>
      </c>
      <c r="AH37" s="314">
        <v>1</v>
      </c>
      <c r="AI37" s="314">
        <f t="shared" si="8"/>
        <v>-189305.90827538772</v>
      </c>
      <c r="AJ37" s="314">
        <f t="shared" si="16"/>
        <v>0</v>
      </c>
      <c r="AK37" s="317"/>
      <c r="AL37" s="315">
        <f t="shared" si="17"/>
        <v>-2772.5905182591814</v>
      </c>
      <c r="AN37" s="546">
        <f t="shared" si="9"/>
        <v>-2.0101869237054249E-2</v>
      </c>
      <c r="AO37" s="314"/>
      <c r="AP37" s="318"/>
    </row>
    <row r="38" spans="2:42">
      <c r="B38" s="296" t="s">
        <v>953</v>
      </c>
      <c r="C38" s="299" t="s">
        <v>276</v>
      </c>
      <c r="D38" s="298" t="s">
        <v>724</v>
      </c>
      <c r="E38" s="299" t="s">
        <v>113</v>
      </c>
      <c r="F38" s="299" t="s">
        <v>59</v>
      </c>
      <c r="G38" s="300">
        <v>44293</v>
      </c>
      <c r="H38" s="646">
        <v>344391.16</v>
      </c>
      <c r="I38" s="301" t="str">
        <f t="shared" si="0"/>
        <v>Ingresos Sección II LISR (SIC &amp; BMV)</v>
      </c>
      <c r="J38" s="302">
        <f t="shared" si="10"/>
        <v>63603</v>
      </c>
      <c r="K38" s="304">
        <f t="shared" si="2"/>
        <v>5.4146999355376311</v>
      </c>
      <c r="L38" s="305">
        <f>IF(H38=0,0,IF(OR(E38=$AT$5,E38=$AT$6),AA38,IF(F38="MXN",1/HLOOKUP(YEAR(G38)+(MONTH(G38)/100),TC!$5:$37,DAY(G38)+2,FALSE),VLOOKUP(F38,Equivalencia!$5:$23,((MAX(Equivalencia!$3:$3)-YEAR(G38))*14)+MONTH(G38)+2,FALSE))))</f>
        <v>1</v>
      </c>
      <c r="M38" s="306">
        <f t="shared" si="3"/>
        <v>344391.16</v>
      </c>
      <c r="N38" s="305">
        <f>IF(G38=0,0,(IF(OR(E38=$AT$5,E38=$AT$6),AC38,HLOOKUP(YEAR(G38)+(MONTH(G38)/100),TC!$5:$37,DAY(G38)+2,FALSE))))</f>
        <v>20.2483</v>
      </c>
      <c r="O38" s="307">
        <f t="shared" si="11"/>
        <v>6973335.5250279997</v>
      </c>
      <c r="P38" s="552">
        <f>IF(G38=0,0,VLOOKUP(YEAR(G38),INPC!$B$4:$P$30,MONTH(G38)+2))</f>
        <v>112.19</v>
      </c>
      <c r="Q38" s="552">
        <f>IF(X38=0,0,IF(OR(E38=$AT$10,E38=$AT$9),VLOOKUP(YEAR(X38),INPC!$B$4:$P$30,MONTH(X38)+1),VLOOKUP(YEAR(X38),INPC!$B$4:$P$30,MONTH(X38)+2,0)))</f>
        <v>118.002</v>
      </c>
      <c r="R38" s="309">
        <f t="shared" si="4"/>
        <v>1.0518000000000001</v>
      </c>
      <c r="S38" s="310">
        <f t="shared" si="12"/>
        <v>7334554.3052244503</v>
      </c>
      <c r="T38" s="547">
        <f t="shared" si="13"/>
        <v>115.3177413836525</v>
      </c>
      <c r="U38" s="311"/>
      <c r="V38" s="312">
        <v>63603</v>
      </c>
      <c r="W38" s="299" t="s">
        <v>194</v>
      </c>
      <c r="X38" s="300">
        <v>44603</v>
      </c>
      <c r="Y38" s="299" t="s">
        <v>59</v>
      </c>
      <c r="Z38" s="646">
        <v>337636.52420530881</v>
      </c>
      <c r="AA38" s="305">
        <f>IF(Z38=0,0,IF(Y38="MXN",1/HLOOKUP(YEAR(X38)+(MONTH(X38)/100),TC!$5:$37,DAY(X38)+2,FALSE),VLOOKUP(Y38,Equivalencia!$1:$23,((MAX(Equivalencia!$3:$3)-YEAR(X38))*14)+MONTH(X38)+2,FALSE)))</f>
        <v>1</v>
      </c>
      <c r="AB38" s="306">
        <f t="shared" si="14"/>
        <v>337636.52420530881</v>
      </c>
      <c r="AC38" s="305">
        <f>+IF(X38=0,0,HLOOKUP(YEAR(X38)+(MONTH(X38)/100),TC!$5:$37,DAY(X38)+2,FALSE))</f>
        <v>20.500800000000002</v>
      </c>
      <c r="AD38" s="307">
        <f t="shared" si="15"/>
        <v>6921818.8554281956</v>
      </c>
      <c r="AE38" s="314">
        <f t="shared" si="5"/>
        <v>7334554.3052244503</v>
      </c>
      <c r="AF38" s="315">
        <f t="shared" si="6"/>
        <v>-412735.44979625475</v>
      </c>
      <c r="AG38" s="316">
        <f t="shared" si="7"/>
        <v>0.84931506849315064</v>
      </c>
      <c r="AH38" s="314">
        <v>1</v>
      </c>
      <c r="AI38" s="314">
        <f t="shared" si="8"/>
        <v>-412735.44979625475</v>
      </c>
      <c r="AJ38" s="314">
        <f t="shared" si="16"/>
        <v>0</v>
      </c>
      <c r="AK38" s="317"/>
      <c r="AL38" s="315">
        <f t="shared" si="17"/>
        <v>-6754.6357946911594</v>
      </c>
      <c r="AN38" s="546">
        <f t="shared" si="9"/>
        <v>-1.9613267061474982E-2</v>
      </c>
      <c r="AO38" s="314"/>
      <c r="AP38" s="318"/>
    </row>
    <row r="39" spans="2:42">
      <c r="B39" s="296" t="s">
        <v>953</v>
      </c>
      <c r="C39" s="299" t="s">
        <v>276</v>
      </c>
      <c r="D39" s="298" t="s">
        <v>724</v>
      </c>
      <c r="E39" s="299" t="s">
        <v>113</v>
      </c>
      <c r="F39" s="299" t="s">
        <v>59</v>
      </c>
      <c r="G39" s="300">
        <v>44370</v>
      </c>
      <c r="H39" s="646">
        <v>110926.98</v>
      </c>
      <c r="I39" s="301" t="str">
        <f t="shared" si="0"/>
        <v>Ingresos Sección II LISR (SIC &amp; BMV)</v>
      </c>
      <c r="J39" s="302">
        <f t="shared" si="10"/>
        <v>20498</v>
      </c>
      <c r="K39" s="304">
        <f t="shared" si="2"/>
        <v>5.4116001561127911</v>
      </c>
      <c r="L39" s="305">
        <f>IF(H39=0,0,IF(OR(E39=$AT$5,E39=$AT$6),AA39,IF(F39="MXN",1/HLOOKUP(YEAR(G39)+(MONTH(G39)/100),TC!$5:$37,DAY(G39)+2,FALSE),VLOOKUP(F39,Equivalencia!$5:$23,((MAX(Equivalencia!$3:$3)-YEAR(G39))*14)+MONTH(G39)+2,FALSE))))</f>
        <v>1</v>
      </c>
      <c r="M39" s="306">
        <f t="shared" si="3"/>
        <v>110926.98</v>
      </c>
      <c r="N39" s="305">
        <f>IF(G39=0,0,(IF(OR(E39=$AT$5,E39=$AT$6),AC39,HLOOKUP(YEAR(G39)+(MONTH(G39)/100),TC!$5:$37,DAY(G39)+2,FALSE))))</f>
        <v>20.6</v>
      </c>
      <c r="O39" s="307">
        <f t="shared" si="11"/>
        <v>2285095.7880000002</v>
      </c>
      <c r="P39" s="552">
        <f>IF(G39=0,0,VLOOKUP(YEAR(G39),INPC!$B$4:$P$30,MONTH(G39)+2))</f>
        <v>113.018</v>
      </c>
      <c r="Q39" s="552">
        <f>IF(X39=0,0,IF(OR(E39=$AT$10,E39=$AT$9),VLOOKUP(YEAR(X39),INPC!$B$4:$P$30,MONTH(X39)+1),VLOOKUP(YEAR(X39),INPC!$B$4:$P$30,MONTH(X39)+2,0)))</f>
        <v>118.002</v>
      </c>
      <c r="R39" s="309">
        <f t="shared" si="4"/>
        <v>1.044</v>
      </c>
      <c r="S39" s="310">
        <f t="shared" si="12"/>
        <v>2385640.0026720003</v>
      </c>
      <c r="T39" s="547">
        <f t="shared" si="13"/>
        <v>116.38403759742415</v>
      </c>
      <c r="U39" s="311"/>
      <c r="V39" s="312">
        <v>20498</v>
      </c>
      <c r="W39" s="299" t="s">
        <v>194</v>
      </c>
      <c r="X39" s="300">
        <v>44603</v>
      </c>
      <c r="Y39" s="299" t="s">
        <v>59</v>
      </c>
      <c r="Z39" s="646">
        <v>108813.6325827464</v>
      </c>
      <c r="AA39" s="305">
        <f>IF(Z39=0,0,IF(Y39="MXN",1/HLOOKUP(YEAR(X39)+(MONTH(X39)/100),TC!$5:$37,DAY(X39)+2,FALSE),VLOOKUP(Y39,Equivalencia!$1:$23,((MAX(Equivalencia!$3:$3)-YEAR(X39))*14)+MONTH(X39)+2,FALSE)))</f>
        <v>1</v>
      </c>
      <c r="AB39" s="306">
        <f t="shared" si="14"/>
        <v>108813.6325827464</v>
      </c>
      <c r="AC39" s="305">
        <f>+IF(X39=0,0,HLOOKUP(YEAR(X39)+(MONTH(X39)/100),TC!$5:$37,DAY(X39)+2,FALSE))</f>
        <v>20.500800000000002</v>
      </c>
      <c r="AD39" s="307">
        <f t="shared" si="15"/>
        <v>2230766.5188523675</v>
      </c>
      <c r="AE39" s="314">
        <f t="shared" si="5"/>
        <v>2385640.0026720003</v>
      </c>
      <c r="AF39" s="315">
        <f t="shared" si="6"/>
        <v>-154873.48381963279</v>
      </c>
      <c r="AG39" s="316">
        <f t="shared" si="7"/>
        <v>0.63835616438356169</v>
      </c>
      <c r="AH39" s="314">
        <v>1</v>
      </c>
      <c r="AI39" s="314">
        <f t="shared" si="8"/>
        <v>-154873.48381963279</v>
      </c>
      <c r="AJ39" s="314">
        <f t="shared" si="16"/>
        <v>0</v>
      </c>
      <c r="AK39" s="317"/>
      <c r="AL39" s="315">
        <f t="shared" si="17"/>
        <v>-2113.3474172535934</v>
      </c>
      <c r="AN39" s="546">
        <f t="shared" si="9"/>
        <v>-1.9051698849581893E-2</v>
      </c>
      <c r="AO39" s="314"/>
      <c r="AP39" s="318"/>
    </row>
    <row r="40" spans="2:42">
      <c r="B40" s="296" t="s">
        <v>953</v>
      </c>
      <c r="C40" s="299" t="s">
        <v>276</v>
      </c>
      <c r="D40" s="298" t="s">
        <v>724</v>
      </c>
      <c r="E40" s="299" t="s">
        <v>113</v>
      </c>
      <c r="F40" s="299" t="s">
        <v>59</v>
      </c>
      <c r="G40" s="300">
        <v>44441</v>
      </c>
      <c r="H40" s="646">
        <v>405182.53</v>
      </c>
      <c r="I40" s="301" t="str">
        <f t="shared" si="0"/>
        <v>Ingresos Sección II LISR (SIC &amp; BMV)</v>
      </c>
      <c r="J40" s="302">
        <f t="shared" si="10"/>
        <v>74779</v>
      </c>
      <c r="K40" s="304">
        <f t="shared" si="2"/>
        <v>5.4183999518581425</v>
      </c>
      <c r="L40" s="305">
        <f>IF(H40=0,0,IF(OR(E40=$AT$5,E40=$AT$6),AA40,IF(F40="MXN",1/HLOOKUP(YEAR(G40)+(MONTH(G40)/100),TC!$5:$37,DAY(G40)+2,FALSE),VLOOKUP(F40,Equivalencia!$5:$23,((MAX(Equivalencia!$3:$3)-YEAR(G40))*14)+MONTH(G40)+2,FALSE))))</f>
        <v>1</v>
      </c>
      <c r="M40" s="306">
        <f t="shared" si="3"/>
        <v>405182.53</v>
      </c>
      <c r="N40" s="305">
        <f>IF(G40=0,0,(IF(OR(E40=$AT$5,E40=$AT$6),AC40,HLOOKUP(YEAR(G40)+(MONTH(G40)/100),TC!$5:$37,DAY(G40)+2,FALSE))))</f>
        <v>20.060500000000001</v>
      </c>
      <c r="O40" s="307">
        <f t="shared" si="11"/>
        <v>8128164.1430650009</v>
      </c>
      <c r="P40" s="552">
        <f>IF(G40=0,0,VLOOKUP(YEAR(G40),INPC!$B$4:$P$30,MONTH(G40)+2))</f>
        <v>114.601</v>
      </c>
      <c r="Q40" s="552">
        <f>IF(X40=0,0,IF(OR(E40=$AT$10,E40=$AT$9),VLOOKUP(YEAR(X40),INPC!$B$4:$P$30,MONTH(X40)+1),VLOOKUP(YEAR(X40),INPC!$B$4:$P$30,MONTH(X40)+2,0)))</f>
        <v>118.002</v>
      </c>
      <c r="R40" s="309">
        <f t="shared" si="4"/>
        <v>1.0296000000000001</v>
      </c>
      <c r="S40" s="310">
        <f t="shared" si="12"/>
        <v>8368757.8016997259</v>
      </c>
      <c r="T40" s="547">
        <f t="shared" si="13"/>
        <v>111.9132082763841</v>
      </c>
      <c r="U40" s="311"/>
      <c r="V40" s="312">
        <v>74779</v>
      </c>
      <c r="W40" s="299" t="s">
        <v>194</v>
      </c>
      <c r="X40" s="300">
        <v>44603</v>
      </c>
      <c r="Y40" s="299" t="s">
        <v>59</v>
      </c>
      <c r="Z40" s="646">
        <v>396964.31997781218</v>
      </c>
      <c r="AA40" s="305">
        <f>IF(Z40=0,0,IF(Y40="MXN",1/HLOOKUP(YEAR(X40)+(MONTH(X40)/100),TC!$5:$37,DAY(X40)+2,FALSE),VLOOKUP(Y40,Equivalencia!$1:$23,((MAX(Equivalencia!$3:$3)-YEAR(X40))*14)+MONTH(X40)+2,FALSE)))</f>
        <v>1</v>
      </c>
      <c r="AB40" s="306">
        <f t="shared" si="14"/>
        <v>396964.31997781218</v>
      </c>
      <c r="AC40" s="305">
        <f>+IF(X40=0,0,HLOOKUP(YEAR(X40)+(MONTH(X40)/100),TC!$5:$37,DAY(X40)+2,FALSE))</f>
        <v>20.500800000000002</v>
      </c>
      <c r="AD40" s="307">
        <f t="shared" si="15"/>
        <v>8138086.1310011325</v>
      </c>
      <c r="AE40" s="314">
        <f t="shared" si="5"/>
        <v>8368757.8016997268</v>
      </c>
      <c r="AF40" s="315">
        <f t="shared" si="6"/>
        <v>-230671.6706985943</v>
      </c>
      <c r="AG40" s="316">
        <f t="shared" si="7"/>
        <v>0.44383561643835617</v>
      </c>
      <c r="AH40" s="314">
        <v>1</v>
      </c>
      <c r="AI40" s="314">
        <f t="shared" si="8"/>
        <v>-230671.6706985943</v>
      </c>
      <c r="AJ40" s="314">
        <f t="shared" si="16"/>
        <v>0</v>
      </c>
      <c r="AK40" s="317"/>
      <c r="AL40" s="315">
        <f t="shared" si="17"/>
        <v>-8218.21002218785</v>
      </c>
      <c r="AN40" s="546">
        <f t="shared" si="9"/>
        <v>-2.028273534445784E-2</v>
      </c>
      <c r="AO40" s="314"/>
      <c r="AP40" s="318"/>
    </row>
    <row r="41" spans="2:42" ht="17" thickBot="1">
      <c r="B41" s="296" t="s">
        <v>953</v>
      </c>
      <c r="C41" s="299" t="s">
        <v>276</v>
      </c>
      <c r="D41" s="298" t="s">
        <v>724</v>
      </c>
      <c r="E41" s="299" t="s">
        <v>113</v>
      </c>
      <c r="F41" s="299" t="s">
        <v>59</v>
      </c>
      <c r="G41" s="300">
        <v>44491</v>
      </c>
      <c r="H41" s="647">
        <v>302.11</v>
      </c>
      <c r="I41" s="301" t="str">
        <f t="shared" si="0"/>
        <v>Ingresos Sección II LISR (SIC &amp; BMV)</v>
      </c>
      <c r="J41" s="302">
        <f t="shared" si="10"/>
        <v>56</v>
      </c>
      <c r="K41" s="304">
        <f t="shared" si="2"/>
        <v>5.3948214285714284</v>
      </c>
      <c r="L41" s="305">
        <f>IF(H41=0,0,IF(OR(E41=$AT$5,E41=$AT$6),AA41,IF(F41="MXN",1/HLOOKUP(YEAR(G41)+(MONTH(G41)/100),TC!$5:$37,DAY(G41)+2,FALSE),VLOOKUP(F41,Equivalencia!$5:$23,((MAX(Equivalencia!$3:$3)-YEAR(G41))*14)+MONTH(G41)+2,FALSE))))</f>
        <v>1</v>
      </c>
      <c r="M41" s="306">
        <f t="shared" si="3"/>
        <v>302.11</v>
      </c>
      <c r="N41" s="305">
        <f>IF(G41=0,0,(IF(OR(E41=$AT$5,E41=$AT$6),AC41,HLOOKUP(YEAR(G41)+(MONTH(G41)/100),TC!$5:$37,DAY(G41)+2,FALSE))))</f>
        <v>20.184999999999999</v>
      </c>
      <c r="O41" s="307">
        <f t="shared" si="11"/>
        <v>6098.0903499999995</v>
      </c>
      <c r="P41" s="552">
        <f>IF(G41=0,0,VLOOKUP(YEAR(G41),INPC!$B$4:$P$30,MONTH(G41)+2))</f>
        <v>115.56100000000001</v>
      </c>
      <c r="Q41" s="552">
        <f>IF(X41=0,0,IF(OR(E41=$AT$10,E41=$AT$9),VLOOKUP(YEAR(X41),INPC!$B$4:$P$30,MONTH(X41)+1),VLOOKUP(YEAR(X41),INPC!$B$4:$P$30,MONTH(X41)+2,0)))</f>
        <v>118.002</v>
      </c>
      <c r="R41" s="309">
        <f t="shared" si="4"/>
        <v>1.0210999999999999</v>
      </c>
      <c r="S41" s="310">
        <f t="shared" si="12"/>
        <v>6226.7600563849992</v>
      </c>
      <c r="T41" s="547">
        <f t="shared" si="13"/>
        <v>111.19214386401784</v>
      </c>
      <c r="U41" s="311"/>
      <c r="V41" s="312">
        <v>56</v>
      </c>
      <c r="W41" s="299" t="s">
        <v>194</v>
      </c>
      <c r="X41" s="300">
        <v>44603</v>
      </c>
      <c r="Y41" s="299" t="s">
        <v>59</v>
      </c>
      <c r="Z41" s="647">
        <v>297.27599886007408</v>
      </c>
      <c r="AA41" s="305">
        <f>IF(Z41=0,0,IF(Y41="MXN",1/HLOOKUP(YEAR(X41)+(MONTH(X41)/100),TC!$5:$37,DAY(X41)+2,FALSE),VLOOKUP(Y41,Equivalencia!$1:$23,((MAX(Equivalencia!$3:$3)-YEAR(X41))*14)+MONTH(X41)+2,FALSE)))</f>
        <v>1</v>
      </c>
      <c r="AB41" s="306">
        <f t="shared" si="14"/>
        <v>297.27599886007408</v>
      </c>
      <c r="AC41" s="305">
        <f>+IF(X41=0,0,HLOOKUP(YEAR(X41)+(MONTH(X41)/100),TC!$5:$37,DAY(X41)+2,FALSE))</f>
        <v>20.500800000000002</v>
      </c>
      <c r="AD41" s="307">
        <f t="shared" si="15"/>
        <v>6094.3957974306077</v>
      </c>
      <c r="AE41" s="314">
        <f t="shared" si="5"/>
        <v>6226.7600563849992</v>
      </c>
      <c r="AF41" s="315">
        <f t="shared" si="6"/>
        <v>-132.36425895439152</v>
      </c>
      <c r="AG41" s="316">
        <f t="shared" si="7"/>
        <v>0.30684931506849317</v>
      </c>
      <c r="AH41" s="314">
        <v>1</v>
      </c>
      <c r="AI41" s="314">
        <f t="shared" si="8"/>
        <v>-132.36425895439152</v>
      </c>
      <c r="AJ41" s="314">
        <f t="shared" si="16"/>
        <v>0</v>
      </c>
      <c r="AK41" s="317"/>
      <c r="AL41" s="315">
        <f t="shared" si="17"/>
        <v>-4.8340011399259311</v>
      </c>
      <c r="AN41" s="546">
        <f t="shared" si="9"/>
        <v>-1.6000798185845985E-2</v>
      </c>
      <c r="AO41" s="314"/>
      <c r="AP41" s="318"/>
    </row>
    <row r="42" spans="2:42" ht="17" thickBot="1">
      <c r="B42" s="296" t="s">
        <v>953</v>
      </c>
      <c r="C42" s="299" t="s">
        <v>276</v>
      </c>
      <c r="D42" s="298" t="s">
        <v>712</v>
      </c>
      <c r="E42" s="299" t="s">
        <v>113</v>
      </c>
      <c r="F42" s="299" t="s">
        <v>59</v>
      </c>
      <c r="G42" s="300">
        <v>43957</v>
      </c>
      <c r="H42" s="303">
        <v>28893.897960474307</v>
      </c>
      <c r="I42" s="301" t="str">
        <f t="shared" si="0"/>
        <v>Ingresos Sección II LISR (SIC &amp; BMV)</v>
      </c>
      <c r="J42" s="302">
        <f t="shared" si="10"/>
        <v>101</v>
      </c>
      <c r="K42" s="304">
        <f t="shared" si="2"/>
        <v>286.0781976284585</v>
      </c>
      <c r="L42" s="305">
        <f>IF(H42=0,0,IF(OR(E42=$AT$5,E42=$AT$6),AA42,IF(F42="MXN",1/HLOOKUP(YEAR(G42)+(MONTH(G42)/100),TC!$5:$37,DAY(G42)+2,FALSE),VLOOKUP(F42,Equivalencia!$5:$23,((MAX(Equivalencia!$3:$3)-YEAR(G42))*14)+MONTH(G42)+2,FALSE))))</f>
        <v>1</v>
      </c>
      <c r="M42" s="306">
        <f t="shared" si="3"/>
        <v>28893.897960474307</v>
      </c>
      <c r="N42" s="305">
        <f>IF(G42=0,0,(IF(OR(E42=$AT$5,E42=$AT$6),AC42,HLOOKUP(YEAR(G42)+(MONTH(G42)/100),TC!$5:$37,DAY(G42)+2,FALSE))))</f>
        <v>24.3812</v>
      </c>
      <c r="O42" s="307">
        <f t="shared" si="11"/>
        <v>704467.90495391621</v>
      </c>
      <c r="P42" s="552">
        <f>IF(G42=0,0,VLOOKUP(YEAR(G42),INPC!$B$4:$P$30,MONTH(G42)+2))</f>
        <v>106.16200000000001</v>
      </c>
      <c r="Q42" s="552">
        <f>IF(X42=0,0,IF(OR(E42=$AT$10,E42=$AT$9),VLOOKUP(YEAR(X42),INPC!$B$4:$P$30,MONTH(X42)+1),VLOOKUP(YEAR(X42),INPC!$B$4:$P$30,MONTH(X42)+2,0)))</f>
        <v>118.002</v>
      </c>
      <c r="R42" s="309">
        <f t="shared" si="4"/>
        <v>1.1114999999999999</v>
      </c>
      <c r="S42" s="310">
        <f t="shared" si="12"/>
        <v>783016.0763562778</v>
      </c>
      <c r="T42" s="547">
        <f t="shared" si="13"/>
        <v>7752.6344193690875</v>
      </c>
      <c r="U42" s="311"/>
      <c r="V42" s="312">
        <v>101</v>
      </c>
      <c r="W42" s="299" t="s">
        <v>194</v>
      </c>
      <c r="X42" s="300">
        <v>44603</v>
      </c>
      <c r="Y42" s="299" t="s">
        <v>59</v>
      </c>
      <c r="Z42" s="303">
        <v>46528.11</v>
      </c>
      <c r="AA42" s="305">
        <f>IF(Z42=0,0,IF(Y42="MXN",1/HLOOKUP(YEAR(X42)+(MONTH(X42)/100),TC!$5:$37,DAY(X42)+2,FALSE),VLOOKUP(Y42,Equivalencia!$1:$23,((MAX(Equivalencia!$3:$3)-YEAR(X42))*14)+MONTH(X42)+2,FALSE)))</f>
        <v>1</v>
      </c>
      <c r="AB42" s="306">
        <f t="shared" si="14"/>
        <v>46528.11</v>
      </c>
      <c r="AC42" s="305">
        <f>+IF(X42=0,0,HLOOKUP(YEAR(X42)+(MONTH(X42)/100),TC!$5:$37,DAY(X42)+2,FALSE))</f>
        <v>20.500800000000002</v>
      </c>
      <c r="AD42" s="307">
        <f t="shared" si="15"/>
        <v>953863.47748800006</v>
      </c>
      <c r="AE42" s="314">
        <f t="shared" si="5"/>
        <v>783016.0763562778</v>
      </c>
      <c r="AF42" s="315">
        <f t="shared" si="6"/>
        <v>170847.40113172226</v>
      </c>
      <c r="AG42" s="316">
        <f t="shared" si="7"/>
        <v>1.7698630136986302</v>
      </c>
      <c r="AH42" s="314">
        <v>1</v>
      </c>
      <c r="AI42" s="314">
        <f t="shared" si="8"/>
        <v>170847.40113172226</v>
      </c>
      <c r="AJ42" s="314">
        <f t="shared" si="16"/>
        <v>0</v>
      </c>
      <c r="AK42" s="317"/>
      <c r="AL42" s="315">
        <f t="shared" si="17"/>
        <v>17634.212039525693</v>
      </c>
      <c r="AN42" s="546">
        <f t="shared" si="9"/>
        <v>0.61030921005011463</v>
      </c>
      <c r="AO42" s="314"/>
      <c r="AP42" s="318"/>
    </row>
    <row r="43" spans="2:42">
      <c r="B43" s="296" t="s">
        <v>953</v>
      </c>
      <c r="C43" s="299" t="s">
        <v>276</v>
      </c>
      <c r="D43" s="298" t="s">
        <v>716</v>
      </c>
      <c r="E43" s="299" t="s">
        <v>113</v>
      </c>
      <c r="F43" s="299" t="s">
        <v>59</v>
      </c>
      <c r="G43" s="300">
        <v>44370</v>
      </c>
      <c r="H43" s="651">
        <v>248466.09850739007</v>
      </c>
      <c r="I43" s="301" t="str">
        <f t="shared" si="0"/>
        <v>Ingresos Sección II LISR (SIC &amp; BMV)</v>
      </c>
      <c r="J43" s="302">
        <f t="shared" si="10"/>
        <v>41305</v>
      </c>
      <c r="K43" s="304">
        <f t="shared" si="2"/>
        <v>6.0154000364941309</v>
      </c>
      <c r="L43" s="305">
        <f>IF(H43=0,0,IF(OR(E43=$AT$5,E43=$AT$6),AA43,IF(F43="MXN",1/HLOOKUP(YEAR(G43)+(MONTH(G43)/100),TC!$5:$37,DAY(G43)+2,FALSE),VLOOKUP(F43,Equivalencia!$5:$23,((MAX(Equivalencia!$3:$3)-YEAR(G43))*14)+MONTH(G43)+2,FALSE))))</f>
        <v>1</v>
      </c>
      <c r="M43" s="306">
        <f t="shared" si="3"/>
        <v>248466.09850739007</v>
      </c>
      <c r="N43" s="305">
        <f>IF(G43=0,0,(IF(OR(E43=$AT$5,E43=$AT$6),AC43,HLOOKUP(YEAR(G43)+(MONTH(G43)/100),TC!$5:$37,DAY(G43)+2,FALSE))))</f>
        <v>20.6</v>
      </c>
      <c r="O43" s="307">
        <f t="shared" si="11"/>
        <v>5118401.6292522354</v>
      </c>
      <c r="P43" s="552">
        <f>IF(G43=0,0,VLOOKUP(YEAR(G43),INPC!$B$4:$P$30,MONTH(G43)+2))</f>
        <v>113.018</v>
      </c>
      <c r="Q43" s="552">
        <f>IF(X43=0,0,IF(OR(E43=$AT$10,E43=$AT$9),VLOOKUP(YEAR(X43),INPC!$B$4:$P$30,MONTH(X43)+1),VLOOKUP(YEAR(X43),INPC!$B$4:$P$30,MONTH(X43)+2,0)))</f>
        <v>118.002</v>
      </c>
      <c r="R43" s="309">
        <f t="shared" si="4"/>
        <v>1.044</v>
      </c>
      <c r="S43" s="310">
        <f t="shared" si="12"/>
        <v>5343611.3009393336</v>
      </c>
      <c r="T43" s="547">
        <f t="shared" si="13"/>
        <v>129.36959934485736</v>
      </c>
      <c r="U43" s="311"/>
      <c r="V43" s="312">
        <v>41305</v>
      </c>
      <c r="W43" s="299" t="s">
        <v>194</v>
      </c>
      <c r="X43" s="300">
        <v>44603</v>
      </c>
      <c r="Y43" s="299" t="s">
        <v>59</v>
      </c>
      <c r="Z43" s="651">
        <v>234562.83438475154</v>
      </c>
      <c r="AA43" s="305">
        <f>IF(Z43=0,0,IF(Y43="MXN",1/HLOOKUP(YEAR(X43)+(MONTH(X43)/100),TC!$5:$37,DAY(X43)+2,FALSE),VLOOKUP(Y43,Equivalencia!$1:$23,((MAX(Equivalencia!$3:$3)-YEAR(X43))*14)+MONTH(X43)+2,FALSE)))</f>
        <v>1</v>
      </c>
      <c r="AB43" s="306">
        <f t="shared" si="14"/>
        <v>234562.83438475154</v>
      </c>
      <c r="AC43" s="305">
        <f>+IF(X43=0,0,HLOOKUP(YEAR(X43)+(MONTH(X43)/100),TC!$5:$37,DAY(X43)+2,FALSE))</f>
        <v>20.500800000000002</v>
      </c>
      <c r="AD43" s="307">
        <f t="shared" si="15"/>
        <v>4808725.7551549142</v>
      </c>
      <c r="AE43" s="314">
        <f t="shared" si="5"/>
        <v>5343611.3009393336</v>
      </c>
      <c r="AF43" s="315">
        <f t="shared" si="6"/>
        <v>-534885.5457844194</v>
      </c>
      <c r="AG43" s="316">
        <f t="shared" si="7"/>
        <v>0.63835616438356169</v>
      </c>
      <c r="AH43" s="314">
        <v>1</v>
      </c>
      <c r="AI43" s="314">
        <f t="shared" si="8"/>
        <v>-534885.5457844194</v>
      </c>
      <c r="AJ43" s="314">
        <f t="shared" si="16"/>
        <v>0</v>
      </c>
      <c r="AK43" s="317"/>
      <c r="AL43" s="315">
        <f t="shared" si="17"/>
        <v>-13903.264122638531</v>
      </c>
      <c r="AN43" s="546">
        <f t="shared" si="9"/>
        <v>-5.5956382806988898E-2</v>
      </c>
      <c r="AO43" s="314"/>
      <c r="AP43" s="318"/>
    </row>
    <row r="44" spans="2:42" ht="17" thickBot="1">
      <c r="B44" s="296" t="s">
        <v>953</v>
      </c>
      <c r="C44" s="299" t="s">
        <v>276</v>
      </c>
      <c r="D44" s="298" t="s">
        <v>716</v>
      </c>
      <c r="E44" s="299" t="s">
        <v>113</v>
      </c>
      <c r="F44" s="299" t="s">
        <v>59</v>
      </c>
      <c r="G44" s="300">
        <v>44441</v>
      </c>
      <c r="H44" s="647">
        <v>10019.91</v>
      </c>
      <c r="I44" s="301" t="str">
        <f t="shared" si="0"/>
        <v>Ingresos Sección II LISR (SIC &amp; BMV)</v>
      </c>
      <c r="J44" s="302">
        <f t="shared" si="10"/>
        <v>1637</v>
      </c>
      <c r="K44" s="304">
        <f t="shared" si="2"/>
        <v>6.1208979841172875</v>
      </c>
      <c r="L44" s="305">
        <f>IF(H44=0,0,IF(OR(E44=$AT$5,E44=$AT$6),AA44,IF(F44="MXN",1/HLOOKUP(YEAR(G44)+(MONTH(G44)/100),TC!$5:$37,DAY(G44)+2,FALSE),VLOOKUP(F44,Equivalencia!$5:$23,((MAX(Equivalencia!$3:$3)-YEAR(G44))*14)+MONTH(G44)+2,FALSE))))</f>
        <v>1</v>
      </c>
      <c r="M44" s="306">
        <f t="shared" si="3"/>
        <v>10019.91</v>
      </c>
      <c r="N44" s="305">
        <f>IF(G44=0,0,(IF(OR(E44=$AT$5,E44=$AT$6),AC44,HLOOKUP(YEAR(G44)+(MONTH(G44)/100),TC!$5:$37,DAY(G44)+2,FALSE))))</f>
        <v>20.060500000000001</v>
      </c>
      <c r="O44" s="307">
        <f t="shared" si="11"/>
        <v>201004.40455500002</v>
      </c>
      <c r="P44" s="552">
        <f>IF(G44=0,0,VLOOKUP(YEAR(G44),INPC!$B$4:$P$30,MONTH(G44)+2))</f>
        <v>114.601</v>
      </c>
      <c r="Q44" s="552">
        <f>IF(X44=0,0,IF(OR(E44=$AT$10,E44=$AT$9),VLOOKUP(YEAR(X44),INPC!$B$4:$P$30,MONTH(X44)+1),VLOOKUP(YEAR(X44),INPC!$B$4:$P$30,MONTH(X44)+2,0)))</f>
        <v>118.002</v>
      </c>
      <c r="R44" s="309">
        <f t="shared" si="4"/>
        <v>1.0296000000000001</v>
      </c>
      <c r="S44" s="310">
        <f t="shared" si="12"/>
        <v>206954.13492982803</v>
      </c>
      <c r="T44" s="547">
        <f t="shared" si="13"/>
        <v>126.42280692109226</v>
      </c>
      <c r="U44" s="311"/>
      <c r="V44" s="312">
        <v>1637</v>
      </c>
      <c r="W44" s="299" t="s">
        <v>194</v>
      </c>
      <c r="X44" s="300">
        <v>44603</v>
      </c>
      <c r="Y44" s="299" t="s">
        <v>59</v>
      </c>
      <c r="Z44" s="647">
        <v>9296.1956152484745</v>
      </c>
      <c r="AA44" s="305">
        <f>IF(Z44=0,0,IF(Y44="MXN",1/HLOOKUP(YEAR(X44)+(MONTH(X44)/100),TC!$5:$37,DAY(X44)+2,FALSE),VLOOKUP(Y44,Equivalencia!$1:$23,((MAX(Equivalencia!$3:$3)-YEAR(X44))*14)+MONTH(X44)+2,FALSE)))</f>
        <v>1</v>
      </c>
      <c r="AB44" s="306">
        <f t="shared" si="14"/>
        <v>9296.1956152484745</v>
      </c>
      <c r="AC44" s="305">
        <f>+IF(X44=0,0,HLOOKUP(YEAR(X44)+(MONTH(X44)/100),TC!$5:$37,DAY(X44)+2,FALSE))</f>
        <v>20.500800000000002</v>
      </c>
      <c r="AD44" s="307">
        <f t="shared" si="15"/>
        <v>190579.44706908593</v>
      </c>
      <c r="AE44" s="314">
        <f t="shared" si="5"/>
        <v>206954.13492982803</v>
      </c>
      <c r="AF44" s="315">
        <f t="shared" si="6"/>
        <v>-16374.687860742095</v>
      </c>
      <c r="AG44" s="316">
        <f t="shared" si="7"/>
        <v>0.44383561643835617</v>
      </c>
      <c r="AH44" s="314">
        <v>1</v>
      </c>
      <c r="AI44" s="314">
        <f t="shared" si="8"/>
        <v>-16374.687860742095</v>
      </c>
      <c r="AJ44" s="314">
        <f t="shared" si="16"/>
        <v>0</v>
      </c>
      <c r="AK44" s="317"/>
      <c r="AL44" s="315">
        <f t="shared" si="17"/>
        <v>-723.71438475152536</v>
      </c>
      <c r="AN44" s="546">
        <f t="shared" si="9"/>
        <v>-7.2227633257337179E-2</v>
      </c>
      <c r="AO44" s="314"/>
      <c r="AP44" s="318"/>
    </row>
    <row r="45" spans="2:42" ht="17" thickBot="1">
      <c r="B45" s="296"/>
      <c r="C45" s="299"/>
      <c r="D45" s="298"/>
      <c r="E45" s="299"/>
      <c r="F45" s="299"/>
      <c r="G45" s="300"/>
      <c r="H45" s="303"/>
      <c r="I45" s="301">
        <f t="shared" si="0"/>
        <v>0</v>
      </c>
      <c r="J45" s="302">
        <f t="shared" si="10"/>
        <v>0</v>
      </c>
      <c r="K45" s="304">
        <f t="shared" si="2"/>
        <v>0</v>
      </c>
      <c r="L45" s="305">
        <f>IF(H45=0,0,IF(OR(E45=$AT$5,E45=$AT$6),AA45,IF(F45="MXN",1/HLOOKUP(YEAR(G45)+(MONTH(G45)/100),TC!$5:$37,DAY(G45)+2,FALSE),VLOOKUP(F45,Equivalencia!$5:$23,((MAX(Equivalencia!$3:$3)-YEAR(G45))*14)+MONTH(G45)+2,FALSE))))</f>
        <v>0</v>
      </c>
      <c r="M45" s="306">
        <f t="shared" si="3"/>
        <v>0</v>
      </c>
      <c r="N45" s="305">
        <f>IF(G45=0,0,(IF(OR(E45=$AT$5,E45=$AT$6),AC45,HLOOKUP(YEAR(G45)+(MONTH(G45)/100),TC!$5:$37,DAY(G45)+2,FALSE))))</f>
        <v>0</v>
      </c>
      <c r="O45" s="307">
        <f t="shared" si="11"/>
        <v>0</v>
      </c>
      <c r="P45" s="552">
        <f>IF(G45=0,0,VLOOKUP(YEAR(G45),INPC!$B$4:$P$30,MONTH(G45)+2))</f>
        <v>0</v>
      </c>
      <c r="Q45" s="552">
        <f>IF(X45=0,0,IF(OR(E45=$AT$10,E45=$AT$9),VLOOKUP(YEAR(X45),INPC!$B$4:$P$30,MONTH(X45)+1),VLOOKUP(YEAR(X45),INPC!$B$4:$P$30,MONTH(X45)+2,0)))</f>
        <v>0</v>
      </c>
      <c r="R45" s="309">
        <f t="shared" si="4"/>
        <v>0</v>
      </c>
      <c r="S45" s="310">
        <f t="shared" si="12"/>
        <v>0</v>
      </c>
      <c r="T45" s="547">
        <f t="shared" si="13"/>
        <v>0</v>
      </c>
      <c r="U45" s="311"/>
      <c r="V45" s="312"/>
      <c r="W45" s="299"/>
      <c r="X45" s="300"/>
      <c r="Y45" s="299"/>
      <c r="Z45" s="303"/>
      <c r="AA45" s="305">
        <f>IF(Z45=0,0,IF(Y45="MXN",1/HLOOKUP(YEAR(X45)+(MONTH(X45)/100),TC!$5:$37,DAY(X45)+2,FALSE),VLOOKUP(Y45,Equivalencia!$1:$23,((MAX(Equivalencia!$3:$3)-YEAR(X45))*14)+MONTH(X45)+2,FALSE)))</f>
        <v>0</v>
      </c>
      <c r="AB45" s="306">
        <f t="shared" si="14"/>
        <v>0</v>
      </c>
      <c r="AC45" s="305">
        <f>+IF(X45=0,0,HLOOKUP(YEAR(X45)+(MONTH(X45)/100),TC!$5:$37,DAY(X45)+2,FALSE))</f>
        <v>0</v>
      </c>
      <c r="AD45" s="307">
        <f t="shared" si="15"/>
        <v>0</v>
      </c>
      <c r="AE45" s="314">
        <f t="shared" si="5"/>
        <v>0</v>
      </c>
      <c r="AF45" s="315">
        <f t="shared" si="6"/>
        <v>0</v>
      </c>
      <c r="AG45" s="316">
        <f t="shared" si="7"/>
        <v>0</v>
      </c>
      <c r="AH45" s="314">
        <v>1</v>
      </c>
      <c r="AI45" s="314">
        <f t="shared" si="8"/>
        <v>0</v>
      </c>
      <c r="AJ45" s="314">
        <f t="shared" si="16"/>
        <v>0</v>
      </c>
      <c r="AK45" s="317"/>
      <c r="AL45" s="315">
        <f t="shared" si="17"/>
        <v>0</v>
      </c>
      <c r="AN45" s="546">
        <f t="shared" si="9"/>
        <v>0</v>
      </c>
      <c r="AO45" s="314"/>
      <c r="AP45" s="318"/>
    </row>
    <row r="46" spans="2:42">
      <c r="B46" s="296" t="s">
        <v>957</v>
      </c>
      <c r="C46" s="299" t="s">
        <v>276</v>
      </c>
      <c r="D46" s="298" t="s">
        <v>734</v>
      </c>
      <c r="E46" s="299" t="s">
        <v>113</v>
      </c>
      <c r="F46" s="299" t="s">
        <v>60</v>
      </c>
      <c r="G46" s="300">
        <v>43049</v>
      </c>
      <c r="H46" s="651">
        <v>1396527.48</v>
      </c>
      <c r="I46" s="301" t="str">
        <f t="shared" si="0"/>
        <v>Ingresos Sección II LISR (SIC &amp; BMV)</v>
      </c>
      <c r="J46" s="302">
        <f t="shared" si="10"/>
        <v>14500</v>
      </c>
      <c r="K46" s="304">
        <f t="shared" si="2"/>
        <v>96.312240000000003</v>
      </c>
      <c r="L46" s="305">
        <f>IF(H46=0,0,IF(OR(E46=$AT$5,E46=$AT$6),AA46,IF(F46="MXN",1/HLOOKUP(YEAR(G46)+(MONTH(G46)/100),TC!$5:$37,DAY(G46)+2,FALSE),VLOOKUP(F46,Equivalencia!$5:$23,((MAX(Equivalencia!$3:$3)-YEAR(G46))*14)+MONTH(G46)+2,FALSE))))</f>
        <v>5.2433435753311171E-2</v>
      </c>
      <c r="M46" s="306">
        <f t="shared" si="3"/>
        <v>73224.733900313557</v>
      </c>
      <c r="N46" s="305">
        <f>IF(G46=0,0,(IF(OR(E46=$AT$5,E46=$AT$6),AC46,HLOOKUP(YEAR(G46)+(MONTH(G46)/100),TC!$5:$37,DAY(G46)+2,FALSE))))</f>
        <v>19.0718</v>
      </c>
      <c r="O46" s="307">
        <f t="shared" si="11"/>
        <v>1396527.48</v>
      </c>
      <c r="P46" s="552">
        <f>IF(G46=0,0,VLOOKUP(YEAR(G46),INPC!$B$4:$P$30,MONTH(G46)+2))</f>
        <v>97.695173988822006</v>
      </c>
      <c r="Q46" s="552">
        <f>IF(X46=0,0,IF(OR(E46=$AT$10,E46=$AT$9),VLOOKUP(YEAR(X46),INPC!$B$4:$P$30,MONTH(X46)+1),VLOOKUP(YEAR(X46),INPC!$B$4:$P$30,MONTH(X46)+2,0)))</f>
        <v>117.30800000000001</v>
      </c>
      <c r="R46" s="309">
        <f t="shared" si="4"/>
        <v>1.2007000000000001</v>
      </c>
      <c r="S46" s="310">
        <f t="shared" si="12"/>
        <v>1676810.5452360001</v>
      </c>
      <c r="T46" s="547">
        <f t="shared" si="13"/>
        <v>115.642106568</v>
      </c>
      <c r="U46" s="311"/>
      <c r="V46" s="312">
        <v>14500</v>
      </c>
      <c r="W46" s="299" t="s">
        <v>194</v>
      </c>
      <c r="X46" s="300">
        <v>44585</v>
      </c>
      <c r="Y46" s="299" t="s">
        <v>60</v>
      </c>
      <c r="Z46" s="651">
        <v>1594270.07</v>
      </c>
      <c r="AA46" s="305">
        <f>IF(Z46=0,0,IF(Y46="MXN",1/HLOOKUP(YEAR(X46)+(MONTH(X46)/100),TC!$5:$37,DAY(X46)+2,FALSE),VLOOKUP(Y46,Equivalencia!$1:$23,((MAX(Equivalencia!$3:$3)-YEAR(X46))*14)+MONTH(X46)+2,FALSE)))</f>
        <v>4.8898081728253801E-2</v>
      </c>
      <c r="AB46" s="306">
        <f t="shared" si="14"/>
        <v>77956.748179768911</v>
      </c>
      <c r="AC46" s="305">
        <f>+IF(X46=0,0,HLOOKUP(YEAR(X46)+(MONTH(X46)/100),TC!$5:$37,DAY(X46)+2,FALSE))</f>
        <v>20.450700000000001</v>
      </c>
      <c r="AD46" s="307">
        <f t="shared" si="15"/>
        <v>1594270.07</v>
      </c>
      <c r="AE46" s="314">
        <f t="shared" si="5"/>
        <v>1676810.5452360001</v>
      </c>
      <c r="AF46" s="315">
        <f t="shared" si="6"/>
        <v>-82540.475236000028</v>
      </c>
      <c r="AG46" s="316">
        <f t="shared" si="7"/>
        <v>4.2082191780821914</v>
      </c>
      <c r="AH46" s="314">
        <v>1</v>
      </c>
      <c r="AI46" s="314">
        <f t="shared" si="8"/>
        <v>-82540.475236000028</v>
      </c>
      <c r="AJ46" s="314">
        <f t="shared" si="16"/>
        <v>0</v>
      </c>
      <c r="AK46" s="317"/>
      <c r="AL46" s="315">
        <f t="shared" si="17"/>
        <v>4732.014279455354</v>
      </c>
      <c r="AN46" s="546">
        <f t="shared" si="9"/>
        <v>3.3884147266871928E-3</v>
      </c>
      <c r="AO46" s="314"/>
      <c r="AP46" s="318"/>
    </row>
    <row r="47" spans="2:42">
      <c r="B47" s="296" t="s">
        <v>957</v>
      </c>
      <c r="C47" s="299" t="s">
        <v>276</v>
      </c>
      <c r="D47" s="298" t="s">
        <v>734</v>
      </c>
      <c r="E47" s="299" t="s">
        <v>113</v>
      </c>
      <c r="F47" s="299" t="s">
        <v>60</v>
      </c>
      <c r="G47" s="300">
        <v>43133</v>
      </c>
      <c r="H47" s="646">
        <v>10563658.24</v>
      </c>
      <c r="I47" s="301" t="str">
        <f t="shared" si="0"/>
        <v>Ingresos Sección II LISR (SIC &amp; BMV)</v>
      </c>
      <c r="J47" s="302">
        <f t="shared" si="10"/>
        <v>112753</v>
      </c>
      <c r="K47" s="304">
        <f t="shared" si="2"/>
        <v>93.688489352833187</v>
      </c>
      <c r="L47" s="305">
        <f>IF(H47=0,0,IF(OR(E47=$AT$5,E47=$AT$6),AA47,IF(F47="MXN",1/HLOOKUP(YEAR(G47)+(MONTH(G47)/100),TC!$5:$37,DAY(G47)+2,FALSE),VLOOKUP(F47,Equivalencia!$5:$23,((MAX(Equivalencia!$3:$3)-YEAR(G47))*14)+MONTH(G47)+2,FALSE))))</f>
        <v>5.3743503753983742E-2</v>
      </c>
      <c r="M47" s="306">
        <f t="shared" si="3"/>
        <v>567728.00627724128</v>
      </c>
      <c r="N47" s="305">
        <f>IF(G47=0,0,(IF(OR(E47=$AT$5,E47=$AT$6),AC47,HLOOKUP(YEAR(G47)+(MONTH(G47)/100),TC!$5:$37,DAY(G47)+2,FALSE))))</f>
        <v>18.6069</v>
      </c>
      <c r="O47" s="307">
        <f t="shared" si="11"/>
        <v>10563658.24</v>
      </c>
      <c r="P47" s="552">
        <f>IF(G47=0,0,VLOOKUP(YEAR(G47),INPC!$B$4:$P$30,MONTH(G47)+2))</f>
        <v>99.171374481640001</v>
      </c>
      <c r="Q47" s="552">
        <f>IF(X47=0,0,IF(OR(E47=$AT$10,E47=$AT$9),VLOOKUP(YEAR(X47),INPC!$B$4:$P$30,MONTH(X47)+1),VLOOKUP(YEAR(X47),INPC!$B$4:$P$30,MONTH(X47)+2,0)))</f>
        <v>117.30800000000001</v>
      </c>
      <c r="R47" s="309">
        <f t="shared" si="4"/>
        <v>1.1828000000000001</v>
      </c>
      <c r="S47" s="310">
        <f t="shared" si="12"/>
        <v>12494694.966272</v>
      </c>
      <c r="T47" s="547">
        <f t="shared" si="13"/>
        <v>110.81474520653109</v>
      </c>
      <c r="U47" s="311"/>
      <c r="V47" s="312">
        <v>112753</v>
      </c>
      <c r="W47" s="299" t="s">
        <v>194</v>
      </c>
      <c r="X47" s="300">
        <v>44585</v>
      </c>
      <c r="Y47" s="299" t="s">
        <v>60</v>
      </c>
      <c r="Z47" s="646">
        <v>12397154.02</v>
      </c>
      <c r="AA47" s="305">
        <f>IF(Z47=0,0,IF(Y47="MXN",1/HLOOKUP(YEAR(X47)+(MONTH(X47)/100),TC!$5:$37,DAY(X47)+2,FALSE),VLOOKUP(Y47,Equivalencia!$1:$23,((MAX(Equivalencia!$3:$3)-YEAR(X47))*14)+MONTH(X47)+2,FALSE)))</f>
        <v>4.8898081728253801E-2</v>
      </c>
      <c r="AB47" s="306">
        <f t="shared" si="14"/>
        <v>606197.05046771013</v>
      </c>
      <c r="AC47" s="305">
        <f>+IF(X47=0,0,HLOOKUP(YEAR(X47)+(MONTH(X47)/100),TC!$5:$37,DAY(X47)+2,FALSE))</f>
        <v>20.450700000000001</v>
      </c>
      <c r="AD47" s="307">
        <f t="shared" si="15"/>
        <v>12397154.02</v>
      </c>
      <c r="AE47" s="314">
        <f t="shared" si="5"/>
        <v>12494694.966272</v>
      </c>
      <c r="AF47" s="315">
        <f t="shared" si="6"/>
        <v>-97540.94627200067</v>
      </c>
      <c r="AG47" s="316">
        <f t="shared" si="7"/>
        <v>3.978082191780822</v>
      </c>
      <c r="AH47" s="314">
        <v>1</v>
      </c>
      <c r="AI47" s="314">
        <f t="shared" si="8"/>
        <v>-97540.94627200067</v>
      </c>
      <c r="AJ47" s="314">
        <f t="shared" si="16"/>
        <v>0</v>
      </c>
      <c r="AK47" s="317"/>
      <c r="AL47" s="315">
        <f t="shared" si="17"/>
        <v>38469.044190468849</v>
      </c>
      <c r="AN47" s="546">
        <f t="shared" si="9"/>
        <v>3.6416403594735046E-3</v>
      </c>
      <c r="AO47" s="314"/>
      <c r="AP47" s="318"/>
    </row>
    <row r="48" spans="2:42">
      <c r="B48" s="296" t="s">
        <v>957</v>
      </c>
      <c r="C48" s="299" t="s">
        <v>276</v>
      </c>
      <c r="D48" s="298" t="s">
        <v>734</v>
      </c>
      <c r="E48" s="299" t="s">
        <v>113</v>
      </c>
      <c r="F48" s="299" t="s">
        <v>60</v>
      </c>
      <c r="G48" s="300">
        <v>43048</v>
      </c>
      <c r="H48" s="646">
        <v>1444683.6</v>
      </c>
      <c r="I48" s="301" t="str">
        <f t="shared" si="0"/>
        <v>Ingresos Sección II LISR (SIC &amp; BMV)</v>
      </c>
      <c r="J48" s="302">
        <f t="shared" si="10"/>
        <v>15000</v>
      </c>
      <c r="K48" s="304">
        <f t="shared" si="2"/>
        <v>96.312240000000003</v>
      </c>
      <c r="L48" s="305">
        <f>IF(H48=0,0,IF(OR(E48=$AT$5,E48=$AT$6),AA48,IF(F48="MXN",1/HLOOKUP(YEAR(G48)+(MONTH(G48)/100),TC!$5:$37,DAY(G48)+2,FALSE),VLOOKUP(F48,Equivalencia!$5:$23,((MAX(Equivalencia!$3:$3)-YEAR(G48))*14)+MONTH(G48)+2,FALSE))))</f>
        <v>5.2260529190118581E-2</v>
      </c>
      <c r="M48" s="306">
        <f t="shared" si="3"/>
        <v>75499.929448285606</v>
      </c>
      <c r="N48" s="305">
        <f>IF(G48=0,0,(IF(OR(E48=$AT$5,E48=$AT$6),AC48,HLOOKUP(YEAR(G48)+(MONTH(G48)/100),TC!$5:$37,DAY(G48)+2,FALSE))))</f>
        <v>19.134899999999998</v>
      </c>
      <c r="O48" s="307">
        <f t="shared" si="11"/>
        <v>1444683.6</v>
      </c>
      <c r="P48" s="552">
        <f>IF(G48=0,0,VLOOKUP(YEAR(G48),INPC!$B$4:$P$30,MONTH(G48)+2))</f>
        <v>97.695173988822006</v>
      </c>
      <c r="Q48" s="552">
        <f>IF(X48=0,0,IF(OR(E48=$AT$10,E48=$AT$9),VLOOKUP(YEAR(X48),INPC!$B$4:$P$30,MONTH(X48)+1),VLOOKUP(YEAR(X48),INPC!$B$4:$P$30,MONTH(X48)+2,0)))</f>
        <v>117.30800000000001</v>
      </c>
      <c r="R48" s="309">
        <f t="shared" si="4"/>
        <v>1.2007000000000001</v>
      </c>
      <c r="S48" s="310">
        <f t="shared" si="12"/>
        <v>1734631.5985200002</v>
      </c>
      <c r="T48" s="547">
        <f t="shared" si="13"/>
        <v>115.64210656800002</v>
      </c>
      <c r="U48" s="311"/>
      <c r="V48" s="312">
        <v>15000</v>
      </c>
      <c r="W48" s="299" t="s">
        <v>194</v>
      </c>
      <c r="X48" s="300">
        <v>44585</v>
      </c>
      <c r="Y48" s="299" t="s">
        <v>60</v>
      </c>
      <c r="Z48" s="646">
        <v>1649244.9</v>
      </c>
      <c r="AA48" s="305">
        <f>IF(Z48=0,0,IF(Y48="MXN",1/HLOOKUP(YEAR(X48)+(MONTH(X48)/100),TC!$5:$37,DAY(X48)+2,FALSE),VLOOKUP(Y48,Equivalencia!$1:$23,((MAX(Equivalencia!$3:$3)-YEAR(X48))*14)+MONTH(X48)+2,FALSE)))</f>
        <v>4.8898081728253801E-2</v>
      </c>
      <c r="AB48" s="306">
        <f t="shared" si="14"/>
        <v>80644.911910105759</v>
      </c>
      <c r="AC48" s="305">
        <f>+IF(X48=0,0,HLOOKUP(YEAR(X48)+(MONTH(X48)/100),TC!$5:$37,DAY(X48)+2,FALSE))</f>
        <v>20.450700000000001</v>
      </c>
      <c r="AD48" s="307">
        <f t="shared" si="15"/>
        <v>1649244.9</v>
      </c>
      <c r="AE48" s="314">
        <f t="shared" si="5"/>
        <v>1734631.5985200002</v>
      </c>
      <c r="AF48" s="315">
        <f t="shared" si="6"/>
        <v>-85386.698520000326</v>
      </c>
      <c r="AG48" s="316">
        <f t="shared" si="7"/>
        <v>4.2109589041095887</v>
      </c>
      <c r="AH48" s="314">
        <v>1</v>
      </c>
      <c r="AI48" s="314">
        <f t="shared" si="8"/>
        <v>-85386.698520000326</v>
      </c>
      <c r="AJ48" s="314">
        <f t="shared" si="16"/>
        <v>0</v>
      </c>
      <c r="AK48" s="317"/>
      <c r="AL48" s="315">
        <f t="shared" si="17"/>
        <v>5144.9824618201528</v>
      </c>
      <c r="AN48" s="546">
        <f t="shared" si="9"/>
        <v>3.5613212898797718E-3</v>
      </c>
      <c r="AO48" s="314"/>
      <c r="AP48" s="318"/>
    </row>
    <row r="49" spans="2:42" ht="17" thickBot="1">
      <c r="B49" s="296" t="s">
        <v>957</v>
      </c>
      <c r="C49" s="299" t="s">
        <v>276</v>
      </c>
      <c r="D49" s="298" t="s">
        <v>734</v>
      </c>
      <c r="E49" s="299" t="s">
        <v>113</v>
      </c>
      <c r="F49" s="299" t="s">
        <v>60</v>
      </c>
      <c r="G49" s="300">
        <v>43140</v>
      </c>
      <c r="H49" s="647">
        <v>2607990.9900000002</v>
      </c>
      <c r="I49" s="301" t="str">
        <f t="shared" si="0"/>
        <v>Ingresos Sección II LISR (SIC &amp; BMV)</v>
      </c>
      <c r="J49" s="302">
        <f t="shared" si="10"/>
        <v>27707</v>
      </c>
      <c r="K49" s="304">
        <f t="shared" si="2"/>
        <v>94.127512541956918</v>
      </c>
      <c r="L49" s="305">
        <f>IF(H49=0,0,IF(OR(E49=$AT$5,E49=$AT$6),AA49,IF(F49="MXN",1/HLOOKUP(YEAR(G49)+(MONTH(G49)/100),TC!$5:$37,DAY(G49)+2,FALSE),VLOOKUP(F49,Equivalencia!$5:$23,((MAX(Equivalencia!$3:$3)-YEAR(G49))*14)+MONTH(G49)+2,FALSE))))</f>
        <v>5.3621603071445423E-2</v>
      </c>
      <c r="M49" s="306">
        <f t="shared" si="3"/>
        <v>139844.657679686</v>
      </c>
      <c r="N49" s="305">
        <f>IF(G49=0,0,(IF(OR(E49=$AT$5,E49=$AT$6),AC49,HLOOKUP(YEAR(G49)+(MONTH(G49)/100),TC!$5:$37,DAY(G49)+2,FALSE))))</f>
        <v>18.6492</v>
      </c>
      <c r="O49" s="307">
        <f t="shared" si="11"/>
        <v>2607990.9900000002</v>
      </c>
      <c r="P49" s="552">
        <f>IF(G49=0,0,VLOOKUP(YEAR(G49),INPC!$B$4:$P$30,MONTH(G49)+2))</f>
        <v>99.171374481640001</v>
      </c>
      <c r="Q49" s="552">
        <f>IF(X49=0,0,IF(OR(E49=$AT$10,E49=$AT$9),VLOOKUP(YEAR(X49),INPC!$B$4:$P$30,MONTH(X49)+1),VLOOKUP(YEAR(X49),INPC!$B$4:$P$30,MONTH(X49)+2,0)))</f>
        <v>117.30800000000001</v>
      </c>
      <c r="R49" s="309">
        <f t="shared" si="4"/>
        <v>1.1828000000000001</v>
      </c>
      <c r="S49" s="310">
        <f t="shared" si="12"/>
        <v>3084731.7429720005</v>
      </c>
      <c r="T49" s="547">
        <f t="shared" si="13"/>
        <v>111.33402183462664</v>
      </c>
      <c r="U49" s="311"/>
      <c r="V49" s="312">
        <v>27707</v>
      </c>
      <c r="W49" s="299" t="s">
        <v>194</v>
      </c>
      <c r="X49" s="300">
        <v>44585</v>
      </c>
      <c r="Y49" s="299" t="s">
        <v>60</v>
      </c>
      <c r="Z49" s="647">
        <v>3046375.23</v>
      </c>
      <c r="AA49" s="305">
        <f>IF(Z49=0,0,IF(Y49="MXN",1/HLOOKUP(YEAR(X49)+(MONTH(X49)/100),TC!$5:$37,DAY(X49)+2,FALSE),VLOOKUP(Y49,Equivalencia!$1:$23,((MAX(Equivalencia!$3:$3)-YEAR(X49))*14)+MONTH(X49)+2,FALSE)))</f>
        <v>4.8898081728253801E-2</v>
      </c>
      <c r="AB49" s="306">
        <f t="shared" si="14"/>
        <v>148961.90497146797</v>
      </c>
      <c r="AC49" s="305">
        <f>+IF(X49=0,0,HLOOKUP(YEAR(X49)+(MONTH(X49)/100),TC!$5:$37,DAY(X49)+2,FALSE))</f>
        <v>20.450700000000001</v>
      </c>
      <c r="AD49" s="307">
        <f t="shared" si="15"/>
        <v>3046375.2300000004</v>
      </c>
      <c r="AE49" s="314">
        <f t="shared" si="5"/>
        <v>3084731.7429720005</v>
      </c>
      <c r="AF49" s="315">
        <f t="shared" si="6"/>
        <v>-38356.512972000055</v>
      </c>
      <c r="AG49" s="316">
        <f t="shared" si="7"/>
        <v>3.9589041095890409</v>
      </c>
      <c r="AH49" s="314">
        <v>1</v>
      </c>
      <c r="AI49" s="314">
        <f t="shared" si="8"/>
        <v>-38356.512972000055</v>
      </c>
      <c r="AJ49" s="314">
        <f t="shared" si="16"/>
        <v>0</v>
      </c>
      <c r="AK49" s="317"/>
      <c r="AL49" s="315">
        <f t="shared" si="17"/>
        <v>9117.2472917819687</v>
      </c>
      <c r="AN49" s="546">
        <f t="shared" si="9"/>
        <v>3.495889106496479E-3</v>
      </c>
      <c r="AO49" s="314"/>
      <c r="AP49" s="318"/>
    </row>
    <row r="50" spans="2:42">
      <c r="B50" s="296" t="s">
        <v>957</v>
      </c>
      <c r="C50" s="299" t="s">
        <v>276</v>
      </c>
      <c r="D50" s="298" t="s">
        <v>735</v>
      </c>
      <c r="E50" s="299" t="s">
        <v>113</v>
      </c>
      <c r="F50" s="299" t="s">
        <v>60</v>
      </c>
      <c r="G50" s="300">
        <v>43048</v>
      </c>
      <c r="H50" s="651">
        <v>5364958.5</v>
      </c>
      <c r="I50" s="301" t="str">
        <f t="shared" si="0"/>
        <v>Ingresos Sección II LISR (SIC &amp; BMV)</v>
      </c>
      <c r="J50" s="302">
        <f t="shared" si="10"/>
        <v>55000</v>
      </c>
      <c r="K50" s="304">
        <f t="shared" si="2"/>
        <v>97.544700000000006</v>
      </c>
      <c r="L50" s="305">
        <f>IF(H50=0,0,IF(OR(E50=$AT$5,E50=$AT$6),AA50,IF(F50="MXN",1/HLOOKUP(YEAR(G50)+(MONTH(G50)/100),TC!$5:$37,DAY(G50)+2,FALSE),VLOOKUP(F50,Equivalencia!$5:$23,((MAX(Equivalencia!$3:$3)-YEAR(G50))*14)+MONTH(G50)+2,FALSE))))</f>
        <v>5.2260529190118581E-2</v>
      </c>
      <c r="M50" s="306">
        <f t="shared" si="3"/>
        <v>280375.57029302482</v>
      </c>
      <c r="N50" s="305">
        <f>IF(G50=0,0,(IF(OR(E50=$AT$5,E50=$AT$6),AC50,HLOOKUP(YEAR(G50)+(MONTH(G50)/100),TC!$5:$37,DAY(G50)+2,FALSE))))</f>
        <v>19.134899999999998</v>
      </c>
      <c r="O50" s="307">
        <f t="shared" si="11"/>
        <v>5364958.5</v>
      </c>
      <c r="P50" s="552">
        <f>IF(G50=0,0,VLOOKUP(YEAR(G50),INPC!$B$4:$P$30,MONTH(G50)+2))</f>
        <v>97.695173988822006</v>
      </c>
      <c r="Q50" s="552">
        <f>IF(X50=0,0,IF(OR(E50=$AT$10,E50=$AT$9),VLOOKUP(YEAR(X50),INPC!$B$4:$P$30,MONTH(X50)+1),VLOOKUP(YEAR(X50),INPC!$B$4:$P$30,MONTH(X50)+2,0)))</f>
        <v>117.30800000000001</v>
      </c>
      <c r="R50" s="309">
        <f t="shared" si="4"/>
        <v>1.2007000000000001</v>
      </c>
      <c r="S50" s="310">
        <f t="shared" si="12"/>
        <v>6441705.6709500002</v>
      </c>
      <c r="T50" s="547">
        <f t="shared" si="13"/>
        <v>117.12192129</v>
      </c>
      <c r="U50" s="311"/>
      <c r="V50" s="312">
        <v>55000</v>
      </c>
      <c r="W50" s="299" t="s">
        <v>194</v>
      </c>
      <c r="X50" s="300">
        <v>44585</v>
      </c>
      <c r="Y50" s="299" t="s">
        <v>60</v>
      </c>
      <c r="Z50" s="651">
        <v>6280513.7999999998</v>
      </c>
      <c r="AA50" s="305">
        <f>IF(Z50=0,0,IF(Y50="MXN",1/HLOOKUP(YEAR(X50)+(MONTH(X50)/100),TC!$5:$37,DAY(X50)+2,FALSE),VLOOKUP(Y50,Equivalencia!$1:$23,((MAX(Equivalencia!$3:$3)-YEAR(X50))*14)+MONTH(X50)+2,FALSE)))</f>
        <v>4.8898081728253801E-2</v>
      </c>
      <c r="AB50" s="306">
        <f t="shared" si="14"/>
        <v>307105.07708782586</v>
      </c>
      <c r="AC50" s="305">
        <f>+IF(X50=0,0,HLOOKUP(YEAR(X50)+(MONTH(X50)/100),TC!$5:$37,DAY(X50)+2,FALSE))</f>
        <v>20.450700000000001</v>
      </c>
      <c r="AD50" s="307">
        <f t="shared" si="15"/>
        <v>6280513.8000000007</v>
      </c>
      <c r="AE50" s="314">
        <f t="shared" si="5"/>
        <v>6441705.6709500002</v>
      </c>
      <c r="AF50" s="315">
        <f t="shared" si="6"/>
        <v>-161191.87094999943</v>
      </c>
      <c r="AG50" s="316">
        <f t="shared" si="7"/>
        <v>4.2109589041095887</v>
      </c>
      <c r="AH50" s="314">
        <v>1</v>
      </c>
      <c r="AI50" s="314">
        <f t="shared" si="8"/>
        <v>-161191.87094999943</v>
      </c>
      <c r="AJ50" s="314">
        <f t="shared" si="16"/>
        <v>0</v>
      </c>
      <c r="AK50" s="317"/>
      <c r="AL50" s="315">
        <f t="shared" si="17"/>
        <v>26729.50679480104</v>
      </c>
      <c r="AN50" s="546">
        <f t="shared" si="9"/>
        <v>4.9822392465479533E-3</v>
      </c>
      <c r="AO50" s="314"/>
      <c r="AP50" s="318"/>
    </row>
    <row r="51" spans="2:42">
      <c r="B51" s="296" t="s">
        <v>957</v>
      </c>
      <c r="C51" s="299" t="s">
        <v>276</v>
      </c>
      <c r="D51" s="298" t="s">
        <v>735</v>
      </c>
      <c r="E51" s="299" t="s">
        <v>113</v>
      </c>
      <c r="F51" s="299" t="s">
        <v>60</v>
      </c>
      <c r="G51" s="300">
        <v>43056</v>
      </c>
      <c r="H51" s="646">
        <v>3852489.6</v>
      </c>
      <c r="I51" s="301" t="str">
        <f t="shared" si="0"/>
        <v>Ingresos Sección II LISR (SIC &amp; BMV)</v>
      </c>
      <c r="J51" s="302">
        <f t="shared" si="10"/>
        <v>40000</v>
      </c>
      <c r="K51" s="304">
        <f t="shared" si="2"/>
        <v>96.312240000000003</v>
      </c>
      <c r="L51" s="305">
        <f>IF(H51=0,0,IF(OR(E51=$AT$5,E51=$AT$6),AA51,IF(F51="MXN",1/HLOOKUP(YEAR(G51)+(MONTH(G51)/100),TC!$5:$37,DAY(G51)+2,FALSE),VLOOKUP(F51,Equivalencia!$5:$23,((MAX(Equivalencia!$3:$3)-YEAR(G51))*14)+MONTH(G51)+2,FALSE))))</f>
        <v>5.2010735015707237E-2</v>
      </c>
      <c r="M51" s="306">
        <f t="shared" si="3"/>
        <v>200370.81573636798</v>
      </c>
      <c r="N51" s="305">
        <f>IF(G51=0,0,(IF(OR(E51=$AT$5,E51=$AT$6),AC51,HLOOKUP(YEAR(G51)+(MONTH(G51)/100),TC!$5:$37,DAY(G51)+2,FALSE))))</f>
        <v>19.226800000000001</v>
      </c>
      <c r="O51" s="307">
        <f t="shared" si="11"/>
        <v>3852489.6</v>
      </c>
      <c r="P51" s="552">
        <f>IF(G51=0,0,VLOOKUP(YEAR(G51),INPC!$B$4:$P$30,MONTH(G51)+2))</f>
        <v>97.695173988822006</v>
      </c>
      <c r="Q51" s="552">
        <f>IF(X51=0,0,IF(OR(E51=$AT$10,E51=$AT$9),VLOOKUP(YEAR(X51),INPC!$B$4:$P$30,MONTH(X51)+1),VLOOKUP(YEAR(X51),INPC!$B$4:$P$30,MONTH(X51)+2,0)))</f>
        <v>117.30800000000001</v>
      </c>
      <c r="R51" s="309">
        <f t="shared" si="4"/>
        <v>1.2007000000000001</v>
      </c>
      <c r="S51" s="310">
        <f t="shared" si="12"/>
        <v>4625684.2627200009</v>
      </c>
      <c r="T51" s="547">
        <f t="shared" si="13"/>
        <v>115.64210656800002</v>
      </c>
      <c r="U51" s="311"/>
      <c r="V51" s="312">
        <v>40000</v>
      </c>
      <c r="W51" s="299" t="s">
        <v>194</v>
      </c>
      <c r="X51" s="300">
        <v>44585</v>
      </c>
      <c r="Y51" s="299" t="s">
        <v>60</v>
      </c>
      <c r="Z51" s="646">
        <v>4567646.4000000004</v>
      </c>
      <c r="AA51" s="305">
        <f>IF(Z51=0,0,IF(Y51="MXN",1/HLOOKUP(YEAR(X51)+(MONTH(X51)/100),TC!$5:$37,DAY(X51)+2,FALSE),VLOOKUP(Y51,Equivalencia!$1:$23,((MAX(Equivalencia!$3:$3)-YEAR(X51))*14)+MONTH(X51)+2,FALSE)))</f>
        <v>4.8898081728253801E-2</v>
      </c>
      <c r="AB51" s="306">
        <f t="shared" si="14"/>
        <v>223349.14697296426</v>
      </c>
      <c r="AC51" s="305">
        <f>+IF(X51=0,0,HLOOKUP(YEAR(X51)+(MONTH(X51)/100),TC!$5:$37,DAY(X51)+2,FALSE))</f>
        <v>20.450700000000001</v>
      </c>
      <c r="AD51" s="307">
        <f t="shared" si="15"/>
        <v>4567646.4000000004</v>
      </c>
      <c r="AE51" s="314">
        <f t="shared" si="5"/>
        <v>4625684.2627200009</v>
      </c>
      <c r="AF51" s="315">
        <f t="shared" si="6"/>
        <v>-58037.862720000558</v>
      </c>
      <c r="AG51" s="316">
        <f t="shared" si="7"/>
        <v>4.1890410958904107</v>
      </c>
      <c r="AH51" s="314">
        <v>1</v>
      </c>
      <c r="AI51" s="314">
        <f t="shared" si="8"/>
        <v>-58037.862720000558</v>
      </c>
      <c r="AJ51" s="314">
        <f t="shared" si="16"/>
        <v>0</v>
      </c>
      <c r="AK51" s="317"/>
      <c r="AL51" s="315">
        <f t="shared" si="17"/>
        <v>22978.331236596277</v>
      </c>
      <c r="AN51" s="546">
        <f t="shared" si="9"/>
        <v>5.9645407573835569E-3</v>
      </c>
      <c r="AO51" s="314"/>
      <c r="AP51" s="318"/>
    </row>
    <row r="52" spans="2:42" ht="17" thickBot="1">
      <c r="B52" s="296" t="s">
        <v>957</v>
      </c>
      <c r="C52" s="299" t="s">
        <v>276</v>
      </c>
      <c r="D52" s="298" t="s">
        <v>735</v>
      </c>
      <c r="E52" s="299" t="s">
        <v>113</v>
      </c>
      <c r="F52" s="299" t="s">
        <v>60</v>
      </c>
      <c r="G52" s="300">
        <v>43140</v>
      </c>
      <c r="H52" s="647">
        <v>11511740.35</v>
      </c>
      <c r="I52" s="301" t="str">
        <f t="shared" si="0"/>
        <v>Ingresos Sección II LISR (SIC &amp; BMV)</v>
      </c>
      <c r="J52" s="302">
        <f t="shared" si="10"/>
        <v>121178</v>
      </c>
      <c r="K52" s="304">
        <f t="shared" si="2"/>
        <v>94.998599993398145</v>
      </c>
      <c r="L52" s="305">
        <f>IF(H52=0,0,IF(OR(E52=$AT$5,E52=$AT$6),AA52,IF(F52="MXN",1/HLOOKUP(YEAR(G52)+(MONTH(G52)/100),TC!$5:$37,DAY(G52)+2,FALSE),VLOOKUP(F52,Equivalencia!$5:$23,((MAX(Equivalencia!$3:$3)-YEAR(G52))*14)+MONTH(G52)+2,FALSE))))</f>
        <v>5.3621603071445423E-2</v>
      </c>
      <c r="M52" s="306">
        <f t="shared" si="3"/>
        <v>617277.97170924221</v>
      </c>
      <c r="N52" s="305">
        <f>IF(G52=0,0,(IF(OR(E52=$AT$5,E52=$AT$6),AC52,HLOOKUP(YEAR(G52)+(MONTH(G52)/100),TC!$5:$37,DAY(G52)+2,FALSE))))</f>
        <v>18.6492</v>
      </c>
      <c r="O52" s="307">
        <f t="shared" si="11"/>
        <v>11511740.35</v>
      </c>
      <c r="P52" s="552">
        <f>IF(G52=0,0,VLOOKUP(YEAR(G52),INPC!$B$4:$P$30,MONTH(G52)+2))</f>
        <v>99.171374481640001</v>
      </c>
      <c r="Q52" s="552">
        <f>IF(X52=0,0,IF(OR(E52=$AT$10,E52=$AT$9),VLOOKUP(YEAR(X52),INPC!$B$4:$P$30,MONTH(X52)+1),VLOOKUP(YEAR(X52),INPC!$B$4:$P$30,MONTH(X52)+2,0)))</f>
        <v>117.30800000000001</v>
      </c>
      <c r="R52" s="309">
        <f t="shared" si="4"/>
        <v>1.1828000000000001</v>
      </c>
      <c r="S52" s="310">
        <f t="shared" si="12"/>
        <v>13616086.48598</v>
      </c>
      <c r="T52" s="547">
        <f t="shared" si="13"/>
        <v>112.36434407219133</v>
      </c>
      <c r="U52" s="311"/>
      <c r="V52" s="312">
        <v>121178</v>
      </c>
      <c r="W52" s="299" t="s">
        <v>194</v>
      </c>
      <c r="X52" s="300">
        <v>44585</v>
      </c>
      <c r="Y52" s="299" t="s">
        <v>60</v>
      </c>
      <c r="Z52" s="647">
        <v>13837456.390000001</v>
      </c>
      <c r="AA52" s="305">
        <f>IF(Z52=0,0,IF(Y52="MXN",1/HLOOKUP(YEAR(X52)+(MONTH(X52)/100),TC!$5:$37,DAY(X52)+2,FALSE),VLOOKUP(Y52,Equivalencia!$1:$23,((MAX(Equivalencia!$3:$3)-YEAR(X52))*14)+MONTH(X52)+2,FALSE)))</f>
        <v>4.8898081728253801E-2</v>
      </c>
      <c r="AB52" s="306">
        <f t="shared" si="14"/>
        <v>676625.07346936781</v>
      </c>
      <c r="AC52" s="305">
        <f>+IF(X52=0,0,HLOOKUP(YEAR(X52)+(MONTH(X52)/100),TC!$5:$37,DAY(X52)+2,FALSE))</f>
        <v>20.450700000000001</v>
      </c>
      <c r="AD52" s="307">
        <f t="shared" si="15"/>
        <v>13837456.390000001</v>
      </c>
      <c r="AE52" s="314">
        <f t="shared" si="5"/>
        <v>13616086.48598</v>
      </c>
      <c r="AF52" s="315">
        <f t="shared" si="6"/>
        <v>221369.90402000025</v>
      </c>
      <c r="AG52" s="316">
        <f t="shared" si="7"/>
        <v>3.9589041095890409</v>
      </c>
      <c r="AH52" s="314">
        <v>1</v>
      </c>
      <c r="AI52" s="314">
        <f t="shared" si="8"/>
        <v>221369.90402000025</v>
      </c>
      <c r="AJ52" s="314">
        <f t="shared" si="16"/>
        <v>0</v>
      </c>
      <c r="AK52" s="317"/>
      <c r="AL52" s="315">
        <f t="shared" si="17"/>
        <v>59347.101760125603</v>
      </c>
      <c r="AN52" s="546">
        <f t="shared" si="9"/>
        <v>5.1553544430078813E-3</v>
      </c>
      <c r="AO52" s="314"/>
      <c r="AP52" s="318"/>
    </row>
    <row r="53" spans="2:42">
      <c r="B53" s="296" t="s">
        <v>957</v>
      </c>
      <c r="C53" s="299" t="s">
        <v>276</v>
      </c>
      <c r="D53" s="298" t="s">
        <v>735</v>
      </c>
      <c r="E53" s="299" t="s">
        <v>113</v>
      </c>
      <c r="F53" s="299" t="s">
        <v>60</v>
      </c>
      <c r="G53" s="300">
        <v>43140</v>
      </c>
      <c r="H53" s="651">
        <v>1692020.06</v>
      </c>
      <c r="I53" s="301" t="str">
        <f t="shared" si="0"/>
        <v>Ingresos Sección II LISR (SIC &amp; BMV)</v>
      </c>
      <c r="J53" s="302">
        <f t="shared" si="10"/>
        <v>17811</v>
      </c>
      <c r="K53" s="304">
        <f t="shared" si="2"/>
        <v>94.998599741732647</v>
      </c>
      <c r="L53" s="305">
        <f>IF(H53=0,0,IF(OR(E53=$AT$5,E53=$AT$6),AA53,IF(F53="MXN",1/HLOOKUP(YEAR(G53)+(MONTH(G53)/100),TC!$5:$37,DAY(G53)+2,FALSE),VLOOKUP(F53,Equivalencia!$5:$23,((MAX(Equivalencia!$3:$3)-YEAR(G53))*14)+MONTH(G53)+2,FALSE))))</f>
        <v>5.3621603071445423E-2</v>
      </c>
      <c r="M53" s="306">
        <f t="shared" si="3"/>
        <v>90728.828046243274</v>
      </c>
      <c r="N53" s="305">
        <f>IF(G53=0,0,(IF(OR(E53=$AT$5,E53=$AT$6),AC53,HLOOKUP(YEAR(G53)+(MONTH(G53)/100),TC!$5:$37,DAY(G53)+2,FALSE))))</f>
        <v>18.6492</v>
      </c>
      <c r="O53" s="307">
        <f t="shared" si="11"/>
        <v>1692020.06</v>
      </c>
      <c r="P53" s="552">
        <f>IF(G53=0,0,VLOOKUP(YEAR(G53),INPC!$B$4:$P$30,MONTH(G53)+2))</f>
        <v>99.171374481640001</v>
      </c>
      <c r="Q53" s="552">
        <f>IF(X53=0,0,IF(OR(E53=$AT$10,E53=$AT$9),VLOOKUP(YEAR(X53),INPC!$B$4:$P$30,MONTH(X53)+1),VLOOKUP(YEAR(X53),INPC!$B$4:$P$30,MONTH(X53)+2,0)))</f>
        <v>120.15900000000001</v>
      </c>
      <c r="R53" s="309">
        <f t="shared" si="4"/>
        <v>1.2116</v>
      </c>
      <c r="S53" s="310">
        <f t="shared" si="12"/>
        <v>2050051.5046960001</v>
      </c>
      <c r="T53" s="547">
        <f t="shared" si="13"/>
        <v>115.10030344708328</v>
      </c>
      <c r="U53" s="311"/>
      <c r="V53" s="312">
        <v>17811</v>
      </c>
      <c r="W53" s="299" t="s">
        <v>194</v>
      </c>
      <c r="X53" s="300">
        <v>44663</v>
      </c>
      <c r="Y53" s="299" t="s">
        <v>60</v>
      </c>
      <c r="Z53" s="651">
        <v>1906764.8</v>
      </c>
      <c r="AA53" s="305">
        <f>IF(Z53=0,0,IF(Y53="MXN",1/HLOOKUP(YEAR(X53)+(MONTH(X53)/100),TC!$5:$37,DAY(X53)+2,FALSE),VLOOKUP(Y53,Equivalencia!$1:$23,((MAX(Equivalencia!$3:$3)-YEAR(X53))*14)+MONTH(X53)+2,FALSE)))</f>
        <v>4.9701789264413515E-2</v>
      </c>
      <c r="AB53" s="306">
        <f t="shared" si="14"/>
        <v>94769.62226640158</v>
      </c>
      <c r="AC53" s="305">
        <f>+IF(X53=0,0,HLOOKUP(YEAR(X53)+(MONTH(X53)/100),TC!$5:$37,DAY(X53)+2,FALSE))</f>
        <v>20.12</v>
      </c>
      <c r="AD53" s="307">
        <f t="shared" si="15"/>
        <v>1906764.7999999998</v>
      </c>
      <c r="AE53" s="314">
        <f t="shared" si="5"/>
        <v>2050051.5046960004</v>
      </c>
      <c r="AF53" s="315">
        <f t="shared" si="6"/>
        <v>-143286.70469600055</v>
      </c>
      <c r="AG53" s="316">
        <f t="shared" si="7"/>
        <v>4.1726027397260275</v>
      </c>
      <c r="AH53" s="314">
        <v>1</v>
      </c>
      <c r="AI53" s="314">
        <f t="shared" si="8"/>
        <v>-143286.70469600055</v>
      </c>
      <c r="AJ53" s="314">
        <f t="shared" si="16"/>
        <v>0</v>
      </c>
      <c r="AK53" s="317"/>
      <c r="AL53" s="315">
        <f t="shared" si="17"/>
        <v>4040.7942201583064</v>
      </c>
      <c r="AN53" s="546">
        <f t="shared" si="9"/>
        <v>2.3881479396634969E-3</v>
      </c>
      <c r="AO53" s="314"/>
      <c r="AP53" s="318"/>
    </row>
    <row r="54" spans="2:42">
      <c r="B54" s="296" t="s">
        <v>957</v>
      </c>
      <c r="C54" s="299" t="s">
        <v>276</v>
      </c>
      <c r="D54" s="298" t="s">
        <v>735</v>
      </c>
      <c r="E54" s="299" t="s">
        <v>113</v>
      </c>
      <c r="F54" s="299" t="s">
        <v>60</v>
      </c>
      <c r="G54" s="300">
        <v>43049</v>
      </c>
      <c r="H54" s="646">
        <v>487723.5</v>
      </c>
      <c r="I54" s="301" t="str">
        <f t="shared" si="0"/>
        <v>Ingresos Sección II LISR (SIC &amp; BMV)</v>
      </c>
      <c r="J54" s="302">
        <f t="shared" si="10"/>
        <v>5000</v>
      </c>
      <c r="K54" s="304">
        <f t="shared" si="2"/>
        <v>97.544700000000006</v>
      </c>
      <c r="L54" s="305">
        <f>IF(H54=0,0,IF(OR(E54=$AT$5,E54=$AT$6),AA54,IF(F54="MXN",1/HLOOKUP(YEAR(G54)+(MONTH(G54)/100),TC!$5:$37,DAY(G54)+2,FALSE),VLOOKUP(F54,Equivalencia!$5:$23,((MAX(Equivalencia!$3:$3)-YEAR(G54))*14)+MONTH(G54)+2,FALSE))))</f>
        <v>5.2433435753311171E-2</v>
      </c>
      <c r="M54" s="306">
        <f t="shared" si="3"/>
        <v>25573.01880263006</v>
      </c>
      <c r="N54" s="305">
        <f>IF(G54=0,0,(IF(OR(E54=$AT$5,E54=$AT$6),AC54,HLOOKUP(YEAR(G54)+(MONTH(G54)/100),TC!$5:$37,DAY(G54)+2,FALSE))))</f>
        <v>19.0718</v>
      </c>
      <c r="O54" s="307">
        <f t="shared" si="11"/>
        <v>487723.5</v>
      </c>
      <c r="P54" s="552">
        <f>IF(G54=0,0,VLOOKUP(YEAR(G54),INPC!$B$4:$P$30,MONTH(G54)+2))</f>
        <v>97.695173988822006</v>
      </c>
      <c r="Q54" s="552">
        <f>IF(X54=0,0,IF(OR(E54=$AT$10,E54=$AT$9),VLOOKUP(YEAR(X54),INPC!$B$4:$P$30,MONTH(X54)+1),VLOOKUP(YEAR(X54),INPC!$B$4:$P$30,MONTH(X54)+2,0)))</f>
        <v>120.15900000000001</v>
      </c>
      <c r="R54" s="309">
        <f t="shared" si="4"/>
        <v>1.2299</v>
      </c>
      <c r="S54" s="310">
        <f t="shared" si="12"/>
        <v>599851.13265000004</v>
      </c>
      <c r="T54" s="547">
        <f t="shared" si="13"/>
        <v>119.97022653000001</v>
      </c>
      <c r="U54" s="311"/>
      <c r="V54" s="312">
        <v>5000</v>
      </c>
      <c r="W54" s="299" t="s">
        <v>194</v>
      </c>
      <c r="X54" s="300">
        <v>44663</v>
      </c>
      <c r="Y54" s="299" t="s">
        <v>60</v>
      </c>
      <c r="Z54" s="646">
        <v>535277.30000000005</v>
      </c>
      <c r="AA54" s="305">
        <f>IF(Z54=0,0,IF(Y54="MXN",1/HLOOKUP(YEAR(X54)+(MONTH(X54)/100),TC!$5:$37,DAY(X54)+2,FALSE),VLOOKUP(Y54,Equivalencia!$1:$23,((MAX(Equivalencia!$3:$3)-YEAR(X54))*14)+MONTH(X54)+2,FALSE)))</f>
        <v>4.9701789264413515E-2</v>
      </c>
      <c r="AB54" s="306">
        <f t="shared" si="14"/>
        <v>26604.239562624254</v>
      </c>
      <c r="AC54" s="305">
        <f>+IF(X54=0,0,HLOOKUP(YEAR(X54)+(MONTH(X54)/100),TC!$5:$37,DAY(X54)+2,FALSE))</f>
        <v>20.12</v>
      </c>
      <c r="AD54" s="307">
        <f t="shared" si="15"/>
        <v>535277.30000000005</v>
      </c>
      <c r="AE54" s="314">
        <f t="shared" si="5"/>
        <v>599851.13265000004</v>
      </c>
      <c r="AF54" s="315">
        <f t="shared" si="6"/>
        <v>-64573.832649999997</v>
      </c>
      <c r="AG54" s="316">
        <f t="shared" si="7"/>
        <v>4.4219178082191783</v>
      </c>
      <c r="AH54" s="314">
        <v>1</v>
      </c>
      <c r="AI54" s="314">
        <f t="shared" si="8"/>
        <v>-64573.832649999997</v>
      </c>
      <c r="AJ54" s="314">
        <f t="shared" si="16"/>
        <v>0</v>
      </c>
      <c r="AK54" s="317"/>
      <c r="AL54" s="315">
        <f t="shared" si="17"/>
        <v>1031.2207599941939</v>
      </c>
      <c r="AN54" s="546">
        <f t="shared" si="9"/>
        <v>2.1143552853085694E-3</v>
      </c>
      <c r="AO54" s="314"/>
      <c r="AP54" s="318"/>
    </row>
    <row r="55" spans="2:42">
      <c r="B55" s="296" t="s">
        <v>957</v>
      </c>
      <c r="C55" s="299" t="s">
        <v>276</v>
      </c>
      <c r="D55" s="298" t="s">
        <v>735</v>
      </c>
      <c r="E55" s="299" t="s">
        <v>113</v>
      </c>
      <c r="F55" s="299" t="s">
        <v>60</v>
      </c>
      <c r="G55" s="300">
        <v>43053</v>
      </c>
      <c r="H55" s="646">
        <v>1811350.07</v>
      </c>
      <c r="I55" s="301" t="str">
        <f t="shared" si="0"/>
        <v>Ingresos Sección II LISR (SIC &amp; BMV)</v>
      </c>
      <c r="J55" s="302">
        <f t="shared" si="10"/>
        <v>18623</v>
      </c>
      <c r="K55" s="304">
        <f t="shared" si="2"/>
        <v>97.264139504913288</v>
      </c>
      <c r="L55" s="305">
        <f>IF(H55=0,0,IF(OR(E55=$AT$5,E55=$AT$6),AA55,IF(F55="MXN",1/HLOOKUP(YEAR(G55)+(MONTH(G55)/100),TC!$5:$37,DAY(G55)+2,FALSE),VLOOKUP(F55,Equivalencia!$5:$23,((MAX(Equivalencia!$3:$3)-YEAR(G55))*14)+MONTH(G55)+2,FALSE))))</f>
        <v>5.2486274839129564E-2</v>
      </c>
      <c r="M55" s="306">
        <f t="shared" si="3"/>
        <v>95071.017603896573</v>
      </c>
      <c r="N55" s="305">
        <f>IF(G55=0,0,(IF(OR(E55=$AT$5,E55=$AT$6),AC55,HLOOKUP(YEAR(G55)+(MONTH(G55)/100),TC!$5:$37,DAY(G55)+2,FALSE))))</f>
        <v>19.052600000000002</v>
      </c>
      <c r="O55" s="307">
        <f t="shared" si="11"/>
        <v>1811350.07</v>
      </c>
      <c r="P55" s="552">
        <f>IF(G55=0,0,VLOOKUP(YEAR(G55),INPC!$B$4:$P$30,MONTH(G55)+2))</f>
        <v>97.695173988822006</v>
      </c>
      <c r="Q55" s="552">
        <f>IF(X55=0,0,IF(OR(E55=$AT$10,E55=$AT$9),VLOOKUP(YEAR(X55),INPC!$B$4:$P$30,MONTH(X55)+1),VLOOKUP(YEAR(X55),INPC!$B$4:$P$30,MONTH(X55)+2,0)))</f>
        <v>120.15900000000001</v>
      </c>
      <c r="R55" s="309">
        <f t="shared" si="4"/>
        <v>1.2299</v>
      </c>
      <c r="S55" s="310">
        <f t="shared" si="12"/>
        <v>2227779.4510929999</v>
      </c>
      <c r="T55" s="547">
        <f t="shared" si="13"/>
        <v>119.62516517709284</v>
      </c>
      <c r="U55" s="311"/>
      <c r="V55" s="312">
        <v>18623</v>
      </c>
      <c r="W55" s="299" t="s">
        <v>194</v>
      </c>
      <c r="X55" s="300">
        <v>44663</v>
      </c>
      <c r="Y55" s="299" t="s">
        <v>60</v>
      </c>
      <c r="Z55" s="646">
        <v>1993693.83</v>
      </c>
      <c r="AA55" s="305">
        <f>IF(Z55=0,0,IF(Y55="MXN",1/HLOOKUP(YEAR(X55)+(MONTH(X55)/100),TC!$5:$37,DAY(X55)+2,FALSE),VLOOKUP(Y55,Equivalencia!$1:$23,((MAX(Equivalencia!$3:$3)-YEAR(X55))*14)+MONTH(X55)+2,FALSE)))</f>
        <v>4.9701789264413515E-2</v>
      </c>
      <c r="AB55" s="306">
        <f t="shared" si="14"/>
        <v>99090.150596421474</v>
      </c>
      <c r="AC55" s="305">
        <f>+IF(X55=0,0,HLOOKUP(YEAR(X55)+(MONTH(X55)/100),TC!$5:$37,DAY(X55)+2,FALSE))</f>
        <v>20.12</v>
      </c>
      <c r="AD55" s="307">
        <f t="shared" si="15"/>
        <v>1993693.83</v>
      </c>
      <c r="AE55" s="314">
        <f t="shared" si="5"/>
        <v>2227779.4510929999</v>
      </c>
      <c r="AF55" s="315">
        <f t="shared" si="6"/>
        <v>-234085.62109299982</v>
      </c>
      <c r="AG55" s="316">
        <f t="shared" si="7"/>
        <v>4.4109589041095889</v>
      </c>
      <c r="AH55" s="314">
        <v>1</v>
      </c>
      <c r="AI55" s="314">
        <f t="shared" si="8"/>
        <v>-234085.62109299982</v>
      </c>
      <c r="AJ55" s="314">
        <f t="shared" si="16"/>
        <v>0</v>
      </c>
      <c r="AK55" s="317"/>
      <c r="AL55" s="315">
        <f t="shared" si="17"/>
        <v>4019.1329925249011</v>
      </c>
      <c r="AN55" s="546">
        <f t="shared" si="9"/>
        <v>2.2188604285227433E-3</v>
      </c>
      <c r="AO55" s="314"/>
      <c r="AP55" s="318"/>
    </row>
    <row r="56" spans="2:42" ht="17" thickBot="1">
      <c r="B56" s="296" t="s">
        <v>957</v>
      </c>
      <c r="C56" s="299" t="s">
        <v>276</v>
      </c>
      <c r="D56" s="298" t="s">
        <v>735</v>
      </c>
      <c r="E56" s="299" t="s">
        <v>113</v>
      </c>
      <c r="F56" s="299" t="s">
        <v>60</v>
      </c>
      <c r="G56" s="300">
        <v>43137</v>
      </c>
      <c r="H56" s="647">
        <v>15842626.5</v>
      </c>
      <c r="I56" s="301" t="str">
        <f t="shared" si="0"/>
        <v>Ingresos Sección II LISR (SIC &amp; BMV)</v>
      </c>
      <c r="J56" s="302">
        <f t="shared" si="10"/>
        <v>167349</v>
      </c>
      <c r="K56" s="304">
        <f t="shared" si="2"/>
        <v>94.668187440618112</v>
      </c>
      <c r="L56" s="305">
        <f>IF(H56=0,0,IF(OR(E56=$AT$5,E56=$AT$6),AA56,IF(F56="MXN",1/HLOOKUP(YEAR(G56)+(MONTH(G56)/100),TC!$5:$37,DAY(G56)+2,FALSE),VLOOKUP(F56,Equivalencia!$5:$23,((MAX(Equivalencia!$3:$3)-YEAR(G56))*14)+MONTH(G56)+2,FALSE))))</f>
        <v>5.4346644638160038E-2</v>
      </c>
      <c r="M56" s="306">
        <f t="shared" si="3"/>
        <v>860993.59253059712</v>
      </c>
      <c r="N56" s="305">
        <f>IF(G56=0,0,(IF(OR(E56=$AT$5,E56=$AT$6),AC56,HLOOKUP(YEAR(G56)+(MONTH(G56)/100),TC!$5:$37,DAY(G56)+2,FALSE))))</f>
        <v>18.400400000000001</v>
      </c>
      <c r="O56" s="307">
        <f t="shared" si="11"/>
        <v>15842626.5</v>
      </c>
      <c r="P56" s="552">
        <f>IF(G56=0,0,VLOOKUP(YEAR(G56),INPC!$B$4:$P$30,MONTH(G56)+2))</f>
        <v>99.171374481640001</v>
      </c>
      <c r="Q56" s="552">
        <f>IF(X56=0,0,IF(OR(E56=$AT$10,E56=$AT$9),VLOOKUP(YEAR(X56),INPC!$B$4:$P$30,MONTH(X56)+1),VLOOKUP(YEAR(X56),INPC!$B$4:$P$30,MONTH(X56)+2,0)))</f>
        <v>120.15900000000001</v>
      </c>
      <c r="R56" s="309">
        <f t="shared" si="4"/>
        <v>1.2116</v>
      </c>
      <c r="S56" s="310">
        <f t="shared" si="12"/>
        <v>19194926.2674</v>
      </c>
      <c r="T56" s="547">
        <f t="shared" si="13"/>
        <v>114.6999759030529</v>
      </c>
      <c r="U56" s="311"/>
      <c r="V56" s="312">
        <v>167349</v>
      </c>
      <c r="W56" s="299" t="s">
        <v>194</v>
      </c>
      <c r="X56" s="300">
        <v>44663</v>
      </c>
      <c r="Y56" s="299" t="s">
        <v>60</v>
      </c>
      <c r="Z56" s="647">
        <v>17915624.18</v>
      </c>
      <c r="AA56" s="305">
        <f>IF(Z56=0,0,IF(Y56="MXN",1/HLOOKUP(YEAR(X56)+(MONTH(X56)/100),TC!$5:$37,DAY(X56)+2,FALSE),VLOOKUP(Y56,Equivalencia!$1:$23,((MAX(Equivalencia!$3:$3)-YEAR(X56))*14)+MONTH(X56)+2,FALSE)))</f>
        <v>4.9701789264413515E-2</v>
      </c>
      <c r="AB56" s="306">
        <f t="shared" si="14"/>
        <v>890438.5775347912</v>
      </c>
      <c r="AC56" s="305">
        <f>+IF(X56=0,0,HLOOKUP(YEAR(X56)+(MONTH(X56)/100),TC!$5:$37,DAY(X56)+2,FALSE))</f>
        <v>20.12</v>
      </c>
      <c r="AD56" s="307">
        <f t="shared" si="15"/>
        <v>17915624.18</v>
      </c>
      <c r="AE56" s="314">
        <f t="shared" si="5"/>
        <v>19194926.2674</v>
      </c>
      <c r="AF56" s="315">
        <f t="shared" si="6"/>
        <v>-1279302.0874000005</v>
      </c>
      <c r="AG56" s="316">
        <f t="shared" si="7"/>
        <v>4.1808219178082195</v>
      </c>
      <c r="AH56" s="314">
        <v>1</v>
      </c>
      <c r="AI56" s="314">
        <f t="shared" si="8"/>
        <v>-1279302.0874000005</v>
      </c>
      <c r="AJ56" s="314">
        <f t="shared" si="16"/>
        <v>0</v>
      </c>
      <c r="AK56" s="317"/>
      <c r="AL56" s="315">
        <f t="shared" si="17"/>
        <v>29444.985004194081</v>
      </c>
      <c r="AN56" s="546">
        <f t="shared" si="9"/>
        <v>1.8585923870763526E-3</v>
      </c>
      <c r="AO56" s="314"/>
      <c r="AP56" s="318"/>
    </row>
    <row r="57" spans="2:42">
      <c r="B57" s="296" t="s">
        <v>957</v>
      </c>
      <c r="C57" s="299" t="s">
        <v>276</v>
      </c>
      <c r="D57" s="298" t="s">
        <v>738</v>
      </c>
      <c r="E57" s="299" t="s">
        <v>113</v>
      </c>
      <c r="F57" s="299" t="s">
        <v>59</v>
      </c>
      <c r="G57" s="300">
        <v>44586</v>
      </c>
      <c r="H57" s="303">
        <v>10121.31</v>
      </c>
      <c r="I57" s="301" t="str">
        <f t="shared" si="0"/>
        <v>Ingresos Sección II LISR (SIC &amp; BMV)</v>
      </c>
      <c r="J57" s="302">
        <f t="shared" si="10"/>
        <v>1895</v>
      </c>
      <c r="K57" s="304">
        <f t="shared" si="2"/>
        <v>5.3410606860158305</v>
      </c>
      <c r="L57" s="305">
        <f>IF(H57=0,0,IF(OR(E57=$AT$5,E57=$AT$6),AA57,IF(F57="MXN",1/HLOOKUP(YEAR(G57)+(MONTH(G57)/100),TC!$5:$37,DAY(G57)+2,FALSE),VLOOKUP(F57,Equivalencia!$5:$23,((MAX(Equivalencia!$3:$3)-YEAR(G57))*14)+MONTH(G57)+2,FALSE))))</f>
        <v>1</v>
      </c>
      <c r="M57" s="306">
        <f t="shared" si="3"/>
        <v>10121.31</v>
      </c>
      <c r="N57" s="305">
        <f>IF(G57=0,0,(IF(OR(E57=$AT$5,E57=$AT$6),AC57,HLOOKUP(YEAR(G57)+(MONTH(G57)/100),TC!$5:$37,DAY(G57)+2,FALSE))))</f>
        <v>20.459800000000001</v>
      </c>
      <c r="O57" s="307">
        <f t="shared" si="11"/>
        <v>207079.97833800002</v>
      </c>
      <c r="P57" s="552">
        <f>IF(G57=0,0,VLOOKUP(YEAR(G57),INPC!$B$4:$P$30,MONTH(G57)+2))</f>
        <v>118.002</v>
      </c>
      <c r="Q57" s="552">
        <f>IF(X57=0,0,IF(OR(E57=$AT$10,E57=$AT$9),VLOOKUP(YEAR(X57),INPC!$B$4:$P$30,MONTH(X57)+1),VLOOKUP(YEAR(X57),INPC!$B$4:$P$30,MONTH(X57)+2,0)))</f>
        <v>120.809</v>
      </c>
      <c r="R57" s="309">
        <f t="shared" si="4"/>
        <v>1.0237000000000001</v>
      </c>
      <c r="S57" s="310">
        <f t="shared" si="12"/>
        <v>211987.77382461063</v>
      </c>
      <c r="T57" s="547">
        <f t="shared" si="13"/>
        <v>111.86689911588951</v>
      </c>
      <c r="U57" s="311"/>
      <c r="V57" s="312">
        <v>1895</v>
      </c>
      <c r="W57" s="299" t="s">
        <v>194</v>
      </c>
      <c r="X57" s="300">
        <v>44697</v>
      </c>
      <c r="Y57" s="299" t="s">
        <v>59</v>
      </c>
      <c r="Z57" s="303">
        <v>9978.5</v>
      </c>
      <c r="AA57" s="305">
        <f>IF(Z57=0,0,IF(Y57="MXN",1/HLOOKUP(YEAR(X57)+(MONTH(X57)/100),TC!$5:$37,DAY(X57)+2,FALSE),VLOOKUP(Y57,Equivalencia!$1:$23,((MAX(Equivalencia!$3:$3)-YEAR(X57))*14)+MONTH(X57)+2,FALSE)))</f>
        <v>1</v>
      </c>
      <c r="AB57" s="306">
        <f t="shared" si="14"/>
        <v>9978.5</v>
      </c>
      <c r="AC57" s="305">
        <f>+IF(X57=0,0,HLOOKUP(YEAR(X57)+(MONTH(X57)/100),TC!$5:$37,DAY(X57)+2,FALSE))</f>
        <v>20.32</v>
      </c>
      <c r="AD57" s="307">
        <f t="shared" si="15"/>
        <v>202763.12</v>
      </c>
      <c r="AE57" s="314">
        <f t="shared" si="5"/>
        <v>211987.77382461063</v>
      </c>
      <c r="AF57" s="315">
        <f t="shared" si="6"/>
        <v>-9224.6538246106356</v>
      </c>
      <c r="AG57" s="316">
        <f t="shared" si="7"/>
        <v>0.30410958904109592</v>
      </c>
      <c r="AH57" s="314">
        <v>1</v>
      </c>
      <c r="AI57" s="314">
        <f t="shared" si="8"/>
        <v>-9224.6538246106356</v>
      </c>
      <c r="AJ57" s="314">
        <f t="shared" si="16"/>
        <v>0</v>
      </c>
      <c r="AK57" s="317"/>
      <c r="AL57" s="315">
        <f t="shared" si="17"/>
        <v>-142.80999999999949</v>
      </c>
      <c r="AN57" s="546">
        <f t="shared" si="9"/>
        <v>-1.4109833608495293E-2</v>
      </c>
      <c r="AO57" s="314"/>
      <c r="AP57" s="318"/>
    </row>
    <row r="58" spans="2:42">
      <c r="B58" s="296"/>
      <c r="C58" s="299"/>
      <c r="D58" s="298"/>
      <c r="E58" s="299"/>
      <c r="F58" s="299"/>
      <c r="G58" s="300"/>
      <c r="H58" s="303"/>
      <c r="I58" s="301">
        <f t="shared" si="0"/>
        <v>0</v>
      </c>
      <c r="J58" s="302">
        <f t="shared" si="10"/>
        <v>0</v>
      </c>
      <c r="K58" s="304">
        <f t="shared" si="2"/>
        <v>0</v>
      </c>
      <c r="L58" s="305">
        <f>IF(H58=0,0,IF(OR(E58=$AT$5,E58=$AT$6),AA58,IF(F58="MXN",1/HLOOKUP(YEAR(G58)+(MONTH(G58)/100),TC!$5:$37,DAY(G58)+2,FALSE),VLOOKUP(F58,Equivalencia!$5:$23,((MAX(Equivalencia!$3:$3)-YEAR(G58))*14)+MONTH(G58)+2,FALSE))))</f>
        <v>0</v>
      </c>
      <c r="M58" s="306">
        <f t="shared" si="3"/>
        <v>0</v>
      </c>
      <c r="N58" s="305">
        <f>IF(G58=0,0,(IF(OR(E58=$AT$5,E58=$AT$6),AC58,HLOOKUP(YEAR(G58)+(MONTH(G58)/100),TC!$5:$37,DAY(G58)+2,FALSE))))</f>
        <v>0</v>
      </c>
      <c r="O58" s="307">
        <f t="shared" si="11"/>
        <v>0</v>
      </c>
      <c r="P58" s="552">
        <f>IF(G58=0,0,VLOOKUP(YEAR(G58),INPC!$B$4:$P$30,MONTH(G58)+2))</f>
        <v>0</v>
      </c>
      <c r="Q58" s="552">
        <f>IF(X58=0,0,IF(OR(E58=$AT$10,E58=$AT$9),VLOOKUP(YEAR(X58),INPC!$B$4:$P$30,MONTH(X58)+1),VLOOKUP(YEAR(X58),INPC!$B$4:$P$30,MONTH(X58)+2,0)))</f>
        <v>0</v>
      </c>
      <c r="R58" s="309">
        <f t="shared" si="4"/>
        <v>0</v>
      </c>
      <c r="S58" s="310">
        <f t="shared" si="12"/>
        <v>0</v>
      </c>
      <c r="T58" s="547">
        <f t="shared" si="13"/>
        <v>0</v>
      </c>
      <c r="U58" s="311"/>
      <c r="V58" s="312"/>
      <c r="W58" s="299"/>
      <c r="X58" s="300"/>
      <c r="Y58" s="299"/>
      <c r="Z58" s="303"/>
      <c r="AA58" s="305">
        <f>IF(Z58=0,0,IF(Y58="MXN",1/HLOOKUP(YEAR(X58)+(MONTH(X58)/100),TC!$5:$37,DAY(X58)+2,FALSE),VLOOKUP(Y58,Equivalencia!$1:$23,((MAX(Equivalencia!$3:$3)-YEAR(X58))*14)+MONTH(X58)+2,FALSE)))</f>
        <v>0</v>
      </c>
      <c r="AB58" s="306">
        <f t="shared" si="14"/>
        <v>0</v>
      </c>
      <c r="AC58" s="305">
        <f>+IF(X58=0,0,HLOOKUP(YEAR(X58)+(MONTH(X58)/100),TC!$5:$37,DAY(X58)+2,FALSE))</f>
        <v>0</v>
      </c>
      <c r="AD58" s="307">
        <f t="shared" si="15"/>
        <v>0</v>
      </c>
      <c r="AE58" s="314">
        <f t="shared" si="5"/>
        <v>0</v>
      </c>
      <c r="AF58" s="315">
        <f t="shared" si="6"/>
        <v>0</v>
      </c>
      <c r="AG58" s="316">
        <f t="shared" si="7"/>
        <v>0</v>
      </c>
      <c r="AH58" s="314">
        <v>1</v>
      </c>
      <c r="AI58" s="314">
        <f t="shared" si="8"/>
        <v>0</v>
      </c>
      <c r="AJ58" s="314">
        <f t="shared" si="16"/>
        <v>0</v>
      </c>
      <c r="AK58" s="317"/>
      <c r="AL58" s="315">
        <f t="shared" si="17"/>
        <v>0</v>
      </c>
      <c r="AN58" s="546">
        <f t="shared" si="9"/>
        <v>0</v>
      </c>
      <c r="AO58" s="314"/>
      <c r="AP58" s="318"/>
    </row>
    <row r="59" spans="2:42">
      <c r="B59" s="296" t="s">
        <v>953</v>
      </c>
      <c r="C59" s="299" t="s">
        <v>276</v>
      </c>
      <c r="D59" s="298" t="s">
        <v>702</v>
      </c>
      <c r="E59" s="299" t="s">
        <v>113</v>
      </c>
      <c r="F59" s="299" t="s">
        <v>59</v>
      </c>
      <c r="G59" s="300">
        <v>44218</v>
      </c>
      <c r="H59" s="303">
        <v>36601.971153740749</v>
      </c>
      <c r="I59" s="301" t="str">
        <f t="shared" si="0"/>
        <v>Ingresos Sección II LISR (SIC &amp; BMV)</v>
      </c>
      <c r="J59" s="302">
        <f t="shared" si="10"/>
        <v>708</v>
      </c>
      <c r="K59" s="304">
        <f t="shared" si="2"/>
        <v>51.697699369690326</v>
      </c>
      <c r="L59" s="305">
        <f>IF(H59=0,0,IF(OR(E59=$AT$5,E59=$AT$6),AA59,IF(F59="MXN",1/HLOOKUP(YEAR(G59)+(MONTH(G59)/100),TC!$5:$37,DAY(G59)+2,FALSE),VLOOKUP(F59,Equivalencia!$5:$23,((MAX(Equivalencia!$3:$3)-YEAR(G59))*14)+MONTH(G59)+2,FALSE))))</f>
        <v>1</v>
      </c>
      <c r="M59" s="306">
        <f t="shared" si="3"/>
        <v>36601.971153740749</v>
      </c>
      <c r="N59" s="305">
        <f>IF(G59=0,0,(IF(OR(E59=$AT$5,E59=$AT$6),AC59,HLOOKUP(YEAR(G59)+(MONTH(G59)/100),TC!$5:$37,DAY(G59)+2,FALSE))))</f>
        <v>19.5793</v>
      </c>
      <c r="O59" s="307">
        <f t="shared" si="11"/>
        <v>716640.9738104362</v>
      </c>
      <c r="P59" s="552">
        <f>IF(G59=0,0,VLOOKUP(YEAR(G59),INPC!$B$4:$P$30,MONTH(G59)+2))</f>
        <v>110.21</v>
      </c>
      <c r="Q59" s="552">
        <f>IF(X59=0,0,IF(OR(E59=$AT$10,E59=$AT$9),VLOOKUP(YEAR(X59),INPC!$B$4:$P$30,MONTH(X59)+1),VLOOKUP(YEAR(X59),INPC!$B$4:$P$30,MONTH(X59)+2,0)))</f>
        <v>120.15900000000001</v>
      </c>
      <c r="R59" s="309">
        <f t="shared" si="4"/>
        <v>1.0902000000000001</v>
      </c>
      <c r="S59" s="310">
        <f t="shared" si="12"/>
        <v>781281.98964813759</v>
      </c>
      <c r="T59" s="547">
        <f t="shared" si="13"/>
        <v>1103.5056350962395</v>
      </c>
      <c r="U59" s="311"/>
      <c r="V59" s="312">
        <v>708</v>
      </c>
      <c r="W59" s="299" t="s">
        <v>194</v>
      </c>
      <c r="X59" s="300">
        <v>44671</v>
      </c>
      <c r="Y59" s="299" t="s">
        <v>59</v>
      </c>
      <c r="Z59" s="303">
        <v>31558.037698723405</v>
      </c>
      <c r="AA59" s="305">
        <f>IF(Z59=0,0,IF(Y59="MXN",1/HLOOKUP(YEAR(X59)+(MONTH(X59)/100),TC!$5:$37,DAY(X59)+2,FALSE),VLOOKUP(Y59,Equivalencia!$1:$23,((MAX(Equivalencia!$3:$3)-YEAR(X59))*14)+MONTH(X59)+2,FALSE)))</f>
        <v>1</v>
      </c>
      <c r="AB59" s="306">
        <f t="shared" si="14"/>
        <v>31558.037698723405</v>
      </c>
      <c r="AC59" s="305">
        <f>+IF(X59=0,0,HLOOKUP(YEAR(X59)+(MONTH(X59)/100),TC!$5:$37,DAY(X59)+2,FALSE))</f>
        <v>19.9377</v>
      </c>
      <c r="AD59" s="307">
        <f t="shared" si="15"/>
        <v>629194.68822583766</v>
      </c>
      <c r="AE59" s="314">
        <f t="shared" si="5"/>
        <v>781281.98964813759</v>
      </c>
      <c r="AF59" s="315">
        <f t="shared" si="6"/>
        <v>-152087.30142229993</v>
      </c>
      <c r="AG59" s="316">
        <f t="shared" si="7"/>
        <v>1.2410958904109588</v>
      </c>
      <c r="AH59" s="314">
        <v>1</v>
      </c>
      <c r="AI59" s="314">
        <f t="shared" si="8"/>
        <v>-152087.30142229993</v>
      </c>
      <c r="AJ59" s="314">
        <f t="shared" si="16"/>
        <v>0</v>
      </c>
      <c r="AK59" s="317"/>
      <c r="AL59" s="315">
        <f t="shared" si="17"/>
        <v>-5043.9334550173444</v>
      </c>
      <c r="AN59" s="546">
        <f t="shared" si="9"/>
        <v>-0.13780496776611034</v>
      </c>
      <c r="AO59" s="314"/>
      <c r="AP59" s="318"/>
    </row>
    <row r="60" spans="2:42">
      <c r="B60" s="296" t="s">
        <v>953</v>
      </c>
      <c r="C60" s="299" t="s">
        <v>276</v>
      </c>
      <c r="D60" s="298" t="s">
        <v>702</v>
      </c>
      <c r="E60" s="299" t="s">
        <v>113</v>
      </c>
      <c r="F60" s="299" t="s">
        <v>59</v>
      </c>
      <c r="G60" s="300">
        <v>44293</v>
      </c>
      <c r="H60" s="303">
        <v>269715.84808701754</v>
      </c>
      <c r="I60" s="301" t="str">
        <f t="shared" si="0"/>
        <v>Ingresos Sección II LISR (SIC &amp; BMV)</v>
      </c>
      <c r="J60" s="302">
        <f t="shared" si="10"/>
        <v>5167</v>
      </c>
      <c r="K60" s="304">
        <f t="shared" si="2"/>
        <v>52.199699649122806</v>
      </c>
      <c r="L60" s="305">
        <f>IF(H60=0,0,IF(OR(E60=$AT$5,E60=$AT$6),AA60,IF(F60="MXN",1/HLOOKUP(YEAR(G60)+(MONTH(G60)/100),TC!$5:$37,DAY(G60)+2,FALSE),VLOOKUP(F60,Equivalencia!$5:$23,((MAX(Equivalencia!$3:$3)-YEAR(G60))*14)+MONTH(G60)+2,FALSE))))</f>
        <v>1</v>
      </c>
      <c r="M60" s="306">
        <f t="shared" si="3"/>
        <v>269715.84808701754</v>
      </c>
      <c r="N60" s="305">
        <f>IF(G60=0,0,(IF(OR(E60=$AT$5,E60=$AT$6),AC60,HLOOKUP(YEAR(G60)+(MONTH(G60)/100),TC!$5:$37,DAY(G60)+2,FALSE))))</f>
        <v>20.2483</v>
      </c>
      <c r="O60" s="307">
        <f t="shared" si="11"/>
        <v>5461287.4068203578</v>
      </c>
      <c r="P60" s="552">
        <f>IF(G60=0,0,VLOOKUP(YEAR(G60),INPC!$B$4:$P$30,MONTH(G60)+2))</f>
        <v>112.19</v>
      </c>
      <c r="Q60" s="552">
        <f>IF(X60=0,0,IF(OR(E60=$AT$10,E60=$AT$9),VLOOKUP(YEAR(X60),INPC!$B$4:$P$30,MONTH(X60)+1),VLOOKUP(YEAR(X60),INPC!$B$4:$P$30,MONTH(X60)+2,0)))</f>
        <v>120.15900000000001</v>
      </c>
      <c r="R60" s="309">
        <f t="shared" si="4"/>
        <v>1.071</v>
      </c>
      <c r="S60" s="310">
        <f t="shared" si="12"/>
        <v>5849038.8127046032</v>
      </c>
      <c r="T60" s="547">
        <f t="shared" si="13"/>
        <v>1131.998996072112</v>
      </c>
      <c r="U60" s="311"/>
      <c r="V60" s="312">
        <v>5167</v>
      </c>
      <c r="W60" s="299" t="s">
        <v>194</v>
      </c>
      <c r="X60" s="300">
        <v>44671</v>
      </c>
      <c r="Y60" s="299" t="s">
        <v>59</v>
      </c>
      <c r="Z60" s="303">
        <v>230311.27230127659</v>
      </c>
      <c r="AA60" s="305">
        <f>IF(Z60=0,0,IF(Y60="MXN",1/HLOOKUP(YEAR(X60)+(MONTH(X60)/100),TC!$5:$37,DAY(X60)+2,FALSE),VLOOKUP(Y60,Equivalencia!$1:$23,((MAX(Equivalencia!$3:$3)-YEAR(X60))*14)+MONTH(X60)+2,FALSE)))</f>
        <v>1</v>
      </c>
      <c r="AB60" s="306">
        <f t="shared" si="14"/>
        <v>230311.27230127659</v>
      </c>
      <c r="AC60" s="305">
        <f>+IF(X60=0,0,HLOOKUP(YEAR(X60)+(MONTH(X60)/100),TC!$5:$37,DAY(X60)+2,FALSE))</f>
        <v>19.9377</v>
      </c>
      <c r="AD60" s="307">
        <f t="shared" si="15"/>
        <v>4591877.0537611619</v>
      </c>
      <c r="AE60" s="314">
        <f t="shared" si="5"/>
        <v>5849038.8127046032</v>
      </c>
      <c r="AF60" s="315">
        <f t="shared" si="6"/>
        <v>-1257161.7589434413</v>
      </c>
      <c r="AG60" s="316">
        <f t="shared" si="7"/>
        <v>1.0356164383561643</v>
      </c>
      <c r="AH60" s="314">
        <v>1</v>
      </c>
      <c r="AI60" s="314">
        <f t="shared" si="8"/>
        <v>-1257161.7589434413</v>
      </c>
      <c r="AJ60" s="314">
        <f t="shared" si="16"/>
        <v>0</v>
      </c>
      <c r="AK60" s="317"/>
      <c r="AL60" s="315">
        <f t="shared" si="17"/>
        <v>-39404.575785740948</v>
      </c>
      <c r="AN60" s="546">
        <f t="shared" si="9"/>
        <v>-0.14609662748860044</v>
      </c>
      <c r="AO60" s="314"/>
      <c r="AP60" s="318"/>
    </row>
    <row r="61" spans="2:42">
      <c r="B61" s="296" t="s">
        <v>953</v>
      </c>
      <c r="C61" s="299" t="s">
        <v>276</v>
      </c>
      <c r="D61" s="298" t="s">
        <v>702</v>
      </c>
      <c r="E61" s="299" t="s">
        <v>113</v>
      </c>
      <c r="F61" s="299" t="s">
        <v>59</v>
      </c>
      <c r="G61" s="300">
        <v>44293</v>
      </c>
      <c r="H61" s="303">
        <v>102207.01191298246</v>
      </c>
      <c r="I61" s="301" t="str">
        <f t="shared" si="0"/>
        <v>Ingresos Sección II LISR (SIC &amp; BMV)</v>
      </c>
      <c r="J61" s="302">
        <f t="shared" si="10"/>
        <v>1958</v>
      </c>
      <c r="K61" s="304">
        <f t="shared" si="2"/>
        <v>52.199699649122806</v>
      </c>
      <c r="L61" s="305">
        <f>IF(H61=0,0,IF(OR(E61=$AT$5,E61=$AT$6),AA61,IF(F61="MXN",1/HLOOKUP(YEAR(G61)+(MONTH(G61)/100),TC!$5:$37,DAY(G61)+2,FALSE),VLOOKUP(F61,Equivalencia!$5:$23,((MAX(Equivalencia!$3:$3)-YEAR(G61))*14)+MONTH(G61)+2,FALSE))))</f>
        <v>1</v>
      </c>
      <c r="M61" s="306">
        <f t="shared" si="3"/>
        <v>102207.01191298246</v>
      </c>
      <c r="N61" s="305">
        <f>IF(G61=0,0,(IF(OR(E61=$AT$5,E61=$AT$6),AC61,HLOOKUP(YEAR(G61)+(MONTH(G61)/100),TC!$5:$37,DAY(G61)+2,FALSE))))</f>
        <v>20.2483</v>
      </c>
      <c r="O61" s="307">
        <f t="shared" si="11"/>
        <v>2069518.2393176428</v>
      </c>
      <c r="P61" s="552">
        <f>IF(G61=0,0,VLOOKUP(YEAR(G61),INPC!$B$4:$P$30,MONTH(G61)+2))</f>
        <v>112.19</v>
      </c>
      <c r="Q61" s="552">
        <f>IF(X61=0,0,IF(OR(E61=$AT$10,E61=$AT$9),VLOOKUP(YEAR(X61),INPC!$B$4:$P$30,MONTH(X61)+1),VLOOKUP(YEAR(X61),INPC!$B$4:$P$30,MONTH(X61)+2,0)))</f>
        <v>122.044</v>
      </c>
      <c r="R61" s="309">
        <f t="shared" si="4"/>
        <v>1.0878000000000001</v>
      </c>
      <c r="S61" s="310">
        <f t="shared" si="12"/>
        <v>2251221.9407297322</v>
      </c>
      <c r="T61" s="547">
        <f t="shared" si="13"/>
        <v>1149.7558430693218</v>
      </c>
      <c r="U61" s="311"/>
      <c r="V61" s="312">
        <v>1958</v>
      </c>
      <c r="W61" s="299" t="s">
        <v>194</v>
      </c>
      <c r="X61" s="300">
        <v>44769</v>
      </c>
      <c r="Y61" s="299" t="s">
        <v>59</v>
      </c>
      <c r="Z61" s="303">
        <v>83068.736285097184</v>
      </c>
      <c r="AA61" s="305">
        <f>IF(Z61=0,0,IF(Y61="MXN",1/HLOOKUP(YEAR(X61)+(MONTH(X61)/100),TC!$5:$37,DAY(X61)+2,FALSE),VLOOKUP(Y61,Equivalencia!$1:$23,((MAX(Equivalencia!$3:$3)-YEAR(X61))*14)+MONTH(X61)+2,FALSE)))</f>
        <v>1</v>
      </c>
      <c r="AB61" s="306">
        <f t="shared" si="14"/>
        <v>83068.736285097184</v>
      </c>
      <c r="AC61" s="305">
        <f>+IF(X61=0,0,HLOOKUP(YEAR(X61)+(MONTH(X61)/100),TC!$5:$37,DAY(X61)+2,FALSE))</f>
        <v>20.465199999999999</v>
      </c>
      <c r="AD61" s="307">
        <f t="shared" si="15"/>
        <v>1700018.3018217708</v>
      </c>
      <c r="AE61" s="314">
        <f t="shared" si="5"/>
        <v>2251221.9407297322</v>
      </c>
      <c r="AF61" s="315">
        <f t="shared" si="6"/>
        <v>-551203.63890796131</v>
      </c>
      <c r="AG61" s="316">
        <f t="shared" si="7"/>
        <v>1.3041095890410959</v>
      </c>
      <c r="AH61" s="314">
        <v>1</v>
      </c>
      <c r="AI61" s="314">
        <f t="shared" si="8"/>
        <v>-551203.63890796131</v>
      </c>
      <c r="AJ61" s="314">
        <f t="shared" si="16"/>
        <v>0</v>
      </c>
      <c r="AK61" s="317"/>
      <c r="AL61" s="315">
        <f t="shared" si="17"/>
        <v>-19138.275627885276</v>
      </c>
      <c r="AN61" s="546">
        <f t="shared" si="9"/>
        <v>-0.18725012374081851</v>
      </c>
      <c r="AO61" s="314"/>
      <c r="AP61" s="318"/>
    </row>
    <row r="62" spans="2:42">
      <c r="B62" s="296" t="s">
        <v>953</v>
      </c>
      <c r="C62" s="299" t="s">
        <v>276</v>
      </c>
      <c r="D62" s="298" t="s">
        <v>702</v>
      </c>
      <c r="E62" s="299" t="s">
        <v>113</v>
      </c>
      <c r="F62" s="299" t="s">
        <v>59</v>
      </c>
      <c r="G62" s="300">
        <v>44302</v>
      </c>
      <c r="H62" s="303">
        <v>165809.52037198743</v>
      </c>
      <c r="I62" s="301" t="str">
        <f t="shared" si="0"/>
        <v>Ingresos Sección II LISR (SIC &amp; BMV)</v>
      </c>
      <c r="J62" s="302">
        <f t="shared" si="10"/>
        <v>3135</v>
      </c>
      <c r="K62" s="304">
        <f t="shared" si="2"/>
        <v>52.889799161718479</v>
      </c>
      <c r="L62" s="305">
        <f>IF(H62=0,0,IF(OR(E62=$AT$5,E62=$AT$6),AA62,IF(F62="MXN",1/HLOOKUP(YEAR(G62)+(MONTH(G62)/100),TC!$5:$37,DAY(G62)+2,FALSE),VLOOKUP(F62,Equivalencia!$5:$23,((MAX(Equivalencia!$3:$3)-YEAR(G62))*14)+MONTH(G62)+2,FALSE))))</f>
        <v>1</v>
      </c>
      <c r="M62" s="306">
        <f t="shared" si="3"/>
        <v>165809.52037198743</v>
      </c>
      <c r="N62" s="305">
        <f>IF(G62=0,0,(IF(OR(E62=$AT$5,E62=$AT$6),AC62,HLOOKUP(YEAR(G62)+(MONTH(G62)/100),TC!$5:$37,DAY(G62)+2,FALSE))))</f>
        <v>20.058299999999999</v>
      </c>
      <c r="O62" s="307">
        <f t="shared" si="11"/>
        <v>3325857.102477435</v>
      </c>
      <c r="P62" s="552">
        <f>IF(G62=0,0,VLOOKUP(YEAR(G62),INPC!$B$4:$P$30,MONTH(G62)+2))</f>
        <v>112.19</v>
      </c>
      <c r="Q62" s="552">
        <f>IF(X62=0,0,IF(OR(E62=$AT$10,E62=$AT$9),VLOOKUP(YEAR(X62),INPC!$B$4:$P$30,MONTH(X62)+1),VLOOKUP(YEAR(X62),INPC!$B$4:$P$30,MONTH(X62)+2,0)))</f>
        <v>122.044</v>
      </c>
      <c r="R62" s="309">
        <f t="shared" si="4"/>
        <v>1.0878000000000001</v>
      </c>
      <c r="S62" s="310">
        <f t="shared" si="12"/>
        <v>3617867.3560749544</v>
      </c>
      <c r="T62" s="547">
        <f t="shared" si="13"/>
        <v>1154.0246749840364</v>
      </c>
      <c r="U62" s="311"/>
      <c r="V62" s="312">
        <v>3135</v>
      </c>
      <c r="W62" s="299" t="s">
        <v>194</v>
      </c>
      <c r="X62" s="300">
        <v>44769</v>
      </c>
      <c r="Y62" s="299" t="s">
        <v>59</v>
      </c>
      <c r="Z62" s="303">
        <v>133003.31371490279</v>
      </c>
      <c r="AA62" s="305">
        <f>IF(Z62=0,0,IF(Y62="MXN",1/HLOOKUP(YEAR(X62)+(MONTH(X62)/100),TC!$5:$37,DAY(X62)+2,FALSE),VLOOKUP(Y62,Equivalencia!$1:$23,((MAX(Equivalencia!$3:$3)-YEAR(X62))*14)+MONTH(X62)+2,FALSE)))</f>
        <v>1</v>
      </c>
      <c r="AB62" s="306">
        <f t="shared" si="14"/>
        <v>133003.31371490279</v>
      </c>
      <c r="AC62" s="305">
        <f>+IF(X62=0,0,HLOOKUP(YEAR(X62)+(MONTH(X62)/100),TC!$5:$37,DAY(X62)+2,FALSE))</f>
        <v>20.465199999999999</v>
      </c>
      <c r="AD62" s="307">
        <f t="shared" si="15"/>
        <v>2721939.4158382285</v>
      </c>
      <c r="AE62" s="314">
        <f t="shared" si="5"/>
        <v>3617867.3560749544</v>
      </c>
      <c r="AF62" s="315">
        <f t="shared" si="6"/>
        <v>-895927.94023672584</v>
      </c>
      <c r="AG62" s="316">
        <f t="shared" si="7"/>
        <v>1.2794520547945205</v>
      </c>
      <c r="AH62" s="314">
        <v>1</v>
      </c>
      <c r="AI62" s="314">
        <f t="shared" si="8"/>
        <v>-895927.94023672584</v>
      </c>
      <c r="AJ62" s="314">
        <f t="shared" si="16"/>
        <v>0</v>
      </c>
      <c r="AK62" s="317"/>
      <c r="AL62" s="315">
        <f t="shared" si="17"/>
        <v>-32806.206657084636</v>
      </c>
      <c r="AN62" s="546">
        <f t="shared" si="9"/>
        <v>-0.19785478290682673</v>
      </c>
      <c r="AO62" s="314"/>
      <c r="AP62" s="318"/>
    </row>
    <row r="63" spans="2:42">
      <c r="B63" s="296" t="s">
        <v>953</v>
      </c>
      <c r="C63" s="299" t="s">
        <v>276</v>
      </c>
      <c r="D63" s="298" t="s">
        <v>703</v>
      </c>
      <c r="E63" s="299" t="s">
        <v>113</v>
      </c>
      <c r="F63" s="299" t="s">
        <v>59</v>
      </c>
      <c r="G63" s="300">
        <v>44231</v>
      </c>
      <c r="H63" s="303">
        <v>154701.06862625026</v>
      </c>
      <c r="I63" s="301" t="str">
        <f t="shared" si="0"/>
        <v>Ingresos Sección II LISR (SIC &amp; BMV)</v>
      </c>
      <c r="J63" s="302">
        <f t="shared" si="10"/>
        <v>2360</v>
      </c>
      <c r="K63" s="304">
        <f t="shared" si="2"/>
        <v>65.551300265360283</v>
      </c>
      <c r="L63" s="305">
        <f>IF(H63=0,0,IF(OR(E63=$AT$5,E63=$AT$6),AA63,IF(F63="MXN",1/HLOOKUP(YEAR(G63)+(MONTH(G63)/100),TC!$5:$37,DAY(G63)+2,FALSE),VLOOKUP(F63,Equivalencia!$5:$23,((MAX(Equivalencia!$3:$3)-YEAR(G63))*14)+MONTH(G63)+2,FALSE))))</f>
        <v>1</v>
      </c>
      <c r="M63" s="306">
        <f t="shared" si="3"/>
        <v>154701.06862625026</v>
      </c>
      <c r="N63" s="305">
        <f>IF(G63=0,0,(IF(OR(E63=$AT$5,E63=$AT$6),AC63,HLOOKUP(YEAR(G63)+(MONTH(G63)/100),TC!$5:$37,DAY(G63)+2,FALSE))))</f>
        <v>20.1722</v>
      </c>
      <c r="O63" s="307">
        <f t="shared" si="11"/>
        <v>3120660.8965424453</v>
      </c>
      <c r="P63" s="552">
        <f>IF(G63=0,0,VLOOKUP(YEAR(G63),INPC!$B$4:$P$30,MONTH(G63)+2))</f>
        <v>110.907</v>
      </c>
      <c r="Q63" s="552">
        <f>IF(X63=0,0,IF(OR(E63=$AT$10,E63=$AT$9),VLOOKUP(YEAR(X63),INPC!$B$4:$P$30,MONTH(X63)+1),VLOOKUP(YEAR(X63),INPC!$B$4:$P$30,MONTH(X63)+2,0)))</f>
        <v>120.15900000000001</v>
      </c>
      <c r="R63" s="309">
        <f t="shared" si="4"/>
        <v>1.0833999999999999</v>
      </c>
      <c r="S63" s="310">
        <f t="shared" si="12"/>
        <v>3380924.0153140849</v>
      </c>
      <c r="T63" s="547">
        <f t="shared" si="13"/>
        <v>1432.5949217432562</v>
      </c>
      <c r="U63" s="311"/>
      <c r="V63" s="312">
        <v>2360</v>
      </c>
      <c r="W63" s="299" t="s">
        <v>194</v>
      </c>
      <c r="X63" s="300">
        <v>44671</v>
      </c>
      <c r="Y63" s="299" t="s">
        <v>59</v>
      </c>
      <c r="Z63" s="303">
        <v>166211.5</v>
      </c>
      <c r="AA63" s="305">
        <f>IF(Z63=0,0,IF(Y63="MXN",1/HLOOKUP(YEAR(X63)+(MONTH(X63)/100),TC!$5:$37,DAY(X63)+2,FALSE),VLOOKUP(Y63,Equivalencia!$1:$23,((MAX(Equivalencia!$3:$3)-YEAR(X63))*14)+MONTH(X63)+2,FALSE)))</f>
        <v>1</v>
      </c>
      <c r="AB63" s="306">
        <f t="shared" si="14"/>
        <v>166211.5</v>
      </c>
      <c r="AC63" s="305">
        <f>+IF(X63=0,0,HLOOKUP(YEAR(X63)+(MONTH(X63)/100),TC!$5:$37,DAY(X63)+2,FALSE))</f>
        <v>19.9377</v>
      </c>
      <c r="AD63" s="307">
        <f t="shared" si="15"/>
        <v>3313875.02355</v>
      </c>
      <c r="AE63" s="314">
        <f t="shared" si="5"/>
        <v>3380924.0153140849</v>
      </c>
      <c r="AF63" s="315">
        <f t="shared" si="6"/>
        <v>-67048.991764084902</v>
      </c>
      <c r="AG63" s="316">
        <f t="shared" si="7"/>
        <v>1.2054794520547945</v>
      </c>
      <c r="AH63" s="314">
        <v>1</v>
      </c>
      <c r="AI63" s="314">
        <f t="shared" si="8"/>
        <v>-67048.991764084902</v>
      </c>
      <c r="AJ63" s="314">
        <f t="shared" si="16"/>
        <v>0</v>
      </c>
      <c r="AK63" s="317"/>
      <c r="AL63" s="315">
        <f t="shared" si="17"/>
        <v>11510.431373749743</v>
      </c>
      <c r="AN63" s="546">
        <f t="shared" si="9"/>
        <v>7.4404343007858254E-2</v>
      </c>
      <c r="AO63" s="314"/>
      <c r="AP63" s="318"/>
    </row>
    <row r="64" spans="2:42">
      <c r="B64" s="296" t="s">
        <v>953</v>
      </c>
      <c r="C64" s="299" t="s">
        <v>276</v>
      </c>
      <c r="D64" s="298" t="s">
        <v>704</v>
      </c>
      <c r="E64" s="299" t="s">
        <v>113</v>
      </c>
      <c r="F64" s="299" t="s">
        <v>59</v>
      </c>
      <c r="G64" s="300">
        <v>44302</v>
      </c>
      <c r="H64" s="303">
        <v>30685.421792452828</v>
      </c>
      <c r="I64" s="301" t="str">
        <f t="shared" si="0"/>
        <v>Ingresos Sección II LISR (SIC &amp; BMV)</v>
      </c>
      <c r="J64" s="302">
        <f t="shared" si="10"/>
        <v>184</v>
      </c>
      <c r="K64" s="304">
        <f t="shared" si="2"/>
        <v>166.76859669811319</v>
      </c>
      <c r="L64" s="305">
        <f>IF(H64=0,0,IF(OR(E64=$AT$5,E64=$AT$6),AA64,IF(F64="MXN",1/HLOOKUP(YEAR(G64)+(MONTH(G64)/100),TC!$5:$37,DAY(G64)+2,FALSE),VLOOKUP(F64,Equivalencia!$5:$23,((MAX(Equivalencia!$3:$3)-YEAR(G64))*14)+MONTH(G64)+2,FALSE))))</f>
        <v>1</v>
      </c>
      <c r="M64" s="306">
        <f t="shared" si="3"/>
        <v>30685.421792452828</v>
      </c>
      <c r="N64" s="305">
        <f>IF(G64=0,0,(IF(OR(E64=$AT$5,E64=$AT$6),AC64,HLOOKUP(YEAR(G64)+(MONTH(G64)/100),TC!$5:$37,DAY(G64)+2,FALSE))))</f>
        <v>20.058299999999999</v>
      </c>
      <c r="O64" s="307">
        <f t="shared" si="11"/>
        <v>615497.39593955653</v>
      </c>
      <c r="P64" s="552">
        <f>IF(G64=0,0,VLOOKUP(YEAR(G64),INPC!$B$4:$P$30,MONTH(G64)+2))</f>
        <v>112.19</v>
      </c>
      <c r="Q64" s="552">
        <f>IF(X64=0,0,IF(OR(E64=$AT$10,E64=$AT$9),VLOOKUP(YEAR(X64),INPC!$B$4:$P$30,MONTH(X64)+1),VLOOKUP(YEAR(X64),INPC!$B$4:$P$30,MONTH(X64)+2,0)))</f>
        <v>120.15900000000001</v>
      </c>
      <c r="R64" s="309">
        <f t="shared" si="4"/>
        <v>1.071</v>
      </c>
      <c r="S64" s="310">
        <f t="shared" si="12"/>
        <v>659197.71105126501</v>
      </c>
      <c r="T64" s="547">
        <f t="shared" si="13"/>
        <v>3582.5962557133967</v>
      </c>
      <c r="U64" s="311"/>
      <c r="V64" s="312">
        <v>184</v>
      </c>
      <c r="W64" s="299" t="s">
        <v>194</v>
      </c>
      <c r="X64" s="300">
        <v>44671</v>
      </c>
      <c r="Y64" s="299" t="s">
        <v>59</v>
      </c>
      <c r="Z64" s="303">
        <v>35458.492489451477</v>
      </c>
      <c r="AA64" s="305">
        <f>IF(Z64=0,0,IF(Y64="MXN",1/HLOOKUP(YEAR(X64)+(MONTH(X64)/100),TC!$5:$37,DAY(X64)+2,FALSE),VLOOKUP(Y64,Equivalencia!$1:$23,((MAX(Equivalencia!$3:$3)-YEAR(X64))*14)+MONTH(X64)+2,FALSE)))</f>
        <v>1</v>
      </c>
      <c r="AB64" s="306">
        <f t="shared" si="14"/>
        <v>35458.492489451477</v>
      </c>
      <c r="AC64" s="305">
        <f>+IF(X64=0,0,HLOOKUP(YEAR(X64)+(MONTH(X64)/100),TC!$5:$37,DAY(X64)+2,FALSE))</f>
        <v>19.9377</v>
      </c>
      <c r="AD64" s="307">
        <f t="shared" si="15"/>
        <v>706960.78570693673</v>
      </c>
      <c r="AE64" s="314">
        <f t="shared" si="5"/>
        <v>659197.71105126501</v>
      </c>
      <c r="AF64" s="315">
        <f t="shared" si="6"/>
        <v>47763.07465567172</v>
      </c>
      <c r="AG64" s="316">
        <f t="shared" si="7"/>
        <v>1.010958904109589</v>
      </c>
      <c r="AH64" s="314">
        <v>1</v>
      </c>
      <c r="AI64" s="314">
        <f t="shared" si="8"/>
        <v>47763.07465567172</v>
      </c>
      <c r="AJ64" s="314">
        <f t="shared" si="16"/>
        <v>0</v>
      </c>
      <c r="AK64" s="317"/>
      <c r="AL64" s="315">
        <f t="shared" si="17"/>
        <v>4773.0706969986495</v>
      </c>
      <c r="AN64" s="546">
        <f t="shared" si="9"/>
        <v>0.15554847931640947</v>
      </c>
      <c r="AO64" s="314"/>
      <c r="AP64" s="318"/>
    </row>
    <row r="65" spans="2:42">
      <c r="B65" s="296" t="s">
        <v>953</v>
      </c>
      <c r="C65" s="299" t="s">
        <v>276</v>
      </c>
      <c r="D65" s="298" t="s">
        <v>704</v>
      </c>
      <c r="E65" s="299" t="s">
        <v>113</v>
      </c>
      <c r="F65" s="299" t="s">
        <v>59</v>
      </c>
      <c r="G65" s="300">
        <v>44370</v>
      </c>
      <c r="H65" s="303">
        <v>9445.7395254074781</v>
      </c>
      <c r="I65" s="301" t="str">
        <f t="shared" si="0"/>
        <v>Ingresos Sección II LISR (SIC &amp; BMV)</v>
      </c>
      <c r="J65" s="302">
        <f t="shared" si="10"/>
        <v>53</v>
      </c>
      <c r="K65" s="304">
        <f t="shared" si="2"/>
        <v>178.22150047938638</v>
      </c>
      <c r="L65" s="305">
        <f>IF(H65=0,0,IF(OR(E65=$AT$5,E65=$AT$6),AA65,IF(F65="MXN",1/HLOOKUP(YEAR(G65)+(MONTH(G65)/100),TC!$5:$37,DAY(G65)+2,FALSE),VLOOKUP(F65,Equivalencia!$5:$23,((MAX(Equivalencia!$3:$3)-YEAR(G65))*14)+MONTH(G65)+2,FALSE))))</f>
        <v>1</v>
      </c>
      <c r="M65" s="306">
        <f t="shared" si="3"/>
        <v>9445.7395254074781</v>
      </c>
      <c r="N65" s="305">
        <f>IF(G65=0,0,(IF(OR(E65=$AT$5,E65=$AT$6),AC65,HLOOKUP(YEAR(G65)+(MONTH(G65)/100),TC!$5:$37,DAY(G65)+2,FALSE))))</f>
        <v>20.6</v>
      </c>
      <c r="O65" s="307">
        <f t="shared" si="11"/>
        <v>194582.23422339407</v>
      </c>
      <c r="P65" s="552">
        <f>IF(G65=0,0,VLOOKUP(YEAR(G65),INPC!$B$4:$P$30,MONTH(G65)+2))</f>
        <v>113.018</v>
      </c>
      <c r="Q65" s="552">
        <f>IF(X65=0,0,IF(OR(E65=$AT$10,E65=$AT$9),VLOOKUP(YEAR(X65),INPC!$B$4:$P$30,MONTH(X65)+1),VLOOKUP(YEAR(X65),INPC!$B$4:$P$30,MONTH(X65)+2,0)))</f>
        <v>120.15900000000001</v>
      </c>
      <c r="R65" s="309">
        <f t="shared" si="4"/>
        <v>1.0630999999999999</v>
      </c>
      <c r="S65" s="310">
        <f t="shared" si="12"/>
        <v>206860.37320289022</v>
      </c>
      <c r="T65" s="547">
        <f t="shared" si="13"/>
        <v>3903.0259094884946</v>
      </c>
      <c r="U65" s="311"/>
      <c r="V65" s="312">
        <v>53</v>
      </c>
      <c r="W65" s="299" t="s">
        <v>194</v>
      </c>
      <c r="X65" s="300">
        <v>44671</v>
      </c>
      <c r="Y65" s="299" t="s">
        <v>59</v>
      </c>
      <c r="Z65" s="303">
        <v>10213.587510548523</v>
      </c>
      <c r="AA65" s="305">
        <f>IF(Z65=0,0,IF(Y65="MXN",1/HLOOKUP(YEAR(X65)+(MONTH(X65)/100),TC!$5:$37,DAY(X65)+2,FALSE),VLOOKUP(Y65,Equivalencia!$1:$23,((MAX(Equivalencia!$3:$3)-YEAR(X65))*14)+MONTH(X65)+2,FALSE)))</f>
        <v>1</v>
      </c>
      <c r="AB65" s="306">
        <f t="shared" si="14"/>
        <v>10213.587510548523</v>
      </c>
      <c r="AC65" s="305">
        <f>+IF(X65=0,0,HLOOKUP(YEAR(X65)+(MONTH(X65)/100),TC!$5:$37,DAY(X65)+2,FALSE))</f>
        <v>19.9377</v>
      </c>
      <c r="AD65" s="307">
        <f t="shared" si="15"/>
        <v>203635.44370906329</v>
      </c>
      <c r="AE65" s="314">
        <f t="shared" si="5"/>
        <v>206860.37320289022</v>
      </c>
      <c r="AF65" s="315">
        <f t="shared" si="6"/>
        <v>-3224.9294938269304</v>
      </c>
      <c r="AG65" s="316">
        <f t="shared" si="7"/>
        <v>0.8246575342465754</v>
      </c>
      <c r="AH65" s="314">
        <v>1</v>
      </c>
      <c r="AI65" s="314">
        <f t="shared" si="8"/>
        <v>-3224.9294938269304</v>
      </c>
      <c r="AJ65" s="314">
        <f t="shared" si="16"/>
        <v>0</v>
      </c>
      <c r="AK65" s="317"/>
      <c r="AL65" s="315">
        <f t="shared" si="17"/>
        <v>767.84798514104477</v>
      </c>
      <c r="AN65" s="546">
        <f t="shared" si="9"/>
        <v>8.1290404322039642E-2</v>
      </c>
      <c r="AO65" s="314"/>
      <c r="AP65" s="318"/>
    </row>
    <row r="66" spans="2:42">
      <c r="B66" s="296" t="s">
        <v>953</v>
      </c>
      <c r="C66" s="299" t="s">
        <v>276</v>
      </c>
      <c r="D66" s="298" t="s">
        <v>708</v>
      </c>
      <c r="E66" s="299" t="s">
        <v>113</v>
      </c>
      <c r="F66" s="299" t="s">
        <v>59</v>
      </c>
      <c r="G66" s="300">
        <v>43957</v>
      </c>
      <c r="H66" s="303">
        <v>4135.2213127413124</v>
      </c>
      <c r="I66" s="301" t="str">
        <f t="shared" ref="I66:I129" si="20">IF(D66=0,0,IF(OR(E66=$AT$9,E66=$AT$10),"Ingresos Sección II LISR (SIC &amp; BMV)","Ingresos Sección I LISR"))</f>
        <v>Ingresos Sección II LISR (SIC &amp; BMV)</v>
      </c>
      <c r="J66" s="302">
        <f t="shared" si="10"/>
        <v>18</v>
      </c>
      <c r="K66" s="304">
        <f t="shared" ref="K66:K129" si="21">IF(H66=0,0,H66/J66)</f>
        <v>229.73451737451737</v>
      </c>
      <c r="L66" s="305">
        <f>IF(H66=0,0,IF(OR(E66=$AT$5,E66=$AT$6),AA66,IF(F66="MXN",1/HLOOKUP(YEAR(G66)+(MONTH(G66)/100),TC!$5:$37,DAY(G66)+2,FALSE),VLOOKUP(F66,Equivalencia!$5:$23,((MAX(Equivalencia!$3:$3)-YEAR(G66))*14)+MONTH(G66)+2,FALSE))))</f>
        <v>1</v>
      </c>
      <c r="M66" s="306">
        <f t="shared" ref="M66:M129" si="22">+H66*L66</f>
        <v>4135.2213127413124</v>
      </c>
      <c r="N66" s="305">
        <f>IF(G66=0,0,(IF(OR(E66=$AT$5,E66=$AT$6),AC66,HLOOKUP(YEAR(G66)+(MONTH(G66)/100),TC!$5:$37,DAY(G66)+2,FALSE))))</f>
        <v>24.3812</v>
      </c>
      <c r="O66" s="307">
        <f t="shared" si="11"/>
        <v>100821.65787020848</v>
      </c>
      <c r="P66" s="552">
        <f>IF(G66=0,0,VLOOKUP(YEAR(G66),INPC!$B$4:$P$30,MONTH(G66)+2))</f>
        <v>106.16200000000001</v>
      </c>
      <c r="Q66" s="552">
        <f>IF(X66=0,0,IF(OR(E66=$AT$10,E66=$AT$9),VLOOKUP(YEAR(X66),INPC!$B$4:$P$30,MONTH(X66)+1),VLOOKUP(YEAR(X66),INPC!$B$4:$P$30,MONTH(X66)+2,0)))</f>
        <v>120.15900000000001</v>
      </c>
      <c r="R66" s="309">
        <f t="shared" ref="R66:R129" si="23">IF(H66=0,0,IF(OR(E66=$AT$5,E66=$AT$6),1,IF(TRUNC(Q66/P66,4)&gt;=1,TRUNC(Q66/P66,4),1)))</f>
        <v>1.1317999999999999</v>
      </c>
      <c r="S66" s="310">
        <f t="shared" si="12"/>
        <v>114109.95237750195</v>
      </c>
      <c r="T66" s="547">
        <f t="shared" si="13"/>
        <v>6339.4417987501083</v>
      </c>
      <c r="U66" s="311"/>
      <c r="V66" s="312">
        <v>18</v>
      </c>
      <c r="W66" s="299" t="s">
        <v>194</v>
      </c>
      <c r="X66" s="300">
        <v>44671</v>
      </c>
      <c r="Y66" s="299" t="s">
        <v>59</v>
      </c>
      <c r="Z66" s="303">
        <v>4394.58</v>
      </c>
      <c r="AA66" s="305">
        <f>IF(Z66=0,0,IF(Y66="MXN",1/HLOOKUP(YEAR(X66)+(MONTH(X66)/100),TC!$5:$37,DAY(X66)+2,FALSE),VLOOKUP(Y66,Equivalencia!$1:$23,((MAX(Equivalencia!$3:$3)-YEAR(X66))*14)+MONTH(X66)+2,FALSE)))</f>
        <v>1</v>
      </c>
      <c r="AB66" s="306">
        <f t="shared" si="14"/>
        <v>4394.58</v>
      </c>
      <c r="AC66" s="305">
        <f>+IF(X66=0,0,HLOOKUP(YEAR(X66)+(MONTH(X66)/100),TC!$5:$37,DAY(X66)+2,FALSE))</f>
        <v>19.9377</v>
      </c>
      <c r="AD66" s="307">
        <f t="shared" si="15"/>
        <v>87617.817666000003</v>
      </c>
      <c r="AE66" s="314">
        <f t="shared" ref="AE66:AE129" si="24">+V66*T66</f>
        <v>114109.95237750195</v>
      </c>
      <c r="AF66" s="315">
        <f t="shared" ref="AF66:AF129" si="25">IF(E66=$AT$11,0,AD66-AE66)</f>
        <v>-26492.134711501945</v>
      </c>
      <c r="AG66" s="316">
        <f t="shared" ref="AG66:AG129" si="26">+IF(AND(AF66&lt;0,OR(E66=$AT$5,E66=$AT$6)),1,((X66-G66)/365))</f>
        <v>1.9561643835616438</v>
      </c>
      <c r="AH66" s="314">
        <v>1</v>
      </c>
      <c r="AI66" s="314">
        <f t="shared" ref="AI66:AI129" si="27">+IF(OR(E66=$AT$9,E66=$AT$10),AF66,+AF66/AH66)</f>
        <v>-26492.134711501945</v>
      </c>
      <c r="AJ66" s="314">
        <f t="shared" si="16"/>
        <v>0</v>
      </c>
      <c r="AK66" s="317"/>
      <c r="AL66" s="315">
        <f t="shared" ref="AL66:AL129" si="28">+AB66-M66</f>
        <v>259.3586872586875</v>
      </c>
      <c r="AN66" s="546">
        <f t="shared" ref="AN66:AN129" si="29">IF(AL66=0,0,AL66/H66)</f>
        <v>6.2719421197496669E-2</v>
      </c>
      <c r="AO66" s="314"/>
      <c r="AP66" s="318"/>
    </row>
    <row r="67" spans="2:42">
      <c r="B67" s="296" t="s">
        <v>953</v>
      </c>
      <c r="C67" s="299" t="s">
        <v>276</v>
      </c>
      <c r="D67" s="298" t="s">
        <v>708</v>
      </c>
      <c r="E67" s="299" t="s">
        <v>113</v>
      </c>
      <c r="F67" s="299" t="s">
        <v>59</v>
      </c>
      <c r="G67" s="300">
        <v>43957</v>
      </c>
      <c r="H67" s="303">
        <v>51001.062857142853</v>
      </c>
      <c r="I67" s="301" t="str">
        <f t="shared" si="20"/>
        <v>Ingresos Sección II LISR (SIC &amp; BMV)</v>
      </c>
      <c r="J67" s="302">
        <f t="shared" ref="J67:J130" si="30">+V67</f>
        <v>222</v>
      </c>
      <c r="K67" s="304">
        <f t="shared" si="21"/>
        <v>229.73451737451737</v>
      </c>
      <c r="L67" s="305">
        <f>IF(H67=0,0,IF(OR(E67=$AT$5,E67=$AT$6),AA67,IF(F67="MXN",1/HLOOKUP(YEAR(G67)+(MONTH(G67)/100),TC!$5:$37,DAY(G67)+2,FALSE),VLOOKUP(F67,Equivalencia!$5:$23,((MAX(Equivalencia!$3:$3)-YEAR(G67))*14)+MONTH(G67)+2,FALSE))))</f>
        <v>1</v>
      </c>
      <c r="M67" s="306">
        <f t="shared" si="22"/>
        <v>51001.062857142853</v>
      </c>
      <c r="N67" s="305">
        <f>IF(G67=0,0,(IF(OR(E67=$AT$5,E67=$AT$6),AC67,HLOOKUP(YEAR(G67)+(MONTH(G67)/100),TC!$5:$37,DAY(G67)+2,FALSE))))</f>
        <v>24.3812</v>
      </c>
      <c r="O67" s="307">
        <f t="shared" ref="O67:O130" si="31">+M67*N67</f>
        <v>1243467.1137325712</v>
      </c>
      <c r="P67" s="552">
        <f>IF(G67=0,0,VLOOKUP(YEAR(G67),INPC!$B$4:$P$30,MONTH(G67)+2))</f>
        <v>106.16200000000001</v>
      </c>
      <c r="Q67" s="552">
        <f>IF(X67=0,0,IF(OR(E67=$AT$10,E67=$AT$9),VLOOKUP(YEAR(X67),INPC!$B$4:$P$30,MONTH(X67)+1),VLOOKUP(YEAR(X67),INPC!$B$4:$P$30,MONTH(X67)+2,0)))</f>
        <v>122.044</v>
      </c>
      <c r="R67" s="309">
        <f t="shared" si="23"/>
        <v>1.1496</v>
      </c>
      <c r="S67" s="310">
        <f t="shared" ref="S67:S130" si="32">+R67*O67</f>
        <v>1429489.7939469637</v>
      </c>
      <c r="T67" s="547">
        <f t="shared" ref="T67:T130" si="33">IF(V67=0,0,S67/V67)</f>
        <v>6439.143215977314</v>
      </c>
      <c r="U67" s="311"/>
      <c r="V67" s="312">
        <v>222</v>
      </c>
      <c r="W67" s="299" t="s">
        <v>194</v>
      </c>
      <c r="X67" s="300">
        <v>44769</v>
      </c>
      <c r="Y67" s="299" t="s">
        <v>59</v>
      </c>
      <c r="Z67" s="303">
        <v>53180.768475836434</v>
      </c>
      <c r="AA67" s="305">
        <f>IF(Z67=0,0,IF(Y67="MXN",1/HLOOKUP(YEAR(X67)+(MONTH(X67)/100),TC!$5:$37,DAY(X67)+2,FALSE),VLOOKUP(Y67,Equivalencia!$1:$23,((MAX(Equivalencia!$3:$3)-YEAR(X67))*14)+MONTH(X67)+2,FALSE)))</f>
        <v>1</v>
      </c>
      <c r="AB67" s="306">
        <f t="shared" ref="AB67:AB130" si="34">+AA67*Z67</f>
        <v>53180.768475836434</v>
      </c>
      <c r="AC67" s="305">
        <f>+IF(X67=0,0,HLOOKUP(YEAR(X67)+(MONTH(X67)/100),TC!$5:$37,DAY(X67)+2,FALSE))</f>
        <v>20.465199999999999</v>
      </c>
      <c r="AD67" s="307">
        <f t="shared" ref="AD67:AD130" si="35">+AC67*AB67</f>
        <v>1088355.0630116877</v>
      </c>
      <c r="AE67" s="314">
        <f t="shared" si="24"/>
        <v>1429489.7939469637</v>
      </c>
      <c r="AF67" s="315">
        <f t="shared" si="25"/>
        <v>-341134.73093527602</v>
      </c>
      <c r="AG67" s="316">
        <f t="shared" si="26"/>
        <v>2.2246575342465755</v>
      </c>
      <c r="AH67" s="314">
        <v>1</v>
      </c>
      <c r="AI67" s="314">
        <f t="shared" si="27"/>
        <v>-341134.73093527602</v>
      </c>
      <c r="AJ67" s="314">
        <f t="shared" ref="AJ67:AJ130" si="36">+AF67-AI67</f>
        <v>0</v>
      </c>
      <c r="AK67" s="317"/>
      <c r="AL67" s="315">
        <f t="shared" si="28"/>
        <v>2179.7056186935806</v>
      </c>
      <c r="AN67" s="546">
        <f t="shared" si="29"/>
        <v>4.2738435173382001E-2</v>
      </c>
      <c r="AO67" s="314"/>
      <c r="AP67" s="318"/>
    </row>
    <row r="68" spans="2:42">
      <c r="B68" s="296" t="s">
        <v>953</v>
      </c>
      <c r="C68" s="299" t="s">
        <v>276</v>
      </c>
      <c r="D68" s="298" t="s">
        <v>708</v>
      </c>
      <c r="E68" s="299" t="s">
        <v>113</v>
      </c>
      <c r="F68" s="299" t="s">
        <v>59</v>
      </c>
      <c r="G68" s="300">
        <v>43985</v>
      </c>
      <c r="H68" s="303">
        <v>2766.38</v>
      </c>
      <c r="I68" s="301" t="str">
        <f t="shared" si="20"/>
        <v>Ingresos Sección II LISR (SIC &amp; BMV)</v>
      </c>
      <c r="J68" s="302">
        <f t="shared" si="30"/>
        <v>12</v>
      </c>
      <c r="K68" s="304">
        <f t="shared" si="21"/>
        <v>230.53166666666667</v>
      </c>
      <c r="L68" s="305">
        <f>IF(H68=0,0,IF(OR(E68=$AT$5,E68=$AT$6),AA68,IF(F68="MXN",1/HLOOKUP(YEAR(G68)+(MONTH(G68)/100),TC!$5:$37,DAY(G68)+2,FALSE),VLOOKUP(F68,Equivalencia!$5:$23,((MAX(Equivalencia!$3:$3)-YEAR(G68))*14)+MONTH(G68)+2,FALSE))))</f>
        <v>1</v>
      </c>
      <c r="M68" s="306">
        <f t="shared" si="22"/>
        <v>2766.38</v>
      </c>
      <c r="N68" s="305">
        <f>IF(G68=0,0,(IF(OR(E68=$AT$5,E68=$AT$6),AC68,HLOOKUP(YEAR(G68)+(MONTH(G68)/100),TC!$5:$37,DAY(G68)+2,FALSE))))</f>
        <v>22.0168</v>
      </c>
      <c r="O68" s="307">
        <f t="shared" si="31"/>
        <v>60906.835184000003</v>
      </c>
      <c r="P68" s="552">
        <f>IF(G68=0,0,VLOOKUP(YEAR(G68),INPC!$B$4:$P$30,MONTH(G68)+2))</f>
        <v>106.74299999999999</v>
      </c>
      <c r="Q68" s="552">
        <f>IF(X68=0,0,IF(OR(E68=$AT$10,E68=$AT$9),VLOOKUP(YEAR(X68),INPC!$B$4:$P$30,MONTH(X68)+1),VLOOKUP(YEAR(X68),INPC!$B$4:$P$30,MONTH(X68)+2,0)))</f>
        <v>122.044</v>
      </c>
      <c r="R68" s="309">
        <f t="shared" si="23"/>
        <v>1.1433</v>
      </c>
      <c r="S68" s="310">
        <f t="shared" si="32"/>
        <v>69634.784665867206</v>
      </c>
      <c r="T68" s="547">
        <f t="shared" si="33"/>
        <v>5802.8987221556008</v>
      </c>
      <c r="U68" s="311"/>
      <c r="V68" s="312">
        <v>12</v>
      </c>
      <c r="W68" s="299" t="s">
        <v>194</v>
      </c>
      <c r="X68" s="300">
        <v>44769</v>
      </c>
      <c r="Y68" s="299" t="s">
        <v>59</v>
      </c>
      <c r="Z68" s="303">
        <v>2874.6361338289962</v>
      </c>
      <c r="AA68" s="305">
        <f>IF(Z68=0,0,IF(Y68="MXN",1/HLOOKUP(YEAR(X68)+(MONTH(X68)/100),TC!$5:$37,DAY(X68)+2,FALSE),VLOOKUP(Y68,Equivalencia!$1:$23,((MAX(Equivalencia!$3:$3)-YEAR(X68))*14)+MONTH(X68)+2,FALSE)))</f>
        <v>1</v>
      </c>
      <c r="AB68" s="306">
        <f t="shared" si="34"/>
        <v>2874.6361338289962</v>
      </c>
      <c r="AC68" s="305">
        <f>+IF(X68=0,0,HLOOKUP(YEAR(X68)+(MONTH(X68)/100),TC!$5:$37,DAY(X68)+2,FALSE))</f>
        <v>20.465199999999999</v>
      </c>
      <c r="AD68" s="307">
        <f t="shared" si="35"/>
        <v>58830.003406037169</v>
      </c>
      <c r="AE68" s="314">
        <f t="shared" si="24"/>
        <v>69634.784665867206</v>
      </c>
      <c r="AF68" s="315">
        <f t="shared" si="25"/>
        <v>-10804.781259830037</v>
      </c>
      <c r="AG68" s="316">
        <f t="shared" si="26"/>
        <v>2.1479452054794521</v>
      </c>
      <c r="AH68" s="314">
        <v>1</v>
      </c>
      <c r="AI68" s="314">
        <f t="shared" si="27"/>
        <v>-10804.781259830037</v>
      </c>
      <c r="AJ68" s="314">
        <f t="shared" si="36"/>
        <v>0</v>
      </c>
      <c r="AK68" s="317"/>
      <c r="AL68" s="315">
        <f t="shared" si="28"/>
        <v>108.2561338289961</v>
      </c>
      <c r="AN68" s="546">
        <f t="shared" si="29"/>
        <v>3.9132777792275864E-2</v>
      </c>
      <c r="AO68" s="314"/>
      <c r="AP68" s="318"/>
    </row>
    <row r="69" spans="2:42">
      <c r="B69" s="296" t="s">
        <v>953</v>
      </c>
      <c r="C69" s="299" t="s">
        <v>276</v>
      </c>
      <c r="D69" s="298" t="s">
        <v>708</v>
      </c>
      <c r="E69" s="299" t="s">
        <v>113</v>
      </c>
      <c r="F69" s="299" t="s">
        <v>59</v>
      </c>
      <c r="G69" s="300">
        <v>44118</v>
      </c>
      <c r="H69" s="303">
        <v>2654.98</v>
      </c>
      <c r="I69" s="301" t="str">
        <f t="shared" si="20"/>
        <v>Ingresos Sección II LISR (SIC &amp; BMV)</v>
      </c>
      <c r="J69" s="302">
        <f t="shared" si="30"/>
        <v>11</v>
      </c>
      <c r="K69" s="304">
        <f t="shared" si="21"/>
        <v>241.36181818181819</v>
      </c>
      <c r="L69" s="305">
        <f>IF(H69=0,0,IF(OR(E69=$AT$5,E69=$AT$6),AA69,IF(F69="MXN",1/HLOOKUP(YEAR(G69)+(MONTH(G69)/100),TC!$5:$37,DAY(G69)+2,FALSE),VLOOKUP(F69,Equivalencia!$5:$23,((MAX(Equivalencia!$3:$3)-YEAR(G69))*14)+MONTH(G69)+2,FALSE))))</f>
        <v>1</v>
      </c>
      <c r="M69" s="306">
        <f t="shared" si="22"/>
        <v>2654.98</v>
      </c>
      <c r="N69" s="305">
        <f>IF(G69=0,0,(IF(OR(E69=$AT$5,E69=$AT$6),AC69,HLOOKUP(YEAR(G69)+(MONTH(G69)/100),TC!$5:$37,DAY(G69)+2,FALSE))))</f>
        <v>21.218299999999999</v>
      </c>
      <c r="O69" s="307">
        <f t="shared" si="31"/>
        <v>56334.162133999998</v>
      </c>
      <c r="P69" s="552">
        <f>IF(G69=0,0,VLOOKUP(YEAR(G69),INPC!$B$4:$P$30,MONTH(G69)+2))</f>
        <v>108.774</v>
      </c>
      <c r="Q69" s="552">
        <f>IF(X69=0,0,IF(OR(E69=$AT$10,E69=$AT$9),VLOOKUP(YEAR(X69),INPC!$B$4:$P$30,MONTH(X69)+1),VLOOKUP(YEAR(X69),INPC!$B$4:$P$30,MONTH(X69)+2,0)))</f>
        <v>122.044</v>
      </c>
      <c r="R69" s="309">
        <f t="shared" si="23"/>
        <v>1.1218999999999999</v>
      </c>
      <c r="S69" s="310">
        <f t="shared" si="32"/>
        <v>63201.296498134594</v>
      </c>
      <c r="T69" s="547">
        <f t="shared" si="33"/>
        <v>5745.5724089213263</v>
      </c>
      <c r="U69" s="311"/>
      <c r="V69" s="312">
        <v>11</v>
      </c>
      <c r="W69" s="299" t="s">
        <v>194</v>
      </c>
      <c r="X69" s="300">
        <v>44769</v>
      </c>
      <c r="Y69" s="299" t="s">
        <v>59</v>
      </c>
      <c r="Z69" s="303">
        <v>2635.0831226765799</v>
      </c>
      <c r="AA69" s="305">
        <f>IF(Z69=0,0,IF(Y69="MXN",1/HLOOKUP(YEAR(X69)+(MONTH(X69)/100),TC!$5:$37,DAY(X69)+2,FALSE),VLOOKUP(Y69,Equivalencia!$1:$23,((MAX(Equivalencia!$3:$3)-YEAR(X69))*14)+MONTH(X69)+2,FALSE)))</f>
        <v>1</v>
      </c>
      <c r="AB69" s="306">
        <f t="shared" si="34"/>
        <v>2635.0831226765799</v>
      </c>
      <c r="AC69" s="305">
        <f>+IF(X69=0,0,HLOOKUP(YEAR(X69)+(MONTH(X69)/100),TC!$5:$37,DAY(X69)+2,FALSE))</f>
        <v>20.465199999999999</v>
      </c>
      <c r="AD69" s="307">
        <f t="shared" si="35"/>
        <v>53927.503122200746</v>
      </c>
      <c r="AE69" s="314">
        <f t="shared" si="24"/>
        <v>63201.296498134587</v>
      </c>
      <c r="AF69" s="315">
        <f t="shared" si="25"/>
        <v>-9273.7933759338412</v>
      </c>
      <c r="AG69" s="316">
        <f t="shared" si="26"/>
        <v>1.7835616438356163</v>
      </c>
      <c r="AH69" s="314">
        <v>1</v>
      </c>
      <c r="AI69" s="314">
        <f t="shared" si="27"/>
        <v>-9273.7933759338412</v>
      </c>
      <c r="AJ69" s="314">
        <f t="shared" si="36"/>
        <v>0</v>
      </c>
      <c r="AK69" s="317"/>
      <c r="AL69" s="315">
        <f t="shared" si="28"/>
        <v>-19.896877323420085</v>
      </c>
      <c r="AN69" s="546">
        <f t="shared" si="29"/>
        <v>-7.4941722059752181E-3</v>
      </c>
      <c r="AO69" s="314"/>
      <c r="AP69" s="318"/>
    </row>
    <row r="70" spans="2:42">
      <c r="B70" s="296" t="s">
        <v>953</v>
      </c>
      <c r="C70" s="299" t="s">
        <v>276</v>
      </c>
      <c r="D70" s="298" t="s">
        <v>708</v>
      </c>
      <c r="E70" s="299" t="s">
        <v>113</v>
      </c>
      <c r="F70" s="299" t="s">
        <v>59</v>
      </c>
      <c r="G70" s="300">
        <v>44158</v>
      </c>
      <c r="H70" s="303">
        <v>2162.4899999999998</v>
      </c>
      <c r="I70" s="301" t="str">
        <f t="shared" si="20"/>
        <v>Ingresos Sección II LISR (SIC &amp; BMV)</v>
      </c>
      <c r="J70" s="302">
        <f t="shared" si="30"/>
        <v>9</v>
      </c>
      <c r="K70" s="304">
        <f t="shared" si="21"/>
        <v>240.27666666666664</v>
      </c>
      <c r="L70" s="305">
        <f>IF(H70=0,0,IF(OR(E70=$AT$5,E70=$AT$6),AA70,IF(F70="MXN",1/HLOOKUP(YEAR(G70)+(MONTH(G70)/100),TC!$5:$37,DAY(G70)+2,FALSE),VLOOKUP(F70,Equivalencia!$5:$23,((MAX(Equivalencia!$3:$3)-YEAR(G70))*14)+MONTH(G70)+2,FALSE))))</f>
        <v>1</v>
      </c>
      <c r="M70" s="306">
        <f t="shared" si="22"/>
        <v>2162.4899999999998</v>
      </c>
      <c r="N70" s="305">
        <f>IF(G70=0,0,(IF(OR(E70=$AT$5,E70=$AT$6),AC70,HLOOKUP(YEAR(G70)+(MONTH(G70)/100),TC!$5:$37,DAY(G70)+2,FALSE))))</f>
        <v>20.1858</v>
      </c>
      <c r="O70" s="307">
        <f t="shared" si="31"/>
        <v>43651.590641999996</v>
      </c>
      <c r="P70" s="552">
        <f>IF(G70=0,0,VLOOKUP(YEAR(G70),INPC!$B$4:$P$30,MONTH(G70)+2))</f>
        <v>108.85599999999999</v>
      </c>
      <c r="Q70" s="552">
        <f>IF(X70=0,0,IF(OR(E70=$AT$10,E70=$AT$9),VLOOKUP(YEAR(X70),INPC!$B$4:$P$30,MONTH(X70)+1),VLOOKUP(YEAR(X70),INPC!$B$4:$P$30,MONTH(X70)+2,0)))</f>
        <v>122.044</v>
      </c>
      <c r="R70" s="309">
        <f t="shared" si="23"/>
        <v>1.1211</v>
      </c>
      <c r="S70" s="310">
        <f t="shared" si="32"/>
        <v>48937.798268746192</v>
      </c>
      <c r="T70" s="547">
        <f t="shared" si="33"/>
        <v>5437.5331409717992</v>
      </c>
      <c r="U70" s="311"/>
      <c r="V70" s="312">
        <v>9</v>
      </c>
      <c r="W70" s="299" t="s">
        <v>194</v>
      </c>
      <c r="X70" s="300">
        <v>44769</v>
      </c>
      <c r="Y70" s="299" t="s">
        <v>59</v>
      </c>
      <c r="Z70" s="303">
        <v>2155.9771003717474</v>
      </c>
      <c r="AA70" s="305">
        <f>IF(Z70=0,0,IF(Y70="MXN",1/HLOOKUP(YEAR(X70)+(MONTH(X70)/100),TC!$5:$37,DAY(X70)+2,FALSE),VLOOKUP(Y70,Equivalencia!$1:$23,((MAX(Equivalencia!$3:$3)-YEAR(X70))*14)+MONTH(X70)+2,FALSE)))</f>
        <v>1</v>
      </c>
      <c r="AB70" s="306">
        <f t="shared" si="34"/>
        <v>2155.9771003717474</v>
      </c>
      <c r="AC70" s="305">
        <f>+IF(X70=0,0,HLOOKUP(YEAR(X70)+(MONTH(X70)/100),TC!$5:$37,DAY(X70)+2,FALSE))</f>
        <v>20.465199999999999</v>
      </c>
      <c r="AD70" s="307">
        <f t="shared" si="35"/>
        <v>44122.502554527884</v>
      </c>
      <c r="AE70" s="314">
        <f t="shared" si="24"/>
        <v>48937.798268746192</v>
      </c>
      <c r="AF70" s="315">
        <f t="shared" si="25"/>
        <v>-4815.2957142183077</v>
      </c>
      <c r="AG70" s="316">
        <f t="shared" si="26"/>
        <v>1.6739726027397259</v>
      </c>
      <c r="AH70" s="314">
        <v>1</v>
      </c>
      <c r="AI70" s="314">
        <f t="shared" si="27"/>
        <v>-4815.2957142183077</v>
      </c>
      <c r="AJ70" s="314">
        <f t="shared" si="36"/>
        <v>0</v>
      </c>
      <c r="AK70" s="317"/>
      <c r="AL70" s="315">
        <f t="shared" si="28"/>
        <v>-6.5128996282523985</v>
      </c>
      <c r="AN70" s="546">
        <f t="shared" si="29"/>
        <v>-3.0117594200446702E-3</v>
      </c>
      <c r="AO70" s="314"/>
      <c r="AP70" s="318"/>
    </row>
    <row r="71" spans="2:42">
      <c r="B71" s="296" t="s">
        <v>953</v>
      </c>
      <c r="C71" s="299" t="s">
        <v>276</v>
      </c>
      <c r="D71" s="298" t="s">
        <v>708</v>
      </c>
      <c r="E71" s="299" t="s">
        <v>113</v>
      </c>
      <c r="F71" s="299" t="s">
        <v>59</v>
      </c>
      <c r="G71" s="300">
        <v>44218</v>
      </c>
      <c r="H71" s="303">
        <v>3672.9839869281045</v>
      </c>
      <c r="I71" s="301" t="str">
        <f t="shared" si="20"/>
        <v>Ingresos Sección II LISR (SIC &amp; BMV)</v>
      </c>
      <c r="J71" s="302">
        <f t="shared" si="30"/>
        <v>15</v>
      </c>
      <c r="K71" s="304">
        <f t="shared" si="21"/>
        <v>244.86559912854031</v>
      </c>
      <c r="L71" s="305">
        <f>IF(H71=0,0,IF(OR(E71=$AT$5,E71=$AT$6),AA71,IF(F71="MXN",1/HLOOKUP(YEAR(G71)+(MONTH(G71)/100),TC!$5:$37,DAY(G71)+2,FALSE),VLOOKUP(F71,Equivalencia!$5:$23,((MAX(Equivalencia!$3:$3)-YEAR(G71))*14)+MONTH(G71)+2,FALSE))))</f>
        <v>1</v>
      </c>
      <c r="M71" s="306">
        <f t="shared" si="22"/>
        <v>3672.9839869281045</v>
      </c>
      <c r="N71" s="305">
        <f>IF(G71=0,0,(IF(OR(E71=$AT$5,E71=$AT$6),AC71,HLOOKUP(YEAR(G71)+(MONTH(G71)/100),TC!$5:$37,DAY(G71)+2,FALSE))))</f>
        <v>19.5793</v>
      </c>
      <c r="O71" s="307">
        <f t="shared" si="31"/>
        <v>71914.45537526143</v>
      </c>
      <c r="P71" s="552">
        <f>IF(G71=0,0,VLOOKUP(YEAR(G71),INPC!$B$4:$P$30,MONTH(G71)+2))</f>
        <v>110.21</v>
      </c>
      <c r="Q71" s="552">
        <f>IF(X71=0,0,IF(OR(E71=$AT$10,E71=$AT$9),VLOOKUP(YEAR(X71),INPC!$B$4:$P$30,MONTH(X71)+1),VLOOKUP(YEAR(X71),INPC!$B$4:$P$30,MONTH(X71)+2,0)))</f>
        <v>122.044</v>
      </c>
      <c r="R71" s="309">
        <f t="shared" si="23"/>
        <v>1.1073</v>
      </c>
      <c r="S71" s="310">
        <f t="shared" si="32"/>
        <v>79630.876437026978</v>
      </c>
      <c r="T71" s="547">
        <f t="shared" si="33"/>
        <v>5308.7250958017985</v>
      </c>
      <c r="U71" s="311"/>
      <c r="V71" s="312">
        <v>15</v>
      </c>
      <c r="W71" s="299" t="s">
        <v>194</v>
      </c>
      <c r="X71" s="300">
        <v>44769</v>
      </c>
      <c r="Y71" s="299" t="s">
        <v>59</v>
      </c>
      <c r="Z71" s="303">
        <v>3593.2951672862455</v>
      </c>
      <c r="AA71" s="305">
        <f>IF(Z71=0,0,IF(Y71="MXN",1/HLOOKUP(YEAR(X71)+(MONTH(X71)/100),TC!$5:$37,DAY(X71)+2,FALSE),VLOOKUP(Y71,Equivalencia!$1:$23,((MAX(Equivalencia!$3:$3)-YEAR(X71))*14)+MONTH(X71)+2,FALSE)))</f>
        <v>1</v>
      </c>
      <c r="AB71" s="306">
        <f t="shared" si="34"/>
        <v>3593.2951672862455</v>
      </c>
      <c r="AC71" s="305">
        <f>+IF(X71=0,0,HLOOKUP(YEAR(X71)+(MONTH(X71)/100),TC!$5:$37,DAY(X71)+2,FALSE))</f>
        <v>20.465199999999999</v>
      </c>
      <c r="AD71" s="307">
        <f t="shared" si="35"/>
        <v>73537.504257546476</v>
      </c>
      <c r="AE71" s="314">
        <f t="shared" si="24"/>
        <v>79630.876437026978</v>
      </c>
      <c r="AF71" s="315">
        <f t="shared" si="25"/>
        <v>-6093.3721794805024</v>
      </c>
      <c r="AG71" s="316">
        <f t="shared" si="26"/>
        <v>1.5095890410958903</v>
      </c>
      <c r="AH71" s="314">
        <v>1</v>
      </c>
      <c r="AI71" s="314">
        <f t="shared" si="27"/>
        <v>-6093.3721794805024</v>
      </c>
      <c r="AJ71" s="314">
        <f t="shared" si="36"/>
        <v>0</v>
      </c>
      <c r="AK71" s="317"/>
      <c r="AL71" s="315">
        <f t="shared" si="28"/>
        <v>-79.688819641859027</v>
      </c>
      <c r="AN71" s="546">
        <f t="shared" si="29"/>
        <v>-2.1695934402509245E-2</v>
      </c>
      <c r="AO71" s="314"/>
      <c r="AP71" s="318"/>
    </row>
    <row r="72" spans="2:42">
      <c r="B72" s="296" t="s">
        <v>953</v>
      </c>
      <c r="C72" s="299" t="s">
        <v>276</v>
      </c>
      <c r="D72" s="298" t="s">
        <v>710</v>
      </c>
      <c r="E72" s="299" t="s">
        <v>113</v>
      </c>
      <c r="F72" s="299" t="s">
        <v>59</v>
      </c>
      <c r="G72" s="300">
        <v>44293</v>
      </c>
      <c r="H72" s="303">
        <v>82989.573263157887</v>
      </c>
      <c r="I72" s="301" t="str">
        <f t="shared" si="20"/>
        <v>Ingresos Sección II LISR (SIC &amp; BMV)</v>
      </c>
      <c r="J72" s="302">
        <f t="shared" si="30"/>
        <v>15272</v>
      </c>
      <c r="K72" s="304">
        <f t="shared" si="21"/>
        <v>5.4340998731769172</v>
      </c>
      <c r="L72" s="305">
        <f>IF(H72=0,0,IF(OR(E72=$AT$5,E72=$AT$6),AA72,IF(F72="MXN",1/HLOOKUP(YEAR(G72)+(MONTH(G72)/100),TC!$5:$37,DAY(G72)+2,FALSE),VLOOKUP(F72,Equivalencia!$5:$23,((MAX(Equivalencia!$3:$3)-YEAR(G72))*14)+MONTH(G72)+2,FALSE))))</f>
        <v>1</v>
      </c>
      <c r="M72" s="306">
        <f t="shared" si="22"/>
        <v>82989.573263157887</v>
      </c>
      <c r="N72" s="305">
        <f>IF(G72=0,0,(IF(OR(E72=$AT$5,E72=$AT$6),AC72,HLOOKUP(YEAR(G72)+(MONTH(G72)/100),TC!$5:$37,DAY(G72)+2,FALSE))))</f>
        <v>20.2483</v>
      </c>
      <c r="O72" s="307">
        <f t="shared" si="31"/>
        <v>1680397.7763043998</v>
      </c>
      <c r="P72" s="552">
        <f>IF(G72=0,0,VLOOKUP(YEAR(G72),INPC!$B$4:$P$30,MONTH(G72)+2))</f>
        <v>112.19</v>
      </c>
      <c r="Q72" s="552">
        <f>IF(X72=0,0,IF(OR(E72=$AT$10,E72=$AT$9),VLOOKUP(YEAR(X72),INPC!$B$4:$P$30,MONTH(X72)+1),VLOOKUP(YEAR(X72),INPC!$B$4:$P$30,MONTH(X72)+2,0)))</f>
        <v>122.044</v>
      </c>
      <c r="R72" s="309">
        <f t="shared" si="23"/>
        <v>1.0878000000000001</v>
      </c>
      <c r="S72" s="310">
        <f t="shared" si="32"/>
        <v>1827936.7010639263</v>
      </c>
      <c r="T72" s="547">
        <f t="shared" si="33"/>
        <v>119.69203123781602</v>
      </c>
      <c r="U72" s="311"/>
      <c r="V72" s="312">
        <v>15272</v>
      </c>
      <c r="W72" s="299" t="s">
        <v>194</v>
      </c>
      <c r="X72" s="300">
        <v>44769</v>
      </c>
      <c r="Y72" s="299" t="s">
        <v>59</v>
      </c>
      <c r="Z72" s="303">
        <v>92485.7</v>
      </c>
      <c r="AA72" s="305">
        <f>IF(Z72=0,0,IF(Y72="MXN",1/HLOOKUP(YEAR(X72)+(MONTH(X72)/100),TC!$5:$37,DAY(X72)+2,FALSE),VLOOKUP(Y72,Equivalencia!$1:$23,((MAX(Equivalencia!$3:$3)-YEAR(X72))*14)+MONTH(X72)+2,FALSE)))</f>
        <v>1</v>
      </c>
      <c r="AB72" s="306">
        <f t="shared" si="34"/>
        <v>92485.7</v>
      </c>
      <c r="AC72" s="305">
        <f>+IF(X72=0,0,HLOOKUP(YEAR(X72)+(MONTH(X72)/100),TC!$5:$37,DAY(X72)+2,FALSE))</f>
        <v>20.465199999999999</v>
      </c>
      <c r="AD72" s="307">
        <f t="shared" si="35"/>
        <v>1892738.3476399998</v>
      </c>
      <c r="AE72" s="314">
        <f t="shared" si="24"/>
        <v>1827936.7010639263</v>
      </c>
      <c r="AF72" s="315">
        <f t="shared" si="25"/>
        <v>64801.646576073486</v>
      </c>
      <c r="AG72" s="316">
        <f t="shared" si="26"/>
        <v>1.3041095890410959</v>
      </c>
      <c r="AH72" s="314">
        <v>1</v>
      </c>
      <c r="AI72" s="314">
        <f t="shared" si="27"/>
        <v>64801.646576073486</v>
      </c>
      <c r="AJ72" s="314">
        <f t="shared" si="36"/>
        <v>0</v>
      </c>
      <c r="AK72" s="317"/>
      <c r="AL72" s="315">
        <f t="shared" si="28"/>
        <v>9496.1267368421104</v>
      </c>
      <c r="AN72" s="546">
        <f t="shared" si="29"/>
        <v>0.11442554002211973</v>
      </c>
      <c r="AO72" s="314"/>
      <c r="AP72" s="318"/>
    </row>
    <row r="73" spans="2:42">
      <c r="B73" s="296" t="s">
        <v>953</v>
      </c>
      <c r="C73" s="299" t="s">
        <v>276</v>
      </c>
      <c r="D73" s="298" t="s">
        <v>711</v>
      </c>
      <c r="E73" s="299" t="s">
        <v>113</v>
      </c>
      <c r="F73" s="299" t="s">
        <v>59</v>
      </c>
      <c r="G73" s="300">
        <v>44231</v>
      </c>
      <c r="H73" s="303">
        <v>131938.98340886761</v>
      </c>
      <c r="I73" s="301" t="str">
        <f t="shared" si="20"/>
        <v>Ingresos Sección II LISR (SIC &amp; BMV)</v>
      </c>
      <c r="J73" s="302">
        <f t="shared" si="30"/>
        <v>22473</v>
      </c>
      <c r="K73" s="304">
        <f t="shared" si="21"/>
        <v>5.8710000181937261</v>
      </c>
      <c r="L73" s="305">
        <f>IF(H73=0,0,IF(OR(E73=$AT$5,E73=$AT$6),AA73,IF(F73="MXN",1/HLOOKUP(YEAR(G73)+(MONTH(G73)/100),TC!$5:$37,DAY(G73)+2,FALSE),VLOOKUP(F73,Equivalencia!$5:$23,((MAX(Equivalencia!$3:$3)-YEAR(G73))*14)+MONTH(G73)+2,FALSE))))</f>
        <v>1</v>
      </c>
      <c r="M73" s="306">
        <f t="shared" si="22"/>
        <v>131938.98340886761</v>
      </c>
      <c r="N73" s="305">
        <f>IF(G73=0,0,(IF(OR(E73=$AT$5,E73=$AT$6),AC73,HLOOKUP(YEAR(G73)+(MONTH(G73)/100),TC!$5:$37,DAY(G73)+2,FALSE))))</f>
        <v>20.1722</v>
      </c>
      <c r="O73" s="307">
        <f t="shared" si="31"/>
        <v>2661499.5611203592</v>
      </c>
      <c r="P73" s="552">
        <f>IF(G73=0,0,VLOOKUP(YEAR(G73),INPC!$B$4:$P$30,MONTH(G73)+2))</f>
        <v>110.907</v>
      </c>
      <c r="Q73" s="552">
        <f>IF(X73=0,0,IF(OR(E73=$AT$10,E73=$AT$9),VLOOKUP(YEAR(X73),INPC!$B$4:$P$30,MONTH(X73)+1),VLOOKUP(YEAR(X73),INPC!$B$4:$P$30,MONTH(X73)+2,0)))</f>
        <v>122.044</v>
      </c>
      <c r="R73" s="309">
        <f t="shared" si="23"/>
        <v>1.1004</v>
      </c>
      <c r="S73" s="310">
        <f t="shared" si="32"/>
        <v>2928714.1170568434</v>
      </c>
      <c r="T73" s="547">
        <f t="shared" si="33"/>
        <v>130.32145761833505</v>
      </c>
      <c r="U73" s="311"/>
      <c r="V73" s="312">
        <v>22473</v>
      </c>
      <c r="W73" s="299" t="s">
        <v>194</v>
      </c>
      <c r="X73" s="300">
        <v>44769</v>
      </c>
      <c r="Y73" s="299" t="s">
        <v>59</v>
      </c>
      <c r="Z73" s="303">
        <v>136752.70145325226</v>
      </c>
      <c r="AA73" s="305">
        <f>IF(Z73=0,0,IF(Y73="MXN",1/HLOOKUP(YEAR(X73)+(MONTH(X73)/100),TC!$5:$37,DAY(X73)+2,FALSE),VLOOKUP(Y73,Equivalencia!$1:$23,((MAX(Equivalencia!$3:$3)-YEAR(X73))*14)+MONTH(X73)+2,FALSE)))</f>
        <v>1</v>
      </c>
      <c r="AB73" s="306">
        <f t="shared" si="34"/>
        <v>136752.70145325226</v>
      </c>
      <c r="AC73" s="305">
        <f>+IF(X73=0,0,HLOOKUP(YEAR(X73)+(MONTH(X73)/100),TC!$5:$37,DAY(X73)+2,FALSE))</f>
        <v>20.465199999999999</v>
      </c>
      <c r="AD73" s="307">
        <f t="shared" si="35"/>
        <v>2798671.3857810982</v>
      </c>
      <c r="AE73" s="314">
        <f t="shared" si="24"/>
        <v>2928714.1170568434</v>
      </c>
      <c r="AF73" s="315">
        <f t="shared" si="25"/>
        <v>-130042.7312757452</v>
      </c>
      <c r="AG73" s="316">
        <f t="shared" si="26"/>
        <v>1.473972602739726</v>
      </c>
      <c r="AH73" s="314">
        <v>1</v>
      </c>
      <c r="AI73" s="314">
        <f t="shared" si="27"/>
        <v>-130042.7312757452</v>
      </c>
      <c r="AJ73" s="314">
        <f t="shared" si="36"/>
        <v>0</v>
      </c>
      <c r="AK73" s="317"/>
      <c r="AL73" s="315">
        <f t="shared" si="28"/>
        <v>4813.7180443846446</v>
      </c>
      <c r="AN73" s="546">
        <f t="shared" si="29"/>
        <v>3.6484425755103363E-2</v>
      </c>
      <c r="AO73" s="314"/>
      <c r="AP73" s="318"/>
    </row>
    <row r="74" spans="2:42">
      <c r="B74" s="296" t="s">
        <v>953</v>
      </c>
      <c r="C74" s="299" t="s">
        <v>276</v>
      </c>
      <c r="D74" s="298" t="s">
        <v>711</v>
      </c>
      <c r="E74" s="299" t="s">
        <v>113</v>
      </c>
      <c r="F74" s="299" t="s">
        <v>59</v>
      </c>
      <c r="G74" s="300">
        <v>44294</v>
      </c>
      <c r="H74" s="303">
        <v>164733.09879415893</v>
      </c>
      <c r="I74" s="301" t="str">
        <f t="shared" si="20"/>
        <v>Ingresos Sección II LISR (SIC &amp; BMV)</v>
      </c>
      <c r="J74" s="302">
        <f t="shared" si="30"/>
        <v>26032</v>
      </c>
      <c r="K74" s="304">
        <f t="shared" si="21"/>
        <v>6.3280999844099162</v>
      </c>
      <c r="L74" s="305">
        <f>IF(H74=0,0,IF(OR(E74=$AT$5,E74=$AT$6),AA74,IF(F74="MXN",1/HLOOKUP(YEAR(G74)+(MONTH(G74)/100),TC!$5:$37,DAY(G74)+2,FALSE),VLOOKUP(F74,Equivalencia!$5:$23,((MAX(Equivalencia!$3:$3)-YEAR(G74))*14)+MONTH(G74)+2,FALSE))))</f>
        <v>1</v>
      </c>
      <c r="M74" s="306">
        <f t="shared" si="22"/>
        <v>164733.09879415893</v>
      </c>
      <c r="N74" s="305">
        <f>IF(G74=0,0,(IF(OR(E74=$AT$5,E74=$AT$6),AC74,HLOOKUP(YEAR(G74)+(MONTH(G74)/100),TC!$5:$37,DAY(G74)+2,FALSE))))</f>
        <v>20.161200000000001</v>
      </c>
      <c r="O74" s="307">
        <f t="shared" si="31"/>
        <v>3321216.9514087969</v>
      </c>
      <c r="P74" s="552">
        <f>IF(G74=0,0,VLOOKUP(YEAR(G74),INPC!$B$4:$P$30,MONTH(G74)+2))</f>
        <v>112.19</v>
      </c>
      <c r="Q74" s="552">
        <f>IF(X74=0,0,IF(OR(E74=$AT$10,E74=$AT$9),VLOOKUP(YEAR(X74),INPC!$B$4:$P$30,MONTH(X74)+1),VLOOKUP(YEAR(X74),INPC!$B$4:$P$30,MONTH(X74)+2,0)))</f>
        <v>122.044</v>
      </c>
      <c r="R74" s="309">
        <f t="shared" si="23"/>
        <v>1.0878000000000001</v>
      </c>
      <c r="S74" s="310">
        <f t="shared" si="32"/>
        <v>3612819.7997424896</v>
      </c>
      <c r="T74" s="547">
        <f t="shared" si="33"/>
        <v>138.78379685550436</v>
      </c>
      <c r="U74" s="311"/>
      <c r="V74" s="312">
        <v>26032</v>
      </c>
      <c r="W74" s="299" t="s">
        <v>194</v>
      </c>
      <c r="X74" s="300">
        <v>44769</v>
      </c>
      <c r="Y74" s="299" t="s">
        <v>59</v>
      </c>
      <c r="Z74" s="303">
        <v>158409.92854674777</v>
      </c>
      <c r="AA74" s="305">
        <f>IF(Z74=0,0,IF(Y74="MXN",1/HLOOKUP(YEAR(X74)+(MONTH(X74)/100),TC!$5:$37,DAY(X74)+2,FALSE),VLOOKUP(Y74,Equivalencia!$1:$23,((MAX(Equivalencia!$3:$3)-YEAR(X74))*14)+MONTH(X74)+2,FALSE)))</f>
        <v>1</v>
      </c>
      <c r="AB74" s="306">
        <f t="shared" si="34"/>
        <v>158409.92854674777</v>
      </c>
      <c r="AC74" s="305">
        <f>+IF(X74=0,0,HLOOKUP(YEAR(X74)+(MONTH(X74)/100),TC!$5:$37,DAY(X74)+2,FALSE))</f>
        <v>20.465199999999999</v>
      </c>
      <c r="AD74" s="307">
        <f t="shared" si="35"/>
        <v>3241890.8696949026</v>
      </c>
      <c r="AE74" s="314">
        <f t="shared" si="24"/>
        <v>3612819.7997424896</v>
      </c>
      <c r="AF74" s="315">
        <f t="shared" si="25"/>
        <v>-370928.93004758703</v>
      </c>
      <c r="AG74" s="316">
        <f t="shared" si="26"/>
        <v>1.3013698630136987</v>
      </c>
      <c r="AH74" s="314">
        <v>1</v>
      </c>
      <c r="AI74" s="314">
        <f t="shared" si="27"/>
        <v>-370928.93004758703</v>
      </c>
      <c r="AJ74" s="314">
        <f t="shared" si="36"/>
        <v>0</v>
      </c>
      <c r="AK74" s="317"/>
      <c r="AL74" s="315">
        <f t="shared" si="28"/>
        <v>-6323.1702474111516</v>
      </c>
      <c r="AN74" s="546">
        <f t="shared" si="29"/>
        <v>-3.8384333772001851E-2</v>
      </c>
      <c r="AO74" s="314"/>
      <c r="AP74" s="318"/>
    </row>
    <row r="75" spans="2:42">
      <c r="B75" s="296" t="s">
        <v>953</v>
      </c>
      <c r="C75" s="299" t="s">
        <v>276</v>
      </c>
      <c r="D75" s="298" t="s">
        <v>712</v>
      </c>
      <c r="E75" s="299" t="s">
        <v>113</v>
      </c>
      <c r="F75" s="299" t="s">
        <v>59</v>
      </c>
      <c r="G75" s="300">
        <v>43957</v>
      </c>
      <c r="H75" s="303">
        <v>38906.634877470358</v>
      </c>
      <c r="I75" s="301" t="str">
        <f t="shared" si="20"/>
        <v>Ingresos Sección II LISR (SIC &amp; BMV)</v>
      </c>
      <c r="J75" s="302">
        <f t="shared" si="30"/>
        <v>136</v>
      </c>
      <c r="K75" s="304">
        <f t="shared" si="21"/>
        <v>286.0781976284585</v>
      </c>
      <c r="L75" s="305">
        <f>IF(H75=0,0,IF(OR(E75=$AT$5,E75=$AT$6),AA75,IF(F75="MXN",1/HLOOKUP(YEAR(G75)+(MONTH(G75)/100),TC!$5:$37,DAY(G75)+2,FALSE),VLOOKUP(F75,Equivalencia!$5:$23,((MAX(Equivalencia!$3:$3)-YEAR(G75))*14)+MONTH(G75)+2,FALSE))))</f>
        <v>1</v>
      </c>
      <c r="M75" s="306">
        <f t="shared" si="22"/>
        <v>38906.634877470358</v>
      </c>
      <c r="N75" s="305">
        <f>IF(G75=0,0,(IF(OR(E75=$AT$5,E75=$AT$6),AC75,HLOOKUP(YEAR(G75)+(MONTH(G75)/100),TC!$5:$37,DAY(G75)+2,FALSE))))</f>
        <v>24.3812</v>
      </c>
      <c r="O75" s="307">
        <f t="shared" si="31"/>
        <v>948590.44627458032</v>
      </c>
      <c r="P75" s="552">
        <f>IF(G75=0,0,VLOOKUP(YEAR(G75),INPC!$B$4:$P$30,MONTH(G75)+2))</f>
        <v>106.16200000000001</v>
      </c>
      <c r="Q75" s="552">
        <f>IF(X75=0,0,IF(OR(E75=$AT$10,E75=$AT$9),VLOOKUP(YEAR(X75),INPC!$B$4:$P$30,MONTH(X75)+1),VLOOKUP(YEAR(X75),INPC!$B$4:$P$30,MONTH(X75)+2,0)))</f>
        <v>120.15900000000001</v>
      </c>
      <c r="R75" s="309">
        <f t="shared" si="23"/>
        <v>1.1317999999999999</v>
      </c>
      <c r="S75" s="310">
        <f t="shared" si="32"/>
        <v>1073614.6670935699</v>
      </c>
      <c r="T75" s="547">
        <f t="shared" si="33"/>
        <v>7894.2254933350723</v>
      </c>
      <c r="U75" s="311"/>
      <c r="V75" s="312">
        <v>136</v>
      </c>
      <c r="W75" s="299" t="s">
        <v>194</v>
      </c>
      <c r="X75" s="300">
        <v>44671</v>
      </c>
      <c r="Y75" s="299" t="s">
        <v>59</v>
      </c>
      <c r="Z75" s="303">
        <v>62443.28</v>
      </c>
      <c r="AA75" s="305">
        <f>IF(Z75=0,0,IF(Y75="MXN",1/HLOOKUP(YEAR(X75)+(MONTH(X75)/100),TC!$5:$37,DAY(X75)+2,FALSE),VLOOKUP(Y75,Equivalencia!$1:$23,((MAX(Equivalencia!$3:$3)-YEAR(X75))*14)+MONTH(X75)+2,FALSE)))</f>
        <v>1</v>
      </c>
      <c r="AB75" s="306">
        <f t="shared" si="34"/>
        <v>62443.28</v>
      </c>
      <c r="AC75" s="305">
        <f>+IF(X75=0,0,HLOOKUP(YEAR(X75)+(MONTH(X75)/100),TC!$5:$37,DAY(X75)+2,FALSE))</f>
        <v>19.9377</v>
      </c>
      <c r="AD75" s="307">
        <f t="shared" si="35"/>
        <v>1244975.383656</v>
      </c>
      <c r="AE75" s="314">
        <f t="shared" si="24"/>
        <v>1073614.6670935699</v>
      </c>
      <c r="AF75" s="315">
        <f t="shared" si="25"/>
        <v>171360.71656243014</v>
      </c>
      <c r="AG75" s="316">
        <f t="shared" si="26"/>
        <v>1.9561643835616438</v>
      </c>
      <c r="AH75" s="314">
        <v>1</v>
      </c>
      <c r="AI75" s="314">
        <f t="shared" si="27"/>
        <v>171360.71656243014</v>
      </c>
      <c r="AJ75" s="314">
        <f t="shared" si="36"/>
        <v>0</v>
      </c>
      <c r="AK75" s="317"/>
      <c r="AL75" s="315">
        <f t="shared" si="28"/>
        <v>23536.645122529641</v>
      </c>
      <c r="AN75" s="546">
        <f t="shared" si="29"/>
        <v>0.60495196247771588</v>
      </c>
      <c r="AO75" s="314"/>
      <c r="AP75" s="318"/>
    </row>
    <row r="76" spans="2:42">
      <c r="B76" s="296" t="s">
        <v>953</v>
      </c>
      <c r="C76" s="299" t="s">
        <v>276</v>
      </c>
      <c r="D76" s="298" t="s">
        <v>712</v>
      </c>
      <c r="E76" s="299" t="s">
        <v>113</v>
      </c>
      <c r="F76" s="299" t="s">
        <v>59</v>
      </c>
      <c r="G76" s="300">
        <v>43957</v>
      </c>
      <c r="H76" s="303">
        <v>70375.236616600785</v>
      </c>
      <c r="I76" s="301" t="str">
        <f t="shared" si="20"/>
        <v>Ingresos Sección II LISR (SIC &amp; BMV)</v>
      </c>
      <c r="J76" s="302">
        <f t="shared" si="30"/>
        <v>246</v>
      </c>
      <c r="K76" s="304">
        <f t="shared" si="21"/>
        <v>286.0781976284585</v>
      </c>
      <c r="L76" s="305">
        <f>IF(H76=0,0,IF(OR(E76=$AT$5,E76=$AT$6),AA76,IF(F76="MXN",1/HLOOKUP(YEAR(G76)+(MONTH(G76)/100),TC!$5:$37,DAY(G76)+2,FALSE),VLOOKUP(F76,Equivalencia!$5:$23,((MAX(Equivalencia!$3:$3)-YEAR(G76))*14)+MONTH(G76)+2,FALSE))))</f>
        <v>1</v>
      </c>
      <c r="M76" s="306">
        <f t="shared" si="22"/>
        <v>70375.236616600785</v>
      </c>
      <c r="N76" s="305">
        <f>IF(G76=0,0,(IF(OR(E76=$AT$5,E76=$AT$6),AC76,HLOOKUP(YEAR(G76)+(MONTH(G76)/100),TC!$5:$37,DAY(G76)+2,FALSE))))</f>
        <v>24.3812</v>
      </c>
      <c r="O76" s="307">
        <f t="shared" si="31"/>
        <v>1715832.7189966671</v>
      </c>
      <c r="P76" s="552">
        <f>IF(G76=0,0,VLOOKUP(YEAR(G76),INPC!$B$4:$P$30,MONTH(G76)+2))</f>
        <v>106.16200000000001</v>
      </c>
      <c r="Q76" s="552">
        <f>IF(X76=0,0,IF(OR(E76=$AT$10,E76=$AT$9),VLOOKUP(YEAR(X76),INPC!$B$4:$P$30,MONTH(X76)+1),VLOOKUP(YEAR(X76),INPC!$B$4:$P$30,MONTH(X76)+2,0)))</f>
        <v>122.044</v>
      </c>
      <c r="R76" s="309">
        <f t="shared" si="23"/>
        <v>1.1496</v>
      </c>
      <c r="S76" s="310">
        <f t="shared" si="32"/>
        <v>1972521.2937585684</v>
      </c>
      <c r="T76" s="547">
        <f t="shared" si="33"/>
        <v>8018.3792429210098</v>
      </c>
      <c r="U76" s="311"/>
      <c r="V76" s="312">
        <v>246</v>
      </c>
      <c r="W76" s="299" t="s">
        <v>194</v>
      </c>
      <c r="X76" s="300">
        <v>44769</v>
      </c>
      <c r="Y76" s="299" t="s">
        <v>59</v>
      </c>
      <c r="Z76" s="303">
        <v>100064.26</v>
      </c>
      <c r="AA76" s="305">
        <f>IF(Z76=0,0,IF(Y76="MXN",1/HLOOKUP(YEAR(X76)+(MONTH(X76)/100),TC!$5:$37,DAY(X76)+2,FALSE),VLOOKUP(Y76,Equivalencia!$1:$23,((MAX(Equivalencia!$3:$3)-YEAR(X76))*14)+MONTH(X76)+2,FALSE)))</f>
        <v>1</v>
      </c>
      <c r="AB76" s="306">
        <f t="shared" si="34"/>
        <v>100064.26</v>
      </c>
      <c r="AC76" s="305">
        <f>+IF(X76=0,0,HLOOKUP(YEAR(X76)+(MONTH(X76)/100),TC!$5:$37,DAY(X76)+2,FALSE))</f>
        <v>20.465199999999999</v>
      </c>
      <c r="AD76" s="307">
        <f t="shared" si="35"/>
        <v>2047835.0937519998</v>
      </c>
      <c r="AE76" s="314">
        <f t="shared" si="24"/>
        <v>1972521.2937585684</v>
      </c>
      <c r="AF76" s="315">
        <f t="shared" si="25"/>
        <v>75313.799993431428</v>
      </c>
      <c r="AG76" s="316">
        <f t="shared" si="26"/>
        <v>2.2246575342465755</v>
      </c>
      <c r="AH76" s="314">
        <v>1</v>
      </c>
      <c r="AI76" s="314">
        <f t="shared" si="27"/>
        <v>75313.799993431428</v>
      </c>
      <c r="AJ76" s="314">
        <f t="shared" si="36"/>
        <v>0</v>
      </c>
      <c r="AK76" s="317"/>
      <c r="AL76" s="315">
        <f t="shared" si="28"/>
        <v>29689.02338339921</v>
      </c>
      <c r="AN76" s="546">
        <f t="shared" si="29"/>
        <v>0.42186747513394335</v>
      </c>
      <c r="AO76" s="314"/>
      <c r="AP76" s="318"/>
    </row>
    <row r="77" spans="2:42">
      <c r="B77" s="296" t="s">
        <v>953</v>
      </c>
      <c r="C77" s="299" t="s">
        <v>276</v>
      </c>
      <c r="D77" s="298" t="s">
        <v>714</v>
      </c>
      <c r="E77" s="299" t="s">
        <v>113</v>
      </c>
      <c r="F77" s="299" t="s">
        <v>59</v>
      </c>
      <c r="G77" s="300">
        <v>44218</v>
      </c>
      <c r="H77" s="303">
        <v>2777.1221148567811</v>
      </c>
      <c r="I77" s="301" t="str">
        <f t="shared" si="20"/>
        <v>Ingresos Sección II LISR (SIC &amp; BMV)</v>
      </c>
      <c r="J77" s="302">
        <f t="shared" si="30"/>
        <v>526</v>
      </c>
      <c r="K77" s="304">
        <f t="shared" si="21"/>
        <v>5.2796998381307629</v>
      </c>
      <c r="L77" s="305">
        <f>IF(H77=0,0,IF(OR(E77=$AT$5,E77=$AT$6),AA77,IF(F77="MXN",1/HLOOKUP(YEAR(G77)+(MONTH(G77)/100),TC!$5:$37,DAY(G77)+2,FALSE),VLOOKUP(F77,Equivalencia!$5:$23,((MAX(Equivalencia!$3:$3)-YEAR(G77))*14)+MONTH(G77)+2,FALSE))))</f>
        <v>1</v>
      </c>
      <c r="M77" s="306">
        <f t="shared" si="22"/>
        <v>2777.1221148567811</v>
      </c>
      <c r="N77" s="305">
        <f>IF(G77=0,0,(IF(OR(E77=$AT$5,E77=$AT$6),AC77,HLOOKUP(YEAR(G77)+(MONTH(G77)/100),TC!$5:$37,DAY(G77)+2,FALSE))))</f>
        <v>19.5793</v>
      </c>
      <c r="O77" s="307">
        <f t="shared" si="31"/>
        <v>54374.107023415374</v>
      </c>
      <c r="P77" s="552">
        <f>IF(G77=0,0,VLOOKUP(YEAR(G77),INPC!$B$4:$P$30,MONTH(G77)+2))</f>
        <v>110.21</v>
      </c>
      <c r="Q77" s="552">
        <f>IF(X77=0,0,IF(OR(E77=$AT$10,E77=$AT$9),VLOOKUP(YEAR(X77),INPC!$B$4:$P$30,MONTH(X77)+1),VLOOKUP(YEAR(X77),INPC!$B$4:$P$30,MONTH(X77)+2,0)))</f>
        <v>120.15900000000001</v>
      </c>
      <c r="R77" s="309">
        <f t="shared" si="23"/>
        <v>1.0902000000000001</v>
      </c>
      <c r="S77" s="310">
        <f t="shared" si="32"/>
        <v>59278.651476927444</v>
      </c>
      <c r="T77" s="547">
        <f t="shared" si="33"/>
        <v>112.69705603978602</v>
      </c>
      <c r="U77" s="311"/>
      <c r="V77" s="312">
        <v>526</v>
      </c>
      <c r="W77" s="299" t="s">
        <v>194</v>
      </c>
      <c r="X77" s="300">
        <v>44671</v>
      </c>
      <c r="Y77" s="299" t="s">
        <v>59</v>
      </c>
      <c r="Z77" s="303">
        <v>3362.9803926096997</v>
      </c>
      <c r="AA77" s="305">
        <f>IF(Z77=0,0,IF(Y77="MXN",1/HLOOKUP(YEAR(X77)+(MONTH(X77)/100),TC!$5:$37,DAY(X77)+2,FALSE),VLOOKUP(Y77,Equivalencia!$1:$23,((MAX(Equivalencia!$3:$3)-YEAR(X77))*14)+MONTH(X77)+2,FALSE)))</f>
        <v>1</v>
      </c>
      <c r="AB77" s="306">
        <f t="shared" si="34"/>
        <v>3362.9803926096997</v>
      </c>
      <c r="AC77" s="305">
        <f>+IF(X77=0,0,HLOOKUP(YEAR(X77)+(MONTH(X77)/100),TC!$5:$37,DAY(X77)+2,FALSE))</f>
        <v>19.9377</v>
      </c>
      <c r="AD77" s="307">
        <f t="shared" si="35"/>
        <v>67050.094173734411</v>
      </c>
      <c r="AE77" s="314">
        <f t="shared" si="24"/>
        <v>59278.651476927444</v>
      </c>
      <c r="AF77" s="315">
        <f t="shared" si="25"/>
        <v>7771.4426968069674</v>
      </c>
      <c r="AG77" s="316">
        <f t="shared" si="26"/>
        <v>1.2410958904109588</v>
      </c>
      <c r="AH77" s="314">
        <v>1</v>
      </c>
      <c r="AI77" s="314">
        <f t="shared" si="27"/>
        <v>7771.4426968069674</v>
      </c>
      <c r="AJ77" s="314">
        <f t="shared" si="36"/>
        <v>0</v>
      </c>
      <c r="AK77" s="317"/>
      <c r="AL77" s="315">
        <f t="shared" si="28"/>
        <v>585.85827775291864</v>
      </c>
      <c r="AN77" s="546">
        <f t="shared" si="29"/>
        <v>0.2109587744156983</v>
      </c>
      <c r="AO77" s="314"/>
      <c r="AP77" s="318"/>
    </row>
    <row r="78" spans="2:42">
      <c r="B78" s="296" t="s">
        <v>953</v>
      </c>
      <c r="C78" s="299" t="s">
        <v>276</v>
      </c>
      <c r="D78" s="298" t="s">
        <v>714</v>
      </c>
      <c r="E78" s="299" t="s">
        <v>113</v>
      </c>
      <c r="F78" s="299" t="s">
        <v>59</v>
      </c>
      <c r="G78" s="300">
        <v>44293</v>
      </c>
      <c r="H78" s="303">
        <v>6952.3489196057772</v>
      </c>
      <c r="I78" s="301" t="str">
        <f t="shared" si="20"/>
        <v>Ingresos Sección II LISR (SIC &amp; BMV)</v>
      </c>
      <c r="J78" s="302">
        <f t="shared" si="30"/>
        <v>1206</v>
      </c>
      <c r="K78" s="304">
        <f t="shared" si="21"/>
        <v>5.764800099175603</v>
      </c>
      <c r="L78" s="305">
        <f>IF(H78=0,0,IF(OR(E78=$AT$5,E78=$AT$6),AA78,IF(F78="MXN",1/HLOOKUP(YEAR(G78)+(MONTH(G78)/100),TC!$5:$37,DAY(G78)+2,FALSE),VLOOKUP(F78,Equivalencia!$5:$23,((MAX(Equivalencia!$3:$3)-YEAR(G78))*14)+MONTH(G78)+2,FALSE))))</f>
        <v>1</v>
      </c>
      <c r="M78" s="306">
        <f t="shared" si="22"/>
        <v>6952.3489196057772</v>
      </c>
      <c r="N78" s="305">
        <f>IF(G78=0,0,(IF(OR(E78=$AT$5,E78=$AT$6),AC78,HLOOKUP(YEAR(G78)+(MONTH(G78)/100),TC!$5:$37,DAY(G78)+2,FALSE))))</f>
        <v>20.2483</v>
      </c>
      <c r="O78" s="307">
        <f t="shared" si="31"/>
        <v>140773.24662885367</v>
      </c>
      <c r="P78" s="552">
        <f>IF(G78=0,0,VLOOKUP(YEAR(G78),INPC!$B$4:$P$30,MONTH(G78)+2))</f>
        <v>112.19</v>
      </c>
      <c r="Q78" s="552">
        <f>IF(X78=0,0,IF(OR(E78=$AT$10,E78=$AT$9),VLOOKUP(YEAR(X78),INPC!$B$4:$P$30,MONTH(X78)+1),VLOOKUP(YEAR(X78),INPC!$B$4:$P$30,MONTH(X78)+2,0)))</f>
        <v>120.15900000000001</v>
      </c>
      <c r="R78" s="309">
        <f t="shared" si="23"/>
        <v>1.071</v>
      </c>
      <c r="S78" s="310">
        <f t="shared" si="32"/>
        <v>150768.14713950228</v>
      </c>
      <c r="T78" s="547">
        <f t="shared" si="33"/>
        <v>125.01504737935512</v>
      </c>
      <c r="U78" s="311"/>
      <c r="V78" s="312">
        <v>1206</v>
      </c>
      <c r="W78" s="299" t="s">
        <v>194</v>
      </c>
      <c r="X78" s="300">
        <v>44671</v>
      </c>
      <c r="Y78" s="299" t="s">
        <v>59</v>
      </c>
      <c r="Z78" s="303">
        <v>7710.5596073903007</v>
      </c>
      <c r="AA78" s="305">
        <f>IF(Z78=0,0,IF(Y78="MXN",1/HLOOKUP(YEAR(X78)+(MONTH(X78)/100),TC!$5:$37,DAY(X78)+2,FALSE),VLOOKUP(Y78,Equivalencia!$1:$23,((MAX(Equivalencia!$3:$3)-YEAR(X78))*14)+MONTH(X78)+2,FALSE)))</f>
        <v>1</v>
      </c>
      <c r="AB78" s="306">
        <f t="shared" si="34"/>
        <v>7710.5596073903007</v>
      </c>
      <c r="AC78" s="305">
        <f>+IF(X78=0,0,HLOOKUP(YEAR(X78)+(MONTH(X78)/100),TC!$5:$37,DAY(X78)+2,FALSE))</f>
        <v>19.9377</v>
      </c>
      <c r="AD78" s="307">
        <f t="shared" si="35"/>
        <v>153730.8242842656</v>
      </c>
      <c r="AE78" s="314">
        <f t="shared" si="24"/>
        <v>150768.14713950228</v>
      </c>
      <c r="AF78" s="315">
        <f t="shared" si="25"/>
        <v>2962.6771447633218</v>
      </c>
      <c r="AG78" s="316">
        <f t="shared" si="26"/>
        <v>1.0356164383561643</v>
      </c>
      <c r="AH78" s="314">
        <v>1</v>
      </c>
      <c r="AI78" s="314">
        <f t="shared" si="27"/>
        <v>2962.6771447633218</v>
      </c>
      <c r="AJ78" s="314">
        <f t="shared" si="36"/>
        <v>0</v>
      </c>
      <c r="AK78" s="317"/>
      <c r="AL78" s="315">
        <f t="shared" si="28"/>
        <v>758.21068778452354</v>
      </c>
      <c r="AN78" s="546">
        <f t="shared" si="29"/>
        <v>0.10905820414829191</v>
      </c>
      <c r="AO78" s="314"/>
      <c r="AP78" s="318"/>
    </row>
    <row r="79" spans="2:42">
      <c r="B79" s="296" t="s">
        <v>953</v>
      </c>
      <c r="C79" s="299" t="s">
        <v>276</v>
      </c>
      <c r="D79" s="298" t="s">
        <v>715</v>
      </c>
      <c r="E79" s="299" t="s">
        <v>113</v>
      </c>
      <c r="F79" s="299" t="s">
        <v>59</v>
      </c>
      <c r="G79" s="300">
        <v>44218</v>
      </c>
      <c r="H79" s="303">
        <v>66622.24040385618</v>
      </c>
      <c r="I79" s="301" t="str">
        <f t="shared" si="20"/>
        <v>Ingresos Sección II LISR (SIC &amp; BMV)</v>
      </c>
      <c r="J79" s="302">
        <f t="shared" si="30"/>
        <v>978</v>
      </c>
      <c r="K79" s="304">
        <f t="shared" si="21"/>
        <v>68.120900208441896</v>
      </c>
      <c r="L79" s="305">
        <f>IF(H79=0,0,IF(OR(E79=$AT$5,E79=$AT$6),AA79,IF(F79="MXN",1/HLOOKUP(YEAR(G79)+(MONTH(G79)/100),TC!$5:$37,DAY(G79)+2,FALSE),VLOOKUP(F79,Equivalencia!$5:$23,((MAX(Equivalencia!$3:$3)-YEAR(G79))*14)+MONTH(G79)+2,FALSE))))</f>
        <v>1</v>
      </c>
      <c r="M79" s="306">
        <f t="shared" si="22"/>
        <v>66622.24040385618</v>
      </c>
      <c r="N79" s="305">
        <f>IF(G79=0,0,(IF(OR(E79=$AT$5,E79=$AT$6),AC79,HLOOKUP(YEAR(G79)+(MONTH(G79)/100),TC!$5:$37,DAY(G79)+2,FALSE))))</f>
        <v>19.5793</v>
      </c>
      <c r="O79" s="307">
        <f t="shared" si="31"/>
        <v>1304416.8315392213</v>
      </c>
      <c r="P79" s="552">
        <f>IF(G79=0,0,VLOOKUP(YEAR(G79),INPC!$B$4:$P$30,MONTH(G79)+2))</f>
        <v>110.21</v>
      </c>
      <c r="Q79" s="552">
        <f>IF(X79=0,0,IF(OR(E79=$AT$10,E79=$AT$9),VLOOKUP(YEAR(X79),INPC!$B$4:$P$30,MONTH(X79)+1),VLOOKUP(YEAR(X79),INPC!$B$4:$P$30,MONTH(X79)+2,0)))</f>
        <v>120.15900000000001</v>
      </c>
      <c r="R79" s="309">
        <f t="shared" si="23"/>
        <v>1.0902000000000001</v>
      </c>
      <c r="S79" s="310">
        <f t="shared" si="32"/>
        <v>1422075.2297440593</v>
      </c>
      <c r="T79" s="547">
        <f t="shared" si="33"/>
        <v>1454.0646520900402</v>
      </c>
      <c r="U79" s="311"/>
      <c r="V79" s="312">
        <v>978</v>
      </c>
      <c r="W79" s="299" t="s">
        <v>194</v>
      </c>
      <c r="X79" s="300">
        <v>44671</v>
      </c>
      <c r="Y79" s="299" t="s">
        <v>59</v>
      </c>
      <c r="Z79" s="303">
        <v>80837.08</v>
      </c>
      <c r="AA79" s="305">
        <f>IF(Z79=0,0,IF(Y79="MXN",1/HLOOKUP(YEAR(X79)+(MONTH(X79)/100),TC!$5:$37,DAY(X79)+2,FALSE),VLOOKUP(Y79,Equivalencia!$1:$23,((MAX(Equivalencia!$3:$3)-YEAR(X79))*14)+MONTH(X79)+2,FALSE)))</f>
        <v>1</v>
      </c>
      <c r="AB79" s="306">
        <f t="shared" si="34"/>
        <v>80837.08</v>
      </c>
      <c r="AC79" s="305">
        <f>+IF(X79=0,0,HLOOKUP(YEAR(X79)+(MONTH(X79)/100),TC!$5:$37,DAY(X79)+2,FALSE))</f>
        <v>19.9377</v>
      </c>
      <c r="AD79" s="307">
        <f t="shared" si="35"/>
        <v>1611705.449916</v>
      </c>
      <c r="AE79" s="314">
        <f t="shared" si="24"/>
        <v>1422075.2297440593</v>
      </c>
      <c r="AF79" s="315">
        <f t="shared" si="25"/>
        <v>189630.22017194075</v>
      </c>
      <c r="AG79" s="316">
        <f t="shared" si="26"/>
        <v>1.2410958904109588</v>
      </c>
      <c r="AH79" s="314">
        <v>1</v>
      </c>
      <c r="AI79" s="314">
        <f t="shared" si="27"/>
        <v>189630.22017194075</v>
      </c>
      <c r="AJ79" s="314">
        <f t="shared" si="36"/>
        <v>0</v>
      </c>
      <c r="AK79" s="317"/>
      <c r="AL79" s="315">
        <f t="shared" si="28"/>
        <v>14214.839596143822</v>
      </c>
      <c r="AN79" s="546">
        <f t="shared" si="29"/>
        <v>0.21336477893831154</v>
      </c>
      <c r="AO79" s="314"/>
      <c r="AP79" s="318"/>
    </row>
    <row r="80" spans="2:42">
      <c r="B80" s="296" t="s">
        <v>953</v>
      </c>
      <c r="C80" s="299" t="s">
        <v>276</v>
      </c>
      <c r="D80" s="298" t="s">
        <v>715</v>
      </c>
      <c r="E80" s="299" t="s">
        <v>113</v>
      </c>
      <c r="F80" s="299" t="s">
        <v>59</v>
      </c>
      <c r="G80" s="300">
        <v>44218</v>
      </c>
      <c r="H80" s="303">
        <v>3814.7704116727464</v>
      </c>
      <c r="I80" s="301" t="str">
        <f t="shared" si="20"/>
        <v>Ingresos Sección II LISR (SIC &amp; BMV)</v>
      </c>
      <c r="J80" s="302">
        <f t="shared" si="30"/>
        <v>56</v>
      </c>
      <c r="K80" s="304">
        <f t="shared" si="21"/>
        <v>68.120900208441896</v>
      </c>
      <c r="L80" s="305">
        <f>IF(H80=0,0,IF(OR(E80=$AT$5,E80=$AT$6),AA80,IF(F80="MXN",1/HLOOKUP(YEAR(G80)+(MONTH(G80)/100),TC!$5:$37,DAY(G80)+2,FALSE),VLOOKUP(F80,Equivalencia!$5:$23,((MAX(Equivalencia!$3:$3)-YEAR(G80))*14)+MONTH(G80)+2,FALSE))))</f>
        <v>1</v>
      </c>
      <c r="M80" s="306">
        <f t="shared" si="22"/>
        <v>3814.7704116727464</v>
      </c>
      <c r="N80" s="305">
        <f>IF(G80=0,0,(IF(OR(E80=$AT$5,E80=$AT$6),AC80,HLOOKUP(YEAR(G80)+(MONTH(G80)/100),TC!$5:$37,DAY(G80)+2,FALSE))))</f>
        <v>19.5793</v>
      </c>
      <c r="O80" s="307">
        <f t="shared" si="31"/>
        <v>74690.534321264204</v>
      </c>
      <c r="P80" s="552">
        <f>IF(G80=0,0,VLOOKUP(YEAR(G80),INPC!$B$4:$P$30,MONTH(G80)+2))</f>
        <v>110.21</v>
      </c>
      <c r="Q80" s="552">
        <f>IF(X80=0,0,IF(OR(E80=$AT$10,E80=$AT$9),VLOOKUP(YEAR(X80),INPC!$B$4:$P$30,MONTH(X80)+1),VLOOKUP(YEAR(X80),INPC!$B$4:$P$30,MONTH(X80)+2,0)))</f>
        <v>122.044</v>
      </c>
      <c r="R80" s="309">
        <f t="shared" si="23"/>
        <v>1.1073</v>
      </c>
      <c r="S80" s="310">
        <f t="shared" si="32"/>
        <v>82704.828653935852</v>
      </c>
      <c r="T80" s="547">
        <f t="shared" si="33"/>
        <v>1476.8719402488546</v>
      </c>
      <c r="U80" s="311"/>
      <c r="V80" s="312">
        <v>56</v>
      </c>
      <c r="W80" s="299" t="s">
        <v>194</v>
      </c>
      <c r="X80" s="300">
        <v>44769</v>
      </c>
      <c r="Y80" s="299" t="s">
        <v>59</v>
      </c>
      <c r="Z80" s="303">
        <v>4214.7299999999996</v>
      </c>
      <c r="AA80" s="305">
        <f>IF(Z80=0,0,IF(Y80="MXN",1/HLOOKUP(YEAR(X80)+(MONTH(X80)/100),TC!$5:$37,DAY(X80)+2,FALSE),VLOOKUP(Y80,Equivalencia!$1:$23,((MAX(Equivalencia!$3:$3)-YEAR(X80))*14)+MONTH(X80)+2,FALSE)))</f>
        <v>1</v>
      </c>
      <c r="AB80" s="306">
        <f t="shared" si="34"/>
        <v>4214.7299999999996</v>
      </c>
      <c r="AC80" s="305">
        <f>+IF(X80=0,0,HLOOKUP(YEAR(X80)+(MONTH(X80)/100),TC!$5:$37,DAY(X80)+2,FALSE))</f>
        <v>20.465199999999999</v>
      </c>
      <c r="AD80" s="307">
        <f t="shared" si="35"/>
        <v>86255.29239599999</v>
      </c>
      <c r="AE80" s="314">
        <f t="shared" si="24"/>
        <v>82704.828653935852</v>
      </c>
      <c r="AF80" s="315">
        <f t="shared" si="25"/>
        <v>3550.4637420641375</v>
      </c>
      <c r="AG80" s="316">
        <f t="shared" si="26"/>
        <v>1.5095890410958903</v>
      </c>
      <c r="AH80" s="314">
        <v>1</v>
      </c>
      <c r="AI80" s="314">
        <f t="shared" si="27"/>
        <v>3550.4637420641375</v>
      </c>
      <c r="AJ80" s="314">
        <f t="shared" si="36"/>
        <v>0</v>
      </c>
      <c r="AK80" s="317"/>
      <c r="AL80" s="315">
        <f t="shared" si="28"/>
        <v>399.95958832725319</v>
      </c>
      <c r="AN80" s="546">
        <f t="shared" si="29"/>
        <v>0.10484499594088917</v>
      </c>
      <c r="AO80" s="314"/>
      <c r="AP80" s="318"/>
    </row>
    <row r="81" spans="2:42">
      <c r="B81" s="296" t="s">
        <v>953</v>
      </c>
      <c r="C81" s="299" t="s">
        <v>276</v>
      </c>
      <c r="D81" s="298" t="s">
        <v>719</v>
      </c>
      <c r="E81" s="299" t="s">
        <v>113</v>
      </c>
      <c r="F81" s="299" t="s">
        <v>59</v>
      </c>
      <c r="G81" s="300">
        <v>43957</v>
      </c>
      <c r="H81" s="303">
        <v>36920.439059876888</v>
      </c>
      <c r="I81" s="301" t="str">
        <f t="shared" si="20"/>
        <v>Ingresos Sección II LISR (SIC &amp; BMV)</v>
      </c>
      <c r="J81" s="302">
        <f t="shared" si="30"/>
        <v>1115</v>
      </c>
      <c r="K81" s="304">
        <f t="shared" si="21"/>
        <v>33.112501398992727</v>
      </c>
      <c r="L81" s="305">
        <f>IF(H81=0,0,IF(OR(E81=$AT$5,E81=$AT$6),AA81,IF(F81="MXN",1/HLOOKUP(YEAR(G81)+(MONTH(G81)/100),TC!$5:$37,DAY(G81)+2,FALSE),VLOOKUP(F81,Equivalencia!$5:$23,((MAX(Equivalencia!$3:$3)-YEAR(G81))*14)+MONTH(G81)+2,FALSE))))</f>
        <v>1</v>
      </c>
      <c r="M81" s="306">
        <f t="shared" si="22"/>
        <v>36920.439059876888</v>
      </c>
      <c r="N81" s="305">
        <f>IF(G81=0,0,(IF(OR(E81=$AT$5,E81=$AT$6),AC81,HLOOKUP(YEAR(G81)+(MONTH(G81)/100),TC!$5:$37,DAY(G81)+2,FALSE))))</f>
        <v>24.3812</v>
      </c>
      <c r="O81" s="307">
        <f t="shared" si="31"/>
        <v>900164.60880667041</v>
      </c>
      <c r="P81" s="552">
        <f>IF(G81=0,0,VLOOKUP(YEAR(G81),INPC!$B$4:$P$30,MONTH(G81)+2))</f>
        <v>106.16200000000001</v>
      </c>
      <c r="Q81" s="552">
        <f>IF(X81=0,0,IF(OR(E81=$AT$10,E81=$AT$9),VLOOKUP(YEAR(X81),INPC!$B$4:$P$30,MONTH(X81)+1),VLOOKUP(YEAR(X81),INPC!$B$4:$P$30,MONTH(X81)+2,0)))</f>
        <v>120.15900000000001</v>
      </c>
      <c r="R81" s="309">
        <f t="shared" si="23"/>
        <v>1.1317999999999999</v>
      </c>
      <c r="S81" s="310">
        <f t="shared" si="32"/>
        <v>1018806.3042473895</v>
      </c>
      <c r="T81" s="547">
        <f t="shared" si="33"/>
        <v>913.72762712770361</v>
      </c>
      <c r="U81" s="311"/>
      <c r="V81" s="312">
        <v>1115</v>
      </c>
      <c r="W81" s="299" t="s">
        <v>194</v>
      </c>
      <c r="X81" s="300">
        <v>44671</v>
      </c>
      <c r="Y81" s="299" t="s">
        <v>59</v>
      </c>
      <c r="Z81" s="303">
        <v>42360.408690828401</v>
      </c>
      <c r="AA81" s="305">
        <f>IF(Z81=0,0,IF(Y81="MXN",1/HLOOKUP(YEAR(X81)+(MONTH(X81)/100),TC!$5:$37,DAY(X81)+2,FALSE),VLOOKUP(Y81,Equivalencia!$1:$23,((MAX(Equivalencia!$3:$3)-YEAR(X81))*14)+MONTH(X81)+2,FALSE)))</f>
        <v>1</v>
      </c>
      <c r="AB81" s="306">
        <f t="shared" si="34"/>
        <v>42360.408690828401</v>
      </c>
      <c r="AC81" s="305">
        <f>+IF(X81=0,0,HLOOKUP(YEAR(X81)+(MONTH(X81)/100),TC!$5:$37,DAY(X81)+2,FALSE))</f>
        <v>19.9377</v>
      </c>
      <c r="AD81" s="307">
        <f t="shared" si="35"/>
        <v>844569.12035512936</v>
      </c>
      <c r="AE81" s="314">
        <f t="shared" si="24"/>
        <v>1018806.3042473895</v>
      </c>
      <c r="AF81" s="315">
        <f t="shared" si="25"/>
        <v>-174237.18389226019</v>
      </c>
      <c r="AG81" s="316">
        <f t="shared" si="26"/>
        <v>1.9561643835616438</v>
      </c>
      <c r="AH81" s="314">
        <v>1</v>
      </c>
      <c r="AI81" s="314">
        <f t="shared" si="27"/>
        <v>-174237.18389226019</v>
      </c>
      <c r="AJ81" s="314">
        <f t="shared" si="36"/>
        <v>0</v>
      </c>
      <c r="AK81" s="317"/>
      <c r="AL81" s="315">
        <f t="shared" si="28"/>
        <v>5439.969630951513</v>
      </c>
      <c r="AN81" s="546">
        <f t="shared" si="29"/>
        <v>0.14734303733845283</v>
      </c>
      <c r="AO81" s="314"/>
      <c r="AP81" s="318"/>
    </row>
    <row r="82" spans="2:42">
      <c r="B82" s="296" t="s">
        <v>953</v>
      </c>
      <c r="C82" s="299" t="s">
        <v>276</v>
      </c>
      <c r="D82" s="298" t="s">
        <v>719</v>
      </c>
      <c r="E82" s="299" t="s">
        <v>113</v>
      </c>
      <c r="F82" s="299" t="s">
        <v>59</v>
      </c>
      <c r="G82" s="300">
        <v>43985</v>
      </c>
      <c r="H82" s="303">
        <v>1770.86</v>
      </c>
      <c r="I82" s="301" t="str">
        <f t="shared" si="20"/>
        <v>Ingresos Sección II LISR (SIC &amp; BMV)</v>
      </c>
      <c r="J82" s="302">
        <f t="shared" si="30"/>
        <v>53</v>
      </c>
      <c r="K82" s="304">
        <f t="shared" si="21"/>
        <v>33.412452830188677</v>
      </c>
      <c r="L82" s="305">
        <f>IF(H82=0,0,IF(OR(E82=$AT$5,E82=$AT$6),AA82,IF(F82="MXN",1/HLOOKUP(YEAR(G82)+(MONTH(G82)/100),TC!$5:$37,DAY(G82)+2,FALSE),VLOOKUP(F82,Equivalencia!$5:$23,((MAX(Equivalencia!$3:$3)-YEAR(G82))*14)+MONTH(G82)+2,FALSE))))</f>
        <v>1</v>
      </c>
      <c r="M82" s="306">
        <f t="shared" si="22"/>
        <v>1770.86</v>
      </c>
      <c r="N82" s="305">
        <f>IF(G82=0,0,(IF(OR(E82=$AT$5,E82=$AT$6),AC82,HLOOKUP(YEAR(G82)+(MONTH(G82)/100),TC!$5:$37,DAY(G82)+2,FALSE))))</f>
        <v>22.0168</v>
      </c>
      <c r="O82" s="307">
        <f t="shared" si="31"/>
        <v>38988.670447999997</v>
      </c>
      <c r="P82" s="552">
        <f>IF(G82=0,0,VLOOKUP(YEAR(G82),INPC!$B$4:$P$30,MONTH(G82)+2))</f>
        <v>106.74299999999999</v>
      </c>
      <c r="Q82" s="552">
        <f>IF(X82=0,0,IF(OR(E82=$AT$10,E82=$AT$9),VLOOKUP(YEAR(X82),INPC!$B$4:$P$30,MONTH(X82)+1),VLOOKUP(YEAR(X82),INPC!$B$4:$P$30,MONTH(X82)+2,0)))</f>
        <v>120.15900000000001</v>
      </c>
      <c r="R82" s="309">
        <f t="shared" si="23"/>
        <v>1.1255999999999999</v>
      </c>
      <c r="S82" s="310">
        <f t="shared" si="32"/>
        <v>43885.647456268794</v>
      </c>
      <c r="T82" s="547">
        <f t="shared" si="33"/>
        <v>828.03108408054334</v>
      </c>
      <c r="U82" s="311"/>
      <c r="V82" s="312">
        <v>53</v>
      </c>
      <c r="W82" s="299" t="s">
        <v>194</v>
      </c>
      <c r="X82" s="300">
        <v>44671</v>
      </c>
      <c r="Y82" s="299" t="s">
        <v>59</v>
      </c>
      <c r="Z82" s="303">
        <v>2013.5440902366863</v>
      </c>
      <c r="AA82" s="305">
        <f>IF(Z82=0,0,IF(Y82="MXN",1/HLOOKUP(YEAR(X82)+(MONTH(X82)/100),TC!$5:$37,DAY(X82)+2,FALSE),VLOOKUP(Y82,Equivalencia!$1:$23,((MAX(Equivalencia!$3:$3)-YEAR(X82))*14)+MONTH(X82)+2,FALSE)))</f>
        <v>1</v>
      </c>
      <c r="AB82" s="306">
        <f t="shared" si="34"/>
        <v>2013.5440902366863</v>
      </c>
      <c r="AC82" s="305">
        <f>+IF(X82=0,0,HLOOKUP(YEAR(X82)+(MONTH(X82)/100),TC!$5:$37,DAY(X82)+2,FALSE))</f>
        <v>19.9377</v>
      </c>
      <c r="AD82" s="307">
        <f t="shared" si="35"/>
        <v>40145.43800791198</v>
      </c>
      <c r="AE82" s="314">
        <f t="shared" si="24"/>
        <v>43885.647456268794</v>
      </c>
      <c r="AF82" s="315">
        <f t="shared" si="25"/>
        <v>-3740.2094483568144</v>
      </c>
      <c r="AG82" s="316">
        <f t="shared" si="26"/>
        <v>1.8794520547945206</v>
      </c>
      <c r="AH82" s="314">
        <v>1</v>
      </c>
      <c r="AI82" s="314">
        <f t="shared" si="27"/>
        <v>-3740.2094483568144</v>
      </c>
      <c r="AJ82" s="314">
        <f t="shared" si="36"/>
        <v>0</v>
      </c>
      <c r="AK82" s="317"/>
      <c r="AL82" s="315">
        <f t="shared" si="28"/>
        <v>242.68409023668642</v>
      </c>
      <c r="AN82" s="546">
        <f t="shared" si="29"/>
        <v>0.13704306960272772</v>
      </c>
      <c r="AO82" s="314"/>
      <c r="AP82" s="318"/>
    </row>
    <row r="83" spans="2:42">
      <c r="B83" s="296" t="s">
        <v>953</v>
      </c>
      <c r="C83" s="299" t="s">
        <v>276</v>
      </c>
      <c r="D83" s="298" t="s">
        <v>719</v>
      </c>
      <c r="E83" s="299" t="s">
        <v>113</v>
      </c>
      <c r="F83" s="299" t="s">
        <v>59</v>
      </c>
      <c r="G83" s="300">
        <v>44218</v>
      </c>
      <c r="H83" s="303">
        <v>6658.2607471264364</v>
      </c>
      <c r="I83" s="301" t="str">
        <f t="shared" si="20"/>
        <v>Ingresos Sección II LISR (SIC &amp; BMV)</v>
      </c>
      <c r="J83" s="302">
        <f t="shared" si="30"/>
        <v>184</v>
      </c>
      <c r="K83" s="304">
        <f t="shared" si="21"/>
        <v>36.186199712643678</v>
      </c>
      <c r="L83" s="305">
        <f>IF(H83=0,0,IF(OR(E83=$AT$5,E83=$AT$6),AA83,IF(F83="MXN",1/HLOOKUP(YEAR(G83)+(MONTH(G83)/100),TC!$5:$37,DAY(G83)+2,FALSE),VLOOKUP(F83,Equivalencia!$5:$23,((MAX(Equivalencia!$3:$3)-YEAR(G83))*14)+MONTH(G83)+2,FALSE))))</f>
        <v>1</v>
      </c>
      <c r="M83" s="306">
        <f t="shared" si="22"/>
        <v>6658.2607471264364</v>
      </c>
      <c r="N83" s="305">
        <f>IF(G83=0,0,(IF(OR(E83=$AT$5,E83=$AT$6),AC83,HLOOKUP(YEAR(G83)+(MONTH(G83)/100),TC!$5:$37,DAY(G83)+2,FALSE))))</f>
        <v>19.5793</v>
      </c>
      <c r="O83" s="307">
        <f t="shared" si="31"/>
        <v>130364.08464621264</v>
      </c>
      <c r="P83" s="552">
        <f>IF(G83=0,0,VLOOKUP(YEAR(G83),INPC!$B$4:$P$30,MONTH(G83)+2))</f>
        <v>110.21</v>
      </c>
      <c r="Q83" s="552">
        <f>IF(X83=0,0,IF(OR(E83=$AT$10,E83=$AT$9),VLOOKUP(YEAR(X83),INPC!$B$4:$P$30,MONTH(X83)+1),VLOOKUP(YEAR(X83),INPC!$B$4:$P$30,MONTH(X83)+2,0)))</f>
        <v>120.15900000000001</v>
      </c>
      <c r="R83" s="309">
        <f t="shared" si="23"/>
        <v>1.0902000000000001</v>
      </c>
      <c r="S83" s="310">
        <f t="shared" si="32"/>
        <v>142122.92508130101</v>
      </c>
      <c r="T83" s="547">
        <f t="shared" si="33"/>
        <v>772.40720152880988</v>
      </c>
      <c r="U83" s="311"/>
      <c r="V83" s="312">
        <v>184</v>
      </c>
      <c r="W83" s="299" t="s">
        <v>194</v>
      </c>
      <c r="X83" s="300">
        <v>44671</v>
      </c>
      <c r="Y83" s="299" t="s">
        <v>59</v>
      </c>
      <c r="Z83" s="303">
        <v>6990.417218934911</v>
      </c>
      <c r="AA83" s="305">
        <f>IF(Z83=0,0,IF(Y83="MXN",1/HLOOKUP(YEAR(X83)+(MONTH(X83)/100),TC!$5:$37,DAY(X83)+2,FALSE),VLOOKUP(Y83,Equivalencia!$1:$23,((MAX(Equivalencia!$3:$3)-YEAR(X83))*14)+MONTH(X83)+2,FALSE)))</f>
        <v>1</v>
      </c>
      <c r="AB83" s="306">
        <f t="shared" si="34"/>
        <v>6990.417218934911</v>
      </c>
      <c r="AC83" s="305">
        <f>+IF(X83=0,0,HLOOKUP(YEAR(X83)+(MONTH(X83)/100),TC!$5:$37,DAY(X83)+2,FALSE))</f>
        <v>19.9377</v>
      </c>
      <c r="AD83" s="307">
        <f t="shared" si="35"/>
        <v>139372.84138595857</v>
      </c>
      <c r="AE83" s="314">
        <f t="shared" si="24"/>
        <v>142122.92508130101</v>
      </c>
      <c r="AF83" s="315">
        <f t="shared" si="25"/>
        <v>-2750.0836953424441</v>
      </c>
      <c r="AG83" s="316">
        <f t="shared" si="26"/>
        <v>1.2410958904109588</v>
      </c>
      <c r="AH83" s="314">
        <v>1</v>
      </c>
      <c r="AI83" s="314">
        <f t="shared" si="27"/>
        <v>-2750.0836953424441</v>
      </c>
      <c r="AJ83" s="314">
        <f t="shared" si="36"/>
        <v>0</v>
      </c>
      <c r="AK83" s="317"/>
      <c r="AL83" s="315">
        <f t="shared" si="28"/>
        <v>332.15647180847463</v>
      </c>
      <c r="AN83" s="546">
        <f t="shared" si="29"/>
        <v>4.9886371895517354E-2</v>
      </c>
      <c r="AO83" s="314"/>
      <c r="AP83" s="318"/>
    </row>
    <row r="84" spans="2:42">
      <c r="B84" s="296" t="s">
        <v>953</v>
      </c>
      <c r="C84" s="299" t="s">
        <v>276</v>
      </c>
      <c r="D84" s="298" t="s">
        <v>720</v>
      </c>
      <c r="E84" s="299" t="s">
        <v>113</v>
      </c>
      <c r="F84" s="299" t="s">
        <v>59</v>
      </c>
      <c r="G84" s="300">
        <v>44302</v>
      </c>
      <c r="H84" s="303">
        <v>143541.77550157084</v>
      </c>
      <c r="I84" s="301" t="str">
        <f t="shared" si="20"/>
        <v>Ingresos Sección II LISR (SIC &amp; BMV)</v>
      </c>
      <c r="J84" s="302">
        <f t="shared" si="30"/>
        <v>24946</v>
      </c>
      <c r="K84" s="304">
        <f t="shared" si="21"/>
        <v>5.7540998757945498</v>
      </c>
      <c r="L84" s="305">
        <f>IF(H84=0,0,IF(OR(E84=$AT$5,E84=$AT$6),AA84,IF(F84="MXN",1/HLOOKUP(YEAR(G84)+(MONTH(G84)/100),TC!$5:$37,DAY(G84)+2,FALSE),VLOOKUP(F84,Equivalencia!$5:$23,((MAX(Equivalencia!$3:$3)-YEAR(G84))*14)+MONTH(G84)+2,FALSE))))</f>
        <v>1</v>
      </c>
      <c r="M84" s="306">
        <f t="shared" si="22"/>
        <v>143541.77550157084</v>
      </c>
      <c r="N84" s="305">
        <f>IF(G84=0,0,(IF(OR(E84=$AT$5,E84=$AT$6),AC84,HLOOKUP(YEAR(G84)+(MONTH(G84)/100),TC!$5:$37,DAY(G84)+2,FALSE))))</f>
        <v>20.058299999999999</v>
      </c>
      <c r="O84" s="307">
        <f t="shared" si="31"/>
        <v>2879203.9955431581</v>
      </c>
      <c r="P84" s="552">
        <f>IF(G84=0,0,VLOOKUP(YEAR(G84),INPC!$B$4:$P$30,MONTH(G84)+2))</f>
        <v>112.19</v>
      </c>
      <c r="Q84" s="552">
        <f>IF(X84=0,0,IF(OR(E84=$AT$10,E84=$AT$9),VLOOKUP(YEAR(X84),INPC!$B$4:$P$30,MONTH(X84)+1),VLOOKUP(YEAR(X84),INPC!$B$4:$P$30,MONTH(X84)+2,0)))</f>
        <v>120.15900000000001</v>
      </c>
      <c r="R84" s="309">
        <f t="shared" si="23"/>
        <v>1.071</v>
      </c>
      <c r="S84" s="310">
        <f t="shared" si="32"/>
        <v>3083627.4792267224</v>
      </c>
      <c r="T84" s="547">
        <f t="shared" si="33"/>
        <v>123.61210130789395</v>
      </c>
      <c r="U84" s="311"/>
      <c r="V84" s="312">
        <v>24946</v>
      </c>
      <c r="W84" s="299" t="s">
        <v>194</v>
      </c>
      <c r="X84" s="300">
        <v>44671</v>
      </c>
      <c r="Y84" s="299" t="s">
        <v>59</v>
      </c>
      <c r="Z84" s="303">
        <v>131101.20815618435</v>
      </c>
      <c r="AA84" s="305">
        <f>IF(Z84=0,0,IF(Y84="MXN",1/HLOOKUP(YEAR(X84)+(MONTH(X84)/100),TC!$5:$37,DAY(X84)+2,FALSE),VLOOKUP(Y84,Equivalencia!$1:$23,((MAX(Equivalencia!$3:$3)-YEAR(X84))*14)+MONTH(X84)+2,FALSE)))</f>
        <v>1</v>
      </c>
      <c r="AB84" s="306">
        <f t="shared" si="34"/>
        <v>131101.20815618435</v>
      </c>
      <c r="AC84" s="305">
        <f>+IF(X84=0,0,HLOOKUP(YEAR(X84)+(MONTH(X84)/100),TC!$5:$37,DAY(X84)+2,FALSE))</f>
        <v>19.9377</v>
      </c>
      <c r="AD84" s="307">
        <f t="shared" si="35"/>
        <v>2613856.5578555567</v>
      </c>
      <c r="AE84" s="314">
        <f t="shared" si="24"/>
        <v>3083627.4792267224</v>
      </c>
      <c r="AF84" s="315">
        <f t="shared" si="25"/>
        <v>-469770.92137116566</v>
      </c>
      <c r="AG84" s="316">
        <f t="shared" si="26"/>
        <v>1.010958904109589</v>
      </c>
      <c r="AH84" s="314">
        <v>1</v>
      </c>
      <c r="AI84" s="314">
        <f t="shared" si="27"/>
        <v>-469770.92137116566</v>
      </c>
      <c r="AJ84" s="314">
        <f t="shared" si="36"/>
        <v>0</v>
      </c>
      <c r="AK84" s="317"/>
      <c r="AL84" s="315">
        <f t="shared" si="28"/>
        <v>-12440.567345386487</v>
      </c>
      <c r="AN84" s="546">
        <f t="shared" si="29"/>
        <v>-8.6668618260544963E-2</v>
      </c>
      <c r="AO84" s="314"/>
      <c r="AP84" s="318"/>
    </row>
    <row r="85" spans="2:42">
      <c r="B85" s="296" t="s">
        <v>953</v>
      </c>
      <c r="C85" s="299" t="s">
        <v>276</v>
      </c>
      <c r="D85" s="298" t="s">
        <v>720</v>
      </c>
      <c r="E85" s="299" t="s">
        <v>113</v>
      </c>
      <c r="F85" s="299" t="s">
        <v>59</v>
      </c>
      <c r="G85" s="300">
        <v>44370</v>
      </c>
      <c r="H85" s="303">
        <v>35077.9</v>
      </c>
      <c r="I85" s="301" t="str">
        <f t="shared" si="20"/>
        <v>Ingresos Sección II LISR (SIC &amp; BMV)</v>
      </c>
      <c r="J85" s="302">
        <f t="shared" si="30"/>
        <v>6057</v>
      </c>
      <c r="K85" s="304">
        <f t="shared" si="21"/>
        <v>5.7912993230972427</v>
      </c>
      <c r="L85" s="305">
        <f>IF(H85=0,0,IF(OR(E85=$AT$5,E85=$AT$6),AA85,IF(F85="MXN",1/HLOOKUP(YEAR(G85)+(MONTH(G85)/100),TC!$5:$37,DAY(G85)+2,FALSE),VLOOKUP(F85,Equivalencia!$5:$23,((MAX(Equivalencia!$3:$3)-YEAR(G85))*14)+MONTH(G85)+2,FALSE))))</f>
        <v>1</v>
      </c>
      <c r="M85" s="306">
        <f t="shared" si="22"/>
        <v>35077.9</v>
      </c>
      <c r="N85" s="305">
        <f>IF(G85=0,0,(IF(OR(E85=$AT$5,E85=$AT$6),AC85,HLOOKUP(YEAR(G85)+(MONTH(G85)/100),TC!$5:$37,DAY(G85)+2,FALSE))))</f>
        <v>20.6</v>
      </c>
      <c r="O85" s="307">
        <f t="shared" si="31"/>
        <v>722604.74000000011</v>
      </c>
      <c r="P85" s="552">
        <f>IF(G85=0,0,VLOOKUP(YEAR(G85),INPC!$B$4:$P$30,MONTH(G85)+2))</f>
        <v>113.018</v>
      </c>
      <c r="Q85" s="552">
        <f>IF(X85=0,0,IF(OR(E85=$AT$10,E85=$AT$9),VLOOKUP(YEAR(X85),INPC!$B$4:$P$30,MONTH(X85)+1),VLOOKUP(YEAR(X85),INPC!$B$4:$P$30,MONTH(X85)+2,0)))</f>
        <v>120.15900000000001</v>
      </c>
      <c r="R85" s="309">
        <f t="shared" si="23"/>
        <v>1.0630999999999999</v>
      </c>
      <c r="S85" s="310">
        <f t="shared" si="32"/>
        <v>768201.09909400006</v>
      </c>
      <c r="T85" s="547">
        <f t="shared" si="33"/>
        <v>126.82864439392439</v>
      </c>
      <c r="U85" s="311"/>
      <c r="V85" s="312">
        <v>6057</v>
      </c>
      <c r="W85" s="299" t="s">
        <v>194</v>
      </c>
      <c r="X85" s="300">
        <v>44671</v>
      </c>
      <c r="Y85" s="299" t="s">
        <v>59</v>
      </c>
      <c r="Z85" s="303">
        <v>31831.957740800473</v>
      </c>
      <c r="AA85" s="305">
        <f>IF(Z85=0,0,IF(Y85="MXN",1/HLOOKUP(YEAR(X85)+(MONTH(X85)/100),TC!$5:$37,DAY(X85)+2,FALSE),VLOOKUP(Y85,Equivalencia!$1:$23,((MAX(Equivalencia!$3:$3)-YEAR(X85))*14)+MONTH(X85)+2,FALSE)))</f>
        <v>1</v>
      </c>
      <c r="AB85" s="306">
        <f t="shared" si="34"/>
        <v>31831.957740800473</v>
      </c>
      <c r="AC85" s="305">
        <f>+IF(X85=0,0,HLOOKUP(YEAR(X85)+(MONTH(X85)/100),TC!$5:$37,DAY(X85)+2,FALSE))</f>
        <v>19.9377</v>
      </c>
      <c r="AD85" s="307">
        <f t="shared" si="35"/>
        <v>634656.02384875761</v>
      </c>
      <c r="AE85" s="314">
        <f t="shared" si="24"/>
        <v>768201.09909400006</v>
      </c>
      <c r="AF85" s="315">
        <f t="shared" si="25"/>
        <v>-133545.07524524245</v>
      </c>
      <c r="AG85" s="316">
        <f t="shared" si="26"/>
        <v>0.8246575342465754</v>
      </c>
      <c r="AH85" s="314">
        <v>1</v>
      </c>
      <c r="AI85" s="314">
        <f t="shared" si="27"/>
        <v>-133545.07524524245</v>
      </c>
      <c r="AJ85" s="314">
        <f t="shared" si="36"/>
        <v>0</v>
      </c>
      <c r="AK85" s="317"/>
      <c r="AL85" s="315">
        <f t="shared" si="28"/>
        <v>-3245.9422591995281</v>
      </c>
      <c r="AN85" s="546">
        <f t="shared" si="29"/>
        <v>-9.2535250377004552E-2</v>
      </c>
      <c r="AO85" s="314"/>
      <c r="AP85" s="318"/>
    </row>
    <row r="86" spans="2:42">
      <c r="B86" s="296" t="s">
        <v>953</v>
      </c>
      <c r="C86" s="299" t="s">
        <v>276</v>
      </c>
      <c r="D86" s="298" t="s">
        <v>720</v>
      </c>
      <c r="E86" s="299" t="s">
        <v>113</v>
      </c>
      <c r="F86" s="299" t="s">
        <v>59</v>
      </c>
      <c r="G86" s="300">
        <v>44441</v>
      </c>
      <c r="H86" s="303">
        <v>28985.8</v>
      </c>
      <c r="I86" s="301" t="str">
        <f t="shared" si="20"/>
        <v>Ingresos Sección II LISR (SIC &amp; BMV)</v>
      </c>
      <c r="J86" s="302">
        <f t="shared" si="30"/>
        <v>4949</v>
      </c>
      <c r="K86" s="304">
        <f t="shared" si="21"/>
        <v>5.8569003839159421</v>
      </c>
      <c r="L86" s="305">
        <f>IF(H86=0,0,IF(OR(E86=$AT$5,E86=$AT$6),AA86,IF(F86="MXN",1/HLOOKUP(YEAR(G86)+(MONTH(G86)/100),TC!$5:$37,DAY(G86)+2,FALSE),VLOOKUP(F86,Equivalencia!$5:$23,((MAX(Equivalencia!$3:$3)-YEAR(G86))*14)+MONTH(G86)+2,FALSE))))</f>
        <v>1</v>
      </c>
      <c r="M86" s="306">
        <f t="shared" si="22"/>
        <v>28985.8</v>
      </c>
      <c r="N86" s="305">
        <f>IF(G86=0,0,(IF(OR(E86=$AT$5,E86=$AT$6),AC86,HLOOKUP(YEAR(G86)+(MONTH(G86)/100),TC!$5:$37,DAY(G86)+2,FALSE))))</f>
        <v>20.060500000000001</v>
      </c>
      <c r="O86" s="307">
        <f t="shared" si="31"/>
        <v>581469.6409</v>
      </c>
      <c r="P86" s="552">
        <f>IF(G86=0,0,VLOOKUP(YEAR(G86),INPC!$B$4:$P$30,MONTH(G86)+2))</f>
        <v>114.601</v>
      </c>
      <c r="Q86" s="552">
        <f>IF(X86=0,0,IF(OR(E86=$AT$10,E86=$AT$9),VLOOKUP(YEAR(X86),INPC!$B$4:$P$30,MONTH(X86)+1),VLOOKUP(YEAR(X86),INPC!$B$4:$P$30,MONTH(X86)+2,0)))</f>
        <v>120.15900000000001</v>
      </c>
      <c r="R86" s="309">
        <f t="shared" si="23"/>
        <v>1.0484</v>
      </c>
      <c r="S86" s="310">
        <f t="shared" si="32"/>
        <v>609612.77151956002</v>
      </c>
      <c r="T86" s="547">
        <f t="shared" si="33"/>
        <v>123.17897989888058</v>
      </c>
      <c r="U86" s="311"/>
      <c r="V86" s="312">
        <v>4949</v>
      </c>
      <c r="W86" s="299" t="s">
        <v>194</v>
      </c>
      <c r="X86" s="300">
        <v>44671</v>
      </c>
      <c r="Y86" s="299" t="s">
        <v>59</v>
      </c>
      <c r="Z86" s="303">
        <v>26008.974551629773</v>
      </c>
      <c r="AA86" s="305">
        <f>IF(Z86=0,0,IF(Y86="MXN",1/HLOOKUP(YEAR(X86)+(MONTH(X86)/100),TC!$5:$37,DAY(X86)+2,FALSE),VLOOKUP(Y86,Equivalencia!$1:$23,((MAX(Equivalencia!$3:$3)-YEAR(X86))*14)+MONTH(X86)+2,FALSE)))</f>
        <v>1</v>
      </c>
      <c r="AB86" s="306">
        <f t="shared" si="34"/>
        <v>26008.974551629773</v>
      </c>
      <c r="AC86" s="305">
        <f>+IF(X86=0,0,HLOOKUP(YEAR(X86)+(MONTH(X86)/100),TC!$5:$37,DAY(X86)+2,FALSE))</f>
        <v>19.9377</v>
      </c>
      <c r="AD86" s="307">
        <f t="shared" si="35"/>
        <v>518559.13191802893</v>
      </c>
      <c r="AE86" s="314">
        <f t="shared" si="24"/>
        <v>609612.77151956002</v>
      </c>
      <c r="AF86" s="315">
        <f t="shared" si="25"/>
        <v>-91053.639601531089</v>
      </c>
      <c r="AG86" s="316">
        <f t="shared" si="26"/>
        <v>0.63013698630136983</v>
      </c>
      <c r="AH86" s="314">
        <v>1</v>
      </c>
      <c r="AI86" s="314">
        <f t="shared" si="27"/>
        <v>-91053.639601531089</v>
      </c>
      <c r="AJ86" s="314">
        <f t="shared" si="36"/>
        <v>0</v>
      </c>
      <c r="AK86" s="317"/>
      <c r="AL86" s="315">
        <f t="shared" si="28"/>
        <v>-2976.8254483702258</v>
      </c>
      <c r="AN86" s="546">
        <f t="shared" si="29"/>
        <v>-0.10269944070442168</v>
      </c>
      <c r="AO86" s="314"/>
      <c r="AP86" s="318"/>
    </row>
    <row r="87" spans="2:42">
      <c r="B87" s="296" t="s">
        <v>953</v>
      </c>
      <c r="C87" s="299" t="s">
        <v>276</v>
      </c>
      <c r="D87" s="298" t="s">
        <v>720</v>
      </c>
      <c r="E87" s="299" t="s">
        <v>113</v>
      </c>
      <c r="F87" s="299" t="s">
        <v>59</v>
      </c>
      <c r="G87" s="300">
        <v>44491</v>
      </c>
      <c r="H87" s="303">
        <v>28673.119999999999</v>
      </c>
      <c r="I87" s="301" t="str">
        <f t="shared" si="20"/>
        <v>Ingresos Sección II LISR (SIC &amp; BMV)</v>
      </c>
      <c r="J87" s="302">
        <f t="shared" si="30"/>
        <v>4974</v>
      </c>
      <c r="K87" s="304">
        <f t="shared" si="21"/>
        <v>5.7645999195818254</v>
      </c>
      <c r="L87" s="305">
        <f>IF(H87=0,0,IF(OR(E87=$AT$5,E87=$AT$6),AA87,IF(F87="MXN",1/HLOOKUP(YEAR(G87)+(MONTH(G87)/100),TC!$5:$37,DAY(G87)+2,FALSE),VLOOKUP(F87,Equivalencia!$5:$23,((MAX(Equivalencia!$3:$3)-YEAR(G87))*14)+MONTH(G87)+2,FALSE))))</f>
        <v>1</v>
      </c>
      <c r="M87" s="306">
        <f t="shared" si="22"/>
        <v>28673.119999999999</v>
      </c>
      <c r="N87" s="305">
        <f>IF(G87=0,0,(IF(OR(E87=$AT$5,E87=$AT$6),AC87,HLOOKUP(YEAR(G87)+(MONTH(G87)/100),TC!$5:$37,DAY(G87)+2,FALSE))))</f>
        <v>20.184999999999999</v>
      </c>
      <c r="O87" s="307">
        <f t="shared" si="31"/>
        <v>578766.92719999992</v>
      </c>
      <c r="P87" s="552">
        <f>IF(G87=0,0,VLOOKUP(YEAR(G87),INPC!$B$4:$P$30,MONTH(G87)+2))</f>
        <v>115.56100000000001</v>
      </c>
      <c r="Q87" s="552">
        <f>IF(X87=0,0,IF(OR(E87=$AT$10,E87=$AT$9),VLOOKUP(YEAR(X87),INPC!$B$4:$P$30,MONTH(X87)+1),VLOOKUP(YEAR(X87),INPC!$B$4:$P$30,MONTH(X87)+2,0)))</f>
        <v>120.15900000000001</v>
      </c>
      <c r="R87" s="309">
        <f t="shared" si="23"/>
        <v>1.0397000000000001</v>
      </c>
      <c r="S87" s="310">
        <f t="shared" si="32"/>
        <v>601743.97420983994</v>
      </c>
      <c r="T87" s="547">
        <f t="shared" si="33"/>
        <v>120.97787981701647</v>
      </c>
      <c r="U87" s="311"/>
      <c r="V87" s="312">
        <v>4974</v>
      </c>
      <c r="W87" s="299" t="s">
        <v>194</v>
      </c>
      <c r="X87" s="300">
        <v>44671</v>
      </c>
      <c r="Y87" s="299" t="s">
        <v>59</v>
      </c>
      <c r="Z87" s="303">
        <v>26140.359551385431</v>
      </c>
      <c r="AA87" s="305">
        <f>IF(Z87=0,0,IF(Y87="MXN",1/HLOOKUP(YEAR(X87)+(MONTH(X87)/100),TC!$5:$37,DAY(X87)+2,FALSE),VLOOKUP(Y87,Equivalencia!$1:$23,((MAX(Equivalencia!$3:$3)-YEAR(X87))*14)+MONTH(X87)+2,FALSE)))</f>
        <v>1</v>
      </c>
      <c r="AB87" s="306">
        <f t="shared" si="34"/>
        <v>26140.359551385431</v>
      </c>
      <c r="AC87" s="305">
        <f>+IF(X87=0,0,HLOOKUP(YEAR(X87)+(MONTH(X87)/100),TC!$5:$37,DAY(X87)+2,FALSE))</f>
        <v>19.9377</v>
      </c>
      <c r="AD87" s="307">
        <f t="shared" si="35"/>
        <v>521178.64662765729</v>
      </c>
      <c r="AE87" s="314">
        <f t="shared" si="24"/>
        <v>601743.97420983994</v>
      </c>
      <c r="AF87" s="315">
        <f t="shared" si="25"/>
        <v>-80565.327582182654</v>
      </c>
      <c r="AG87" s="316">
        <f t="shared" si="26"/>
        <v>0.49315068493150682</v>
      </c>
      <c r="AH87" s="314">
        <v>1</v>
      </c>
      <c r="AI87" s="314">
        <f t="shared" si="27"/>
        <v>-80565.327582182654</v>
      </c>
      <c r="AJ87" s="314">
        <f t="shared" si="36"/>
        <v>0</v>
      </c>
      <c r="AK87" s="317"/>
      <c r="AL87" s="315">
        <f t="shared" si="28"/>
        <v>-2532.7604486145683</v>
      </c>
      <c r="AN87" s="546">
        <f t="shared" si="29"/>
        <v>-8.8332223651090933E-2</v>
      </c>
      <c r="AO87" s="314"/>
      <c r="AP87" s="318"/>
    </row>
    <row r="88" spans="2:42">
      <c r="B88" s="296" t="s">
        <v>953</v>
      </c>
      <c r="C88" s="299" t="s">
        <v>276</v>
      </c>
      <c r="D88" s="298" t="s">
        <v>723</v>
      </c>
      <c r="E88" s="299" t="s">
        <v>113</v>
      </c>
      <c r="F88" s="299" t="s">
        <v>59</v>
      </c>
      <c r="G88" s="300">
        <v>44302</v>
      </c>
      <c r="H88" s="303">
        <v>18221.805969404966</v>
      </c>
      <c r="I88" s="301" t="str">
        <f t="shared" si="20"/>
        <v>Ingresos Sección II LISR (SIC &amp; BMV)</v>
      </c>
      <c r="J88" s="302">
        <f t="shared" si="30"/>
        <v>2980</v>
      </c>
      <c r="K88" s="304">
        <f t="shared" si="21"/>
        <v>6.1146999897332099</v>
      </c>
      <c r="L88" s="305">
        <f>IF(H88=0,0,IF(OR(E88=$AT$5,E88=$AT$6),AA88,IF(F88="MXN",1/HLOOKUP(YEAR(G88)+(MONTH(G88)/100),TC!$5:$37,DAY(G88)+2,FALSE),VLOOKUP(F88,Equivalencia!$5:$23,((MAX(Equivalencia!$3:$3)-YEAR(G88))*14)+MONTH(G88)+2,FALSE))))</f>
        <v>1</v>
      </c>
      <c r="M88" s="306">
        <f t="shared" si="22"/>
        <v>18221.805969404966</v>
      </c>
      <c r="N88" s="305">
        <f>IF(G88=0,0,(IF(OR(E88=$AT$5,E88=$AT$6),AC88,HLOOKUP(YEAR(G88)+(MONTH(G88)/100),TC!$5:$37,DAY(G88)+2,FALSE))))</f>
        <v>20.058299999999999</v>
      </c>
      <c r="O88" s="307">
        <f t="shared" si="31"/>
        <v>365498.45067611564</v>
      </c>
      <c r="P88" s="552">
        <f>IF(G88=0,0,VLOOKUP(YEAR(G88),INPC!$B$4:$P$30,MONTH(G88)+2))</f>
        <v>112.19</v>
      </c>
      <c r="Q88" s="552">
        <f>IF(X88=0,0,IF(OR(E88=$AT$10,E88=$AT$9),VLOOKUP(YEAR(X88),INPC!$B$4:$P$30,MONTH(X88)+1),VLOOKUP(YEAR(X88),INPC!$B$4:$P$30,MONTH(X88)+2,0)))</f>
        <v>120.15900000000001</v>
      </c>
      <c r="R88" s="309">
        <f t="shared" si="23"/>
        <v>1.071</v>
      </c>
      <c r="S88" s="310">
        <f t="shared" si="32"/>
        <v>391448.84067411983</v>
      </c>
      <c r="T88" s="547">
        <f t="shared" si="33"/>
        <v>131.3586713671543</v>
      </c>
      <c r="U88" s="311"/>
      <c r="V88" s="312">
        <v>2980</v>
      </c>
      <c r="W88" s="299" t="s">
        <v>194</v>
      </c>
      <c r="X88" s="300">
        <v>44671</v>
      </c>
      <c r="Y88" s="299" t="s">
        <v>59</v>
      </c>
      <c r="Z88" s="303">
        <v>17483.96</v>
      </c>
      <c r="AA88" s="305">
        <f>IF(Z88=0,0,IF(Y88="MXN",1/HLOOKUP(YEAR(X88)+(MONTH(X88)/100),TC!$5:$37,DAY(X88)+2,FALSE),VLOOKUP(Y88,Equivalencia!$1:$23,((MAX(Equivalencia!$3:$3)-YEAR(X88))*14)+MONTH(X88)+2,FALSE)))</f>
        <v>1</v>
      </c>
      <c r="AB88" s="306">
        <f t="shared" si="34"/>
        <v>17483.96</v>
      </c>
      <c r="AC88" s="305">
        <f>+IF(X88=0,0,HLOOKUP(YEAR(X88)+(MONTH(X88)/100),TC!$5:$37,DAY(X88)+2,FALSE))</f>
        <v>19.9377</v>
      </c>
      <c r="AD88" s="307">
        <f t="shared" si="35"/>
        <v>348589.94929199998</v>
      </c>
      <c r="AE88" s="314">
        <f t="shared" si="24"/>
        <v>391448.84067411983</v>
      </c>
      <c r="AF88" s="315">
        <f t="shared" si="25"/>
        <v>-42858.891382119851</v>
      </c>
      <c r="AG88" s="316">
        <f t="shared" si="26"/>
        <v>1.010958904109589</v>
      </c>
      <c r="AH88" s="314">
        <v>1</v>
      </c>
      <c r="AI88" s="314">
        <f t="shared" si="27"/>
        <v>-42858.891382119851</v>
      </c>
      <c r="AJ88" s="314">
        <f t="shared" si="36"/>
        <v>0</v>
      </c>
      <c r="AK88" s="317"/>
      <c r="AL88" s="315">
        <f t="shared" si="28"/>
        <v>-737.84596940496704</v>
      </c>
      <c r="AN88" s="546">
        <f t="shared" si="29"/>
        <v>-4.0492472076798292E-2</v>
      </c>
      <c r="AO88" s="314"/>
      <c r="AP88" s="318"/>
    </row>
    <row r="89" spans="2:42">
      <c r="B89" s="296" t="s">
        <v>953</v>
      </c>
      <c r="C89" s="299" t="s">
        <v>276</v>
      </c>
      <c r="D89" s="298" t="s">
        <v>723</v>
      </c>
      <c r="E89" s="299" t="s">
        <v>113</v>
      </c>
      <c r="F89" s="299" t="s">
        <v>59</v>
      </c>
      <c r="G89" s="300">
        <v>44302</v>
      </c>
      <c r="H89" s="303">
        <v>232138.47041023159</v>
      </c>
      <c r="I89" s="301" t="str">
        <f t="shared" si="20"/>
        <v>Ingresos Sección II LISR (SIC &amp; BMV)</v>
      </c>
      <c r="J89" s="302">
        <f t="shared" si="30"/>
        <v>37964</v>
      </c>
      <c r="K89" s="304">
        <f t="shared" si="21"/>
        <v>6.1146999897332099</v>
      </c>
      <c r="L89" s="305">
        <f>IF(H89=0,0,IF(OR(E89=$AT$5,E89=$AT$6),AA89,IF(F89="MXN",1/HLOOKUP(YEAR(G89)+(MONTH(G89)/100),TC!$5:$37,DAY(G89)+2,FALSE),VLOOKUP(F89,Equivalencia!$5:$23,((MAX(Equivalencia!$3:$3)-YEAR(G89))*14)+MONTH(G89)+2,FALSE))))</f>
        <v>1</v>
      </c>
      <c r="M89" s="306">
        <f t="shared" si="22"/>
        <v>232138.47041023159</v>
      </c>
      <c r="N89" s="305">
        <f>IF(G89=0,0,(IF(OR(E89=$AT$5,E89=$AT$6),AC89,HLOOKUP(YEAR(G89)+(MONTH(G89)/100),TC!$5:$37,DAY(G89)+2,FALSE))))</f>
        <v>20.058299999999999</v>
      </c>
      <c r="O89" s="307">
        <f t="shared" si="31"/>
        <v>4656303.0810295483</v>
      </c>
      <c r="P89" s="552">
        <f>IF(G89=0,0,VLOOKUP(YEAR(G89),INPC!$B$4:$P$30,MONTH(G89)+2))</f>
        <v>112.19</v>
      </c>
      <c r="Q89" s="552">
        <f>IF(X89=0,0,IF(OR(E89=$AT$10,E89=$AT$9),VLOOKUP(YEAR(X89),INPC!$B$4:$P$30,MONTH(X89)+1),VLOOKUP(YEAR(X89),INPC!$B$4:$P$30,MONTH(X89)+2,0)))</f>
        <v>122.044</v>
      </c>
      <c r="R89" s="309">
        <f t="shared" si="23"/>
        <v>1.0878000000000001</v>
      </c>
      <c r="S89" s="310">
        <f t="shared" si="32"/>
        <v>5065126.4915439431</v>
      </c>
      <c r="T89" s="547">
        <f t="shared" si="33"/>
        <v>133.41919954546262</v>
      </c>
      <c r="U89" s="311"/>
      <c r="V89" s="312">
        <v>37964</v>
      </c>
      <c r="W89" s="299" t="s">
        <v>194</v>
      </c>
      <c r="X89" s="300">
        <v>44769</v>
      </c>
      <c r="Y89" s="299" t="s">
        <v>59</v>
      </c>
      <c r="Z89" s="303">
        <v>218349.94497470339</v>
      </c>
      <c r="AA89" s="305">
        <f>IF(Z89=0,0,IF(Y89="MXN",1/HLOOKUP(YEAR(X89)+(MONTH(X89)/100),TC!$5:$37,DAY(X89)+2,FALSE),VLOOKUP(Y89,Equivalencia!$1:$23,((MAX(Equivalencia!$3:$3)-YEAR(X89))*14)+MONTH(X89)+2,FALSE)))</f>
        <v>1</v>
      </c>
      <c r="AB89" s="306">
        <f t="shared" si="34"/>
        <v>218349.94497470339</v>
      </c>
      <c r="AC89" s="305">
        <f>+IF(X89=0,0,HLOOKUP(YEAR(X89)+(MONTH(X89)/100),TC!$5:$37,DAY(X89)+2,FALSE))</f>
        <v>20.465199999999999</v>
      </c>
      <c r="AD89" s="307">
        <f t="shared" si="35"/>
        <v>4468575.2938962998</v>
      </c>
      <c r="AE89" s="314">
        <f t="shared" si="24"/>
        <v>5065126.4915439431</v>
      </c>
      <c r="AF89" s="315">
        <f t="shared" si="25"/>
        <v>-596551.19764764328</v>
      </c>
      <c r="AG89" s="316">
        <f t="shared" si="26"/>
        <v>1.2794520547945205</v>
      </c>
      <c r="AH89" s="314">
        <v>1</v>
      </c>
      <c r="AI89" s="314">
        <f t="shared" si="27"/>
        <v>-596551.19764764328</v>
      </c>
      <c r="AJ89" s="314">
        <f t="shared" si="36"/>
        <v>0</v>
      </c>
      <c r="AK89" s="317"/>
      <c r="AL89" s="315">
        <f t="shared" si="28"/>
        <v>-13788.525435528194</v>
      </c>
      <c r="AN89" s="546">
        <f t="shared" si="29"/>
        <v>-5.9397847376013641E-2</v>
      </c>
      <c r="AO89" s="314"/>
      <c r="AP89" s="318"/>
    </row>
    <row r="90" spans="2:42">
      <c r="B90" s="296" t="s">
        <v>953</v>
      </c>
      <c r="C90" s="299" t="s">
        <v>276</v>
      </c>
      <c r="D90" s="298" t="s">
        <v>723</v>
      </c>
      <c r="E90" s="299" t="s">
        <v>113</v>
      </c>
      <c r="F90" s="299" t="s">
        <v>59</v>
      </c>
      <c r="G90" s="300">
        <v>44441</v>
      </c>
      <c r="H90" s="303">
        <v>436743.9</v>
      </c>
      <c r="I90" s="301" t="str">
        <f t="shared" si="20"/>
        <v>Ingresos Sección II LISR (SIC &amp; BMV)</v>
      </c>
      <c r="J90" s="302">
        <f t="shared" si="30"/>
        <v>69744</v>
      </c>
      <c r="K90" s="304">
        <f t="shared" si="21"/>
        <v>6.2620999655884377</v>
      </c>
      <c r="L90" s="305">
        <f>IF(H90=0,0,IF(OR(E90=$AT$5,E90=$AT$6),AA90,IF(F90="MXN",1/HLOOKUP(YEAR(G90)+(MONTH(G90)/100),TC!$5:$37,DAY(G90)+2,FALSE),VLOOKUP(F90,Equivalencia!$5:$23,((MAX(Equivalencia!$3:$3)-YEAR(G90))*14)+MONTH(G90)+2,FALSE))))</f>
        <v>1</v>
      </c>
      <c r="M90" s="306">
        <f t="shared" si="22"/>
        <v>436743.9</v>
      </c>
      <c r="N90" s="305">
        <f>IF(G90=0,0,(IF(OR(E90=$AT$5,E90=$AT$6),AC90,HLOOKUP(YEAR(G90)+(MONTH(G90)/100),TC!$5:$37,DAY(G90)+2,FALSE))))</f>
        <v>20.060500000000001</v>
      </c>
      <c r="O90" s="307">
        <f t="shared" si="31"/>
        <v>8761301.0059500001</v>
      </c>
      <c r="P90" s="552">
        <f>IF(G90=0,0,VLOOKUP(YEAR(G90),INPC!$B$4:$P$30,MONTH(G90)+2))</f>
        <v>114.601</v>
      </c>
      <c r="Q90" s="552">
        <f>IF(X90=0,0,IF(OR(E90=$AT$10,E90=$AT$9),VLOOKUP(YEAR(X90),INPC!$B$4:$P$30,MONTH(X90)+1),VLOOKUP(YEAR(X90),INPC!$B$4:$P$30,MONTH(X90)+2,0)))</f>
        <v>122.044</v>
      </c>
      <c r="R90" s="309">
        <f t="shared" si="23"/>
        <v>1.0649</v>
      </c>
      <c r="S90" s="310">
        <f t="shared" si="32"/>
        <v>9329909.4412361551</v>
      </c>
      <c r="T90" s="547">
        <f t="shared" si="33"/>
        <v>133.77364993743052</v>
      </c>
      <c r="U90" s="311"/>
      <c r="V90" s="312">
        <v>69744</v>
      </c>
      <c r="W90" s="299" t="s">
        <v>194</v>
      </c>
      <c r="X90" s="300">
        <v>44769</v>
      </c>
      <c r="Y90" s="299" t="s">
        <v>59</v>
      </c>
      <c r="Z90" s="303">
        <v>401132.61411641852</v>
      </c>
      <c r="AA90" s="305">
        <f>IF(Z90=0,0,IF(Y90="MXN",1/HLOOKUP(YEAR(X90)+(MONTH(X90)/100),TC!$5:$37,DAY(X90)+2,FALSE),VLOOKUP(Y90,Equivalencia!$1:$23,((MAX(Equivalencia!$3:$3)-YEAR(X90))*14)+MONTH(X90)+2,FALSE)))</f>
        <v>1</v>
      </c>
      <c r="AB90" s="306">
        <f t="shared" si="34"/>
        <v>401132.61411641852</v>
      </c>
      <c r="AC90" s="305">
        <f>+IF(X90=0,0,HLOOKUP(YEAR(X90)+(MONTH(X90)/100),TC!$5:$37,DAY(X90)+2,FALSE))</f>
        <v>20.465199999999999</v>
      </c>
      <c r="AD90" s="307">
        <f t="shared" si="35"/>
        <v>8209259.1744153285</v>
      </c>
      <c r="AE90" s="314">
        <f t="shared" si="24"/>
        <v>9329909.4412361532</v>
      </c>
      <c r="AF90" s="315">
        <f t="shared" si="25"/>
        <v>-1120650.2668208247</v>
      </c>
      <c r="AG90" s="316">
        <f t="shared" si="26"/>
        <v>0.89863013698630134</v>
      </c>
      <c r="AH90" s="314">
        <v>1</v>
      </c>
      <c r="AI90" s="314">
        <f t="shared" si="27"/>
        <v>-1120650.2668208247</v>
      </c>
      <c r="AJ90" s="314">
        <f t="shared" si="36"/>
        <v>0</v>
      </c>
      <c r="AK90" s="317"/>
      <c r="AL90" s="315">
        <f t="shared" si="28"/>
        <v>-35611.285883581499</v>
      </c>
      <c r="AN90" s="546">
        <f t="shared" si="29"/>
        <v>-8.1538141422425131E-2</v>
      </c>
      <c r="AO90" s="314"/>
      <c r="AP90" s="318"/>
    </row>
    <row r="91" spans="2:42">
      <c r="B91" s="296" t="s">
        <v>953</v>
      </c>
      <c r="C91" s="299" t="s">
        <v>276</v>
      </c>
      <c r="D91" s="298" t="s">
        <v>723</v>
      </c>
      <c r="E91" s="299" t="s">
        <v>113</v>
      </c>
      <c r="F91" s="299" t="s">
        <v>59</v>
      </c>
      <c r="G91" s="300">
        <v>44491</v>
      </c>
      <c r="H91" s="303">
        <v>20976.5</v>
      </c>
      <c r="I91" s="301" t="str">
        <f t="shared" si="20"/>
        <v>Ingresos Sección II LISR (SIC &amp; BMV)</v>
      </c>
      <c r="J91" s="302">
        <f t="shared" si="30"/>
        <v>3374</v>
      </c>
      <c r="K91" s="304">
        <f t="shared" si="21"/>
        <v>6.2171013633669236</v>
      </c>
      <c r="L91" s="305">
        <f>IF(H91=0,0,IF(OR(E91=$AT$5,E91=$AT$6),AA91,IF(F91="MXN",1/HLOOKUP(YEAR(G91)+(MONTH(G91)/100),TC!$5:$37,DAY(G91)+2,FALSE),VLOOKUP(F91,Equivalencia!$5:$23,((MAX(Equivalencia!$3:$3)-YEAR(G91))*14)+MONTH(G91)+2,FALSE))))</f>
        <v>1</v>
      </c>
      <c r="M91" s="306">
        <f t="shared" si="22"/>
        <v>20976.5</v>
      </c>
      <c r="N91" s="305">
        <f>IF(G91=0,0,(IF(OR(E91=$AT$5,E91=$AT$6),AC91,HLOOKUP(YEAR(G91)+(MONTH(G91)/100),TC!$5:$37,DAY(G91)+2,FALSE))))</f>
        <v>20.184999999999999</v>
      </c>
      <c r="O91" s="307">
        <f t="shared" si="31"/>
        <v>423410.65249999997</v>
      </c>
      <c r="P91" s="552">
        <f>IF(G91=0,0,VLOOKUP(YEAR(G91),INPC!$B$4:$P$30,MONTH(G91)+2))</f>
        <v>115.56100000000001</v>
      </c>
      <c r="Q91" s="552">
        <f>IF(X91=0,0,IF(OR(E91=$AT$10,E91=$AT$9),VLOOKUP(YEAR(X91),INPC!$B$4:$P$30,MONTH(X91)+1),VLOOKUP(YEAR(X91),INPC!$B$4:$P$30,MONTH(X91)+2,0)))</f>
        <v>122.044</v>
      </c>
      <c r="R91" s="309">
        <f t="shared" si="23"/>
        <v>1.0561</v>
      </c>
      <c r="S91" s="310">
        <f t="shared" si="32"/>
        <v>447163.99010524998</v>
      </c>
      <c r="T91" s="547">
        <f t="shared" si="33"/>
        <v>132.53230293575874</v>
      </c>
      <c r="U91" s="311"/>
      <c r="V91" s="312">
        <v>3374</v>
      </c>
      <c r="W91" s="299" t="s">
        <v>194</v>
      </c>
      <c r="X91" s="300">
        <v>44769</v>
      </c>
      <c r="Y91" s="299" t="s">
        <v>59</v>
      </c>
      <c r="Z91" s="303">
        <v>19405.560908878128</v>
      </c>
      <c r="AA91" s="305">
        <f>IF(Z91=0,0,IF(Y91="MXN",1/HLOOKUP(YEAR(X91)+(MONTH(X91)/100),TC!$5:$37,DAY(X91)+2,FALSE),VLOOKUP(Y91,Equivalencia!$1:$23,((MAX(Equivalencia!$3:$3)-YEAR(X91))*14)+MONTH(X91)+2,FALSE)))</f>
        <v>1</v>
      </c>
      <c r="AB91" s="306">
        <f t="shared" si="34"/>
        <v>19405.560908878128</v>
      </c>
      <c r="AC91" s="305">
        <f>+IF(X91=0,0,HLOOKUP(YEAR(X91)+(MONTH(X91)/100),TC!$5:$37,DAY(X91)+2,FALSE))</f>
        <v>20.465199999999999</v>
      </c>
      <c r="AD91" s="307">
        <f t="shared" si="35"/>
        <v>397138.68511237262</v>
      </c>
      <c r="AE91" s="314">
        <f t="shared" si="24"/>
        <v>447163.99010524998</v>
      </c>
      <c r="AF91" s="315">
        <f t="shared" si="25"/>
        <v>-50025.304992877354</v>
      </c>
      <c r="AG91" s="316">
        <f t="shared" si="26"/>
        <v>0.76164383561643834</v>
      </c>
      <c r="AH91" s="314">
        <v>1</v>
      </c>
      <c r="AI91" s="314">
        <f t="shared" si="27"/>
        <v>-50025.304992877354</v>
      </c>
      <c r="AJ91" s="314">
        <f t="shared" si="36"/>
        <v>0</v>
      </c>
      <c r="AK91" s="317"/>
      <c r="AL91" s="315">
        <f t="shared" si="28"/>
        <v>-1570.9390911218725</v>
      </c>
      <c r="AN91" s="546">
        <f t="shared" si="29"/>
        <v>-7.4890429343402024E-2</v>
      </c>
      <c r="AO91" s="314"/>
      <c r="AP91" s="318"/>
    </row>
    <row r="92" spans="2:42">
      <c r="B92" s="296" t="s">
        <v>953</v>
      </c>
      <c r="C92" s="299" t="s">
        <v>276</v>
      </c>
      <c r="D92" s="298" t="s">
        <v>729</v>
      </c>
      <c r="E92" s="299" t="s">
        <v>113</v>
      </c>
      <c r="F92" s="299" t="s">
        <v>59</v>
      </c>
      <c r="G92" s="300">
        <v>44603</v>
      </c>
      <c r="H92" s="303">
        <v>227917.46</v>
      </c>
      <c r="I92" s="301" t="str">
        <f t="shared" si="20"/>
        <v>Ingresos Sección II LISR (SIC &amp; BMV)</v>
      </c>
      <c r="J92" s="302">
        <f t="shared" si="30"/>
        <v>43074</v>
      </c>
      <c r="K92" s="304">
        <f t="shared" si="21"/>
        <v>5.2913000882202716</v>
      </c>
      <c r="L92" s="305">
        <f>IF(H92=0,0,IF(OR(E92=$AT$5,E92=$AT$6),AA92,IF(F92="MXN",1/HLOOKUP(YEAR(G92)+(MONTH(G92)/100),TC!$5:$37,DAY(G92)+2,FALSE),VLOOKUP(F92,Equivalencia!$5:$23,((MAX(Equivalencia!$3:$3)-YEAR(G92))*14)+MONTH(G92)+2,FALSE))))</f>
        <v>1</v>
      </c>
      <c r="M92" s="306">
        <f t="shared" si="22"/>
        <v>227917.46</v>
      </c>
      <c r="N92" s="305">
        <f>IF(G92=0,0,(IF(OR(E92=$AT$5,E92=$AT$6),AC92,HLOOKUP(YEAR(G92)+(MONTH(G92)/100),TC!$5:$37,DAY(G92)+2,FALSE))))</f>
        <v>20.500800000000002</v>
      </c>
      <c r="O92" s="307">
        <f t="shared" si="31"/>
        <v>4672490.2639680002</v>
      </c>
      <c r="P92" s="552">
        <f>IF(G92=0,0,VLOOKUP(YEAR(G92),INPC!$B$4:$P$30,MONTH(G92)+2))</f>
        <v>118.98099999999999</v>
      </c>
      <c r="Q92" s="552">
        <f>IF(X92=0,0,IF(OR(E92=$AT$10,E92=$AT$9),VLOOKUP(YEAR(X92),INPC!$B$4:$P$30,MONTH(X92)+1),VLOOKUP(YEAR(X92),INPC!$B$4:$P$30,MONTH(X92)+2,0)))</f>
        <v>120.15900000000001</v>
      </c>
      <c r="R92" s="309">
        <f t="shared" si="23"/>
        <v>1.0099</v>
      </c>
      <c r="S92" s="310">
        <f t="shared" si="32"/>
        <v>4718747.9175812835</v>
      </c>
      <c r="T92" s="547">
        <f t="shared" si="33"/>
        <v>109.54979610858716</v>
      </c>
      <c r="U92" s="311"/>
      <c r="V92" s="312">
        <v>43074</v>
      </c>
      <c r="W92" s="299" t="s">
        <v>194</v>
      </c>
      <c r="X92" s="300">
        <v>44671</v>
      </c>
      <c r="Y92" s="299" t="s">
        <v>59</v>
      </c>
      <c r="Z92" s="303">
        <v>227086.12999999998</v>
      </c>
      <c r="AA92" s="305">
        <f>IF(Z92=0,0,IF(Y92="MXN",1/HLOOKUP(YEAR(X92)+(MONTH(X92)/100),TC!$5:$37,DAY(X92)+2,FALSE),VLOOKUP(Y92,Equivalencia!$1:$23,((MAX(Equivalencia!$3:$3)-YEAR(X92))*14)+MONTH(X92)+2,FALSE)))</f>
        <v>1</v>
      </c>
      <c r="AB92" s="306">
        <f t="shared" si="34"/>
        <v>227086.12999999998</v>
      </c>
      <c r="AC92" s="305">
        <f>+IF(X92=0,0,HLOOKUP(YEAR(X92)+(MONTH(X92)/100),TC!$5:$37,DAY(X92)+2,FALSE))</f>
        <v>19.9377</v>
      </c>
      <c r="AD92" s="307">
        <f t="shared" si="35"/>
        <v>4527575.1341009997</v>
      </c>
      <c r="AE92" s="314">
        <f t="shared" si="24"/>
        <v>4718747.9175812835</v>
      </c>
      <c r="AF92" s="315">
        <f t="shared" si="25"/>
        <v>-191172.7834802838</v>
      </c>
      <c r="AG92" s="316">
        <f t="shared" si="26"/>
        <v>0.18630136986301371</v>
      </c>
      <c r="AH92" s="314">
        <v>1</v>
      </c>
      <c r="AI92" s="314">
        <f t="shared" si="27"/>
        <v>-191172.7834802838</v>
      </c>
      <c r="AJ92" s="314">
        <f t="shared" si="36"/>
        <v>0</v>
      </c>
      <c r="AK92" s="317"/>
      <c r="AL92" s="315">
        <f t="shared" si="28"/>
        <v>-831.3300000000163</v>
      </c>
      <c r="AN92" s="546">
        <f t="shared" si="29"/>
        <v>-3.6475046712086748E-3</v>
      </c>
      <c r="AO92" s="314"/>
      <c r="AP92" s="318"/>
    </row>
    <row r="93" spans="2:42">
      <c r="B93" s="296" t="s">
        <v>953</v>
      </c>
      <c r="C93" s="299" t="s">
        <v>276</v>
      </c>
      <c r="D93" s="298" t="s">
        <v>730</v>
      </c>
      <c r="E93" s="299" t="s">
        <v>113</v>
      </c>
      <c r="F93" s="299" t="s">
        <v>59</v>
      </c>
      <c r="G93" s="300">
        <v>44603</v>
      </c>
      <c r="H93" s="303">
        <v>15772.920454741869</v>
      </c>
      <c r="I93" s="301" t="str">
        <f t="shared" si="20"/>
        <v>Ingresos Sección II LISR (SIC &amp; BMV)</v>
      </c>
      <c r="J93" s="302">
        <f t="shared" si="30"/>
        <v>2956</v>
      </c>
      <c r="K93" s="304">
        <f t="shared" si="21"/>
        <v>5.3359000185188998</v>
      </c>
      <c r="L93" s="305">
        <f>IF(H93=0,0,IF(OR(E93=$AT$5,E93=$AT$6),AA93,IF(F93="MXN",1/HLOOKUP(YEAR(G93)+(MONTH(G93)/100),TC!$5:$37,DAY(G93)+2,FALSE),VLOOKUP(F93,Equivalencia!$5:$23,((MAX(Equivalencia!$3:$3)-YEAR(G93))*14)+MONTH(G93)+2,FALSE))))</f>
        <v>1</v>
      </c>
      <c r="M93" s="306">
        <f t="shared" si="22"/>
        <v>15772.920454741869</v>
      </c>
      <c r="N93" s="305">
        <f>IF(G93=0,0,(IF(OR(E93=$AT$5,E93=$AT$6),AC93,HLOOKUP(YEAR(G93)+(MONTH(G93)/100),TC!$5:$37,DAY(G93)+2,FALSE))))</f>
        <v>20.500800000000002</v>
      </c>
      <c r="O93" s="307">
        <f t="shared" si="31"/>
        <v>323357.48765857215</v>
      </c>
      <c r="P93" s="552">
        <f>IF(G93=0,0,VLOOKUP(YEAR(G93),INPC!$B$4:$P$30,MONTH(G93)+2))</f>
        <v>118.98099999999999</v>
      </c>
      <c r="Q93" s="552">
        <f>IF(X93=0,0,IF(OR(E93=$AT$10,E93=$AT$9),VLOOKUP(YEAR(X93),INPC!$B$4:$P$30,MONTH(X93)+1),VLOOKUP(YEAR(X93),INPC!$B$4:$P$30,MONTH(X93)+2,0)))</f>
        <v>120.15900000000001</v>
      </c>
      <c r="R93" s="309">
        <f t="shared" si="23"/>
        <v>1.0099</v>
      </c>
      <c r="S93" s="310">
        <f t="shared" si="32"/>
        <v>326558.72678639204</v>
      </c>
      <c r="T93" s="547">
        <f t="shared" si="33"/>
        <v>110.47318226873885</v>
      </c>
      <c r="U93" s="311"/>
      <c r="V93" s="312">
        <v>2956</v>
      </c>
      <c r="W93" s="299" t="s">
        <v>194</v>
      </c>
      <c r="X93" s="300">
        <v>44671</v>
      </c>
      <c r="Y93" s="299" t="s">
        <v>59</v>
      </c>
      <c r="Z93" s="303">
        <v>15721.19</v>
      </c>
      <c r="AA93" s="305">
        <f>IF(Z93=0,0,IF(Y93="MXN",1/HLOOKUP(YEAR(X93)+(MONTH(X93)/100),TC!$5:$37,DAY(X93)+2,FALSE),VLOOKUP(Y93,Equivalencia!$1:$23,((MAX(Equivalencia!$3:$3)-YEAR(X93))*14)+MONTH(X93)+2,FALSE)))</f>
        <v>1</v>
      </c>
      <c r="AB93" s="306">
        <f t="shared" si="34"/>
        <v>15721.19</v>
      </c>
      <c r="AC93" s="305">
        <f>+IF(X93=0,0,HLOOKUP(YEAR(X93)+(MONTH(X93)/100),TC!$5:$37,DAY(X93)+2,FALSE))</f>
        <v>19.9377</v>
      </c>
      <c r="AD93" s="307">
        <f t="shared" si="35"/>
        <v>313444.369863</v>
      </c>
      <c r="AE93" s="314">
        <f t="shared" si="24"/>
        <v>326558.72678639204</v>
      </c>
      <c r="AF93" s="315">
        <f t="shared" si="25"/>
        <v>-13114.356923392043</v>
      </c>
      <c r="AG93" s="316">
        <f t="shared" si="26"/>
        <v>0.18630136986301371</v>
      </c>
      <c r="AH93" s="314">
        <v>1</v>
      </c>
      <c r="AI93" s="314">
        <f t="shared" si="27"/>
        <v>-13114.356923392043</v>
      </c>
      <c r="AJ93" s="314">
        <f t="shared" si="36"/>
        <v>0</v>
      </c>
      <c r="AK93" s="317"/>
      <c r="AL93" s="315">
        <f t="shared" si="28"/>
        <v>-51.730454741868016</v>
      </c>
      <c r="AN93" s="546">
        <f t="shared" si="29"/>
        <v>-3.279700477175494E-3</v>
      </c>
      <c r="AO93" s="314"/>
      <c r="AP93" s="318"/>
    </row>
    <row r="94" spans="2:42">
      <c r="B94" s="296" t="s">
        <v>953</v>
      </c>
      <c r="C94" s="299" t="s">
        <v>276</v>
      </c>
      <c r="D94" s="298" t="s">
        <v>730</v>
      </c>
      <c r="E94" s="299" t="s">
        <v>113</v>
      </c>
      <c r="F94" s="299" t="s">
        <v>59</v>
      </c>
      <c r="G94" s="300">
        <v>44603</v>
      </c>
      <c r="H94" s="303">
        <v>87257.973002839572</v>
      </c>
      <c r="I94" s="301" t="str">
        <f t="shared" si="20"/>
        <v>Ingresos Sección II LISR (SIC &amp; BMV)</v>
      </c>
      <c r="J94" s="302">
        <f t="shared" si="30"/>
        <v>16353</v>
      </c>
      <c r="K94" s="304">
        <f t="shared" si="21"/>
        <v>5.3359000185188998</v>
      </c>
      <c r="L94" s="305">
        <f>IF(H94=0,0,IF(OR(E94=$AT$5,E94=$AT$6),AA94,IF(F94="MXN",1/HLOOKUP(YEAR(G94)+(MONTH(G94)/100),TC!$5:$37,DAY(G94)+2,FALSE),VLOOKUP(F94,Equivalencia!$5:$23,((MAX(Equivalencia!$3:$3)-YEAR(G94))*14)+MONTH(G94)+2,FALSE))))</f>
        <v>1</v>
      </c>
      <c r="M94" s="306">
        <f t="shared" si="22"/>
        <v>87257.973002839572</v>
      </c>
      <c r="N94" s="305">
        <f>IF(G94=0,0,(IF(OR(E94=$AT$5,E94=$AT$6),AC94,HLOOKUP(YEAR(G94)+(MONTH(G94)/100),TC!$5:$37,DAY(G94)+2,FALSE))))</f>
        <v>20.500800000000002</v>
      </c>
      <c r="O94" s="307">
        <f t="shared" si="31"/>
        <v>1788858.2529366137</v>
      </c>
      <c r="P94" s="552">
        <f>IF(G94=0,0,VLOOKUP(YEAR(G94),INPC!$B$4:$P$30,MONTH(G94)+2))</f>
        <v>118.98099999999999</v>
      </c>
      <c r="Q94" s="552">
        <f>IF(X94=0,0,IF(OR(E94=$AT$10,E94=$AT$9),VLOOKUP(YEAR(X94),INPC!$B$4:$P$30,MONTH(X94)+1),VLOOKUP(YEAR(X94),INPC!$B$4:$P$30,MONTH(X94)+2,0)))</f>
        <v>122.044</v>
      </c>
      <c r="R94" s="309">
        <f t="shared" si="23"/>
        <v>1.0257000000000001</v>
      </c>
      <c r="S94" s="310">
        <f t="shared" si="32"/>
        <v>1834831.9100370847</v>
      </c>
      <c r="T94" s="547">
        <f t="shared" si="33"/>
        <v>112.20154773051334</v>
      </c>
      <c r="U94" s="311"/>
      <c r="V94" s="312">
        <v>16353</v>
      </c>
      <c r="W94" s="299" t="s">
        <v>194</v>
      </c>
      <c r="X94" s="300">
        <v>44769</v>
      </c>
      <c r="Y94" s="299" t="s">
        <v>59</v>
      </c>
      <c r="Z94" s="303">
        <v>86409.25</v>
      </c>
      <c r="AA94" s="305">
        <f>IF(Z94=0,0,IF(Y94="MXN",1/HLOOKUP(YEAR(X94)+(MONTH(X94)/100),TC!$5:$37,DAY(X94)+2,FALSE),VLOOKUP(Y94,Equivalencia!$1:$23,((MAX(Equivalencia!$3:$3)-YEAR(X94))*14)+MONTH(X94)+2,FALSE)))</f>
        <v>1</v>
      </c>
      <c r="AB94" s="306">
        <f t="shared" si="34"/>
        <v>86409.25</v>
      </c>
      <c r="AC94" s="305">
        <f>+IF(X94=0,0,HLOOKUP(YEAR(X94)+(MONTH(X94)/100),TC!$5:$37,DAY(X94)+2,FALSE))</f>
        <v>20.465199999999999</v>
      </c>
      <c r="AD94" s="307">
        <f t="shared" si="35"/>
        <v>1768382.5830999999</v>
      </c>
      <c r="AE94" s="314">
        <f t="shared" si="24"/>
        <v>1834831.9100370847</v>
      </c>
      <c r="AF94" s="315">
        <f t="shared" si="25"/>
        <v>-66449.326937084785</v>
      </c>
      <c r="AG94" s="316">
        <f t="shared" si="26"/>
        <v>0.45479452054794522</v>
      </c>
      <c r="AH94" s="314">
        <v>1</v>
      </c>
      <c r="AI94" s="314">
        <f t="shared" si="27"/>
        <v>-66449.326937084785</v>
      </c>
      <c r="AJ94" s="314">
        <f t="shared" si="36"/>
        <v>0</v>
      </c>
      <c r="AK94" s="317"/>
      <c r="AL94" s="315">
        <f t="shared" si="28"/>
        <v>-848.72300283957156</v>
      </c>
      <c r="AN94" s="546">
        <f t="shared" si="29"/>
        <v>-9.7265954460339366E-3</v>
      </c>
      <c r="AO94" s="314"/>
      <c r="AP94" s="318"/>
    </row>
    <row r="95" spans="2:42">
      <c r="B95" s="296" t="s">
        <v>953</v>
      </c>
      <c r="C95" s="299" t="s">
        <v>276</v>
      </c>
      <c r="D95" s="298" t="s">
        <v>731</v>
      </c>
      <c r="E95" s="299" t="s">
        <v>113</v>
      </c>
      <c r="F95" s="299" t="s">
        <v>59</v>
      </c>
      <c r="G95" s="300">
        <v>44603</v>
      </c>
      <c r="H95" s="303">
        <v>444768.51999999996</v>
      </c>
      <c r="I95" s="301" t="str">
        <f t="shared" si="20"/>
        <v>Ingresos Sección II LISR (SIC &amp; BMV)</v>
      </c>
      <c r="J95" s="302">
        <f t="shared" si="30"/>
        <v>12373</v>
      </c>
      <c r="K95" s="304">
        <f t="shared" si="21"/>
        <v>35.946700072739027</v>
      </c>
      <c r="L95" s="305">
        <f>IF(H95=0,0,IF(OR(E95=$AT$5,E95=$AT$6),AA95,IF(F95="MXN",1/HLOOKUP(YEAR(G95)+(MONTH(G95)/100),TC!$5:$37,DAY(G95)+2,FALSE),VLOOKUP(F95,Equivalencia!$5:$23,((MAX(Equivalencia!$3:$3)-YEAR(G95))*14)+MONTH(G95)+2,FALSE))))</f>
        <v>1</v>
      </c>
      <c r="M95" s="306">
        <f t="shared" si="22"/>
        <v>444768.51999999996</v>
      </c>
      <c r="N95" s="305">
        <f>IF(G95=0,0,(IF(OR(E95=$AT$5,E95=$AT$6),AC95,HLOOKUP(YEAR(G95)+(MONTH(G95)/100),TC!$5:$37,DAY(G95)+2,FALSE))))</f>
        <v>20.500800000000002</v>
      </c>
      <c r="O95" s="307">
        <f t="shared" si="31"/>
        <v>9118110.4748160001</v>
      </c>
      <c r="P95" s="552">
        <f>IF(G95=0,0,VLOOKUP(YEAR(G95),INPC!$B$4:$P$30,MONTH(G95)+2))</f>
        <v>118.98099999999999</v>
      </c>
      <c r="Q95" s="552">
        <f>IF(X95=0,0,IF(OR(E95=$AT$10,E95=$AT$9),VLOOKUP(YEAR(X95),INPC!$B$4:$P$30,MONTH(X95)+1),VLOOKUP(YEAR(X95),INPC!$B$4:$P$30,MONTH(X95)+2,0)))</f>
        <v>122.044</v>
      </c>
      <c r="R95" s="309">
        <f t="shared" si="23"/>
        <v>1.0257000000000001</v>
      </c>
      <c r="S95" s="310">
        <f t="shared" si="32"/>
        <v>9352445.9140187725</v>
      </c>
      <c r="T95" s="547">
        <f t="shared" si="33"/>
        <v>755.87536684868439</v>
      </c>
      <c r="U95" s="311"/>
      <c r="V95" s="312">
        <v>12373</v>
      </c>
      <c r="W95" s="299" t="s">
        <v>194</v>
      </c>
      <c r="X95" s="300">
        <v>44769</v>
      </c>
      <c r="Y95" s="299" t="s">
        <v>59</v>
      </c>
      <c r="Z95" s="303">
        <v>358928.35791038186</v>
      </c>
      <c r="AA95" s="305">
        <f>IF(Z95=0,0,IF(Y95="MXN",1/HLOOKUP(YEAR(X95)+(MONTH(X95)/100),TC!$5:$37,DAY(X95)+2,FALSE),VLOOKUP(Y95,Equivalencia!$1:$23,((MAX(Equivalencia!$3:$3)-YEAR(X95))*14)+MONTH(X95)+2,FALSE)))</f>
        <v>1</v>
      </c>
      <c r="AB95" s="306">
        <f t="shared" si="34"/>
        <v>358928.35791038186</v>
      </c>
      <c r="AC95" s="305">
        <f>+IF(X95=0,0,HLOOKUP(YEAR(X95)+(MONTH(X95)/100),TC!$5:$37,DAY(X95)+2,FALSE))</f>
        <v>20.465199999999999</v>
      </c>
      <c r="AD95" s="307">
        <f t="shared" si="35"/>
        <v>7345540.6303075468</v>
      </c>
      <c r="AE95" s="314">
        <f t="shared" si="24"/>
        <v>9352445.9140187725</v>
      </c>
      <c r="AF95" s="315">
        <f t="shared" si="25"/>
        <v>-2006905.2837112257</v>
      </c>
      <c r="AG95" s="316">
        <f t="shared" si="26"/>
        <v>0.45479452054794522</v>
      </c>
      <c r="AH95" s="314">
        <v>1</v>
      </c>
      <c r="AI95" s="314">
        <f t="shared" si="27"/>
        <v>-2006905.2837112257</v>
      </c>
      <c r="AJ95" s="314">
        <f t="shared" si="36"/>
        <v>0</v>
      </c>
      <c r="AK95" s="317"/>
      <c r="AL95" s="315">
        <f t="shared" si="28"/>
        <v>-85840.162089618098</v>
      </c>
      <c r="AN95" s="546">
        <f t="shared" si="29"/>
        <v>-0.19299963515767282</v>
      </c>
      <c r="AO95" s="314"/>
      <c r="AP95" s="318"/>
    </row>
    <row r="96" spans="2:42">
      <c r="B96" s="296" t="s">
        <v>953</v>
      </c>
      <c r="C96" s="299" t="s">
        <v>276</v>
      </c>
      <c r="D96" s="298" t="s">
        <v>731</v>
      </c>
      <c r="E96" s="299" t="s">
        <v>113</v>
      </c>
      <c r="F96" s="299" t="s">
        <v>59</v>
      </c>
      <c r="G96" s="300">
        <v>44671</v>
      </c>
      <c r="H96" s="303">
        <v>39086.22913417052</v>
      </c>
      <c r="I96" s="301" t="str">
        <f t="shared" si="20"/>
        <v>Ingresos Sección II LISR (SIC &amp; BMV)</v>
      </c>
      <c r="J96" s="302">
        <f t="shared" si="30"/>
        <v>1218</v>
      </c>
      <c r="K96" s="304">
        <f t="shared" si="21"/>
        <v>32.09050011015642</v>
      </c>
      <c r="L96" s="305">
        <f>IF(H96=0,0,IF(OR(E96=$AT$5,E96=$AT$6),AA96,IF(F96="MXN",1/HLOOKUP(YEAR(G96)+(MONTH(G96)/100),TC!$5:$37,DAY(G96)+2,FALSE),VLOOKUP(F96,Equivalencia!$5:$23,((MAX(Equivalencia!$3:$3)-YEAR(G96))*14)+MONTH(G96)+2,FALSE))))</f>
        <v>1</v>
      </c>
      <c r="M96" s="306">
        <f t="shared" si="22"/>
        <v>39086.22913417052</v>
      </c>
      <c r="N96" s="305">
        <f>IF(G96=0,0,(IF(OR(E96=$AT$5,E96=$AT$6),AC96,HLOOKUP(YEAR(G96)+(MONTH(G96)/100),TC!$5:$37,DAY(G96)+2,FALSE))))</f>
        <v>19.9377</v>
      </c>
      <c r="O96" s="307">
        <f t="shared" si="31"/>
        <v>779289.51060835156</v>
      </c>
      <c r="P96" s="552">
        <f>IF(G96=0,0,VLOOKUP(YEAR(G96),INPC!$B$4:$P$30,MONTH(G96)+2))</f>
        <v>120.809</v>
      </c>
      <c r="Q96" s="552">
        <f>IF(X96=0,0,IF(OR(E96=$AT$10,E96=$AT$9),VLOOKUP(YEAR(X96),INPC!$B$4:$P$30,MONTH(X96)+1),VLOOKUP(YEAR(X96),INPC!$B$4:$P$30,MONTH(X96)+2,0)))</f>
        <v>122.044</v>
      </c>
      <c r="R96" s="309">
        <f t="shared" si="23"/>
        <v>1.0102</v>
      </c>
      <c r="S96" s="310">
        <f t="shared" si="32"/>
        <v>787238.26361655677</v>
      </c>
      <c r="T96" s="547">
        <f t="shared" si="33"/>
        <v>646.33683383953758</v>
      </c>
      <c r="U96" s="311"/>
      <c r="V96" s="312">
        <v>1218</v>
      </c>
      <c r="W96" s="299" t="s">
        <v>194</v>
      </c>
      <c r="X96" s="300">
        <v>44769</v>
      </c>
      <c r="Y96" s="299" t="s">
        <v>59</v>
      </c>
      <c r="Z96" s="303">
        <v>35332.96208961813</v>
      </c>
      <c r="AA96" s="305">
        <f>IF(Z96=0,0,IF(Y96="MXN",1/HLOOKUP(YEAR(X96)+(MONTH(X96)/100),TC!$5:$37,DAY(X96)+2,FALSE),VLOOKUP(Y96,Equivalencia!$1:$23,((MAX(Equivalencia!$3:$3)-YEAR(X96))*14)+MONTH(X96)+2,FALSE)))</f>
        <v>1</v>
      </c>
      <c r="AB96" s="306">
        <f t="shared" si="34"/>
        <v>35332.96208961813</v>
      </c>
      <c r="AC96" s="305">
        <f>+IF(X96=0,0,HLOOKUP(YEAR(X96)+(MONTH(X96)/100),TC!$5:$37,DAY(X96)+2,FALSE))</f>
        <v>20.465199999999999</v>
      </c>
      <c r="AD96" s="307">
        <f t="shared" si="35"/>
        <v>723096.13575645292</v>
      </c>
      <c r="AE96" s="314">
        <f t="shared" si="24"/>
        <v>787238.26361655677</v>
      </c>
      <c r="AF96" s="315">
        <f t="shared" si="25"/>
        <v>-64142.12786010385</v>
      </c>
      <c r="AG96" s="316">
        <f t="shared" si="26"/>
        <v>0.26849315068493151</v>
      </c>
      <c r="AH96" s="314">
        <v>1</v>
      </c>
      <c r="AI96" s="314">
        <f t="shared" si="27"/>
        <v>-64142.12786010385</v>
      </c>
      <c r="AJ96" s="314">
        <f t="shared" si="36"/>
        <v>0</v>
      </c>
      <c r="AK96" s="317"/>
      <c r="AL96" s="315">
        <f t="shared" si="28"/>
        <v>-3753.2670445523909</v>
      </c>
      <c r="AN96" s="546">
        <f t="shared" si="29"/>
        <v>-9.602530424893703E-2</v>
      </c>
      <c r="AO96" s="314"/>
      <c r="AP96" s="318"/>
    </row>
    <row r="97" spans="2:42">
      <c r="B97" s="296" t="s">
        <v>953</v>
      </c>
      <c r="C97" s="299" t="s">
        <v>276</v>
      </c>
      <c r="D97" s="298" t="s">
        <v>732</v>
      </c>
      <c r="E97" s="299" t="s">
        <v>113</v>
      </c>
      <c r="F97" s="299" t="s">
        <v>59</v>
      </c>
      <c r="G97" s="300">
        <v>44603</v>
      </c>
      <c r="H97" s="303">
        <v>88866.109488753369</v>
      </c>
      <c r="I97" s="301" t="str">
        <f t="shared" si="20"/>
        <v>Ingresos Sección II LISR (SIC &amp; BMV)</v>
      </c>
      <c r="J97" s="302">
        <f t="shared" si="30"/>
        <v>10128</v>
      </c>
      <c r="K97" s="304">
        <f t="shared" si="21"/>
        <v>8.7742999100269916</v>
      </c>
      <c r="L97" s="305">
        <f>IF(H97=0,0,IF(OR(E97=$AT$5,E97=$AT$6),AA97,IF(F97="MXN",1/HLOOKUP(YEAR(G97)+(MONTH(G97)/100),TC!$5:$37,DAY(G97)+2,FALSE),VLOOKUP(F97,Equivalencia!$5:$23,((MAX(Equivalencia!$3:$3)-YEAR(G97))*14)+MONTH(G97)+2,FALSE))))</f>
        <v>1</v>
      </c>
      <c r="M97" s="306">
        <f t="shared" si="22"/>
        <v>88866.109488753369</v>
      </c>
      <c r="N97" s="305">
        <f>IF(G97=0,0,(IF(OR(E97=$AT$5,E97=$AT$6),AC97,HLOOKUP(YEAR(G97)+(MONTH(G97)/100),TC!$5:$37,DAY(G97)+2,FALSE))))</f>
        <v>20.500800000000002</v>
      </c>
      <c r="O97" s="307">
        <f t="shared" si="31"/>
        <v>1821826.3374070353</v>
      </c>
      <c r="P97" s="552">
        <f>IF(G97=0,0,VLOOKUP(YEAR(G97),INPC!$B$4:$P$30,MONTH(G97)+2))</f>
        <v>118.98099999999999</v>
      </c>
      <c r="Q97" s="552">
        <f>IF(X97=0,0,IF(OR(E97=$AT$10,E97=$AT$9),VLOOKUP(YEAR(X97),INPC!$B$4:$P$30,MONTH(X97)+1),VLOOKUP(YEAR(X97),INPC!$B$4:$P$30,MONTH(X97)+2,0)))</f>
        <v>122.044</v>
      </c>
      <c r="R97" s="309">
        <f t="shared" si="23"/>
        <v>1.0257000000000001</v>
      </c>
      <c r="S97" s="310">
        <f t="shared" si="32"/>
        <v>1868647.2742783963</v>
      </c>
      <c r="T97" s="547">
        <f t="shared" si="33"/>
        <v>184.50308790268525</v>
      </c>
      <c r="U97" s="311"/>
      <c r="V97" s="312">
        <v>10128</v>
      </c>
      <c r="W97" s="299" t="s">
        <v>194</v>
      </c>
      <c r="X97" s="300">
        <v>44769</v>
      </c>
      <c r="Y97" s="299" t="s">
        <v>59</v>
      </c>
      <c r="Z97" s="303">
        <v>77497.429999999993</v>
      </c>
      <c r="AA97" s="305">
        <f>IF(Z97=0,0,IF(Y97="MXN",1/HLOOKUP(YEAR(X97)+(MONTH(X97)/100),TC!$5:$37,DAY(X97)+2,FALSE),VLOOKUP(Y97,Equivalencia!$1:$23,((MAX(Equivalencia!$3:$3)-YEAR(X97))*14)+MONTH(X97)+2,FALSE)))</f>
        <v>1</v>
      </c>
      <c r="AB97" s="306">
        <f t="shared" si="34"/>
        <v>77497.429999999993</v>
      </c>
      <c r="AC97" s="305">
        <f>+IF(X97=0,0,HLOOKUP(YEAR(X97)+(MONTH(X97)/100),TC!$5:$37,DAY(X97)+2,FALSE))</f>
        <v>20.465199999999999</v>
      </c>
      <c r="AD97" s="307">
        <f t="shared" si="35"/>
        <v>1586000.4044359999</v>
      </c>
      <c r="AE97" s="314">
        <f t="shared" si="24"/>
        <v>1868647.2742783963</v>
      </c>
      <c r="AF97" s="315">
        <f t="shared" si="25"/>
        <v>-282646.86984239635</v>
      </c>
      <c r="AG97" s="316">
        <f t="shared" si="26"/>
        <v>0.45479452054794522</v>
      </c>
      <c r="AH97" s="314">
        <v>1</v>
      </c>
      <c r="AI97" s="314">
        <f t="shared" si="27"/>
        <v>-282646.86984239635</v>
      </c>
      <c r="AJ97" s="314">
        <f t="shared" si="36"/>
        <v>0</v>
      </c>
      <c r="AK97" s="317"/>
      <c r="AL97" s="315">
        <f t="shared" si="28"/>
        <v>-11368.679488753376</v>
      </c>
      <c r="AN97" s="546">
        <f t="shared" si="29"/>
        <v>-0.12793042875576952</v>
      </c>
      <c r="AO97" s="314"/>
      <c r="AP97" s="318"/>
    </row>
    <row r="98" spans="2:42">
      <c r="B98" s="296" t="s">
        <v>953</v>
      </c>
      <c r="C98" s="299" t="s">
        <v>276</v>
      </c>
      <c r="D98" s="298" t="s">
        <v>733</v>
      </c>
      <c r="E98" s="299" t="s">
        <v>113</v>
      </c>
      <c r="F98" s="299" t="s">
        <v>59</v>
      </c>
      <c r="G98" s="300">
        <v>44671</v>
      </c>
      <c r="H98" s="303">
        <v>367824.39</v>
      </c>
      <c r="I98" s="301" t="str">
        <f t="shared" si="20"/>
        <v>Ingresos Sección II LISR (SIC &amp; BMV)</v>
      </c>
      <c r="J98" s="302">
        <f t="shared" si="30"/>
        <v>67287</v>
      </c>
      <c r="K98" s="304">
        <f t="shared" si="21"/>
        <v>5.4665000668777033</v>
      </c>
      <c r="L98" s="305">
        <f>IF(H98=0,0,IF(OR(E98=$AT$5,E98=$AT$6),AA98,IF(F98="MXN",1/HLOOKUP(YEAR(G98)+(MONTH(G98)/100),TC!$5:$37,DAY(G98)+2,FALSE),VLOOKUP(F98,Equivalencia!$5:$23,((MAX(Equivalencia!$3:$3)-YEAR(G98))*14)+MONTH(G98)+2,FALSE))))</f>
        <v>1</v>
      </c>
      <c r="M98" s="306">
        <f t="shared" si="22"/>
        <v>367824.39</v>
      </c>
      <c r="N98" s="305">
        <f>IF(G98=0,0,(IF(OR(E98=$AT$5,E98=$AT$6),AC98,HLOOKUP(YEAR(G98)+(MONTH(G98)/100),TC!$5:$37,DAY(G98)+2,FALSE))))</f>
        <v>19.9377</v>
      </c>
      <c r="O98" s="307">
        <f t="shared" si="31"/>
        <v>7333572.3405029997</v>
      </c>
      <c r="P98" s="552">
        <f>IF(G98=0,0,VLOOKUP(YEAR(G98),INPC!$B$4:$P$30,MONTH(G98)+2))</f>
        <v>120.809</v>
      </c>
      <c r="Q98" s="552">
        <f>IF(X98=0,0,IF(OR(E98=$AT$10,E98=$AT$9),VLOOKUP(YEAR(X98),INPC!$B$4:$P$30,MONTH(X98)+1),VLOOKUP(YEAR(X98),INPC!$B$4:$P$30,MONTH(X98)+2,0)))</f>
        <v>122.044</v>
      </c>
      <c r="R98" s="309">
        <f t="shared" si="23"/>
        <v>1.0102</v>
      </c>
      <c r="S98" s="310">
        <f t="shared" si="32"/>
        <v>7408374.7783761304</v>
      </c>
      <c r="T98" s="547">
        <f t="shared" si="33"/>
        <v>110.10113065489813</v>
      </c>
      <c r="U98" s="311"/>
      <c r="V98" s="312">
        <v>67287</v>
      </c>
      <c r="W98" s="299" t="s">
        <v>194</v>
      </c>
      <c r="X98" s="300">
        <v>44769</v>
      </c>
      <c r="Y98" s="299" t="s">
        <v>59</v>
      </c>
      <c r="Z98" s="303">
        <v>363215.23</v>
      </c>
      <c r="AA98" s="305">
        <f>IF(Z98=0,0,IF(Y98="MXN",1/HLOOKUP(YEAR(X98)+(MONTH(X98)/100),TC!$5:$37,DAY(X98)+2,FALSE),VLOOKUP(Y98,Equivalencia!$1:$23,((MAX(Equivalencia!$3:$3)-YEAR(X98))*14)+MONTH(X98)+2,FALSE)))</f>
        <v>1</v>
      </c>
      <c r="AB98" s="306">
        <f t="shared" si="34"/>
        <v>363215.23</v>
      </c>
      <c r="AC98" s="305">
        <f>+IF(X98=0,0,HLOOKUP(YEAR(X98)+(MONTH(X98)/100),TC!$5:$37,DAY(X98)+2,FALSE))</f>
        <v>20.465199999999999</v>
      </c>
      <c r="AD98" s="307">
        <f t="shared" si="35"/>
        <v>7433272.3249959992</v>
      </c>
      <c r="AE98" s="314">
        <f t="shared" si="24"/>
        <v>7408374.7783761304</v>
      </c>
      <c r="AF98" s="315">
        <f t="shared" si="25"/>
        <v>24897.546619868837</v>
      </c>
      <c r="AG98" s="316">
        <f t="shared" si="26"/>
        <v>0.26849315068493151</v>
      </c>
      <c r="AH98" s="314">
        <v>1</v>
      </c>
      <c r="AI98" s="314">
        <f t="shared" si="27"/>
        <v>24897.546619868837</v>
      </c>
      <c r="AJ98" s="314">
        <f t="shared" si="36"/>
        <v>0</v>
      </c>
      <c r="AK98" s="317"/>
      <c r="AL98" s="315">
        <f t="shared" si="28"/>
        <v>-4609.1600000000326</v>
      </c>
      <c r="AN98" s="546">
        <f t="shared" si="29"/>
        <v>-1.2530871049633312E-2</v>
      </c>
      <c r="AO98" s="314"/>
      <c r="AP98" s="318"/>
    </row>
    <row r="99" spans="2:42">
      <c r="B99" s="296"/>
      <c r="C99" s="299"/>
      <c r="D99" s="298"/>
      <c r="E99" s="299"/>
      <c r="F99" s="299"/>
      <c r="G99" s="300"/>
      <c r="H99" s="303"/>
      <c r="I99" s="301">
        <f t="shared" si="20"/>
        <v>0</v>
      </c>
      <c r="J99" s="302">
        <f t="shared" si="30"/>
        <v>0</v>
      </c>
      <c r="K99" s="304">
        <f t="shared" si="21"/>
        <v>0</v>
      </c>
      <c r="L99" s="305">
        <f>IF(H99=0,0,IF(OR(E99=$AT$5,E99=$AT$6),AA99,IF(F99="MXN",1/HLOOKUP(YEAR(G99)+(MONTH(G99)/100),TC!$5:$37,DAY(G99)+2,FALSE),VLOOKUP(F99,Equivalencia!$5:$23,((MAX(Equivalencia!$3:$3)-YEAR(G99))*14)+MONTH(G99)+2,FALSE))))</f>
        <v>0</v>
      </c>
      <c r="M99" s="306">
        <f t="shared" si="22"/>
        <v>0</v>
      </c>
      <c r="N99" s="305">
        <f>IF(G99=0,0,(IF(OR(E99=$AT$5,E99=$AT$6),AC99,HLOOKUP(YEAR(G99)+(MONTH(G99)/100),TC!$5:$37,DAY(G99)+2,FALSE))))</f>
        <v>0</v>
      </c>
      <c r="O99" s="307">
        <f t="shared" si="31"/>
        <v>0</v>
      </c>
      <c r="P99" s="552">
        <f>IF(G99=0,0,VLOOKUP(YEAR(G99),INPC!$B$4:$P$30,MONTH(G99)+2))</f>
        <v>0</v>
      </c>
      <c r="Q99" s="552">
        <f>IF(X99=0,0,IF(OR(E99=$AT$10,E99=$AT$9),VLOOKUP(YEAR(X99),INPC!$B$4:$P$30,MONTH(X99)+1),VLOOKUP(YEAR(X99),INPC!$B$4:$P$30,MONTH(X99)+2,0)))</f>
        <v>0</v>
      </c>
      <c r="R99" s="309">
        <f t="shared" si="23"/>
        <v>0</v>
      </c>
      <c r="S99" s="310">
        <f t="shared" si="32"/>
        <v>0</v>
      </c>
      <c r="T99" s="547">
        <f t="shared" si="33"/>
        <v>0</v>
      </c>
      <c r="U99" s="311"/>
      <c r="V99" s="312"/>
      <c r="W99" s="299"/>
      <c r="X99" s="300"/>
      <c r="Y99" s="299"/>
      <c r="Z99" s="303"/>
      <c r="AA99" s="305">
        <f>IF(Z99=0,0,IF(Y99="MXN",1/HLOOKUP(YEAR(X99)+(MONTH(X99)/100),TC!$5:$37,DAY(X99)+2,FALSE),VLOOKUP(Y99,Equivalencia!$1:$23,((MAX(Equivalencia!$3:$3)-YEAR(X99))*14)+MONTH(X99)+2,FALSE)))</f>
        <v>0</v>
      </c>
      <c r="AB99" s="306">
        <f t="shared" si="34"/>
        <v>0</v>
      </c>
      <c r="AC99" s="305">
        <f>+IF(X99=0,0,HLOOKUP(YEAR(X99)+(MONTH(X99)/100),TC!$5:$37,DAY(X99)+2,FALSE))</f>
        <v>0</v>
      </c>
      <c r="AD99" s="307">
        <f t="shared" si="35"/>
        <v>0</v>
      </c>
      <c r="AE99" s="314">
        <f t="shared" si="24"/>
        <v>0</v>
      </c>
      <c r="AF99" s="315">
        <f t="shared" si="25"/>
        <v>0</v>
      </c>
      <c r="AG99" s="316">
        <f t="shared" si="26"/>
        <v>0</v>
      </c>
      <c r="AH99" s="314">
        <v>1</v>
      </c>
      <c r="AI99" s="314">
        <f t="shared" si="27"/>
        <v>0</v>
      </c>
      <c r="AJ99" s="314">
        <f t="shared" si="36"/>
        <v>0</v>
      </c>
      <c r="AK99" s="317"/>
      <c r="AL99" s="315">
        <f t="shared" si="28"/>
        <v>0</v>
      </c>
      <c r="AN99" s="546">
        <f t="shared" si="29"/>
        <v>0</v>
      </c>
      <c r="AO99" s="314"/>
      <c r="AP99" s="318"/>
    </row>
    <row r="100" spans="2:42">
      <c r="B100" s="296" t="s">
        <v>853</v>
      </c>
      <c r="C100" s="299" t="s">
        <v>276</v>
      </c>
      <c r="D100" s="298" t="s">
        <v>810</v>
      </c>
      <c r="E100" s="299" t="s">
        <v>113</v>
      </c>
      <c r="F100" s="299" t="s">
        <v>59</v>
      </c>
      <c r="G100" s="300">
        <v>44705</v>
      </c>
      <c r="H100" s="303">
        <v>212505</v>
      </c>
      <c r="I100" s="301" t="str">
        <f t="shared" si="20"/>
        <v>Ingresos Sección II LISR (SIC &amp; BMV)</v>
      </c>
      <c r="J100" s="302">
        <f t="shared" si="30"/>
        <v>500</v>
      </c>
      <c r="K100" s="304">
        <f t="shared" si="21"/>
        <v>425.01</v>
      </c>
      <c r="L100" s="305">
        <f>IF(H100=0,0,IF(OR(E100=$AT$5,E100=$AT$6),AA100,IF(F100="MXN",1/HLOOKUP(YEAR(G100)+(MONTH(G100)/100),TC!$5:$37,DAY(G100)+2,FALSE),VLOOKUP(F100,Equivalencia!$5:$23,((MAX(Equivalencia!$3:$3)-YEAR(G100))*14)+MONTH(G100)+2,FALSE))))</f>
        <v>1</v>
      </c>
      <c r="M100" s="306">
        <f t="shared" si="22"/>
        <v>212505</v>
      </c>
      <c r="N100" s="305">
        <f>IF(G100=0,0,(IF(OR(E100=$AT$5,E100=$AT$6),AC100,HLOOKUP(YEAR(G100)+(MONTH(G100)/100),TC!$5:$37,DAY(G100)+2,FALSE))))</f>
        <v>19.8657</v>
      </c>
      <c r="O100" s="307">
        <f t="shared" si="31"/>
        <v>4221560.5784999998</v>
      </c>
      <c r="P100" s="552">
        <f>IF(G100=0,0,VLOOKUP(YEAR(G100),INPC!$B$4:$P$30,MONTH(G100)+2))</f>
        <v>121.02200000000001</v>
      </c>
      <c r="Q100" s="552">
        <f>IF(X100=0,0,IF(OR(E100=$AT$10,E100=$AT$9),VLOOKUP(YEAR(X100),INPC!$B$4:$P$30,MONTH(X100)+1),VLOOKUP(YEAR(X100),INPC!$B$4:$P$30,MONTH(X100)+2,0)))</f>
        <v>120.809</v>
      </c>
      <c r="R100" s="309">
        <f t="shared" si="23"/>
        <v>1</v>
      </c>
      <c r="S100" s="310">
        <f t="shared" si="32"/>
        <v>4221560.5784999998</v>
      </c>
      <c r="T100" s="547">
        <f t="shared" si="33"/>
        <v>8443.1211569999996</v>
      </c>
      <c r="U100" s="311"/>
      <c r="V100" s="312">
        <v>500</v>
      </c>
      <c r="W100" s="299" t="s">
        <v>194</v>
      </c>
      <c r="X100" s="300">
        <v>44706</v>
      </c>
      <c r="Y100" s="299" t="s">
        <v>59</v>
      </c>
      <c r="Z100" s="303">
        <v>196170.5</v>
      </c>
      <c r="AA100" s="305">
        <f>IF(Z100=0,0,IF(Y100="MXN",1/HLOOKUP(YEAR(X100)+(MONTH(X100)/100),TC!$5:$37,DAY(X100)+2,FALSE),VLOOKUP(Y100,Equivalencia!$1:$23,((MAX(Equivalencia!$3:$3)-YEAR(X100))*14)+MONTH(X100)+2,FALSE)))</f>
        <v>1</v>
      </c>
      <c r="AB100" s="306">
        <f t="shared" si="34"/>
        <v>196170.5</v>
      </c>
      <c r="AC100" s="305">
        <f>+IF(X100=0,0,HLOOKUP(YEAR(X100)+(MONTH(X100)/100),TC!$5:$37,DAY(X100)+2,FALSE))</f>
        <v>19.828199999999999</v>
      </c>
      <c r="AD100" s="307">
        <f t="shared" si="35"/>
        <v>3889707.9080999997</v>
      </c>
      <c r="AE100" s="314">
        <f t="shared" si="24"/>
        <v>4221560.5784999998</v>
      </c>
      <c r="AF100" s="315">
        <f t="shared" si="25"/>
        <v>-331852.67040000018</v>
      </c>
      <c r="AG100" s="316">
        <f t="shared" si="26"/>
        <v>2.7397260273972603E-3</v>
      </c>
      <c r="AH100" s="314">
        <v>1</v>
      </c>
      <c r="AI100" s="314">
        <f t="shared" si="27"/>
        <v>-331852.67040000018</v>
      </c>
      <c r="AJ100" s="314">
        <f t="shared" si="36"/>
        <v>0</v>
      </c>
      <c r="AK100" s="317"/>
      <c r="AL100" s="315">
        <f t="shared" si="28"/>
        <v>-16334.5</v>
      </c>
      <c r="AN100" s="546">
        <f t="shared" si="29"/>
        <v>-7.6866426672313595E-2</v>
      </c>
      <c r="AO100" s="314"/>
      <c r="AP100" s="318"/>
    </row>
    <row r="101" spans="2:42">
      <c r="B101" s="296" t="s">
        <v>853</v>
      </c>
      <c r="C101" s="299" t="s">
        <v>276</v>
      </c>
      <c r="D101" s="298" t="s">
        <v>810</v>
      </c>
      <c r="E101" s="299" t="s">
        <v>113</v>
      </c>
      <c r="F101" s="299" t="s">
        <v>59</v>
      </c>
      <c r="G101" s="300">
        <v>44729</v>
      </c>
      <c r="H101" s="303">
        <v>42001</v>
      </c>
      <c r="I101" s="301" t="str">
        <f t="shared" si="20"/>
        <v>Ingresos Sección II LISR (SIC &amp; BMV)</v>
      </c>
      <c r="J101" s="302">
        <f t="shared" si="30"/>
        <v>100</v>
      </c>
      <c r="K101" s="304">
        <f t="shared" si="21"/>
        <v>420.01</v>
      </c>
      <c r="L101" s="305">
        <f>IF(H101=0,0,IF(OR(E101=$AT$5,E101=$AT$6),AA101,IF(F101="MXN",1/HLOOKUP(YEAR(G101)+(MONTH(G101)/100),TC!$5:$37,DAY(G101)+2,FALSE),VLOOKUP(F101,Equivalencia!$5:$23,((MAX(Equivalencia!$3:$3)-YEAR(G101))*14)+MONTH(G101)+2,FALSE))))</f>
        <v>1</v>
      </c>
      <c r="M101" s="306">
        <f t="shared" si="22"/>
        <v>42001</v>
      </c>
      <c r="N101" s="305">
        <f>IF(G101=0,0,(IF(OR(E101=$AT$5,E101=$AT$6),AC101,HLOOKUP(YEAR(G101)+(MONTH(G101)/100),TC!$5:$37,DAY(G101)+2,FALSE))))</f>
        <v>20.6675</v>
      </c>
      <c r="O101" s="307">
        <f t="shared" si="31"/>
        <v>868055.66749999998</v>
      </c>
      <c r="P101" s="552">
        <f>IF(G101=0,0,VLOOKUP(YEAR(G101),INPC!$B$4:$P$30,MONTH(G101)+2))</f>
        <v>122.044</v>
      </c>
      <c r="Q101" s="552">
        <f>IF(X101=0,0,IF(OR(E101=$AT$10,E101=$AT$9),VLOOKUP(YEAR(X101),INPC!$B$4:$P$30,MONTH(X101)+1),VLOOKUP(YEAR(X101),INPC!$B$4:$P$30,MONTH(X101)+2,0)))</f>
        <v>121.02200000000001</v>
      </c>
      <c r="R101" s="309">
        <f t="shared" si="23"/>
        <v>1</v>
      </c>
      <c r="S101" s="310">
        <f t="shared" si="32"/>
        <v>868055.66749999998</v>
      </c>
      <c r="T101" s="547">
        <f t="shared" si="33"/>
        <v>8680.5566749999998</v>
      </c>
      <c r="U101" s="311"/>
      <c r="V101" s="312">
        <v>100</v>
      </c>
      <c r="W101" s="299" t="s">
        <v>194</v>
      </c>
      <c r="X101" s="300">
        <v>44733</v>
      </c>
      <c r="Y101" s="299" t="s">
        <v>59</v>
      </c>
      <c r="Z101" s="303">
        <v>37188.14</v>
      </c>
      <c r="AA101" s="305">
        <f>IF(Z101=0,0,IF(Y101="MXN",1/HLOOKUP(YEAR(X101)+(MONTH(X101)/100),TC!$5:$37,DAY(X101)+2,FALSE),VLOOKUP(Y101,Equivalencia!$1:$23,((MAX(Equivalencia!$3:$3)-YEAR(X101))*14)+MONTH(X101)+2,FALSE)))</f>
        <v>1</v>
      </c>
      <c r="AB101" s="306">
        <f t="shared" si="34"/>
        <v>37188.14</v>
      </c>
      <c r="AC101" s="305">
        <f>+IF(X101=0,0,HLOOKUP(YEAR(X101)+(MONTH(X101)/100),TC!$5:$37,DAY(X101)+2,FALSE))</f>
        <v>20.475999999999999</v>
      </c>
      <c r="AD101" s="307">
        <f t="shared" si="35"/>
        <v>761464.35463999992</v>
      </c>
      <c r="AE101" s="314">
        <f t="shared" si="24"/>
        <v>868055.66749999998</v>
      </c>
      <c r="AF101" s="315">
        <f t="shared" si="25"/>
        <v>-106591.31286000006</v>
      </c>
      <c r="AG101" s="316">
        <f t="shared" si="26"/>
        <v>1.0958904109589041E-2</v>
      </c>
      <c r="AH101" s="314">
        <v>1</v>
      </c>
      <c r="AI101" s="314">
        <f t="shared" si="27"/>
        <v>-106591.31286000006</v>
      </c>
      <c r="AJ101" s="314">
        <f t="shared" si="36"/>
        <v>0</v>
      </c>
      <c r="AK101" s="317"/>
      <c r="AL101" s="315">
        <f t="shared" si="28"/>
        <v>-4812.8600000000006</v>
      </c>
      <c r="AN101" s="546">
        <f t="shared" si="29"/>
        <v>-0.11458917644817981</v>
      </c>
      <c r="AO101" s="314"/>
      <c r="AP101" s="318"/>
    </row>
    <row r="102" spans="2:42">
      <c r="B102" s="296" t="s">
        <v>853</v>
      </c>
      <c r="C102" s="299" t="s">
        <v>276</v>
      </c>
      <c r="D102" s="298" t="s">
        <v>810</v>
      </c>
      <c r="E102" s="299" t="s">
        <v>113</v>
      </c>
      <c r="F102" s="299" t="s">
        <v>59</v>
      </c>
      <c r="G102" s="300">
        <v>44734</v>
      </c>
      <c r="H102" s="303">
        <v>126003</v>
      </c>
      <c r="I102" s="301" t="str">
        <f t="shared" si="20"/>
        <v>Ingresos Sección II LISR (SIC &amp; BMV)</v>
      </c>
      <c r="J102" s="302">
        <f t="shared" si="30"/>
        <v>300</v>
      </c>
      <c r="K102" s="304">
        <f t="shared" si="21"/>
        <v>420.01</v>
      </c>
      <c r="L102" s="305">
        <f>IF(H102=0,0,IF(OR(E102=$AT$5,E102=$AT$6),AA102,IF(F102="MXN",1/HLOOKUP(YEAR(G102)+(MONTH(G102)/100),TC!$5:$37,DAY(G102)+2,FALSE),VLOOKUP(F102,Equivalencia!$5:$23,((MAX(Equivalencia!$3:$3)-YEAR(G102))*14)+MONTH(G102)+2,FALSE))))</f>
        <v>1</v>
      </c>
      <c r="M102" s="306">
        <f t="shared" si="22"/>
        <v>126003</v>
      </c>
      <c r="N102" s="305">
        <f>IF(G102=0,0,(IF(OR(E102=$AT$5,E102=$AT$6),AC102,HLOOKUP(YEAR(G102)+(MONTH(G102)/100),TC!$5:$37,DAY(G102)+2,FALSE))))</f>
        <v>20.244199999999999</v>
      </c>
      <c r="O102" s="307">
        <f t="shared" si="31"/>
        <v>2550829.9325999999</v>
      </c>
      <c r="P102" s="552">
        <f>IF(G102=0,0,VLOOKUP(YEAR(G102),INPC!$B$4:$P$30,MONTH(G102)+2))</f>
        <v>122.044</v>
      </c>
      <c r="Q102" s="552">
        <f>IF(X102=0,0,IF(OR(E102=$AT$10,E102=$AT$9),VLOOKUP(YEAR(X102),INPC!$B$4:$P$30,MONTH(X102)+1),VLOOKUP(YEAR(X102),INPC!$B$4:$P$30,MONTH(X102)+2,0)))</f>
        <v>121.02200000000001</v>
      </c>
      <c r="R102" s="309">
        <f t="shared" si="23"/>
        <v>1</v>
      </c>
      <c r="S102" s="310">
        <f t="shared" si="32"/>
        <v>2550829.9325999999</v>
      </c>
      <c r="T102" s="547">
        <f t="shared" si="33"/>
        <v>8502.7664420000001</v>
      </c>
      <c r="U102" s="311"/>
      <c r="V102" s="312">
        <v>300</v>
      </c>
      <c r="W102" s="299" t="s">
        <v>194</v>
      </c>
      <c r="X102" s="300">
        <v>44735</v>
      </c>
      <c r="Y102" s="299" t="s">
        <v>59</v>
      </c>
      <c r="Z102" s="303">
        <v>113001.41</v>
      </c>
      <c r="AA102" s="305">
        <f>IF(Z102=0,0,IF(Y102="MXN",1/HLOOKUP(YEAR(X102)+(MONTH(X102)/100),TC!$5:$37,DAY(X102)+2,FALSE),VLOOKUP(Y102,Equivalencia!$1:$23,((MAX(Equivalencia!$3:$3)-YEAR(X102))*14)+MONTH(X102)+2,FALSE)))</f>
        <v>1</v>
      </c>
      <c r="AB102" s="306">
        <f t="shared" si="34"/>
        <v>113001.41</v>
      </c>
      <c r="AC102" s="305">
        <f>+IF(X102=0,0,HLOOKUP(YEAR(X102)+(MONTH(X102)/100),TC!$5:$37,DAY(X102)+2,FALSE))</f>
        <v>20.196300000000001</v>
      </c>
      <c r="AD102" s="307">
        <f t="shared" si="35"/>
        <v>2282210.3767830003</v>
      </c>
      <c r="AE102" s="314">
        <f t="shared" si="24"/>
        <v>2550829.9325999999</v>
      </c>
      <c r="AF102" s="315">
        <f t="shared" si="25"/>
        <v>-268619.55581699964</v>
      </c>
      <c r="AG102" s="316">
        <f t="shared" si="26"/>
        <v>2.7397260273972603E-3</v>
      </c>
      <c r="AH102" s="314">
        <v>1</v>
      </c>
      <c r="AI102" s="314">
        <f t="shared" si="27"/>
        <v>-268619.55581699964</v>
      </c>
      <c r="AJ102" s="314">
        <f t="shared" si="36"/>
        <v>0</v>
      </c>
      <c r="AK102" s="317"/>
      <c r="AL102" s="315">
        <f t="shared" si="28"/>
        <v>-13001.589999999997</v>
      </c>
      <c r="AN102" s="546">
        <f t="shared" si="29"/>
        <v>-0.10318476544209262</v>
      </c>
      <c r="AO102" s="314"/>
      <c r="AP102" s="318"/>
    </row>
    <row r="103" spans="2:42">
      <c r="B103" s="296" t="s">
        <v>853</v>
      </c>
      <c r="C103" s="299" t="s">
        <v>276</v>
      </c>
      <c r="D103" s="298" t="s">
        <v>810</v>
      </c>
      <c r="E103" s="299" t="s">
        <v>113</v>
      </c>
      <c r="F103" s="299" t="s">
        <v>59</v>
      </c>
      <c r="G103" s="300">
        <v>44750</v>
      </c>
      <c r="H103" s="303">
        <v>83002</v>
      </c>
      <c r="I103" s="301" t="str">
        <f t="shared" si="20"/>
        <v>Ingresos Sección II LISR (SIC &amp; BMV)</v>
      </c>
      <c r="J103" s="302">
        <f t="shared" si="30"/>
        <v>200</v>
      </c>
      <c r="K103" s="304">
        <f t="shared" si="21"/>
        <v>415.01</v>
      </c>
      <c r="L103" s="305">
        <f>IF(H103=0,0,IF(OR(E103=$AT$5,E103=$AT$6),AA103,IF(F103="MXN",1/HLOOKUP(YEAR(G103)+(MONTH(G103)/100),TC!$5:$37,DAY(G103)+2,FALSE),VLOOKUP(F103,Equivalencia!$5:$23,((MAX(Equivalencia!$3:$3)-YEAR(G103))*14)+MONTH(G103)+2,FALSE))))</f>
        <v>1</v>
      </c>
      <c r="M103" s="306">
        <f t="shared" si="22"/>
        <v>83002</v>
      </c>
      <c r="N103" s="305">
        <f>IF(G103=0,0,(IF(OR(E103=$AT$5,E103=$AT$6),AC103,HLOOKUP(YEAR(G103)+(MONTH(G103)/100),TC!$5:$37,DAY(G103)+2,FALSE))))</f>
        <v>20.722799999999999</v>
      </c>
      <c r="O103" s="307">
        <f t="shared" si="31"/>
        <v>1720033.8455999999</v>
      </c>
      <c r="P103" s="552">
        <f>IF(G103=0,0,VLOOKUP(YEAR(G103),INPC!$B$4:$P$30,MONTH(G103)+2))</f>
        <v>122.94799999999999</v>
      </c>
      <c r="Q103" s="552">
        <f>IF(X103=0,0,IF(OR(E103=$AT$10,E103=$AT$9),VLOOKUP(YEAR(X103),INPC!$B$4:$P$30,MONTH(X103)+1),VLOOKUP(YEAR(X103),INPC!$B$4:$P$30,MONTH(X103)+2,0)))</f>
        <v>122.044</v>
      </c>
      <c r="R103" s="309">
        <f t="shared" si="23"/>
        <v>1</v>
      </c>
      <c r="S103" s="310">
        <f t="shared" si="32"/>
        <v>1720033.8455999999</v>
      </c>
      <c r="T103" s="547">
        <f t="shared" si="33"/>
        <v>8600.1692279999988</v>
      </c>
      <c r="U103" s="311"/>
      <c r="V103" s="312">
        <v>200</v>
      </c>
      <c r="W103" s="299" t="s">
        <v>194</v>
      </c>
      <c r="X103" s="300">
        <v>44753</v>
      </c>
      <c r="Y103" s="299" t="s">
        <v>59</v>
      </c>
      <c r="Z103" s="303">
        <v>77178.23</v>
      </c>
      <c r="AA103" s="305">
        <f>IF(Z103=0,0,IF(Y103="MXN",1/HLOOKUP(YEAR(X103)+(MONTH(X103)/100),TC!$5:$37,DAY(X103)+2,FALSE),VLOOKUP(Y103,Equivalencia!$1:$23,((MAX(Equivalencia!$3:$3)-YEAR(X103))*14)+MONTH(X103)+2,FALSE)))</f>
        <v>1</v>
      </c>
      <c r="AB103" s="306">
        <f t="shared" si="34"/>
        <v>77178.23</v>
      </c>
      <c r="AC103" s="305">
        <f>+IF(X103=0,0,HLOOKUP(YEAR(X103)+(MONTH(X103)/100),TC!$5:$37,DAY(X103)+2,FALSE))</f>
        <v>20.6022</v>
      </c>
      <c r="AD103" s="307">
        <f t="shared" si="35"/>
        <v>1590041.330106</v>
      </c>
      <c r="AE103" s="314">
        <f t="shared" si="24"/>
        <v>1720033.8455999997</v>
      </c>
      <c r="AF103" s="315">
        <f t="shared" si="25"/>
        <v>-129992.5154939997</v>
      </c>
      <c r="AG103" s="316">
        <f t="shared" si="26"/>
        <v>8.21917808219178E-3</v>
      </c>
      <c r="AH103" s="314">
        <v>1</v>
      </c>
      <c r="AI103" s="314">
        <f t="shared" si="27"/>
        <v>-129992.5154939997</v>
      </c>
      <c r="AJ103" s="314">
        <f t="shared" si="36"/>
        <v>0</v>
      </c>
      <c r="AK103" s="317"/>
      <c r="AL103" s="315">
        <f t="shared" si="28"/>
        <v>-5823.7700000000041</v>
      </c>
      <c r="AN103" s="546">
        <f t="shared" si="29"/>
        <v>-7.016421291053232E-2</v>
      </c>
      <c r="AO103" s="314"/>
      <c r="AP103" s="318"/>
    </row>
    <row r="104" spans="2:42">
      <c r="B104" s="296" t="s">
        <v>853</v>
      </c>
      <c r="C104" s="299" t="s">
        <v>276</v>
      </c>
      <c r="D104" s="298" t="s">
        <v>810</v>
      </c>
      <c r="E104" s="299" t="s">
        <v>113</v>
      </c>
      <c r="F104" s="299" t="s">
        <v>59</v>
      </c>
      <c r="G104" s="300">
        <v>44753</v>
      </c>
      <c r="H104" s="303">
        <v>124503</v>
      </c>
      <c r="I104" s="301" t="str">
        <f t="shared" si="20"/>
        <v>Ingresos Sección II LISR (SIC &amp; BMV)</v>
      </c>
      <c r="J104" s="302">
        <f t="shared" si="30"/>
        <v>300</v>
      </c>
      <c r="K104" s="304">
        <f t="shared" si="21"/>
        <v>415.01</v>
      </c>
      <c r="L104" s="305">
        <f>IF(H104=0,0,IF(OR(E104=$AT$5,E104=$AT$6),AA104,IF(F104="MXN",1/HLOOKUP(YEAR(G104)+(MONTH(G104)/100),TC!$5:$37,DAY(G104)+2,FALSE),VLOOKUP(F104,Equivalencia!$5:$23,((MAX(Equivalencia!$3:$3)-YEAR(G104))*14)+MONTH(G104)+2,FALSE))))</f>
        <v>1</v>
      </c>
      <c r="M104" s="306">
        <f t="shared" si="22"/>
        <v>124503</v>
      </c>
      <c r="N104" s="305">
        <f>IF(G104=0,0,(IF(OR(E104=$AT$5,E104=$AT$6),AC104,HLOOKUP(YEAR(G104)+(MONTH(G104)/100),TC!$5:$37,DAY(G104)+2,FALSE))))</f>
        <v>20.6022</v>
      </c>
      <c r="O104" s="307">
        <f t="shared" si="31"/>
        <v>2565035.7066000002</v>
      </c>
      <c r="P104" s="552">
        <f>IF(G104=0,0,VLOOKUP(YEAR(G104),INPC!$B$4:$P$30,MONTH(G104)+2))</f>
        <v>122.94799999999999</v>
      </c>
      <c r="Q104" s="552">
        <f>IF(X104=0,0,IF(OR(E104=$AT$10,E104=$AT$9),VLOOKUP(YEAR(X104),INPC!$B$4:$P$30,MONTH(X104)+1),VLOOKUP(YEAR(X104),INPC!$B$4:$P$30,MONTH(X104)+2,0)))</f>
        <v>122.044</v>
      </c>
      <c r="R104" s="309">
        <f t="shared" si="23"/>
        <v>1</v>
      </c>
      <c r="S104" s="310">
        <f t="shared" si="32"/>
        <v>2565035.7066000002</v>
      </c>
      <c r="T104" s="547">
        <f t="shared" si="33"/>
        <v>8550.1190220000008</v>
      </c>
      <c r="U104" s="311"/>
      <c r="V104" s="312">
        <v>300</v>
      </c>
      <c r="W104" s="299" t="s">
        <v>194</v>
      </c>
      <c r="X104" s="300">
        <v>44754</v>
      </c>
      <c r="Y104" s="299" t="s">
        <v>59</v>
      </c>
      <c r="Z104" s="303">
        <v>115092.36</v>
      </c>
      <c r="AA104" s="305">
        <f>IF(Z104=0,0,IF(Y104="MXN",1/HLOOKUP(YEAR(X104)+(MONTH(X104)/100),TC!$5:$37,DAY(X104)+2,FALSE),VLOOKUP(Y104,Equivalencia!$1:$23,((MAX(Equivalencia!$3:$3)-YEAR(X104))*14)+MONTH(X104)+2,FALSE)))</f>
        <v>1</v>
      </c>
      <c r="AB104" s="306">
        <f t="shared" si="34"/>
        <v>115092.36</v>
      </c>
      <c r="AC104" s="305">
        <f>+IF(X104=0,0,HLOOKUP(YEAR(X104)+(MONTH(X104)/100),TC!$5:$37,DAY(X104)+2,FALSE))</f>
        <v>20.442299999999999</v>
      </c>
      <c r="AD104" s="307">
        <f t="shared" si="35"/>
        <v>2352752.5508280001</v>
      </c>
      <c r="AE104" s="314">
        <f t="shared" si="24"/>
        <v>2565035.7066000002</v>
      </c>
      <c r="AF104" s="315">
        <f t="shared" si="25"/>
        <v>-212283.15577200009</v>
      </c>
      <c r="AG104" s="316">
        <f t="shared" si="26"/>
        <v>2.7397260273972603E-3</v>
      </c>
      <c r="AH104" s="314">
        <v>1</v>
      </c>
      <c r="AI104" s="314">
        <f t="shared" si="27"/>
        <v>-212283.15577200009</v>
      </c>
      <c r="AJ104" s="314">
        <f t="shared" si="36"/>
        <v>0</v>
      </c>
      <c r="AK104" s="317"/>
      <c r="AL104" s="315">
        <f t="shared" si="28"/>
        <v>-9410.64</v>
      </c>
      <c r="AN104" s="546">
        <f t="shared" si="29"/>
        <v>-7.5585648538589428E-2</v>
      </c>
      <c r="AO104" s="314"/>
      <c r="AP104" s="318"/>
    </row>
    <row r="105" spans="2:42">
      <c r="B105" s="296"/>
      <c r="C105" s="299"/>
      <c r="D105" s="298"/>
      <c r="E105" s="299"/>
      <c r="F105" s="299"/>
      <c r="G105" s="300"/>
      <c r="H105" s="303"/>
      <c r="I105" s="301">
        <f t="shared" si="20"/>
        <v>0</v>
      </c>
      <c r="J105" s="302">
        <f t="shared" si="30"/>
        <v>0</v>
      </c>
      <c r="K105" s="304">
        <f t="shared" si="21"/>
        <v>0</v>
      </c>
      <c r="L105" s="305">
        <f>IF(H105=0,0,IF(OR(E105=$AT$5,E105=$AT$6),AA105,IF(F105="MXN",1/HLOOKUP(YEAR(G105)+(MONTH(G105)/100),TC!$5:$37,DAY(G105)+2,FALSE),VLOOKUP(F105,Equivalencia!$5:$23,((MAX(Equivalencia!$3:$3)-YEAR(G105))*14)+MONTH(G105)+2,FALSE))))</f>
        <v>0</v>
      </c>
      <c r="M105" s="306">
        <f t="shared" si="22"/>
        <v>0</v>
      </c>
      <c r="N105" s="305">
        <f>IF(G105=0,0,(IF(OR(E105=$AT$5,E105=$AT$6),AC105,HLOOKUP(YEAR(G105)+(MONTH(G105)/100),TC!$5:$37,DAY(G105)+2,FALSE))))</f>
        <v>0</v>
      </c>
      <c r="O105" s="307">
        <f t="shared" si="31"/>
        <v>0</v>
      </c>
      <c r="P105" s="552">
        <f>IF(G105=0,0,VLOOKUP(YEAR(G105),INPC!$B$4:$P$30,MONTH(G105)+2))</f>
        <v>0</v>
      </c>
      <c r="Q105" s="552">
        <f>IF(X105=0,0,IF(OR(E105=$AT$10,E105=$AT$9),VLOOKUP(YEAR(X105),INPC!$B$4:$P$30,MONTH(X105)+1),VLOOKUP(YEAR(X105),INPC!$B$4:$P$30,MONTH(X105)+2,0)))</f>
        <v>0</v>
      </c>
      <c r="R105" s="309">
        <f t="shared" si="23"/>
        <v>0</v>
      </c>
      <c r="S105" s="310">
        <f t="shared" si="32"/>
        <v>0</v>
      </c>
      <c r="T105" s="547">
        <f t="shared" si="33"/>
        <v>0</v>
      </c>
      <c r="U105" s="311"/>
      <c r="V105" s="312"/>
      <c r="W105" s="299"/>
      <c r="X105" s="300"/>
      <c r="Y105" s="299"/>
      <c r="Z105" s="303"/>
      <c r="AA105" s="305">
        <f>IF(Z105=0,0,IF(Y105="MXN",1/HLOOKUP(YEAR(X105)+(MONTH(X105)/100),TC!$5:$37,DAY(X105)+2,FALSE),VLOOKUP(Y105,Equivalencia!$1:$23,((MAX(Equivalencia!$3:$3)-YEAR(X105))*14)+MONTH(X105)+2,FALSE)))</f>
        <v>0</v>
      </c>
      <c r="AB105" s="306">
        <f t="shared" si="34"/>
        <v>0</v>
      </c>
      <c r="AC105" s="305">
        <f>+IF(X105=0,0,HLOOKUP(YEAR(X105)+(MONTH(X105)/100),TC!$5:$37,DAY(X105)+2,FALSE))</f>
        <v>0</v>
      </c>
      <c r="AD105" s="307">
        <f t="shared" si="35"/>
        <v>0</v>
      </c>
      <c r="AE105" s="314">
        <f t="shared" si="24"/>
        <v>0</v>
      </c>
      <c r="AF105" s="315">
        <f t="shared" si="25"/>
        <v>0</v>
      </c>
      <c r="AG105" s="316">
        <f t="shared" si="26"/>
        <v>0</v>
      </c>
      <c r="AH105" s="314">
        <v>1</v>
      </c>
      <c r="AI105" s="314">
        <f t="shared" si="27"/>
        <v>0</v>
      </c>
      <c r="AJ105" s="314">
        <f t="shared" si="36"/>
        <v>0</v>
      </c>
      <c r="AK105" s="317"/>
      <c r="AL105" s="315">
        <f t="shared" si="28"/>
        <v>0</v>
      </c>
      <c r="AN105" s="546">
        <f t="shared" si="29"/>
        <v>0</v>
      </c>
      <c r="AO105" s="314"/>
      <c r="AP105" s="318"/>
    </row>
    <row r="106" spans="2:42">
      <c r="B106" s="296" t="s">
        <v>957</v>
      </c>
      <c r="C106" s="299" t="s">
        <v>276</v>
      </c>
      <c r="D106" s="298" t="s">
        <v>819</v>
      </c>
      <c r="E106" s="299" t="s">
        <v>113</v>
      </c>
      <c r="F106" s="299" t="s">
        <v>60</v>
      </c>
      <c r="G106" s="300">
        <v>43048</v>
      </c>
      <c r="H106" s="303">
        <v>8886666.1799999997</v>
      </c>
      <c r="I106" s="301" t="str">
        <f t="shared" si="20"/>
        <v>Ingresos Sección II LISR (SIC &amp; BMV)</v>
      </c>
      <c r="J106" s="302">
        <f t="shared" si="30"/>
        <v>89712</v>
      </c>
      <c r="K106" s="304">
        <f t="shared" si="21"/>
        <v>99.05772003745318</v>
      </c>
      <c r="L106" s="305">
        <f>IF(H106=0,0,IF(OR(E106=$AT$5,E106=$AT$6),AA106,IF(F106="MXN",1/HLOOKUP(YEAR(G106)+(MONTH(G106)/100),TC!$5:$37,DAY(G106)+2,FALSE),VLOOKUP(F106,Equivalencia!$5:$23,((MAX(Equivalencia!$3:$3)-YEAR(G106))*14)+MONTH(G106)+2,FALSE))))</f>
        <v>5.2260529190118581E-2</v>
      </c>
      <c r="M106" s="306">
        <f t="shared" si="22"/>
        <v>464421.87730272958</v>
      </c>
      <c r="N106" s="305">
        <f>IF(G106=0,0,(IF(OR(E106=$AT$5,E106=$AT$6),AC106,HLOOKUP(YEAR(G106)+(MONTH(G106)/100),TC!$5:$37,DAY(G106)+2,FALSE))))</f>
        <v>19.134899999999998</v>
      </c>
      <c r="O106" s="307">
        <f t="shared" si="31"/>
        <v>8886666.1799999997</v>
      </c>
      <c r="P106" s="552">
        <f>IF(G106=0,0,VLOOKUP(YEAR(G106),INPC!$B$4:$P$30,MONTH(G106)+2))</f>
        <v>97.695173988822006</v>
      </c>
      <c r="Q106" s="552">
        <f>IF(X106=0,0,IF(OR(E106=$AT$10,E106=$AT$9),VLOOKUP(YEAR(X106),INPC!$B$4:$P$30,MONTH(X106)+1),VLOOKUP(YEAR(X106),INPC!$B$4:$P$30,MONTH(X106)+2,0)))</f>
        <v>124.571</v>
      </c>
      <c r="R106" s="309">
        <f t="shared" si="23"/>
        <v>1.2749999999999999</v>
      </c>
      <c r="S106" s="310">
        <f t="shared" si="32"/>
        <v>11330499.379499998</v>
      </c>
      <c r="T106" s="547">
        <f t="shared" si="33"/>
        <v>126.29859304775279</v>
      </c>
      <c r="U106" s="311"/>
      <c r="V106" s="312">
        <v>89712</v>
      </c>
      <c r="W106" s="299" t="s">
        <v>194</v>
      </c>
      <c r="X106" s="300">
        <v>44839</v>
      </c>
      <c r="Y106" s="299" t="s">
        <v>60</v>
      </c>
      <c r="Z106" s="303">
        <v>9986463.5299999993</v>
      </c>
      <c r="AA106" s="305">
        <f>IF(Z106=0,0,IF(Y106="MXN",1/HLOOKUP(YEAR(X106)+(MONTH(X106)/100),TC!$5:$37,DAY(X106)+2,FALSE),VLOOKUP(Y106,Equivalencia!$1:$23,((MAX(Equivalencia!$3:$3)-YEAR(X106))*14)+MONTH(X106)+2,FALSE)))</f>
        <v>4.9998000079996795E-2</v>
      </c>
      <c r="AB106" s="306">
        <f t="shared" si="34"/>
        <v>499303.20437182504</v>
      </c>
      <c r="AC106" s="305">
        <f>+IF(X106=0,0,HLOOKUP(YEAR(X106)+(MONTH(X106)/100),TC!$5:$37,DAY(X106)+2,FALSE))</f>
        <v>20.000800000000002</v>
      </c>
      <c r="AD106" s="307">
        <f t="shared" si="35"/>
        <v>9986463.5299999993</v>
      </c>
      <c r="AE106" s="314">
        <f t="shared" si="24"/>
        <v>11330499.379499998</v>
      </c>
      <c r="AF106" s="315">
        <f t="shared" si="25"/>
        <v>-1344035.8494999986</v>
      </c>
      <c r="AG106" s="316">
        <f t="shared" si="26"/>
        <v>4.9068493150684933</v>
      </c>
      <c r="AH106" s="314">
        <v>1</v>
      </c>
      <c r="AI106" s="314">
        <f t="shared" si="27"/>
        <v>-1344035.8494999986</v>
      </c>
      <c r="AJ106" s="314">
        <f t="shared" si="36"/>
        <v>0</v>
      </c>
      <c r="AK106" s="317"/>
      <c r="AL106" s="315">
        <f t="shared" si="28"/>
        <v>34881.327069095452</v>
      </c>
      <c r="AN106" s="546">
        <f t="shared" si="29"/>
        <v>3.9251307928723674E-3</v>
      </c>
      <c r="AO106" s="314"/>
      <c r="AP106" s="318"/>
    </row>
    <row r="107" spans="2:42">
      <c r="B107" s="296"/>
      <c r="C107" s="299"/>
      <c r="D107" s="298"/>
      <c r="E107" s="299"/>
      <c r="F107" s="299"/>
      <c r="G107" s="300"/>
      <c r="H107" s="303"/>
      <c r="I107" s="301">
        <f t="shared" si="20"/>
        <v>0</v>
      </c>
      <c r="J107" s="302">
        <f t="shared" si="30"/>
        <v>0</v>
      </c>
      <c r="K107" s="304">
        <f t="shared" si="21"/>
        <v>0</v>
      </c>
      <c r="L107" s="305">
        <f>IF(H107=0,0,IF(OR(E107=$AT$5,E107=$AT$6),AA107,IF(F107="MXN",1/HLOOKUP(YEAR(G107)+(MONTH(G107)/100),TC!$5:$37,DAY(G107)+2,FALSE),VLOOKUP(F107,Equivalencia!$5:$23,((MAX(Equivalencia!$3:$3)-YEAR(G107))*14)+MONTH(G107)+2,FALSE))))</f>
        <v>0</v>
      </c>
      <c r="M107" s="306">
        <f t="shared" si="22"/>
        <v>0</v>
      </c>
      <c r="N107" s="305">
        <f>IF(G107=0,0,(IF(OR(E107=$AT$5,E107=$AT$6),AC107,HLOOKUP(YEAR(G107)+(MONTH(G107)/100),TC!$5:$37,DAY(G107)+2,FALSE))))</f>
        <v>0</v>
      </c>
      <c r="O107" s="307">
        <f t="shared" si="31"/>
        <v>0</v>
      </c>
      <c r="P107" s="552">
        <f>IF(G107=0,0,VLOOKUP(YEAR(G107),INPC!$B$4:$P$30,MONTH(G107)+2))</f>
        <v>0</v>
      </c>
      <c r="Q107" s="552">
        <f>IF(X107=0,0,IF(OR(E107=$AT$10,E107=$AT$9),VLOOKUP(YEAR(X107),INPC!$B$4:$P$30,MONTH(X107)+1),VLOOKUP(YEAR(X107),INPC!$B$4:$P$30,MONTH(X107)+2,0)))</f>
        <v>0</v>
      </c>
      <c r="R107" s="309">
        <f t="shared" si="23"/>
        <v>0</v>
      </c>
      <c r="S107" s="310">
        <f t="shared" si="32"/>
        <v>0</v>
      </c>
      <c r="T107" s="547">
        <f t="shared" si="33"/>
        <v>0</v>
      </c>
      <c r="U107" s="311"/>
      <c r="V107" s="312"/>
      <c r="W107" s="299"/>
      <c r="X107" s="300"/>
      <c r="Y107" s="299"/>
      <c r="Z107" s="303"/>
      <c r="AA107" s="305">
        <f>IF(Z107=0,0,IF(Y107="MXN",1/HLOOKUP(YEAR(X107)+(MONTH(X107)/100),TC!$5:$37,DAY(X107)+2,FALSE),VLOOKUP(Y107,Equivalencia!$1:$23,((MAX(Equivalencia!$3:$3)-YEAR(X107))*14)+MONTH(X107)+2,FALSE)))</f>
        <v>0</v>
      </c>
      <c r="AB107" s="306">
        <f t="shared" si="34"/>
        <v>0</v>
      </c>
      <c r="AC107" s="305">
        <f>+IF(X107=0,0,HLOOKUP(YEAR(X107)+(MONTH(X107)/100),TC!$5:$37,DAY(X107)+2,FALSE))</f>
        <v>0</v>
      </c>
      <c r="AD107" s="307">
        <f t="shared" si="35"/>
        <v>0</v>
      </c>
      <c r="AE107" s="314">
        <f t="shared" si="24"/>
        <v>0</v>
      </c>
      <c r="AF107" s="315">
        <f t="shared" si="25"/>
        <v>0</v>
      </c>
      <c r="AG107" s="316">
        <f t="shared" si="26"/>
        <v>0</v>
      </c>
      <c r="AH107" s="314">
        <v>1</v>
      </c>
      <c r="AI107" s="314">
        <f t="shared" si="27"/>
        <v>0</v>
      </c>
      <c r="AJ107" s="314">
        <f t="shared" si="36"/>
        <v>0</v>
      </c>
      <c r="AK107" s="317"/>
      <c r="AL107" s="315">
        <f t="shared" si="28"/>
        <v>0</v>
      </c>
      <c r="AN107" s="546">
        <f t="shared" si="29"/>
        <v>0</v>
      </c>
      <c r="AO107" s="314"/>
      <c r="AP107" s="318"/>
    </row>
    <row r="108" spans="2:42">
      <c r="B108" s="296" t="s">
        <v>953</v>
      </c>
      <c r="C108" s="299" t="s">
        <v>276</v>
      </c>
      <c r="D108" s="298" t="s">
        <v>703</v>
      </c>
      <c r="E108" s="299" t="s">
        <v>113</v>
      </c>
      <c r="F108" s="299" t="s">
        <v>59</v>
      </c>
      <c r="G108" s="300">
        <v>44231</v>
      </c>
      <c r="H108" s="303">
        <v>13110.260053072056</v>
      </c>
      <c r="I108" s="301" t="str">
        <f t="shared" si="20"/>
        <v>Ingresos Sección II LISR (SIC &amp; BMV)</v>
      </c>
      <c r="J108" s="302">
        <f t="shared" si="30"/>
        <v>200</v>
      </c>
      <c r="K108" s="304">
        <f t="shared" si="21"/>
        <v>65.551300265360283</v>
      </c>
      <c r="L108" s="305">
        <f>IF(H108=0,0,IF(OR(E108=$AT$5,E108=$AT$6),AA108,IF(F108="MXN",1/HLOOKUP(YEAR(G108)+(MONTH(G108)/100),TC!$5:$37,DAY(G108)+2,FALSE),VLOOKUP(F108,Equivalencia!$5:$23,((MAX(Equivalencia!$3:$3)-YEAR(G108))*14)+MONTH(G108)+2,FALSE))))</f>
        <v>1</v>
      </c>
      <c r="M108" s="306">
        <f t="shared" si="22"/>
        <v>13110.260053072056</v>
      </c>
      <c r="N108" s="305">
        <f>IF(G108=0,0,(IF(OR(E108=$AT$5,E108=$AT$6),AC108,HLOOKUP(YEAR(G108)+(MONTH(G108)/100),TC!$5:$37,DAY(G108)+2,FALSE))))</f>
        <v>20.1722</v>
      </c>
      <c r="O108" s="307">
        <f t="shared" si="31"/>
        <v>264462.78784258012</v>
      </c>
      <c r="P108" s="552">
        <f>IF(G108=0,0,VLOOKUP(YEAR(G108),INPC!$B$4:$P$30,MONTH(G108)+2))</f>
        <v>110.907</v>
      </c>
      <c r="Q108" s="552">
        <f>IF(X108=0,0,IF(OR(E108=$AT$10,E108=$AT$9),VLOOKUP(YEAR(X108),INPC!$B$4:$P$30,MONTH(X108)+1),VLOOKUP(YEAR(X108),INPC!$B$4:$P$30,MONTH(X108)+2,0)))</f>
        <v>124.571</v>
      </c>
      <c r="R108" s="309">
        <f t="shared" si="23"/>
        <v>1.1232</v>
      </c>
      <c r="S108" s="310">
        <f t="shared" si="32"/>
        <v>297044.60330478597</v>
      </c>
      <c r="T108" s="547">
        <f t="shared" si="33"/>
        <v>1485.2230165239298</v>
      </c>
      <c r="U108" s="311"/>
      <c r="V108" s="312">
        <v>200</v>
      </c>
      <c r="W108" s="299" t="s">
        <v>194</v>
      </c>
      <c r="X108" s="300">
        <v>44862</v>
      </c>
      <c r="Y108" s="299" t="s">
        <v>59</v>
      </c>
      <c r="Z108" s="303">
        <v>11903.14</v>
      </c>
      <c r="AA108" s="305">
        <f>IF(Z108=0,0,IF(Y108="MXN",1/HLOOKUP(YEAR(X108)+(MONTH(X108)/100),TC!$5:$37,DAY(X108)+2,FALSE),VLOOKUP(Y108,Equivalencia!$1:$23,((MAX(Equivalencia!$3:$3)-YEAR(X108))*14)+MONTH(X108)+2,FALSE)))</f>
        <v>1</v>
      </c>
      <c r="AB108" s="306">
        <f t="shared" si="34"/>
        <v>11903.14</v>
      </c>
      <c r="AC108" s="305">
        <f>+IF(X108=0,0,HLOOKUP(YEAR(X108)+(MONTH(X108)/100),TC!$5:$37,DAY(X108)+2,FALSE))</f>
        <v>19.8553</v>
      </c>
      <c r="AD108" s="307">
        <f t="shared" si="35"/>
        <v>236340.41564199998</v>
      </c>
      <c r="AE108" s="314">
        <f t="shared" si="24"/>
        <v>297044.60330478597</v>
      </c>
      <c r="AF108" s="315">
        <f t="shared" si="25"/>
        <v>-60704.187662785989</v>
      </c>
      <c r="AG108" s="316">
        <f t="shared" si="26"/>
        <v>1.7287671232876711</v>
      </c>
      <c r="AH108" s="314">
        <v>1</v>
      </c>
      <c r="AI108" s="314">
        <f t="shared" si="27"/>
        <v>-60704.187662785989</v>
      </c>
      <c r="AJ108" s="314">
        <f t="shared" si="36"/>
        <v>0</v>
      </c>
      <c r="AK108" s="317"/>
      <c r="AL108" s="315">
        <f t="shared" si="28"/>
        <v>-1207.1200530720562</v>
      </c>
      <c r="AN108" s="546">
        <f t="shared" si="29"/>
        <v>-9.207445528810837E-2</v>
      </c>
      <c r="AO108" s="314"/>
      <c r="AP108" s="318"/>
    </row>
    <row r="109" spans="2:42" ht="17" thickBot="1">
      <c r="B109" s="296" t="s">
        <v>953</v>
      </c>
      <c r="C109" s="299" t="s">
        <v>276</v>
      </c>
      <c r="D109" s="298" t="s">
        <v>704</v>
      </c>
      <c r="E109" s="299" t="s">
        <v>113</v>
      </c>
      <c r="F109" s="299" t="s">
        <v>59</v>
      </c>
      <c r="G109" s="300">
        <v>44370</v>
      </c>
      <c r="H109" s="303">
        <v>255213.1886864813</v>
      </c>
      <c r="I109" s="301" t="str">
        <f t="shared" si="20"/>
        <v>Ingresos Sección II LISR (SIC &amp; BMV)</v>
      </c>
      <c r="J109" s="302">
        <f t="shared" si="30"/>
        <v>1432</v>
      </c>
      <c r="K109" s="304">
        <f t="shared" si="21"/>
        <v>178.22150047938638</v>
      </c>
      <c r="L109" s="305">
        <f>IF(H109=0,0,IF(OR(E109=$AT$5,E109=$AT$6),AA109,IF(F109="MXN",1/HLOOKUP(YEAR(G109)+(MONTH(G109)/100),TC!$5:$37,DAY(G109)+2,FALSE),VLOOKUP(F109,Equivalencia!$5:$23,((MAX(Equivalencia!$3:$3)-YEAR(G109))*14)+MONTH(G109)+2,FALSE))))</f>
        <v>1</v>
      </c>
      <c r="M109" s="306">
        <f t="shared" si="22"/>
        <v>255213.1886864813</v>
      </c>
      <c r="N109" s="305">
        <f>IF(G109=0,0,(IF(OR(E109=$AT$5,E109=$AT$6),AC109,HLOOKUP(YEAR(G109)+(MONTH(G109)/100),TC!$5:$37,DAY(G109)+2,FALSE))))</f>
        <v>20.6</v>
      </c>
      <c r="O109" s="307">
        <f t="shared" si="31"/>
        <v>5257391.6869415147</v>
      </c>
      <c r="P109" s="552">
        <f>IF(G109=0,0,VLOOKUP(YEAR(G109),INPC!$B$4:$P$30,MONTH(G109)+2))</f>
        <v>113.018</v>
      </c>
      <c r="Q109" s="552">
        <f>IF(X109=0,0,IF(OR(E109=$AT$10,E109=$AT$9),VLOOKUP(YEAR(X109),INPC!$B$4:$P$30,MONTH(X109)+1),VLOOKUP(YEAR(X109),INPC!$B$4:$P$30,MONTH(X109)+2,0)))</f>
        <v>124.571</v>
      </c>
      <c r="R109" s="309">
        <f t="shared" si="23"/>
        <v>1.1022000000000001</v>
      </c>
      <c r="S109" s="310">
        <f t="shared" si="32"/>
        <v>5794697.1173469378</v>
      </c>
      <c r="T109" s="547">
        <f t="shared" si="33"/>
        <v>4046.5761992646212</v>
      </c>
      <c r="U109" s="311"/>
      <c r="V109" s="312">
        <v>1432</v>
      </c>
      <c r="W109" s="299" t="s">
        <v>194</v>
      </c>
      <c r="X109" s="300">
        <v>44862</v>
      </c>
      <c r="Y109" s="299" t="s">
        <v>59</v>
      </c>
      <c r="Z109" s="303">
        <v>225921.06</v>
      </c>
      <c r="AA109" s="305">
        <f>IF(Z109=0,0,IF(Y109="MXN",1/HLOOKUP(YEAR(X109)+(MONTH(X109)/100),TC!$5:$37,DAY(X109)+2,FALSE),VLOOKUP(Y109,Equivalencia!$1:$23,((MAX(Equivalencia!$3:$3)-YEAR(X109))*14)+MONTH(X109)+2,FALSE)))</f>
        <v>1</v>
      </c>
      <c r="AB109" s="306">
        <f t="shared" si="34"/>
        <v>225921.06</v>
      </c>
      <c r="AC109" s="305">
        <f>+IF(X109=0,0,HLOOKUP(YEAR(X109)+(MONTH(X109)/100),TC!$5:$37,DAY(X109)+2,FALSE))</f>
        <v>19.8553</v>
      </c>
      <c r="AD109" s="307">
        <f t="shared" si="35"/>
        <v>4485730.4226179998</v>
      </c>
      <c r="AE109" s="314">
        <f t="shared" si="24"/>
        <v>5794697.1173469378</v>
      </c>
      <c r="AF109" s="315">
        <f t="shared" si="25"/>
        <v>-1308966.6947289379</v>
      </c>
      <c r="AG109" s="316">
        <f t="shared" si="26"/>
        <v>1.3479452054794521</v>
      </c>
      <c r="AH109" s="314">
        <v>1</v>
      </c>
      <c r="AI109" s="314">
        <f t="shared" si="27"/>
        <v>-1308966.6947289379</v>
      </c>
      <c r="AJ109" s="314">
        <f t="shared" si="36"/>
        <v>0</v>
      </c>
      <c r="AK109" s="317"/>
      <c r="AL109" s="315">
        <f t="shared" si="28"/>
        <v>-29292.128686481301</v>
      </c>
      <c r="AN109" s="546">
        <f t="shared" si="29"/>
        <v>-0.11477513696388729</v>
      </c>
      <c r="AO109" s="314"/>
      <c r="AP109" s="318"/>
    </row>
    <row r="110" spans="2:42">
      <c r="B110" s="296" t="s">
        <v>953</v>
      </c>
      <c r="C110" s="299" t="s">
        <v>276</v>
      </c>
      <c r="D110" s="298" t="s">
        <v>704</v>
      </c>
      <c r="E110" s="299" t="s">
        <v>113</v>
      </c>
      <c r="F110" s="299" t="s">
        <v>59</v>
      </c>
      <c r="G110" s="300">
        <v>44370</v>
      </c>
      <c r="H110" s="303">
        <v>107111.12178811121</v>
      </c>
      <c r="I110" s="301" t="str">
        <f t="shared" si="20"/>
        <v>Ingresos Sección II LISR (SIC &amp; BMV)</v>
      </c>
      <c r="J110" s="302">
        <f t="shared" si="30"/>
        <v>601</v>
      </c>
      <c r="K110" s="304">
        <f t="shared" si="21"/>
        <v>178.22150047938638</v>
      </c>
      <c r="L110" s="305">
        <f>IF(H110=0,0,IF(OR(E110=$AT$5,E110=$AT$6),AA110,IF(F110="MXN",1/HLOOKUP(YEAR(G110)+(MONTH(G110)/100),TC!$5:$37,DAY(G110)+2,FALSE),VLOOKUP(F110,Equivalencia!$5:$23,((MAX(Equivalencia!$3:$3)-YEAR(G110))*14)+MONTH(G110)+2,FALSE))))</f>
        <v>1</v>
      </c>
      <c r="M110" s="306">
        <f t="shared" si="22"/>
        <v>107111.12178811121</v>
      </c>
      <c r="N110" s="305">
        <f>IF(G110=0,0,(IF(OR(E110=$AT$5,E110=$AT$6),AC110,HLOOKUP(YEAR(G110)+(MONTH(G110)/100),TC!$5:$37,DAY(G110)+2,FALSE))))</f>
        <v>20.6</v>
      </c>
      <c r="O110" s="307">
        <f t="shared" si="31"/>
        <v>2206489.1088350909</v>
      </c>
      <c r="P110" s="552">
        <f>IF(G110=0,0,VLOOKUP(YEAR(G110),INPC!$B$4:$P$30,MONTH(G110)+2))</f>
        <v>113.018</v>
      </c>
      <c r="Q110" s="552">
        <f>IF(X110=0,0,IF(OR(E110=$AT$10,E110=$AT$9),VLOOKUP(YEAR(X110),INPC!$B$4:$P$30,MONTH(X110)+1),VLOOKUP(YEAR(X110),INPC!$B$4:$P$30,MONTH(X110)+2,0)))</f>
        <v>125.997</v>
      </c>
      <c r="R110" s="309">
        <f t="shared" si="23"/>
        <v>1.1148</v>
      </c>
      <c r="S110" s="310">
        <f t="shared" si="32"/>
        <v>2459794.0585293593</v>
      </c>
      <c r="T110" s="547">
        <f t="shared" si="33"/>
        <v>4092.8353719290503</v>
      </c>
      <c r="U110" s="311"/>
      <c r="V110" s="312">
        <v>601</v>
      </c>
      <c r="W110" s="299" t="s">
        <v>194</v>
      </c>
      <c r="X110" s="300">
        <v>44897</v>
      </c>
      <c r="Y110" s="299" t="s">
        <v>59</v>
      </c>
      <c r="Z110" s="651">
        <v>100864.80759675967</v>
      </c>
      <c r="AA110" s="305">
        <f>IF(Z110=0,0,IF(Y110="MXN",1/HLOOKUP(YEAR(X110)+(MONTH(X110)/100),TC!$5:$37,DAY(X110)+2,FALSE),VLOOKUP(Y110,Equivalencia!$1:$23,((MAX(Equivalencia!$3:$3)-YEAR(X110))*14)+MONTH(X110)+2,FALSE)))</f>
        <v>1</v>
      </c>
      <c r="AB110" s="306">
        <f t="shared" si="34"/>
        <v>100864.80759675967</v>
      </c>
      <c r="AC110" s="305">
        <f>+IF(X110=0,0,HLOOKUP(YEAR(X110)+(MONTH(X110)/100),TC!$5:$37,DAY(X110)+2,FALSE))</f>
        <v>19.3965</v>
      </c>
      <c r="AD110" s="307">
        <f t="shared" si="35"/>
        <v>1956424.2405505488</v>
      </c>
      <c r="AE110" s="314">
        <f t="shared" si="24"/>
        <v>2459794.0585293593</v>
      </c>
      <c r="AF110" s="315">
        <f t="shared" si="25"/>
        <v>-503369.81797881052</v>
      </c>
      <c r="AG110" s="316">
        <f t="shared" si="26"/>
        <v>1.4438356164383561</v>
      </c>
      <c r="AH110" s="314">
        <v>1</v>
      </c>
      <c r="AI110" s="314">
        <f t="shared" si="27"/>
        <v>-503369.81797881052</v>
      </c>
      <c r="AJ110" s="314">
        <f t="shared" si="36"/>
        <v>0</v>
      </c>
      <c r="AK110" s="317"/>
      <c r="AL110" s="315">
        <f t="shared" si="28"/>
        <v>-6246.3141913515428</v>
      </c>
      <c r="AN110" s="546">
        <f t="shared" si="29"/>
        <v>-5.8316205516996573E-2</v>
      </c>
      <c r="AO110" s="314"/>
      <c r="AP110" s="318"/>
    </row>
    <row r="111" spans="2:42">
      <c r="B111" s="296" t="s">
        <v>953</v>
      </c>
      <c r="C111" s="299" t="s">
        <v>276</v>
      </c>
      <c r="D111" s="298" t="s">
        <v>704</v>
      </c>
      <c r="E111" s="299" t="s">
        <v>113</v>
      </c>
      <c r="F111" s="299" t="s">
        <v>59</v>
      </c>
      <c r="G111" s="300">
        <v>44491</v>
      </c>
      <c r="H111" s="303">
        <v>188524.2</v>
      </c>
      <c r="I111" s="301" t="str">
        <f t="shared" si="20"/>
        <v>Ingresos Sección II LISR (SIC &amp; BMV)</v>
      </c>
      <c r="J111" s="302">
        <f t="shared" si="30"/>
        <v>1006</v>
      </c>
      <c r="K111" s="304">
        <f t="shared" si="21"/>
        <v>187.39980119284294</v>
      </c>
      <c r="L111" s="305">
        <f>IF(H111=0,0,IF(OR(E111=$AT$5,E111=$AT$6),AA111,IF(F111="MXN",1/HLOOKUP(YEAR(G111)+(MONTH(G111)/100),TC!$5:$37,DAY(G111)+2,FALSE),VLOOKUP(F111,Equivalencia!$5:$23,((MAX(Equivalencia!$3:$3)-YEAR(G111))*14)+MONTH(G111)+2,FALSE))))</f>
        <v>1</v>
      </c>
      <c r="M111" s="306">
        <f t="shared" si="22"/>
        <v>188524.2</v>
      </c>
      <c r="N111" s="305">
        <f>IF(G111=0,0,(IF(OR(E111=$AT$5,E111=$AT$6),AC111,HLOOKUP(YEAR(G111)+(MONTH(G111)/100),TC!$5:$37,DAY(G111)+2,FALSE))))</f>
        <v>20.184999999999999</v>
      </c>
      <c r="O111" s="307">
        <f t="shared" si="31"/>
        <v>3805360.977</v>
      </c>
      <c r="P111" s="552">
        <f>IF(G111=0,0,VLOOKUP(YEAR(G111),INPC!$B$4:$P$30,MONTH(G111)+2))</f>
        <v>115.56100000000001</v>
      </c>
      <c r="Q111" s="552">
        <f>IF(X111=0,0,IF(OR(E111=$AT$10,E111=$AT$9),VLOOKUP(YEAR(X111),INPC!$B$4:$P$30,MONTH(X111)+1),VLOOKUP(YEAR(X111),INPC!$B$4:$P$30,MONTH(X111)+2,0)))</f>
        <v>125.997</v>
      </c>
      <c r="R111" s="309">
        <f t="shared" si="23"/>
        <v>1.0903</v>
      </c>
      <c r="S111" s="310">
        <f t="shared" si="32"/>
        <v>4148985.0732231</v>
      </c>
      <c r="T111" s="547">
        <f t="shared" si="33"/>
        <v>4124.2396354106359</v>
      </c>
      <c r="U111" s="311"/>
      <c r="V111" s="312">
        <v>1006</v>
      </c>
      <c r="W111" s="299" t="s">
        <v>194</v>
      </c>
      <c r="X111" s="300">
        <v>44897</v>
      </c>
      <c r="Y111" s="299" t="s">
        <v>59</v>
      </c>
      <c r="Z111" s="646">
        <v>168835.26862286229</v>
      </c>
      <c r="AA111" s="305">
        <f>IF(Z111=0,0,IF(Y111="MXN",1/HLOOKUP(YEAR(X111)+(MONTH(X111)/100),TC!$5:$37,DAY(X111)+2,FALSE),VLOOKUP(Y111,Equivalencia!$1:$23,((MAX(Equivalencia!$3:$3)-YEAR(X111))*14)+MONTH(X111)+2,FALSE)))</f>
        <v>1</v>
      </c>
      <c r="AB111" s="306">
        <f t="shared" si="34"/>
        <v>168835.26862286229</v>
      </c>
      <c r="AC111" s="305">
        <f>+IF(X111=0,0,HLOOKUP(YEAR(X111)+(MONTH(X111)/100),TC!$5:$37,DAY(X111)+2,FALSE))</f>
        <v>19.3965</v>
      </c>
      <c r="AD111" s="307">
        <f t="shared" si="35"/>
        <v>3274813.2878433485</v>
      </c>
      <c r="AE111" s="314">
        <f t="shared" si="24"/>
        <v>4148985.0732230996</v>
      </c>
      <c r="AF111" s="315">
        <f t="shared" si="25"/>
        <v>-874171.78537975112</v>
      </c>
      <c r="AG111" s="316">
        <f t="shared" si="26"/>
        <v>1.1123287671232878</v>
      </c>
      <c r="AH111" s="314">
        <v>1</v>
      </c>
      <c r="AI111" s="314">
        <f t="shared" si="27"/>
        <v>-874171.78537975112</v>
      </c>
      <c r="AJ111" s="314">
        <f t="shared" si="36"/>
        <v>0</v>
      </c>
      <c r="AK111" s="317"/>
      <c r="AL111" s="315">
        <f t="shared" si="28"/>
        <v>-19688.93137713772</v>
      </c>
      <c r="AN111" s="546">
        <f t="shared" si="29"/>
        <v>-0.10443715648780219</v>
      </c>
      <c r="AO111" s="314"/>
      <c r="AP111" s="318"/>
    </row>
    <row r="112" spans="2:42" ht="17" thickBot="1">
      <c r="B112" s="296" t="s">
        <v>953</v>
      </c>
      <c r="C112" s="299" t="s">
        <v>276</v>
      </c>
      <c r="D112" s="298" t="s">
        <v>704</v>
      </c>
      <c r="E112" s="299" t="s">
        <v>113</v>
      </c>
      <c r="F112" s="299" t="s">
        <v>59</v>
      </c>
      <c r="G112" s="300">
        <v>44603</v>
      </c>
      <c r="H112" s="303">
        <v>114498.17631375579</v>
      </c>
      <c r="I112" s="301" t="str">
        <f t="shared" si="20"/>
        <v>Ingresos Sección II LISR (SIC &amp; BMV)</v>
      </c>
      <c r="J112" s="302">
        <f t="shared" si="30"/>
        <v>615</v>
      </c>
      <c r="K112" s="304">
        <f t="shared" si="21"/>
        <v>186.17589644513137</v>
      </c>
      <c r="L112" s="305">
        <f>IF(H112=0,0,IF(OR(E112=$AT$5,E112=$AT$6),AA112,IF(F112="MXN",1/HLOOKUP(YEAR(G112)+(MONTH(G112)/100),TC!$5:$37,DAY(G112)+2,FALSE),VLOOKUP(F112,Equivalencia!$5:$23,((MAX(Equivalencia!$3:$3)-YEAR(G112))*14)+MONTH(G112)+2,FALSE))))</f>
        <v>1</v>
      </c>
      <c r="M112" s="306">
        <f t="shared" si="22"/>
        <v>114498.17631375579</v>
      </c>
      <c r="N112" s="305">
        <f>IF(G112=0,0,(IF(OR(E112=$AT$5,E112=$AT$6),AC112,HLOOKUP(YEAR(G112)+(MONTH(G112)/100),TC!$5:$37,DAY(G112)+2,FALSE))))</f>
        <v>20.500800000000002</v>
      </c>
      <c r="O112" s="307">
        <f t="shared" si="31"/>
        <v>2347304.2129730447</v>
      </c>
      <c r="P112" s="552">
        <f>IF(G112=0,0,VLOOKUP(YEAR(G112),INPC!$B$4:$P$30,MONTH(G112)+2))</f>
        <v>118.98099999999999</v>
      </c>
      <c r="Q112" s="552">
        <f>IF(X112=0,0,IF(OR(E112=$AT$10,E112=$AT$9),VLOOKUP(YEAR(X112),INPC!$B$4:$P$30,MONTH(X112)+1),VLOOKUP(YEAR(X112),INPC!$B$4:$P$30,MONTH(X112)+2,0)))</f>
        <v>125.997</v>
      </c>
      <c r="R112" s="309">
        <f t="shared" si="23"/>
        <v>1.0589</v>
      </c>
      <c r="S112" s="310">
        <f t="shared" si="32"/>
        <v>2485560.431117157</v>
      </c>
      <c r="T112" s="547">
        <f t="shared" si="33"/>
        <v>4041.5616766132634</v>
      </c>
      <c r="U112" s="311"/>
      <c r="V112" s="312">
        <v>615</v>
      </c>
      <c r="W112" s="299" t="s">
        <v>194</v>
      </c>
      <c r="X112" s="300">
        <v>44897</v>
      </c>
      <c r="Y112" s="299" t="s">
        <v>59</v>
      </c>
      <c r="Z112" s="647">
        <v>103214.40378037804</v>
      </c>
      <c r="AA112" s="305">
        <f>IF(Z112=0,0,IF(Y112="MXN",1/HLOOKUP(YEAR(X112)+(MONTH(X112)/100),TC!$5:$37,DAY(X112)+2,FALSE),VLOOKUP(Y112,Equivalencia!$1:$23,((MAX(Equivalencia!$3:$3)-YEAR(X112))*14)+MONTH(X112)+2,FALSE)))</f>
        <v>1</v>
      </c>
      <c r="AB112" s="306">
        <f t="shared" si="34"/>
        <v>103214.40378037804</v>
      </c>
      <c r="AC112" s="305">
        <f>+IF(X112=0,0,HLOOKUP(YEAR(X112)+(MONTH(X112)/100),TC!$5:$37,DAY(X112)+2,FALSE))</f>
        <v>19.3965</v>
      </c>
      <c r="AD112" s="307">
        <f t="shared" si="35"/>
        <v>2001998.1829261025</v>
      </c>
      <c r="AE112" s="314">
        <f t="shared" si="24"/>
        <v>2485560.431117157</v>
      </c>
      <c r="AF112" s="315">
        <f t="shared" si="25"/>
        <v>-483562.24819105444</v>
      </c>
      <c r="AG112" s="316">
        <f t="shared" si="26"/>
        <v>0.80547945205479454</v>
      </c>
      <c r="AH112" s="314">
        <v>1</v>
      </c>
      <c r="AI112" s="314">
        <f t="shared" si="27"/>
        <v>-483562.24819105444</v>
      </c>
      <c r="AJ112" s="314">
        <f t="shared" si="36"/>
        <v>0</v>
      </c>
      <c r="AK112" s="317"/>
      <c r="AL112" s="315">
        <f t="shared" si="28"/>
        <v>-11283.772533377749</v>
      </c>
      <c r="AN112" s="546">
        <f t="shared" si="29"/>
        <v>-9.854980137375445E-2</v>
      </c>
      <c r="AO112" s="314"/>
      <c r="AP112" s="318"/>
    </row>
    <row r="113" spans="2:42">
      <c r="B113" s="296" t="s">
        <v>953</v>
      </c>
      <c r="C113" s="299" t="s">
        <v>276</v>
      </c>
      <c r="D113" s="298" t="s">
        <v>708</v>
      </c>
      <c r="E113" s="299" t="s">
        <v>113</v>
      </c>
      <c r="F113" s="299" t="s">
        <v>59</v>
      </c>
      <c r="G113" s="300">
        <v>44218</v>
      </c>
      <c r="H113" s="303">
        <v>159652.37063180827</v>
      </c>
      <c r="I113" s="301" t="str">
        <f t="shared" si="20"/>
        <v>Ingresos Sección II LISR (SIC &amp; BMV)</v>
      </c>
      <c r="J113" s="302">
        <f t="shared" si="30"/>
        <v>652</v>
      </c>
      <c r="K113" s="304">
        <f t="shared" si="21"/>
        <v>244.86559912854028</v>
      </c>
      <c r="L113" s="305">
        <f>IF(H113=0,0,IF(OR(E113=$AT$5,E113=$AT$6),AA113,IF(F113="MXN",1/HLOOKUP(YEAR(G113)+(MONTH(G113)/100),TC!$5:$37,DAY(G113)+2,FALSE),VLOOKUP(F113,Equivalencia!$5:$23,((MAX(Equivalencia!$3:$3)-YEAR(G113))*14)+MONTH(G113)+2,FALSE))))</f>
        <v>1</v>
      </c>
      <c r="M113" s="306">
        <f t="shared" si="22"/>
        <v>159652.37063180827</v>
      </c>
      <c r="N113" s="305">
        <f>IF(G113=0,0,(IF(OR(E113=$AT$5,E113=$AT$6),AC113,HLOOKUP(YEAR(G113)+(MONTH(G113)/100),TC!$5:$37,DAY(G113)+2,FALSE))))</f>
        <v>19.5793</v>
      </c>
      <c r="O113" s="307">
        <f t="shared" si="31"/>
        <v>3125881.6603113636</v>
      </c>
      <c r="P113" s="552">
        <f>IF(G113=0,0,VLOOKUP(YEAR(G113),INPC!$B$4:$P$30,MONTH(G113)+2))</f>
        <v>110.21</v>
      </c>
      <c r="Q113" s="552">
        <f>IF(X113=0,0,IF(OR(E113=$AT$10,E113=$AT$9),VLOOKUP(YEAR(X113),INPC!$B$4:$P$30,MONTH(X113)+1),VLOOKUP(YEAR(X113),INPC!$B$4:$P$30,MONTH(X113)+2,0)))</f>
        <v>125.997</v>
      </c>
      <c r="R113" s="309">
        <f t="shared" si="23"/>
        <v>1.1432</v>
      </c>
      <c r="S113" s="310">
        <f t="shared" si="32"/>
        <v>3573507.914067951</v>
      </c>
      <c r="T113" s="547">
        <f t="shared" si="33"/>
        <v>5480.8403589999252</v>
      </c>
      <c r="U113" s="311"/>
      <c r="V113" s="312">
        <v>652</v>
      </c>
      <c r="W113" s="299" t="s">
        <v>194</v>
      </c>
      <c r="X113" s="300">
        <v>44897</v>
      </c>
      <c r="Y113" s="299" t="s">
        <v>59</v>
      </c>
      <c r="Z113" s="303">
        <v>149798.29999999999</v>
      </c>
      <c r="AA113" s="305">
        <f>IF(Z113=0,0,IF(Y113="MXN",1/HLOOKUP(YEAR(X113)+(MONTH(X113)/100),TC!$5:$37,DAY(X113)+2,FALSE),VLOOKUP(Y113,Equivalencia!$1:$23,((MAX(Equivalencia!$3:$3)-YEAR(X113))*14)+MONTH(X113)+2,FALSE)))</f>
        <v>1</v>
      </c>
      <c r="AB113" s="306">
        <f t="shared" si="34"/>
        <v>149798.29999999999</v>
      </c>
      <c r="AC113" s="305">
        <f>+IF(X113=0,0,HLOOKUP(YEAR(X113)+(MONTH(X113)/100),TC!$5:$37,DAY(X113)+2,FALSE))</f>
        <v>19.3965</v>
      </c>
      <c r="AD113" s="307">
        <f t="shared" si="35"/>
        <v>2905562.7259499999</v>
      </c>
      <c r="AE113" s="314">
        <f t="shared" si="24"/>
        <v>3573507.914067951</v>
      </c>
      <c r="AF113" s="315">
        <f t="shared" si="25"/>
        <v>-667945.18811795115</v>
      </c>
      <c r="AG113" s="316">
        <f t="shared" si="26"/>
        <v>1.8602739726027397</v>
      </c>
      <c r="AH113" s="314">
        <v>1</v>
      </c>
      <c r="AI113" s="314">
        <f t="shared" si="27"/>
        <v>-667945.18811795115</v>
      </c>
      <c r="AJ113" s="314">
        <f t="shared" si="36"/>
        <v>0</v>
      </c>
      <c r="AK113" s="317"/>
      <c r="AL113" s="315">
        <f t="shared" si="28"/>
        <v>-9854.0706318082812</v>
      </c>
      <c r="AN113" s="546">
        <f t="shared" si="29"/>
        <v>-6.1722043918369537E-2</v>
      </c>
      <c r="AO113" s="314"/>
      <c r="AP113" s="318"/>
    </row>
    <row r="114" spans="2:42" ht="17" thickBot="1">
      <c r="B114" s="296" t="s">
        <v>953</v>
      </c>
      <c r="C114" s="299" t="s">
        <v>276</v>
      </c>
      <c r="D114" s="298" t="s">
        <v>844</v>
      </c>
      <c r="E114" s="299" t="s">
        <v>113</v>
      </c>
      <c r="F114" s="299" t="s">
        <v>59</v>
      </c>
      <c r="G114" s="300">
        <v>44294</v>
      </c>
      <c r="H114" s="303">
        <v>33830.022516655408</v>
      </c>
      <c r="I114" s="301" t="str">
        <f t="shared" si="20"/>
        <v>Ingresos Sección II LISR (SIC &amp; BMV)</v>
      </c>
      <c r="J114" s="302">
        <f t="shared" si="30"/>
        <v>5346</v>
      </c>
      <c r="K114" s="304">
        <f t="shared" si="21"/>
        <v>6.3280999844099153</v>
      </c>
      <c r="L114" s="305">
        <f>IF(H114=0,0,IF(OR(E114=$AT$5,E114=$AT$6),AA114,IF(F114="MXN",1/HLOOKUP(YEAR(G114)+(MONTH(G114)/100),TC!$5:$37,DAY(G114)+2,FALSE),VLOOKUP(F114,Equivalencia!$5:$23,((MAX(Equivalencia!$3:$3)-YEAR(G114))*14)+MONTH(G114)+2,FALSE))))</f>
        <v>1</v>
      </c>
      <c r="M114" s="306">
        <f t="shared" si="22"/>
        <v>33830.022516655408</v>
      </c>
      <c r="N114" s="305">
        <f>IF(G114=0,0,(IF(OR(E114=$AT$5,E114=$AT$6),AC114,HLOOKUP(YEAR(G114)+(MONTH(G114)/100),TC!$5:$37,DAY(G114)+2,FALSE))))</f>
        <v>20.161200000000001</v>
      </c>
      <c r="O114" s="307">
        <f t="shared" si="31"/>
        <v>682053.84996279306</v>
      </c>
      <c r="P114" s="552">
        <f>IF(G114=0,0,VLOOKUP(YEAR(G114),INPC!$B$4:$P$30,MONTH(G114)+2))</f>
        <v>112.19</v>
      </c>
      <c r="Q114" s="552">
        <f>IF(X114=0,0,IF(OR(E114=$AT$10,E114=$AT$9),VLOOKUP(YEAR(X114),INPC!$B$4:$P$30,MONTH(X114)+1),VLOOKUP(YEAR(X114),INPC!$B$4:$P$30,MONTH(X114)+2,0)))</f>
        <v>125.997</v>
      </c>
      <c r="R114" s="309">
        <f t="shared" si="23"/>
        <v>1.123</v>
      </c>
      <c r="S114" s="310">
        <f t="shared" si="32"/>
        <v>765946.47350821656</v>
      </c>
      <c r="T114" s="547">
        <f t="shared" si="33"/>
        <v>143.27468640258448</v>
      </c>
      <c r="U114" s="311"/>
      <c r="V114" s="312">
        <v>5346</v>
      </c>
      <c r="W114" s="299" t="s">
        <v>194</v>
      </c>
      <c r="X114" s="300">
        <v>44897</v>
      </c>
      <c r="Y114" s="299" t="s">
        <v>59</v>
      </c>
      <c r="Z114" s="303">
        <v>35614.519999999997</v>
      </c>
      <c r="AA114" s="305">
        <f>IF(Z114=0,0,IF(Y114="MXN",1/HLOOKUP(YEAR(X114)+(MONTH(X114)/100),TC!$5:$37,DAY(X114)+2,FALSE),VLOOKUP(Y114,Equivalencia!$1:$23,((MAX(Equivalencia!$3:$3)-YEAR(X114))*14)+MONTH(X114)+2,FALSE)))</f>
        <v>1</v>
      </c>
      <c r="AB114" s="306">
        <f t="shared" si="34"/>
        <v>35614.519999999997</v>
      </c>
      <c r="AC114" s="305">
        <f>+IF(X114=0,0,HLOOKUP(YEAR(X114)+(MONTH(X114)/100),TC!$5:$37,DAY(X114)+2,FALSE))</f>
        <v>19.3965</v>
      </c>
      <c r="AD114" s="307">
        <f t="shared" si="35"/>
        <v>690797.03717999987</v>
      </c>
      <c r="AE114" s="314">
        <f t="shared" si="24"/>
        <v>765946.47350821667</v>
      </c>
      <c r="AF114" s="315">
        <f t="shared" si="25"/>
        <v>-75149.436328216805</v>
      </c>
      <c r="AG114" s="316">
        <f t="shared" si="26"/>
        <v>1.6520547945205479</v>
      </c>
      <c r="AH114" s="314">
        <v>1</v>
      </c>
      <c r="AI114" s="314">
        <f t="shared" si="27"/>
        <v>-75149.436328216805</v>
      </c>
      <c r="AJ114" s="314">
        <f t="shared" si="36"/>
        <v>0</v>
      </c>
      <c r="AK114" s="317"/>
      <c r="AL114" s="315">
        <f t="shared" si="28"/>
        <v>1784.4974833445885</v>
      </c>
      <c r="AN114" s="546">
        <f t="shared" si="29"/>
        <v>5.2748929814221482E-2</v>
      </c>
      <c r="AO114" s="314"/>
      <c r="AP114" s="318"/>
    </row>
    <row r="115" spans="2:42">
      <c r="B115" s="296" t="s">
        <v>953</v>
      </c>
      <c r="C115" s="299" t="s">
        <v>276</v>
      </c>
      <c r="D115" s="298" t="s">
        <v>712</v>
      </c>
      <c r="E115" s="299" t="s">
        <v>113</v>
      </c>
      <c r="F115" s="299" t="s">
        <v>59</v>
      </c>
      <c r="G115" s="300">
        <v>43957</v>
      </c>
      <c r="H115" s="303">
        <v>10012.736916996048</v>
      </c>
      <c r="I115" s="301" t="str">
        <f t="shared" si="20"/>
        <v>Ingresos Sección II LISR (SIC &amp; BMV)</v>
      </c>
      <c r="J115" s="302">
        <f t="shared" si="30"/>
        <v>35</v>
      </c>
      <c r="K115" s="304">
        <f t="shared" si="21"/>
        <v>286.0781976284585</v>
      </c>
      <c r="L115" s="305">
        <f>IF(H115=0,0,IF(OR(E115=$AT$5,E115=$AT$6),AA115,IF(F115="MXN",1/HLOOKUP(YEAR(G115)+(MONTH(G115)/100),TC!$5:$37,DAY(G115)+2,FALSE),VLOOKUP(F115,Equivalencia!$5:$23,((MAX(Equivalencia!$3:$3)-YEAR(G115))*14)+MONTH(G115)+2,FALSE))))</f>
        <v>1</v>
      </c>
      <c r="M115" s="306">
        <f t="shared" si="22"/>
        <v>10012.736916996048</v>
      </c>
      <c r="N115" s="305">
        <f>IF(G115=0,0,(IF(OR(E115=$AT$5,E115=$AT$6),AC115,HLOOKUP(YEAR(G115)+(MONTH(G115)/100),TC!$5:$37,DAY(G115)+2,FALSE))))</f>
        <v>24.3812</v>
      </c>
      <c r="O115" s="307">
        <f t="shared" si="31"/>
        <v>244122.54132066402</v>
      </c>
      <c r="P115" s="552">
        <f>IF(G115=0,0,VLOOKUP(YEAR(G115),INPC!$B$4:$P$30,MONTH(G115)+2))</f>
        <v>106.16200000000001</v>
      </c>
      <c r="Q115" s="552">
        <f>IF(X115=0,0,IF(OR(E115=$AT$10,E115=$AT$9),VLOOKUP(YEAR(X115),INPC!$B$4:$P$30,MONTH(X115)+1),VLOOKUP(YEAR(X115),INPC!$B$4:$P$30,MONTH(X115)+2,0)))</f>
        <v>125.997</v>
      </c>
      <c r="R115" s="309">
        <f t="shared" si="23"/>
        <v>1.1868000000000001</v>
      </c>
      <c r="S115" s="310">
        <f t="shared" si="32"/>
        <v>289724.63203936408</v>
      </c>
      <c r="T115" s="547">
        <f t="shared" si="33"/>
        <v>8277.846629696116</v>
      </c>
      <c r="U115" s="311"/>
      <c r="V115" s="312">
        <v>35</v>
      </c>
      <c r="W115" s="299" t="s">
        <v>194</v>
      </c>
      <c r="X115" s="300">
        <v>44897</v>
      </c>
      <c r="Y115" s="299" t="s">
        <v>59</v>
      </c>
      <c r="Z115" s="651">
        <v>14540.722368421051</v>
      </c>
      <c r="AA115" s="305">
        <f>IF(Z115=0,0,IF(Y115="MXN",1/HLOOKUP(YEAR(X115)+(MONTH(X115)/100),TC!$5:$37,DAY(X115)+2,FALSE),VLOOKUP(Y115,Equivalencia!$1:$23,((MAX(Equivalencia!$3:$3)-YEAR(X115))*14)+MONTH(X115)+2,FALSE)))</f>
        <v>1</v>
      </c>
      <c r="AB115" s="306">
        <f t="shared" si="34"/>
        <v>14540.722368421051</v>
      </c>
      <c r="AC115" s="305">
        <f>+IF(X115=0,0,HLOOKUP(YEAR(X115)+(MONTH(X115)/100),TC!$5:$37,DAY(X115)+2,FALSE))</f>
        <v>19.3965</v>
      </c>
      <c r="AD115" s="307">
        <f t="shared" si="35"/>
        <v>282039.1214190789</v>
      </c>
      <c r="AE115" s="314">
        <f t="shared" si="24"/>
        <v>289724.63203936408</v>
      </c>
      <c r="AF115" s="315">
        <f t="shared" si="25"/>
        <v>-7685.5106202851748</v>
      </c>
      <c r="AG115" s="316">
        <f t="shared" si="26"/>
        <v>2.5753424657534247</v>
      </c>
      <c r="AH115" s="314">
        <v>1</v>
      </c>
      <c r="AI115" s="314">
        <f t="shared" si="27"/>
        <v>-7685.5106202851748</v>
      </c>
      <c r="AJ115" s="314">
        <f t="shared" si="36"/>
        <v>0</v>
      </c>
      <c r="AK115" s="317"/>
      <c r="AL115" s="315">
        <f t="shared" si="28"/>
        <v>4527.9854514250037</v>
      </c>
      <c r="AN115" s="546">
        <f t="shared" si="29"/>
        <v>0.45222255303033154</v>
      </c>
      <c r="AO115" s="314"/>
      <c r="AP115" s="318"/>
    </row>
    <row r="116" spans="2:42" ht="17" thickBot="1">
      <c r="B116" s="296" t="s">
        <v>953</v>
      </c>
      <c r="C116" s="299" t="s">
        <v>276</v>
      </c>
      <c r="D116" s="298" t="s">
        <v>712</v>
      </c>
      <c r="E116" s="299" t="s">
        <v>113</v>
      </c>
      <c r="F116" s="299" t="s">
        <v>59</v>
      </c>
      <c r="G116" s="300">
        <v>44158</v>
      </c>
      <c r="H116" s="303">
        <v>1081.0066666666667</v>
      </c>
      <c r="I116" s="301" t="str">
        <f t="shared" si="20"/>
        <v>Ingresos Sección II LISR (SIC &amp; BMV)</v>
      </c>
      <c r="J116" s="302">
        <f t="shared" si="30"/>
        <v>3</v>
      </c>
      <c r="K116" s="304">
        <f t="shared" si="21"/>
        <v>360.33555555555557</v>
      </c>
      <c r="L116" s="305">
        <f>IF(H116=0,0,IF(OR(E116=$AT$5,E116=$AT$6),AA116,IF(F116="MXN",1/HLOOKUP(YEAR(G116)+(MONTH(G116)/100),TC!$5:$37,DAY(G116)+2,FALSE),VLOOKUP(F116,Equivalencia!$5:$23,((MAX(Equivalencia!$3:$3)-YEAR(G116))*14)+MONTH(G116)+2,FALSE))))</f>
        <v>1</v>
      </c>
      <c r="M116" s="306">
        <f t="shared" si="22"/>
        <v>1081.0066666666667</v>
      </c>
      <c r="N116" s="305">
        <f>IF(G116=0,0,(IF(OR(E116=$AT$5,E116=$AT$6),AC116,HLOOKUP(YEAR(G116)+(MONTH(G116)/100),TC!$5:$37,DAY(G116)+2,FALSE))))</f>
        <v>20.1858</v>
      </c>
      <c r="O116" s="307">
        <f t="shared" si="31"/>
        <v>21820.984371999999</v>
      </c>
      <c r="P116" s="552">
        <f>IF(G116=0,0,VLOOKUP(YEAR(G116),INPC!$B$4:$P$30,MONTH(G116)+2))</f>
        <v>108.85599999999999</v>
      </c>
      <c r="Q116" s="552">
        <f>IF(X116=0,0,IF(OR(E116=$AT$10,E116=$AT$9),VLOOKUP(YEAR(X116),INPC!$B$4:$P$30,MONTH(X116)+1),VLOOKUP(YEAR(X116),INPC!$B$4:$P$30,MONTH(X116)+2,0)))</f>
        <v>125.997</v>
      </c>
      <c r="R116" s="309">
        <f t="shared" si="23"/>
        <v>1.1574</v>
      </c>
      <c r="S116" s="310">
        <f t="shared" si="32"/>
        <v>25255.607312152799</v>
      </c>
      <c r="T116" s="547">
        <f t="shared" si="33"/>
        <v>8418.535770717599</v>
      </c>
      <c r="U116" s="311"/>
      <c r="V116" s="312">
        <v>3</v>
      </c>
      <c r="W116" s="299" t="s">
        <v>194</v>
      </c>
      <c r="X116" s="300">
        <v>44897</v>
      </c>
      <c r="Y116" s="299" t="s">
        <v>59</v>
      </c>
      <c r="Z116" s="647">
        <v>1246.3476315789474</v>
      </c>
      <c r="AA116" s="305">
        <f>IF(Z116=0,0,IF(Y116="MXN",1/HLOOKUP(YEAR(X116)+(MONTH(X116)/100),TC!$5:$37,DAY(X116)+2,FALSE),VLOOKUP(Y116,Equivalencia!$1:$23,((MAX(Equivalencia!$3:$3)-YEAR(X116))*14)+MONTH(X116)+2,FALSE)))</f>
        <v>1</v>
      </c>
      <c r="AB116" s="306">
        <f t="shared" si="34"/>
        <v>1246.3476315789474</v>
      </c>
      <c r="AC116" s="305">
        <f>+IF(X116=0,0,HLOOKUP(YEAR(X116)+(MONTH(X116)/100),TC!$5:$37,DAY(X116)+2,FALSE))</f>
        <v>19.3965</v>
      </c>
      <c r="AD116" s="307">
        <f t="shared" si="35"/>
        <v>24174.781835921051</v>
      </c>
      <c r="AE116" s="314">
        <f t="shared" si="24"/>
        <v>25255.607312152795</v>
      </c>
      <c r="AF116" s="315">
        <f t="shared" si="25"/>
        <v>-1080.8254762317447</v>
      </c>
      <c r="AG116" s="316">
        <f t="shared" si="26"/>
        <v>2.0246575342465754</v>
      </c>
      <c r="AH116" s="314">
        <v>1</v>
      </c>
      <c r="AI116" s="314">
        <f t="shared" si="27"/>
        <v>-1080.8254762317447</v>
      </c>
      <c r="AJ116" s="314">
        <f t="shared" si="36"/>
        <v>0</v>
      </c>
      <c r="AK116" s="317"/>
      <c r="AL116" s="315">
        <f t="shared" si="28"/>
        <v>165.3409649122807</v>
      </c>
      <c r="AN116" s="546">
        <f t="shared" si="29"/>
        <v>0.15295092066556545</v>
      </c>
      <c r="AO116" s="314"/>
      <c r="AP116" s="318"/>
    </row>
    <row r="117" spans="2:42" ht="17" thickBot="1">
      <c r="B117" s="296" t="s">
        <v>953</v>
      </c>
      <c r="C117" s="299" t="s">
        <v>276</v>
      </c>
      <c r="D117" s="298" t="s">
        <v>714</v>
      </c>
      <c r="E117" s="299" t="s">
        <v>113</v>
      </c>
      <c r="F117" s="299" t="s">
        <v>59</v>
      </c>
      <c r="G117" s="300">
        <v>44293</v>
      </c>
      <c r="H117" s="303">
        <v>1106.8416190417158</v>
      </c>
      <c r="I117" s="301" t="str">
        <f t="shared" si="20"/>
        <v>Ingresos Sección II LISR (SIC &amp; BMV)</v>
      </c>
      <c r="J117" s="302">
        <f t="shared" si="30"/>
        <v>192</v>
      </c>
      <c r="K117" s="304">
        <f t="shared" si="21"/>
        <v>5.764800099175603</v>
      </c>
      <c r="L117" s="305">
        <f>IF(H117=0,0,IF(OR(E117=$AT$5,E117=$AT$6),AA117,IF(F117="MXN",1/HLOOKUP(YEAR(G117)+(MONTH(G117)/100),TC!$5:$37,DAY(G117)+2,FALSE),VLOOKUP(F117,Equivalencia!$5:$23,((MAX(Equivalencia!$3:$3)-YEAR(G117))*14)+MONTH(G117)+2,FALSE))))</f>
        <v>1</v>
      </c>
      <c r="M117" s="306">
        <f t="shared" si="22"/>
        <v>1106.8416190417158</v>
      </c>
      <c r="N117" s="305">
        <f>IF(G117=0,0,(IF(OR(E117=$AT$5,E117=$AT$6),AC117,HLOOKUP(YEAR(G117)+(MONTH(G117)/100),TC!$5:$37,DAY(G117)+2,FALSE))))</f>
        <v>20.2483</v>
      </c>
      <c r="O117" s="307">
        <f t="shared" si="31"/>
        <v>22411.661154842375</v>
      </c>
      <c r="P117" s="552">
        <f>IF(G117=0,0,VLOOKUP(YEAR(G117),INPC!$B$4:$P$30,MONTH(G117)+2))</f>
        <v>112.19</v>
      </c>
      <c r="Q117" s="552">
        <f>IF(X117=0,0,IF(OR(E117=$AT$10,E117=$AT$9),VLOOKUP(YEAR(X117),INPC!$B$4:$P$30,MONTH(X117)+1),VLOOKUP(YEAR(X117),INPC!$B$4:$P$30,MONTH(X117)+2,0)))</f>
        <v>124.571</v>
      </c>
      <c r="R117" s="309">
        <f t="shared" si="23"/>
        <v>1.1103000000000001</v>
      </c>
      <c r="S117" s="310">
        <f t="shared" si="32"/>
        <v>24883.66738022149</v>
      </c>
      <c r="T117" s="547">
        <f t="shared" si="33"/>
        <v>129.60243427198694</v>
      </c>
      <c r="U117" s="311"/>
      <c r="V117" s="312">
        <v>192</v>
      </c>
      <c r="W117" s="299" t="s">
        <v>194</v>
      </c>
      <c r="X117" s="300">
        <v>44862</v>
      </c>
      <c r="Y117" s="299" t="s">
        <v>59</v>
      </c>
      <c r="Z117" s="303">
        <v>930.43</v>
      </c>
      <c r="AA117" s="305">
        <f>IF(Z117=0,0,IF(Y117="MXN",1/HLOOKUP(YEAR(X117)+(MONTH(X117)/100),TC!$5:$37,DAY(X117)+2,FALSE),VLOOKUP(Y117,Equivalencia!$1:$23,((MAX(Equivalencia!$3:$3)-YEAR(X117))*14)+MONTH(X117)+2,FALSE)))</f>
        <v>1</v>
      </c>
      <c r="AB117" s="306">
        <f t="shared" si="34"/>
        <v>930.43</v>
      </c>
      <c r="AC117" s="305">
        <f>+IF(X117=0,0,HLOOKUP(YEAR(X117)+(MONTH(X117)/100),TC!$5:$37,DAY(X117)+2,FALSE))</f>
        <v>19.8553</v>
      </c>
      <c r="AD117" s="307">
        <f t="shared" si="35"/>
        <v>18473.966778999998</v>
      </c>
      <c r="AE117" s="314">
        <f t="shared" si="24"/>
        <v>24883.667380221494</v>
      </c>
      <c r="AF117" s="315">
        <f t="shared" si="25"/>
        <v>-6409.7006012214952</v>
      </c>
      <c r="AG117" s="316">
        <f t="shared" si="26"/>
        <v>1.558904109589041</v>
      </c>
      <c r="AH117" s="314">
        <v>1</v>
      </c>
      <c r="AI117" s="314">
        <f t="shared" si="27"/>
        <v>-6409.7006012214952</v>
      </c>
      <c r="AJ117" s="314">
        <f t="shared" si="36"/>
        <v>0</v>
      </c>
      <c r="AK117" s="317"/>
      <c r="AL117" s="315">
        <f t="shared" si="28"/>
        <v>-176.41161904171588</v>
      </c>
      <c r="AN117" s="546">
        <f t="shared" si="29"/>
        <v>-0.1593828927344185</v>
      </c>
      <c r="AO117" s="314"/>
      <c r="AP117" s="318"/>
    </row>
    <row r="118" spans="2:42">
      <c r="B118" s="296" t="s">
        <v>953</v>
      </c>
      <c r="C118" s="299" t="s">
        <v>276</v>
      </c>
      <c r="D118" s="298" t="s">
        <v>715</v>
      </c>
      <c r="E118" s="299" t="s">
        <v>113</v>
      </c>
      <c r="F118" s="299" t="s">
        <v>59</v>
      </c>
      <c r="G118" s="300">
        <v>44218</v>
      </c>
      <c r="H118" s="303">
        <v>37398.374214434603</v>
      </c>
      <c r="I118" s="301" t="str">
        <f t="shared" si="20"/>
        <v>Ingresos Sección II LISR (SIC &amp; BMV)</v>
      </c>
      <c r="J118" s="302">
        <f t="shared" si="30"/>
        <v>549</v>
      </c>
      <c r="K118" s="304">
        <f t="shared" si="21"/>
        <v>68.120900208441896</v>
      </c>
      <c r="L118" s="305">
        <f>IF(H118=0,0,IF(OR(E118=$AT$5,E118=$AT$6),AA118,IF(F118="MXN",1/HLOOKUP(YEAR(G118)+(MONTH(G118)/100),TC!$5:$37,DAY(G118)+2,FALSE),VLOOKUP(F118,Equivalencia!$5:$23,((MAX(Equivalencia!$3:$3)-YEAR(G118))*14)+MONTH(G118)+2,FALSE))))</f>
        <v>1</v>
      </c>
      <c r="M118" s="306">
        <f t="shared" si="22"/>
        <v>37398.374214434603</v>
      </c>
      <c r="N118" s="305">
        <f>IF(G118=0,0,(IF(OR(E118=$AT$5,E118=$AT$6),AC118,HLOOKUP(YEAR(G118)+(MONTH(G118)/100),TC!$5:$37,DAY(G118)+2,FALSE))))</f>
        <v>19.5793</v>
      </c>
      <c r="O118" s="307">
        <f t="shared" si="31"/>
        <v>732233.98825667938</v>
      </c>
      <c r="P118" s="552">
        <f>IF(G118=0,0,VLOOKUP(YEAR(G118),INPC!$B$4:$P$30,MONTH(G118)+2))</f>
        <v>110.21</v>
      </c>
      <c r="Q118" s="552">
        <f>IF(X118=0,0,IF(OR(E118=$AT$10,E118=$AT$9),VLOOKUP(YEAR(X118),INPC!$B$4:$P$30,MONTH(X118)+1),VLOOKUP(YEAR(X118),INPC!$B$4:$P$30,MONTH(X118)+2,0)))</f>
        <v>125.997</v>
      </c>
      <c r="R118" s="309">
        <f t="shared" si="23"/>
        <v>1.1432</v>
      </c>
      <c r="S118" s="310">
        <f t="shared" si="32"/>
        <v>837089.89537503582</v>
      </c>
      <c r="T118" s="547">
        <f t="shared" si="33"/>
        <v>1524.7539077869505</v>
      </c>
      <c r="U118" s="311"/>
      <c r="V118" s="312">
        <v>549</v>
      </c>
      <c r="W118" s="299" t="s">
        <v>194</v>
      </c>
      <c r="X118" s="300">
        <v>44897</v>
      </c>
      <c r="Y118" s="299" t="s">
        <v>59</v>
      </c>
      <c r="Z118" s="651">
        <v>42282.223850425769</v>
      </c>
      <c r="AA118" s="305">
        <f>IF(Z118=0,0,IF(Y118="MXN",1/HLOOKUP(YEAR(X118)+(MONTH(X118)/100),TC!$5:$37,DAY(X118)+2,FALSE),VLOOKUP(Y118,Equivalencia!$1:$23,((MAX(Equivalencia!$3:$3)-YEAR(X118))*14)+MONTH(X118)+2,FALSE)))</f>
        <v>1</v>
      </c>
      <c r="AB118" s="306">
        <f t="shared" si="34"/>
        <v>42282.223850425769</v>
      </c>
      <c r="AC118" s="305">
        <f>+IF(X118=0,0,HLOOKUP(YEAR(X118)+(MONTH(X118)/100),TC!$5:$37,DAY(X118)+2,FALSE))</f>
        <v>19.3965</v>
      </c>
      <c r="AD118" s="307">
        <f t="shared" si="35"/>
        <v>820127.15491478343</v>
      </c>
      <c r="AE118" s="314">
        <f t="shared" si="24"/>
        <v>837089.89537503582</v>
      </c>
      <c r="AF118" s="315">
        <f t="shared" si="25"/>
        <v>-16962.740460252389</v>
      </c>
      <c r="AG118" s="316">
        <f t="shared" si="26"/>
        <v>1.8602739726027397</v>
      </c>
      <c r="AH118" s="314">
        <v>1</v>
      </c>
      <c r="AI118" s="314">
        <f t="shared" si="27"/>
        <v>-16962.740460252389</v>
      </c>
      <c r="AJ118" s="314">
        <f t="shared" si="36"/>
        <v>0</v>
      </c>
      <c r="AK118" s="317"/>
      <c r="AL118" s="315">
        <f t="shared" si="28"/>
        <v>4883.849635991166</v>
      </c>
      <c r="AN118" s="546">
        <f t="shared" si="29"/>
        <v>0.1305898916350795</v>
      </c>
      <c r="AO118" s="314"/>
      <c r="AP118" s="318"/>
    </row>
    <row r="119" spans="2:42" ht="17" thickBot="1">
      <c r="B119" s="296" t="s">
        <v>953</v>
      </c>
      <c r="C119" s="299" t="s">
        <v>276</v>
      </c>
      <c r="D119" s="298" t="s">
        <v>715</v>
      </c>
      <c r="E119" s="299" t="s">
        <v>113</v>
      </c>
      <c r="F119" s="299" t="s">
        <v>59</v>
      </c>
      <c r="G119" s="300">
        <v>44293</v>
      </c>
      <c r="H119" s="303">
        <v>154951.9643504532</v>
      </c>
      <c r="I119" s="301" t="str">
        <f t="shared" si="20"/>
        <v>Ingresos Sección II LISR (SIC &amp; BMV)</v>
      </c>
      <c r="J119" s="302">
        <f t="shared" si="30"/>
        <v>2152</v>
      </c>
      <c r="K119" s="304">
        <f t="shared" si="21"/>
        <v>72.00370090634442</v>
      </c>
      <c r="L119" s="305">
        <f>IF(H119=0,0,IF(OR(E119=$AT$5,E119=$AT$6),AA119,IF(F119="MXN",1/HLOOKUP(YEAR(G119)+(MONTH(G119)/100),TC!$5:$37,DAY(G119)+2,FALSE),VLOOKUP(F119,Equivalencia!$5:$23,((MAX(Equivalencia!$3:$3)-YEAR(G119))*14)+MONTH(G119)+2,FALSE))))</f>
        <v>1</v>
      </c>
      <c r="M119" s="306">
        <f t="shared" si="22"/>
        <v>154951.9643504532</v>
      </c>
      <c r="N119" s="305">
        <f>IF(G119=0,0,(IF(OR(E119=$AT$5,E119=$AT$6),AC119,HLOOKUP(YEAR(G119)+(MONTH(G119)/100),TC!$5:$37,DAY(G119)+2,FALSE))))</f>
        <v>20.2483</v>
      </c>
      <c r="O119" s="307">
        <f t="shared" si="31"/>
        <v>3137513.8597572814</v>
      </c>
      <c r="P119" s="552">
        <f>IF(G119=0,0,VLOOKUP(YEAR(G119),INPC!$B$4:$P$30,MONTH(G119)+2))</f>
        <v>112.19</v>
      </c>
      <c r="Q119" s="552">
        <f>IF(X119=0,0,IF(OR(E119=$AT$10,E119=$AT$9),VLOOKUP(YEAR(X119),INPC!$B$4:$P$30,MONTH(X119)+1),VLOOKUP(YEAR(X119),INPC!$B$4:$P$30,MONTH(X119)+2,0)))</f>
        <v>125.997</v>
      </c>
      <c r="R119" s="309">
        <f t="shared" si="23"/>
        <v>1.123</v>
      </c>
      <c r="S119" s="310">
        <f t="shared" si="32"/>
        <v>3523428.0645074272</v>
      </c>
      <c r="T119" s="547">
        <f t="shared" si="33"/>
        <v>1637.2806991205516</v>
      </c>
      <c r="U119" s="311"/>
      <c r="V119" s="312">
        <v>2152</v>
      </c>
      <c r="W119" s="299" t="s">
        <v>194</v>
      </c>
      <c r="X119" s="300">
        <v>44897</v>
      </c>
      <c r="Y119" s="299" t="s">
        <v>59</v>
      </c>
      <c r="Z119" s="647">
        <v>165740.15614957426</v>
      </c>
      <c r="AA119" s="305">
        <f>IF(Z119=0,0,IF(Y119="MXN",1/HLOOKUP(YEAR(X119)+(MONTH(X119)/100),TC!$5:$37,DAY(X119)+2,FALSE),VLOOKUP(Y119,Equivalencia!$1:$23,((MAX(Equivalencia!$3:$3)-YEAR(X119))*14)+MONTH(X119)+2,FALSE)))</f>
        <v>1</v>
      </c>
      <c r="AB119" s="306">
        <f t="shared" si="34"/>
        <v>165740.15614957426</v>
      </c>
      <c r="AC119" s="305">
        <f>+IF(X119=0,0,HLOOKUP(YEAR(X119)+(MONTH(X119)/100),TC!$5:$37,DAY(X119)+2,FALSE))</f>
        <v>19.3965</v>
      </c>
      <c r="AD119" s="307">
        <f t="shared" si="35"/>
        <v>3214778.938755217</v>
      </c>
      <c r="AE119" s="314">
        <f t="shared" si="24"/>
        <v>3523428.0645074272</v>
      </c>
      <c r="AF119" s="315">
        <f t="shared" si="25"/>
        <v>-308649.12575221015</v>
      </c>
      <c r="AG119" s="316">
        <f t="shared" si="26"/>
        <v>1.6547945205479453</v>
      </c>
      <c r="AH119" s="314">
        <v>1</v>
      </c>
      <c r="AI119" s="314">
        <f t="shared" si="27"/>
        <v>-308649.12575221015</v>
      </c>
      <c r="AJ119" s="314">
        <f t="shared" si="36"/>
        <v>0</v>
      </c>
      <c r="AK119" s="317"/>
      <c r="AL119" s="315">
        <f t="shared" si="28"/>
        <v>10788.191799121065</v>
      </c>
      <c r="AN119" s="546">
        <f t="shared" si="29"/>
        <v>6.9622814040108116E-2</v>
      </c>
      <c r="AO119" s="314"/>
      <c r="AP119" s="318"/>
    </row>
    <row r="120" spans="2:42">
      <c r="B120" s="296" t="s">
        <v>953</v>
      </c>
      <c r="C120" s="299" t="s">
        <v>276</v>
      </c>
      <c r="D120" s="298" t="s">
        <v>718</v>
      </c>
      <c r="E120" s="299" t="s">
        <v>113</v>
      </c>
      <c r="F120" s="299" t="s">
        <v>59</v>
      </c>
      <c r="G120" s="300">
        <v>44231</v>
      </c>
      <c r="H120" s="303">
        <v>392796.83244607155</v>
      </c>
      <c r="I120" s="301" t="str">
        <f t="shared" si="20"/>
        <v>Ingresos Sección II LISR (SIC &amp; BMV)</v>
      </c>
      <c r="J120" s="302">
        <f t="shared" si="30"/>
        <v>55039</v>
      </c>
      <c r="K120" s="304">
        <f t="shared" si="21"/>
        <v>7.1367000208228992</v>
      </c>
      <c r="L120" s="305">
        <f>IF(H120=0,0,IF(OR(E120=$AT$5,E120=$AT$6),AA120,IF(F120="MXN",1/HLOOKUP(YEAR(G120)+(MONTH(G120)/100),TC!$5:$37,DAY(G120)+2,FALSE),VLOOKUP(F120,Equivalencia!$5:$23,((MAX(Equivalencia!$3:$3)-YEAR(G120))*14)+MONTH(G120)+2,FALSE))))</f>
        <v>1</v>
      </c>
      <c r="M120" s="306">
        <f t="shared" si="22"/>
        <v>392796.83244607155</v>
      </c>
      <c r="N120" s="305">
        <f>IF(G120=0,0,(IF(OR(E120=$AT$5,E120=$AT$6),AC120,HLOOKUP(YEAR(G120)+(MONTH(G120)/100),TC!$5:$37,DAY(G120)+2,FALSE))))</f>
        <v>20.1722</v>
      </c>
      <c r="O120" s="307">
        <f t="shared" si="31"/>
        <v>7923576.2634686446</v>
      </c>
      <c r="P120" s="552">
        <f>IF(G120=0,0,VLOOKUP(YEAR(G120),INPC!$B$4:$P$30,MONTH(G120)+2))</f>
        <v>110.907</v>
      </c>
      <c r="Q120" s="552">
        <f>IF(X120=0,0,IF(OR(E120=$AT$10,E120=$AT$9),VLOOKUP(YEAR(X120),INPC!$B$4:$P$30,MONTH(X120)+1),VLOOKUP(YEAR(X120),INPC!$B$4:$P$30,MONTH(X120)+2,0)))</f>
        <v>124.571</v>
      </c>
      <c r="R120" s="309">
        <f t="shared" si="23"/>
        <v>1.1232</v>
      </c>
      <c r="S120" s="310">
        <f t="shared" si="32"/>
        <v>8899760.8591279816</v>
      </c>
      <c r="T120" s="547">
        <f t="shared" si="33"/>
        <v>161.69917438776108</v>
      </c>
      <c r="U120" s="311"/>
      <c r="V120" s="312">
        <v>55039</v>
      </c>
      <c r="W120" s="299" t="s">
        <v>194</v>
      </c>
      <c r="X120" s="300">
        <v>44862</v>
      </c>
      <c r="Y120" s="299" t="s">
        <v>59</v>
      </c>
      <c r="Z120" s="303">
        <v>377677.62</v>
      </c>
      <c r="AA120" s="305">
        <f>IF(Z120=0,0,IF(Y120="MXN",1/HLOOKUP(YEAR(X120)+(MONTH(X120)/100),TC!$5:$37,DAY(X120)+2,FALSE),VLOOKUP(Y120,Equivalencia!$1:$23,((MAX(Equivalencia!$3:$3)-YEAR(X120))*14)+MONTH(X120)+2,FALSE)))</f>
        <v>1</v>
      </c>
      <c r="AB120" s="306">
        <f t="shared" si="34"/>
        <v>377677.62</v>
      </c>
      <c r="AC120" s="305">
        <f>+IF(X120=0,0,HLOOKUP(YEAR(X120)+(MONTH(X120)/100),TC!$5:$37,DAY(X120)+2,FALSE))</f>
        <v>19.8553</v>
      </c>
      <c r="AD120" s="307">
        <f t="shared" si="35"/>
        <v>7498902.4483859995</v>
      </c>
      <c r="AE120" s="314">
        <f t="shared" si="24"/>
        <v>8899760.8591279816</v>
      </c>
      <c r="AF120" s="315">
        <f t="shared" si="25"/>
        <v>-1400858.4107419821</v>
      </c>
      <c r="AG120" s="316">
        <f t="shared" si="26"/>
        <v>1.7287671232876711</v>
      </c>
      <c r="AH120" s="314">
        <v>1</v>
      </c>
      <c r="AI120" s="314">
        <f t="shared" si="27"/>
        <v>-1400858.4107419821</v>
      </c>
      <c r="AJ120" s="314">
        <f t="shared" si="36"/>
        <v>0</v>
      </c>
      <c r="AK120" s="317"/>
      <c r="AL120" s="315">
        <f t="shared" si="28"/>
        <v>-15119.212446071557</v>
      </c>
      <c r="AN120" s="546">
        <f t="shared" si="29"/>
        <v>-3.8491177110363602E-2</v>
      </c>
      <c r="AO120" s="314"/>
      <c r="AP120" s="318"/>
    </row>
    <row r="121" spans="2:42">
      <c r="B121" s="296" t="s">
        <v>953</v>
      </c>
      <c r="C121" s="299" t="s">
        <v>276</v>
      </c>
      <c r="D121" s="298" t="s">
        <v>718</v>
      </c>
      <c r="E121" s="299" t="s">
        <v>113</v>
      </c>
      <c r="F121" s="299" t="s">
        <v>59</v>
      </c>
      <c r="G121" s="300">
        <v>44231</v>
      </c>
      <c r="H121" s="303">
        <v>40921.837919398502</v>
      </c>
      <c r="I121" s="301" t="str">
        <f t="shared" si="20"/>
        <v>Ingresos Sección II LISR (SIC &amp; BMV)</v>
      </c>
      <c r="J121" s="302">
        <f t="shared" si="30"/>
        <v>5734</v>
      </c>
      <c r="K121" s="304">
        <f t="shared" si="21"/>
        <v>7.1367000208228992</v>
      </c>
      <c r="L121" s="305">
        <f>IF(H121=0,0,IF(OR(E121=$AT$5,E121=$AT$6),AA121,IF(F121="MXN",1/HLOOKUP(YEAR(G121)+(MONTH(G121)/100),TC!$5:$37,DAY(G121)+2,FALSE),VLOOKUP(F121,Equivalencia!$5:$23,((MAX(Equivalencia!$3:$3)-YEAR(G121))*14)+MONTH(G121)+2,FALSE))))</f>
        <v>1</v>
      </c>
      <c r="M121" s="306">
        <f t="shared" si="22"/>
        <v>40921.837919398502</v>
      </c>
      <c r="N121" s="305">
        <f>IF(G121=0,0,(IF(OR(E121=$AT$5,E121=$AT$6),AC121,HLOOKUP(YEAR(G121)+(MONTH(G121)/100),TC!$5:$37,DAY(G121)+2,FALSE))))</f>
        <v>20.1722</v>
      </c>
      <c r="O121" s="307">
        <f t="shared" si="31"/>
        <v>825483.49887769052</v>
      </c>
      <c r="P121" s="552">
        <f>IF(G121=0,0,VLOOKUP(YEAR(G121),INPC!$B$4:$P$30,MONTH(G121)+2))</f>
        <v>110.907</v>
      </c>
      <c r="Q121" s="552">
        <f>IF(X121=0,0,IF(OR(E121=$AT$10,E121=$AT$9),VLOOKUP(YEAR(X121),INPC!$B$4:$P$30,MONTH(X121)+1),VLOOKUP(YEAR(X121),INPC!$B$4:$P$30,MONTH(X121)+2,0)))</f>
        <v>125.997</v>
      </c>
      <c r="R121" s="309">
        <f t="shared" si="23"/>
        <v>1.1359999999999999</v>
      </c>
      <c r="S121" s="310">
        <f t="shared" si="32"/>
        <v>937749.25472505635</v>
      </c>
      <c r="T121" s="547">
        <f t="shared" si="33"/>
        <v>163.54190002180962</v>
      </c>
      <c r="U121" s="311"/>
      <c r="V121" s="312">
        <v>5734</v>
      </c>
      <c r="W121" s="299" t="s">
        <v>194</v>
      </c>
      <c r="X121" s="300">
        <v>44897</v>
      </c>
      <c r="Y121" s="299" t="s">
        <v>59</v>
      </c>
      <c r="Z121" s="303">
        <v>41476.32</v>
      </c>
      <c r="AA121" s="305">
        <f>IF(Z121=0,0,IF(Y121="MXN",1/HLOOKUP(YEAR(X121)+(MONTH(X121)/100),TC!$5:$37,DAY(X121)+2,FALSE),VLOOKUP(Y121,Equivalencia!$1:$23,((MAX(Equivalencia!$3:$3)-YEAR(X121))*14)+MONTH(X121)+2,FALSE)))</f>
        <v>1</v>
      </c>
      <c r="AB121" s="306">
        <f t="shared" si="34"/>
        <v>41476.32</v>
      </c>
      <c r="AC121" s="305">
        <f>+IF(X121=0,0,HLOOKUP(YEAR(X121)+(MONTH(X121)/100),TC!$5:$37,DAY(X121)+2,FALSE))</f>
        <v>19.3965</v>
      </c>
      <c r="AD121" s="307">
        <f t="shared" si="35"/>
        <v>804495.44088000001</v>
      </c>
      <c r="AE121" s="314">
        <f t="shared" si="24"/>
        <v>937749.25472505635</v>
      </c>
      <c r="AF121" s="315">
        <f t="shared" si="25"/>
        <v>-133253.81384505634</v>
      </c>
      <c r="AG121" s="316">
        <f t="shared" si="26"/>
        <v>1.8246575342465754</v>
      </c>
      <c r="AH121" s="314">
        <v>1</v>
      </c>
      <c r="AI121" s="314">
        <f t="shared" si="27"/>
        <v>-133253.81384505634</v>
      </c>
      <c r="AJ121" s="314">
        <f t="shared" si="36"/>
        <v>0</v>
      </c>
      <c r="AK121" s="317"/>
      <c r="AL121" s="315">
        <f t="shared" si="28"/>
        <v>554.48208060149773</v>
      </c>
      <c r="AN121" s="546">
        <f t="shared" si="29"/>
        <v>1.3549784388805572E-2</v>
      </c>
      <c r="AO121" s="314"/>
      <c r="AP121" s="318"/>
    </row>
    <row r="122" spans="2:42">
      <c r="B122" s="296" t="s">
        <v>953</v>
      </c>
      <c r="C122" s="299" t="s">
        <v>276</v>
      </c>
      <c r="D122" s="298" t="s">
        <v>719</v>
      </c>
      <c r="E122" s="299" t="s">
        <v>113</v>
      </c>
      <c r="F122" s="299" t="s">
        <v>59</v>
      </c>
      <c r="G122" s="300">
        <v>44218</v>
      </c>
      <c r="H122" s="303">
        <v>144455.30925287356</v>
      </c>
      <c r="I122" s="301" t="str">
        <f t="shared" si="20"/>
        <v>Ingresos Sección II LISR (SIC &amp; BMV)</v>
      </c>
      <c r="J122" s="302">
        <f t="shared" si="30"/>
        <v>3992</v>
      </c>
      <c r="K122" s="304">
        <f t="shared" si="21"/>
        <v>36.186199712643678</v>
      </c>
      <c r="L122" s="305">
        <f>IF(H122=0,0,IF(OR(E122=$AT$5,E122=$AT$6),AA122,IF(F122="MXN",1/HLOOKUP(YEAR(G122)+(MONTH(G122)/100),TC!$5:$37,DAY(G122)+2,FALSE),VLOOKUP(F122,Equivalencia!$5:$23,((MAX(Equivalencia!$3:$3)-YEAR(G122))*14)+MONTH(G122)+2,FALSE))))</f>
        <v>1</v>
      </c>
      <c r="M122" s="306">
        <f t="shared" si="22"/>
        <v>144455.30925287356</v>
      </c>
      <c r="N122" s="305">
        <f>IF(G122=0,0,(IF(OR(E122=$AT$5,E122=$AT$6),AC122,HLOOKUP(YEAR(G122)+(MONTH(G122)/100),TC!$5:$37,DAY(G122)+2,FALSE))))</f>
        <v>19.5793</v>
      </c>
      <c r="O122" s="307">
        <f t="shared" si="31"/>
        <v>2828333.8364547873</v>
      </c>
      <c r="P122" s="552">
        <f>IF(G122=0,0,VLOOKUP(YEAR(G122),INPC!$B$4:$P$30,MONTH(G122)+2))</f>
        <v>110.21</v>
      </c>
      <c r="Q122" s="552">
        <f>IF(X122=0,0,IF(OR(E122=$AT$10,E122=$AT$9),VLOOKUP(YEAR(X122),INPC!$B$4:$P$30,MONTH(X122)+1),VLOOKUP(YEAR(X122),INPC!$B$4:$P$30,MONTH(X122)+2,0)))</f>
        <v>124.571</v>
      </c>
      <c r="R122" s="309">
        <f t="shared" si="23"/>
        <v>1.1303000000000001</v>
      </c>
      <c r="S122" s="310">
        <f t="shared" si="32"/>
        <v>3196865.7353448463</v>
      </c>
      <c r="T122" s="547">
        <f t="shared" si="33"/>
        <v>800.81806997616388</v>
      </c>
      <c r="U122" s="311"/>
      <c r="V122" s="312">
        <v>3992</v>
      </c>
      <c r="W122" s="299" t="s">
        <v>194</v>
      </c>
      <c r="X122" s="300">
        <v>44862</v>
      </c>
      <c r="Y122" s="299" t="s">
        <v>59</v>
      </c>
      <c r="Z122" s="303">
        <v>127740.00800000002</v>
      </c>
      <c r="AA122" s="305">
        <f>IF(Z122=0,0,IF(Y122="MXN",1/HLOOKUP(YEAR(X122)+(MONTH(X122)/100),TC!$5:$37,DAY(X122)+2,FALSE),VLOOKUP(Y122,Equivalencia!$1:$23,((MAX(Equivalencia!$3:$3)-YEAR(X122))*14)+MONTH(X122)+2,FALSE)))</f>
        <v>1</v>
      </c>
      <c r="AB122" s="306">
        <f t="shared" si="34"/>
        <v>127740.00800000002</v>
      </c>
      <c r="AC122" s="305">
        <f>+IF(X122=0,0,HLOOKUP(YEAR(X122)+(MONTH(X122)/100),TC!$5:$37,DAY(X122)+2,FALSE))</f>
        <v>19.8553</v>
      </c>
      <c r="AD122" s="307">
        <f t="shared" si="35"/>
        <v>2536316.1808424001</v>
      </c>
      <c r="AE122" s="314">
        <f t="shared" si="24"/>
        <v>3196865.7353448463</v>
      </c>
      <c r="AF122" s="315">
        <f t="shared" si="25"/>
        <v>-660549.5545024462</v>
      </c>
      <c r="AG122" s="316">
        <f t="shared" si="26"/>
        <v>1.7643835616438357</v>
      </c>
      <c r="AH122" s="314">
        <v>1</v>
      </c>
      <c r="AI122" s="314">
        <f t="shared" si="27"/>
        <v>-660549.5545024462</v>
      </c>
      <c r="AJ122" s="314">
        <f t="shared" si="36"/>
        <v>0</v>
      </c>
      <c r="AK122" s="317"/>
      <c r="AL122" s="315">
        <f t="shared" si="28"/>
        <v>-16715.301252873542</v>
      </c>
      <c r="AN122" s="546">
        <f t="shared" si="29"/>
        <v>-0.11571261270579458</v>
      </c>
      <c r="AO122" s="314"/>
      <c r="AP122" s="318"/>
    </row>
    <row r="123" spans="2:42">
      <c r="B123" s="296" t="s">
        <v>953</v>
      </c>
      <c r="C123" s="299" t="s">
        <v>276</v>
      </c>
      <c r="D123" s="298" t="s">
        <v>719</v>
      </c>
      <c r="E123" s="299" t="s">
        <v>113</v>
      </c>
      <c r="F123" s="299" t="s">
        <v>59</v>
      </c>
      <c r="G123" s="300">
        <v>44231</v>
      </c>
      <c r="H123" s="303">
        <v>3562.3200000000006</v>
      </c>
      <c r="I123" s="301" t="str">
        <f t="shared" si="20"/>
        <v>Ingresos Sección II LISR (SIC &amp; BMV)</v>
      </c>
      <c r="J123" s="302">
        <f t="shared" si="30"/>
        <v>102</v>
      </c>
      <c r="K123" s="304">
        <f t="shared" si="21"/>
        <v>34.924705882352946</v>
      </c>
      <c r="L123" s="305">
        <f>IF(H123=0,0,IF(OR(E123=$AT$5,E123=$AT$6),AA123,IF(F123="MXN",1/HLOOKUP(YEAR(G123)+(MONTH(G123)/100),TC!$5:$37,DAY(G123)+2,FALSE),VLOOKUP(F123,Equivalencia!$5:$23,((MAX(Equivalencia!$3:$3)-YEAR(G123))*14)+MONTH(G123)+2,FALSE))))</f>
        <v>1</v>
      </c>
      <c r="M123" s="306">
        <f t="shared" si="22"/>
        <v>3562.3200000000006</v>
      </c>
      <c r="N123" s="305">
        <f>IF(G123=0,0,(IF(OR(E123=$AT$5,E123=$AT$6),AC123,HLOOKUP(YEAR(G123)+(MONTH(G123)/100),TC!$5:$37,DAY(G123)+2,FALSE))))</f>
        <v>20.1722</v>
      </c>
      <c r="O123" s="307">
        <f t="shared" si="31"/>
        <v>71859.831504000016</v>
      </c>
      <c r="P123" s="552">
        <f>IF(G123=0,0,VLOOKUP(YEAR(G123),INPC!$B$4:$P$30,MONTH(G123)+2))</f>
        <v>110.907</v>
      </c>
      <c r="Q123" s="552">
        <f>IF(X123=0,0,IF(OR(E123=$AT$10,E123=$AT$9),VLOOKUP(YEAR(X123),INPC!$B$4:$P$30,MONTH(X123)+1),VLOOKUP(YEAR(X123),INPC!$B$4:$P$30,MONTH(X123)+2,0)))</f>
        <v>124.571</v>
      </c>
      <c r="R123" s="309">
        <f t="shared" si="23"/>
        <v>1.1232</v>
      </c>
      <c r="S123" s="310">
        <f t="shared" si="32"/>
        <v>80712.962745292811</v>
      </c>
      <c r="T123" s="547">
        <f t="shared" si="33"/>
        <v>791.3035563264001</v>
      </c>
      <c r="U123" s="311"/>
      <c r="V123" s="312">
        <v>102</v>
      </c>
      <c r="W123" s="299" t="s">
        <v>194</v>
      </c>
      <c r="X123" s="300">
        <v>44862</v>
      </c>
      <c r="Y123" s="299" t="s">
        <v>59</v>
      </c>
      <c r="Z123" s="303">
        <v>3263.8980000000001</v>
      </c>
      <c r="AA123" s="305">
        <f>IF(Z123=0,0,IF(Y123="MXN",1/HLOOKUP(YEAR(X123)+(MONTH(X123)/100),TC!$5:$37,DAY(X123)+2,FALSE),VLOOKUP(Y123,Equivalencia!$1:$23,((MAX(Equivalencia!$3:$3)-YEAR(X123))*14)+MONTH(X123)+2,FALSE)))</f>
        <v>1</v>
      </c>
      <c r="AB123" s="306">
        <f t="shared" si="34"/>
        <v>3263.8980000000001</v>
      </c>
      <c r="AC123" s="305">
        <f>+IF(X123=0,0,HLOOKUP(YEAR(X123)+(MONTH(X123)/100),TC!$5:$37,DAY(X123)+2,FALSE))</f>
        <v>19.8553</v>
      </c>
      <c r="AD123" s="307">
        <f t="shared" si="35"/>
        <v>64805.673959400003</v>
      </c>
      <c r="AE123" s="314">
        <f t="shared" si="24"/>
        <v>80712.962745292811</v>
      </c>
      <c r="AF123" s="315">
        <f t="shared" si="25"/>
        <v>-15907.288785892808</v>
      </c>
      <c r="AG123" s="316">
        <f t="shared" si="26"/>
        <v>1.7287671232876711</v>
      </c>
      <c r="AH123" s="314">
        <v>1</v>
      </c>
      <c r="AI123" s="314">
        <f t="shared" si="27"/>
        <v>-15907.288785892808</v>
      </c>
      <c r="AJ123" s="314">
        <f t="shared" si="36"/>
        <v>0</v>
      </c>
      <c r="AK123" s="317"/>
      <c r="AL123" s="315">
        <f t="shared" si="28"/>
        <v>-298.42200000000048</v>
      </c>
      <c r="AN123" s="546">
        <f t="shared" si="29"/>
        <v>-8.377181162837713E-2</v>
      </c>
      <c r="AO123" s="314"/>
      <c r="AP123" s="318"/>
    </row>
    <row r="124" spans="2:42" ht="17" thickBot="1">
      <c r="B124" s="296" t="s">
        <v>953</v>
      </c>
      <c r="C124" s="299" t="s">
        <v>276</v>
      </c>
      <c r="D124" s="298" t="s">
        <v>719</v>
      </c>
      <c r="E124" s="299" t="s">
        <v>113</v>
      </c>
      <c r="F124" s="299" t="s">
        <v>59</v>
      </c>
      <c r="G124" s="300">
        <v>44293</v>
      </c>
      <c r="H124" s="303">
        <v>51470.171577934576</v>
      </c>
      <c r="I124" s="301" t="str">
        <f t="shared" si="20"/>
        <v>Ingresos Sección II LISR (SIC &amp; BMV)</v>
      </c>
      <c r="J124" s="302">
        <f t="shared" si="30"/>
        <v>1516</v>
      </c>
      <c r="K124" s="304">
        <f t="shared" si="21"/>
        <v>33.951300513149455</v>
      </c>
      <c r="L124" s="305">
        <f>IF(H124=0,0,IF(OR(E124=$AT$5,E124=$AT$6),AA124,IF(F124="MXN",1/HLOOKUP(YEAR(G124)+(MONTH(G124)/100),TC!$5:$37,DAY(G124)+2,FALSE),VLOOKUP(F124,Equivalencia!$5:$23,((MAX(Equivalencia!$3:$3)-YEAR(G124))*14)+MONTH(G124)+2,FALSE))))</f>
        <v>1</v>
      </c>
      <c r="M124" s="306">
        <f t="shared" si="22"/>
        <v>51470.171577934576</v>
      </c>
      <c r="N124" s="305">
        <f>IF(G124=0,0,(IF(OR(E124=$AT$5,E124=$AT$6),AC124,HLOOKUP(YEAR(G124)+(MONTH(G124)/100),TC!$5:$37,DAY(G124)+2,FALSE))))</f>
        <v>20.2483</v>
      </c>
      <c r="O124" s="307">
        <f t="shared" si="31"/>
        <v>1042183.4751614927</v>
      </c>
      <c r="P124" s="552">
        <f>IF(G124=0,0,VLOOKUP(YEAR(G124),INPC!$B$4:$P$30,MONTH(G124)+2))</f>
        <v>112.19</v>
      </c>
      <c r="Q124" s="552">
        <f>IF(X124=0,0,IF(OR(E124=$AT$10,E124=$AT$9),VLOOKUP(YEAR(X124),INPC!$B$4:$P$30,MONTH(X124)+1),VLOOKUP(YEAR(X124),INPC!$B$4:$P$30,MONTH(X124)+2,0)))</f>
        <v>124.571</v>
      </c>
      <c r="R124" s="309">
        <f t="shared" si="23"/>
        <v>1.1103000000000001</v>
      </c>
      <c r="S124" s="310">
        <f t="shared" si="32"/>
        <v>1157136.3124718054</v>
      </c>
      <c r="T124" s="547">
        <f t="shared" si="33"/>
        <v>763.28252801570272</v>
      </c>
      <c r="U124" s="311"/>
      <c r="V124" s="312">
        <v>1516</v>
      </c>
      <c r="W124" s="299" t="s">
        <v>194</v>
      </c>
      <c r="X124" s="300">
        <v>44862</v>
      </c>
      <c r="Y124" s="299" t="s">
        <v>59</v>
      </c>
      <c r="Z124" s="303">
        <v>48510.484000000004</v>
      </c>
      <c r="AA124" s="305">
        <f>IF(Z124=0,0,IF(Y124="MXN",1/HLOOKUP(YEAR(X124)+(MONTH(X124)/100),TC!$5:$37,DAY(X124)+2,FALSE),VLOOKUP(Y124,Equivalencia!$1:$23,((MAX(Equivalencia!$3:$3)-YEAR(X124))*14)+MONTH(X124)+2,FALSE)))</f>
        <v>1</v>
      </c>
      <c r="AB124" s="306">
        <f t="shared" si="34"/>
        <v>48510.484000000004</v>
      </c>
      <c r="AC124" s="305">
        <f>+IF(X124=0,0,HLOOKUP(YEAR(X124)+(MONTH(X124)/100),TC!$5:$37,DAY(X124)+2,FALSE))</f>
        <v>19.8553</v>
      </c>
      <c r="AD124" s="307">
        <f t="shared" si="35"/>
        <v>963190.21296520007</v>
      </c>
      <c r="AE124" s="314">
        <f t="shared" si="24"/>
        <v>1157136.3124718054</v>
      </c>
      <c r="AF124" s="315">
        <f t="shared" si="25"/>
        <v>-193946.0995066053</v>
      </c>
      <c r="AG124" s="316">
        <f t="shared" si="26"/>
        <v>1.558904109589041</v>
      </c>
      <c r="AH124" s="314">
        <v>1</v>
      </c>
      <c r="AI124" s="314">
        <f t="shared" si="27"/>
        <v>-193946.0995066053</v>
      </c>
      <c r="AJ124" s="314">
        <f t="shared" si="36"/>
        <v>0</v>
      </c>
      <c r="AK124" s="317"/>
      <c r="AL124" s="315">
        <f t="shared" si="28"/>
        <v>-2959.6875779345719</v>
      </c>
      <c r="AN124" s="546">
        <f t="shared" si="29"/>
        <v>-5.750296700396855E-2</v>
      </c>
      <c r="AO124" s="314"/>
      <c r="AP124" s="318"/>
    </row>
    <row r="125" spans="2:42">
      <c r="B125" s="296" t="s">
        <v>953</v>
      </c>
      <c r="C125" s="299" t="s">
        <v>276</v>
      </c>
      <c r="D125" s="298" t="s">
        <v>719</v>
      </c>
      <c r="E125" s="299" t="s">
        <v>113</v>
      </c>
      <c r="F125" s="299" t="s">
        <v>59</v>
      </c>
      <c r="G125" s="300">
        <v>44293</v>
      </c>
      <c r="H125" s="303">
        <v>160250.13842206541</v>
      </c>
      <c r="I125" s="301" t="str">
        <f t="shared" si="20"/>
        <v>Ingresos Sección II LISR (SIC &amp; BMV)</v>
      </c>
      <c r="J125" s="302">
        <f t="shared" si="30"/>
        <v>4720</v>
      </c>
      <c r="K125" s="304">
        <f t="shared" si="21"/>
        <v>33.951300513149455</v>
      </c>
      <c r="L125" s="305">
        <f>IF(H125=0,0,IF(OR(E125=$AT$5,E125=$AT$6),AA125,IF(F125="MXN",1/HLOOKUP(YEAR(G125)+(MONTH(G125)/100),TC!$5:$37,DAY(G125)+2,FALSE),VLOOKUP(F125,Equivalencia!$5:$23,((MAX(Equivalencia!$3:$3)-YEAR(G125))*14)+MONTH(G125)+2,FALSE))))</f>
        <v>1</v>
      </c>
      <c r="M125" s="306">
        <f t="shared" si="22"/>
        <v>160250.13842206541</v>
      </c>
      <c r="N125" s="305">
        <f>IF(G125=0,0,(IF(OR(E125=$AT$5,E125=$AT$6),AC125,HLOOKUP(YEAR(G125)+(MONTH(G125)/100),TC!$5:$37,DAY(G125)+2,FALSE))))</f>
        <v>20.2483</v>
      </c>
      <c r="O125" s="307">
        <f t="shared" si="31"/>
        <v>3244792.8778115073</v>
      </c>
      <c r="P125" s="552">
        <f>IF(G125=0,0,VLOOKUP(YEAR(G125),INPC!$B$4:$P$30,MONTH(G125)+2))</f>
        <v>112.19</v>
      </c>
      <c r="Q125" s="552">
        <f>IF(X125=0,0,IF(OR(E125=$AT$10,E125=$AT$9),VLOOKUP(YEAR(X125),INPC!$B$4:$P$30,MONTH(X125)+1),VLOOKUP(YEAR(X125),INPC!$B$4:$P$30,MONTH(X125)+2,0)))</f>
        <v>125.997</v>
      </c>
      <c r="R125" s="309">
        <f t="shared" si="23"/>
        <v>1.123</v>
      </c>
      <c r="S125" s="310">
        <f t="shared" si="32"/>
        <v>3643902.4017823227</v>
      </c>
      <c r="T125" s="547">
        <f t="shared" si="33"/>
        <v>772.01322071659376</v>
      </c>
      <c r="U125" s="311"/>
      <c r="V125" s="312">
        <v>4720</v>
      </c>
      <c r="W125" s="299" t="s">
        <v>194</v>
      </c>
      <c r="X125" s="300">
        <v>44897</v>
      </c>
      <c r="Y125" s="299" t="s">
        <v>59</v>
      </c>
      <c r="Z125" s="651">
        <v>163804.29685352623</v>
      </c>
      <c r="AA125" s="305">
        <f>IF(Z125=0,0,IF(Y125="MXN",1/HLOOKUP(YEAR(X125)+(MONTH(X125)/100),TC!$5:$37,DAY(X125)+2,FALSE),VLOOKUP(Y125,Equivalencia!$1:$23,((MAX(Equivalencia!$3:$3)-YEAR(X125))*14)+MONTH(X125)+2,FALSE)))</f>
        <v>1</v>
      </c>
      <c r="AB125" s="306">
        <f t="shared" si="34"/>
        <v>163804.29685352623</v>
      </c>
      <c r="AC125" s="305">
        <f>+IF(X125=0,0,HLOOKUP(YEAR(X125)+(MONTH(X125)/100),TC!$5:$37,DAY(X125)+2,FALSE))</f>
        <v>19.3965</v>
      </c>
      <c r="AD125" s="307">
        <f t="shared" si="35"/>
        <v>3177230.0439194217</v>
      </c>
      <c r="AE125" s="314">
        <f t="shared" si="24"/>
        <v>3643902.4017823227</v>
      </c>
      <c r="AF125" s="315">
        <f t="shared" si="25"/>
        <v>-466672.35786290094</v>
      </c>
      <c r="AG125" s="316">
        <f t="shared" si="26"/>
        <v>1.6547945205479453</v>
      </c>
      <c r="AH125" s="314">
        <v>1</v>
      </c>
      <c r="AI125" s="314">
        <f t="shared" si="27"/>
        <v>-466672.35786290094</v>
      </c>
      <c r="AJ125" s="314">
        <f t="shared" si="36"/>
        <v>0</v>
      </c>
      <c r="AK125" s="317"/>
      <c r="AL125" s="315">
        <f t="shared" si="28"/>
        <v>3554.158431460819</v>
      </c>
      <c r="AN125" s="546">
        <f t="shared" si="29"/>
        <v>2.2178816607945184E-2</v>
      </c>
      <c r="AO125" s="314"/>
      <c r="AP125" s="318"/>
    </row>
    <row r="126" spans="2:42">
      <c r="B126" s="296" t="s">
        <v>953</v>
      </c>
      <c r="C126" s="299" t="s">
        <v>276</v>
      </c>
      <c r="D126" s="298" t="s">
        <v>719</v>
      </c>
      <c r="E126" s="299" t="s">
        <v>113</v>
      </c>
      <c r="F126" s="299" t="s">
        <v>59</v>
      </c>
      <c r="G126" s="300">
        <v>44370</v>
      </c>
      <c r="H126" s="303">
        <v>4864.8599999999997</v>
      </c>
      <c r="I126" s="301" t="str">
        <f t="shared" si="20"/>
        <v>Ingresos Sección II LISR (SIC &amp; BMV)</v>
      </c>
      <c r="J126" s="302">
        <f t="shared" si="30"/>
        <v>139</v>
      </c>
      <c r="K126" s="304">
        <f t="shared" si="21"/>
        <v>34.998992805755393</v>
      </c>
      <c r="L126" s="305">
        <f>IF(H126=0,0,IF(OR(E126=$AT$5,E126=$AT$6),AA126,IF(F126="MXN",1/HLOOKUP(YEAR(G126)+(MONTH(G126)/100),TC!$5:$37,DAY(G126)+2,FALSE),VLOOKUP(F126,Equivalencia!$5:$23,((MAX(Equivalencia!$3:$3)-YEAR(G126))*14)+MONTH(G126)+2,FALSE))))</f>
        <v>1</v>
      </c>
      <c r="M126" s="306">
        <f t="shared" si="22"/>
        <v>4864.8599999999997</v>
      </c>
      <c r="N126" s="305">
        <f>IF(G126=0,0,(IF(OR(E126=$AT$5,E126=$AT$6),AC126,HLOOKUP(YEAR(G126)+(MONTH(G126)/100),TC!$5:$37,DAY(G126)+2,FALSE))))</f>
        <v>20.6</v>
      </c>
      <c r="O126" s="307">
        <f t="shared" si="31"/>
        <v>100216.11599999999</v>
      </c>
      <c r="P126" s="552">
        <f>IF(G126=0,0,VLOOKUP(YEAR(G126),INPC!$B$4:$P$30,MONTH(G126)+2))</f>
        <v>113.018</v>
      </c>
      <c r="Q126" s="552">
        <f>IF(X126=0,0,IF(OR(E126=$AT$10,E126=$AT$9),VLOOKUP(YEAR(X126),INPC!$B$4:$P$30,MONTH(X126)+1),VLOOKUP(YEAR(X126),INPC!$B$4:$P$30,MONTH(X126)+2,0)))</f>
        <v>125.997</v>
      </c>
      <c r="R126" s="309">
        <f t="shared" si="23"/>
        <v>1.1148</v>
      </c>
      <c r="S126" s="310">
        <f t="shared" si="32"/>
        <v>111720.92611679999</v>
      </c>
      <c r="T126" s="547">
        <f t="shared" si="33"/>
        <v>803.74766990503588</v>
      </c>
      <c r="U126" s="311"/>
      <c r="V126" s="312">
        <v>139</v>
      </c>
      <c r="W126" s="299" t="s">
        <v>194</v>
      </c>
      <c r="X126" s="300">
        <v>44897</v>
      </c>
      <c r="Y126" s="299" t="s">
        <v>59</v>
      </c>
      <c r="Z126" s="646">
        <v>4823.8977251356246</v>
      </c>
      <c r="AA126" s="305">
        <f>IF(Z126=0,0,IF(Y126="MXN",1/HLOOKUP(YEAR(X126)+(MONTH(X126)/100),TC!$5:$37,DAY(X126)+2,FALSE),VLOOKUP(Y126,Equivalencia!$1:$23,((MAX(Equivalencia!$3:$3)-YEAR(X126))*14)+MONTH(X126)+2,FALSE)))</f>
        <v>1</v>
      </c>
      <c r="AB126" s="306">
        <f t="shared" si="34"/>
        <v>4823.8977251356246</v>
      </c>
      <c r="AC126" s="305">
        <f>+IF(X126=0,0,HLOOKUP(YEAR(X126)+(MONTH(X126)/100),TC!$5:$37,DAY(X126)+2,FALSE))</f>
        <v>19.3965</v>
      </c>
      <c r="AD126" s="307">
        <f t="shared" si="35"/>
        <v>93566.732225593136</v>
      </c>
      <c r="AE126" s="314">
        <f t="shared" si="24"/>
        <v>111720.92611679999</v>
      </c>
      <c r="AF126" s="315">
        <f t="shared" si="25"/>
        <v>-18154.193891206858</v>
      </c>
      <c r="AG126" s="316">
        <f t="shared" si="26"/>
        <v>1.4438356164383561</v>
      </c>
      <c r="AH126" s="314">
        <v>1</v>
      </c>
      <c r="AI126" s="314">
        <f t="shared" si="27"/>
        <v>-18154.193891206858</v>
      </c>
      <c r="AJ126" s="314">
        <f t="shared" si="36"/>
        <v>0</v>
      </c>
      <c r="AK126" s="317"/>
      <c r="AL126" s="315">
        <f t="shared" si="28"/>
        <v>-40.962274864375104</v>
      </c>
      <c r="AN126" s="546">
        <f t="shared" si="29"/>
        <v>-8.420031586597581E-3</v>
      </c>
      <c r="AO126" s="314"/>
      <c r="AP126" s="318"/>
    </row>
    <row r="127" spans="2:42">
      <c r="B127" s="296" t="s">
        <v>953</v>
      </c>
      <c r="C127" s="299" t="s">
        <v>276</v>
      </c>
      <c r="D127" s="298" t="s">
        <v>719</v>
      </c>
      <c r="E127" s="299" t="s">
        <v>113</v>
      </c>
      <c r="F127" s="299" t="s">
        <v>59</v>
      </c>
      <c r="G127" s="300">
        <v>44441</v>
      </c>
      <c r="H127" s="303">
        <v>7110.8600000000006</v>
      </c>
      <c r="I127" s="301" t="str">
        <f t="shared" si="20"/>
        <v>Ingresos Sección II LISR (SIC &amp; BMV)</v>
      </c>
      <c r="J127" s="302">
        <f t="shared" si="30"/>
        <v>201</v>
      </c>
      <c r="K127" s="304">
        <f t="shared" si="21"/>
        <v>35.377412935323385</v>
      </c>
      <c r="L127" s="305">
        <f>IF(H127=0,0,IF(OR(E127=$AT$5,E127=$AT$6),AA127,IF(F127="MXN",1/HLOOKUP(YEAR(G127)+(MONTH(G127)/100),TC!$5:$37,DAY(G127)+2,FALSE),VLOOKUP(F127,Equivalencia!$5:$23,((MAX(Equivalencia!$3:$3)-YEAR(G127))*14)+MONTH(G127)+2,FALSE))))</f>
        <v>1</v>
      </c>
      <c r="M127" s="306">
        <f t="shared" si="22"/>
        <v>7110.8600000000006</v>
      </c>
      <c r="N127" s="305">
        <f>IF(G127=0,0,(IF(OR(E127=$AT$5,E127=$AT$6),AC127,HLOOKUP(YEAR(G127)+(MONTH(G127)/100),TC!$5:$37,DAY(G127)+2,FALSE))))</f>
        <v>20.060500000000001</v>
      </c>
      <c r="O127" s="307">
        <f t="shared" si="31"/>
        <v>142647.40703000003</v>
      </c>
      <c r="P127" s="552">
        <f>IF(G127=0,0,VLOOKUP(YEAR(G127),INPC!$B$4:$P$30,MONTH(G127)+2))</f>
        <v>114.601</v>
      </c>
      <c r="Q127" s="552">
        <f>IF(X127=0,0,IF(OR(E127=$AT$10,E127=$AT$9),VLOOKUP(YEAR(X127),INPC!$B$4:$P$30,MONTH(X127)+1),VLOOKUP(YEAR(X127),INPC!$B$4:$P$30,MONTH(X127)+2,0)))</f>
        <v>125.997</v>
      </c>
      <c r="R127" s="309">
        <f t="shared" si="23"/>
        <v>1.0993999999999999</v>
      </c>
      <c r="S127" s="310">
        <f t="shared" si="32"/>
        <v>156826.55928878204</v>
      </c>
      <c r="T127" s="547">
        <f t="shared" si="33"/>
        <v>780.23163825264692</v>
      </c>
      <c r="U127" s="311"/>
      <c r="V127" s="312">
        <v>201</v>
      </c>
      <c r="W127" s="299" t="s">
        <v>194</v>
      </c>
      <c r="X127" s="300">
        <v>44897</v>
      </c>
      <c r="Y127" s="299" t="s">
        <v>59</v>
      </c>
      <c r="Z127" s="646">
        <v>6975.5643363471982</v>
      </c>
      <c r="AA127" s="305">
        <f>IF(Z127=0,0,IF(Y127="MXN",1/HLOOKUP(YEAR(X127)+(MONTH(X127)/100),TC!$5:$37,DAY(X127)+2,FALSE),VLOOKUP(Y127,Equivalencia!$1:$23,((MAX(Equivalencia!$3:$3)-YEAR(X127))*14)+MONTH(X127)+2,FALSE)))</f>
        <v>1</v>
      </c>
      <c r="AB127" s="306">
        <f t="shared" si="34"/>
        <v>6975.5643363471982</v>
      </c>
      <c r="AC127" s="305">
        <f>+IF(X127=0,0,HLOOKUP(YEAR(X127)+(MONTH(X127)/100),TC!$5:$37,DAY(X127)+2,FALSE))</f>
        <v>19.3965</v>
      </c>
      <c r="AD127" s="307">
        <f t="shared" si="35"/>
        <v>135301.53364995844</v>
      </c>
      <c r="AE127" s="314">
        <f t="shared" si="24"/>
        <v>156826.55928878204</v>
      </c>
      <c r="AF127" s="315">
        <f t="shared" si="25"/>
        <v>-21525.025638823601</v>
      </c>
      <c r="AG127" s="316">
        <f t="shared" si="26"/>
        <v>1.2493150684931507</v>
      </c>
      <c r="AH127" s="314">
        <v>1</v>
      </c>
      <c r="AI127" s="314">
        <f t="shared" si="27"/>
        <v>-21525.025638823601</v>
      </c>
      <c r="AJ127" s="314">
        <f t="shared" si="36"/>
        <v>0</v>
      </c>
      <c r="AK127" s="317"/>
      <c r="AL127" s="315">
        <f t="shared" si="28"/>
        <v>-135.29566365280243</v>
      </c>
      <c r="AN127" s="546">
        <f t="shared" si="29"/>
        <v>-1.9026624578855782E-2</v>
      </c>
      <c r="AO127" s="314"/>
      <c r="AP127" s="318"/>
    </row>
    <row r="128" spans="2:42">
      <c r="B128" s="296" t="s">
        <v>953</v>
      </c>
      <c r="C128" s="299" t="s">
        <v>276</v>
      </c>
      <c r="D128" s="298" t="s">
        <v>719</v>
      </c>
      <c r="E128" s="299" t="s">
        <v>113</v>
      </c>
      <c r="F128" s="299" t="s">
        <v>59</v>
      </c>
      <c r="G128" s="300">
        <v>44491</v>
      </c>
      <c r="H128" s="303">
        <v>3528.99</v>
      </c>
      <c r="I128" s="301" t="str">
        <f t="shared" si="20"/>
        <v>Ingresos Sección II LISR (SIC &amp; BMV)</v>
      </c>
      <c r="J128" s="302">
        <f t="shared" si="30"/>
        <v>100</v>
      </c>
      <c r="K128" s="304">
        <f t="shared" si="21"/>
        <v>35.289899999999996</v>
      </c>
      <c r="L128" s="305">
        <f>IF(H128=0,0,IF(OR(E128=$AT$5,E128=$AT$6),AA128,IF(F128="MXN",1/HLOOKUP(YEAR(G128)+(MONTH(G128)/100),TC!$5:$37,DAY(G128)+2,FALSE),VLOOKUP(F128,Equivalencia!$5:$23,((MAX(Equivalencia!$3:$3)-YEAR(G128))*14)+MONTH(G128)+2,FALSE))))</f>
        <v>1</v>
      </c>
      <c r="M128" s="306">
        <f t="shared" si="22"/>
        <v>3528.99</v>
      </c>
      <c r="N128" s="305">
        <f>IF(G128=0,0,(IF(OR(E128=$AT$5,E128=$AT$6),AC128,HLOOKUP(YEAR(G128)+(MONTH(G128)/100),TC!$5:$37,DAY(G128)+2,FALSE))))</f>
        <v>20.184999999999999</v>
      </c>
      <c r="O128" s="307">
        <f t="shared" si="31"/>
        <v>71232.663149999993</v>
      </c>
      <c r="P128" s="552">
        <f>IF(G128=0,0,VLOOKUP(YEAR(G128),INPC!$B$4:$P$30,MONTH(G128)+2))</f>
        <v>115.56100000000001</v>
      </c>
      <c r="Q128" s="552">
        <f>IF(X128=0,0,IF(OR(E128=$AT$10,E128=$AT$9),VLOOKUP(YEAR(X128),INPC!$B$4:$P$30,MONTH(X128)+1),VLOOKUP(YEAR(X128),INPC!$B$4:$P$30,MONTH(X128)+2,0)))</f>
        <v>125.997</v>
      </c>
      <c r="R128" s="309">
        <f t="shared" si="23"/>
        <v>1.0903</v>
      </c>
      <c r="S128" s="310">
        <f t="shared" si="32"/>
        <v>77664.972632445002</v>
      </c>
      <c r="T128" s="547">
        <f t="shared" si="33"/>
        <v>776.64972632445006</v>
      </c>
      <c r="U128" s="311"/>
      <c r="V128" s="312">
        <v>100</v>
      </c>
      <c r="W128" s="299" t="s">
        <v>194</v>
      </c>
      <c r="X128" s="300">
        <v>44897</v>
      </c>
      <c r="Y128" s="299" t="s">
        <v>59</v>
      </c>
      <c r="Z128" s="646">
        <v>3470.4300180831829</v>
      </c>
      <c r="AA128" s="305">
        <f>IF(Z128=0,0,IF(Y128="MXN",1/HLOOKUP(YEAR(X128)+(MONTH(X128)/100),TC!$5:$37,DAY(X128)+2,FALSE),VLOOKUP(Y128,Equivalencia!$1:$23,((MAX(Equivalencia!$3:$3)-YEAR(X128))*14)+MONTH(X128)+2,FALSE)))</f>
        <v>1</v>
      </c>
      <c r="AB128" s="306">
        <f t="shared" si="34"/>
        <v>3470.4300180831829</v>
      </c>
      <c r="AC128" s="305">
        <f>+IF(X128=0,0,HLOOKUP(YEAR(X128)+(MONTH(X128)/100),TC!$5:$37,DAY(X128)+2,FALSE))</f>
        <v>19.3965</v>
      </c>
      <c r="AD128" s="307">
        <f t="shared" si="35"/>
        <v>67314.195845750452</v>
      </c>
      <c r="AE128" s="314">
        <f t="shared" si="24"/>
        <v>77664.972632445002</v>
      </c>
      <c r="AF128" s="315">
        <f t="shared" si="25"/>
        <v>-10350.776786694551</v>
      </c>
      <c r="AG128" s="316">
        <f t="shared" si="26"/>
        <v>1.1123287671232878</v>
      </c>
      <c r="AH128" s="314">
        <v>1</v>
      </c>
      <c r="AI128" s="314">
        <f t="shared" si="27"/>
        <v>-10350.776786694551</v>
      </c>
      <c r="AJ128" s="314">
        <f t="shared" si="36"/>
        <v>0</v>
      </c>
      <c r="AK128" s="317"/>
      <c r="AL128" s="315">
        <f t="shared" si="28"/>
        <v>-58.559981916816923</v>
      </c>
      <c r="AN128" s="546">
        <f t="shared" si="29"/>
        <v>-1.6593977856785347E-2</v>
      </c>
      <c r="AO128" s="314"/>
      <c r="AP128" s="318"/>
    </row>
    <row r="129" spans="2:42" ht="17" thickBot="1">
      <c r="B129" s="296" t="s">
        <v>953</v>
      </c>
      <c r="C129" s="299" t="s">
        <v>276</v>
      </c>
      <c r="D129" s="298" t="s">
        <v>719</v>
      </c>
      <c r="E129" s="299" t="s">
        <v>113</v>
      </c>
      <c r="F129" s="299" t="s">
        <v>59</v>
      </c>
      <c r="G129" s="300">
        <v>44603</v>
      </c>
      <c r="H129" s="303">
        <v>13181.065348399246</v>
      </c>
      <c r="I129" s="301" t="str">
        <f t="shared" si="20"/>
        <v>Ingresos Sección II LISR (SIC &amp; BMV)</v>
      </c>
      <c r="J129" s="302">
        <f t="shared" si="30"/>
        <v>370</v>
      </c>
      <c r="K129" s="304">
        <f t="shared" si="21"/>
        <v>35.624500941619587</v>
      </c>
      <c r="L129" s="305">
        <f>IF(H129=0,0,IF(OR(E129=$AT$5,E129=$AT$6),AA129,IF(F129="MXN",1/HLOOKUP(YEAR(G129)+(MONTH(G129)/100),TC!$5:$37,DAY(G129)+2,FALSE),VLOOKUP(F129,Equivalencia!$5:$23,((MAX(Equivalencia!$3:$3)-YEAR(G129))*14)+MONTH(G129)+2,FALSE))))</f>
        <v>1</v>
      </c>
      <c r="M129" s="306">
        <f t="shared" si="22"/>
        <v>13181.065348399246</v>
      </c>
      <c r="N129" s="305">
        <f>IF(G129=0,0,(IF(OR(E129=$AT$5,E129=$AT$6),AC129,HLOOKUP(YEAR(G129)+(MONTH(G129)/100),TC!$5:$37,DAY(G129)+2,FALSE))))</f>
        <v>20.500800000000002</v>
      </c>
      <c r="O129" s="307">
        <f t="shared" si="31"/>
        <v>270222.38449446327</v>
      </c>
      <c r="P129" s="552">
        <f>IF(G129=0,0,VLOOKUP(YEAR(G129),INPC!$B$4:$P$30,MONTH(G129)+2))</f>
        <v>118.98099999999999</v>
      </c>
      <c r="Q129" s="552">
        <f>IF(X129=0,0,IF(OR(E129=$AT$10,E129=$AT$9),VLOOKUP(YEAR(X129),INPC!$B$4:$P$30,MONTH(X129)+1),VLOOKUP(YEAR(X129),INPC!$B$4:$P$30,MONTH(X129)+2,0)))</f>
        <v>125.997</v>
      </c>
      <c r="R129" s="309">
        <f t="shared" si="23"/>
        <v>1.0589</v>
      </c>
      <c r="S129" s="310">
        <f t="shared" si="32"/>
        <v>286138.48294118716</v>
      </c>
      <c r="T129" s="547">
        <f t="shared" si="33"/>
        <v>773.34725119239772</v>
      </c>
      <c r="U129" s="311"/>
      <c r="V129" s="312">
        <v>370</v>
      </c>
      <c r="W129" s="299" t="s">
        <v>194</v>
      </c>
      <c r="X129" s="300">
        <v>44897</v>
      </c>
      <c r="Y129" s="299" t="s">
        <v>59</v>
      </c>
      <c r="Z129" s="647">
        <v>12840.591066907777</v>
      </c>
      <c r="AA129" s="305">
        <f>IF(Z129=0,0,IF(Y129="MXN",1/HLOOKUP(YEAR(X129)+(MONTH(X129)/100),TC!$5:$37,DAY(X129)+2,FALSE),VLOOKUP(Y129,Equivalencia!$1:$23,((MAX(Equivalencia!$3:$3)-YEAR(X129))*14)+MONTH(X129)+2,FALSE)))</f>
        <v>1</v>
      </c>
      <c r="AB129" s="306">
        <f t="shared" si="34"/>
        <v>12840.591066907777</v>
      </c>
      <c r="AC129" s="305">
        <f>+IF(X129=0,0,HLOOKUP(YEAR(X129)+(MONTH(X129)/100),TC!$5:$37,DAY(X129)+2,FALSE))</f>
        <v>19.3965</v>
      </c>
      <c r="AD129" s="307">
        <f t="shared" si="35"/>
        <v>249062.52462927668</v>
      </c>
      <c r="AE129" s="314">
        <f t="shared" si="24"/>
        <v>286138.48294118716</v>
      </c>
      <c r="AF129" s="315">
        <f t="shared" si="25"/>
        <v>-37075.958311910479</v>
      </c>
      <c r="AG129" s="316">
        <f t="shared" si="26"/>
        <v>0.80547945205479454</v>
      </c>
      <c r="AH129" s="314">
        <v>1</v>
      </c>
      <c r="AI129" s="314">
        <f t="shared" si="27"/>
        <v>-37075.958311910479</v>
      </c>
      <c r="AJ129" s="314">
        <f t="shared" si="36"/>
        <v>0</v>
      </c>
      <c r="AK129" s="317"/>
      <c r="AL129" s="315">
        <f t="shared" si="28"/>
        <v>-340.47428149146981</v>
      </c>
      <c r="AN129" s="546">
        <f t="shared" si="29"/>
        <v>-2.5830558645460185E-2</v>
      </c>
      <c r="AO129" s="314"/>
      <c r="AP129" s="318"/>
    </row>
    <row r="130" spans="2:42">
      <c r="B130" s="296" t="s">
        <v>953</v>
      </c>
      <c r="C130" s="299" t="s">
        <v>276</v>
      </c>
      <c r="D130" s="298" t="s">
        <v>730</v>
      </c>
      <c r="E130" s="299" t="s">
        <v>113</v>
      </c>
      <c r="F130" s="299" t="s">
        <v>59</v>
      </c>
      <c r="G130" s="300">
        <v>44603</v>
      </c>
      <c r="H130" s="303">
        <v>56677.929996707753</v>
      </c>
      <c r="I130" s="301" t="str">
        <f t="shared" ref="I130:I193" si="37">IF(D130=0,0,IF(OR(E130=$AT$9,E130=$AT$10),"Ingresos Sección II LISR (SIC &amp; BMV)","Ingresos Sección I LISR"))</f>
        <v>Ingresos Sección II LISR (SIC &amp; BMV)</v>
      </c>
      <c r="J130" s="302">
        <f t="shared" si="30"/>
        <v>10622</v>
      </c>
      <c r="K130" s="304">
        <f t="shared" ref="K130:K193" si="38">IF(H130=0,0,H130/J130)</f>
        <v>5.3359000185188998</v>
      </c>
      <c r="L130" s="305">
        <f>IF(H130=0,0,IF(OR(E130=$AT$5,E130=$AT$6),AA130,IF(F130="MXN",1/HLOOKUP(YEAR(G130)+(MONTH(G130)/100),TC!$5:$37,DAY(G130)+2,FALSE),VLOOKUP(F130,Equivalencia!$5:$23,((MAX(Equivalencia!$3:$3)-YEAR(G130))*14)+MONTH(G130)+2,FALSE))))</f>
        <v>1</v>
      </c>
      <c r="M130" s="306">
        <f t="shared" ref="M130:M193" si="39">+H130*L130</f>
        <v>56677.929996707753</v>
      </c>
      <c r="N130" s="305">
        <f>IF(G130=0,0,(IF(OR(E130=$AT$5,E130=$AT$6),AC130,HLOOKUP(YEAR(G130)+(MONTH(G130)/100),TC!$5:$37,DAY(G130)+2,FALSE))))</f>
        <v>20.500800000000002</v>
      </c>
      <c r="O130" s="307">
        <f t="shared" si="31"/>
        <v>1161942.9072765063</v>
      </c>
      <c r="P130" s="552">
        <f>IF(G130=0,0,VLOOKUP(YEAR(G130),INPC!$B$4:$P$30,MONTH(G130)+2))</f>
        <v>118.98099999999999</v>
      </c>
      <c r="Q130" s="552">
        <f>IF(X130=0,0,IF(OR(E130=$AT$10,E130=$AT$9),VLOOKUP(YEAR(X130),INPC!$B$4:$P$30,MONTH(X130)+1),VLOOKUP(YEAR(X130),INPC!$B$4:$P$30,MONTH(X130)+2,0)))</f>
        <v>124.571</v>
      </c>
      <c r="R130" s="309">
        <f t="shared" ref="R130:R193" si="40">IF(H130=0,0,IF(OR(E130=$AT$5,E130=$AT$6),1,IF(TRUNC(Q130/P130,4)&gt;=1,TRUNC(Q130/P130,4),1)))</f>
        <v>1.0468999999999999</v>
      </c>
      <c r="S130" s="310">
        <f t="shared" si="32"/>
        <v>1216438.0296277744</v>
      </c>
      <c r="T130" s="547">
        <f t="shared" si="33"/>
        <v>114.52062037542595</v>
      </c>
      <c r="U130" s="311"/>
      <c r="V130" s="312">
        <v>10622</v>
      </c>
      <c r="W130" s="299" t="s">
        <v>194</v>
      </c>
      <c r="X130" s="300">
        <v>44862</v>
      </c>
      <c r="Y130" s="299" t="s">
        <v>59</v>
      </c>
      <c r="Z130" s="303">
        <v>56662</v>
      </c>
      <c r="AA130" s="305">
        <f>IF(Z130=0,0,IF(Y130="MXN",1/HLOOKUP(YEAR(X130)+(MONTH(X130)/100),TC!$5:$37,DAY(X130)+2,FALSE),VLOOKUP(Y130,Equivalencia!$1:$23,((MAX(Equivalencia!$3:$3)-YEAR(X130))*14)+MONTH(X130)+2,FALSE)))</f>
        <v>1</v>
      </c>
      <c r="AB130" s="306">
        <f t="shared" si="34"/>
        <v>56662</v>
      </c>
      <c r="AC130" s="305">
        <f>+IF(X130=0,0,HLOOKUP(YEAR(X130)+(MONTH(X130)/100),TC!$5:$37,DAY(X130)+2,FALSE))</f>
        <v>19.8553</v>
      </c>
      <c r="AD130" s="307">
        <f t="shared" si="35"/>
        <v>1125041.0086000001</v>
      </c>
      <c r="AE130" s="314">
        <f t="shared" ref="AE130:AE193" si="41">+V130*T130</f>
        <v>1216438.0296277744</v>
      </c>
      <c r="AF130" s="315">
        <f t="shared" ref="AF130:AF193" si="42">IF(E130=$AT$11,0,AD130-AE130)</f>
        <v>-91397.021027774317</v>
      </c>
      <c r="AG130" s="316">
        <f t="shared" ref="AG130:AG193" si="43">+IF(AND(AF130&lt;0,OR(E130=$AT$5,E130=$AT$6)),1,((X130-G130)/365))</f>
        <v>0.70958904109589038</v>
      </c>
      <c r="AH130" s="314">
        <v>1</v>
      </c>
      <c r="AI130" s="314">
        <f t="shared" ref="AI130:AI193" si="44">+IF(OR(E130=$AT$9,E130=$AT$10),AF130,+AF130/AH130)</f>
        <v>-91397.021027774317</v>
      </c>
      <c r="AJ130" s="314">
        <f t="shared" si="36"/>
        <v>0</v>
      </c>
      <c r="AK130" s="317"/>
      <c r="AL130" s="315">
        <f t="shared" ref="AL130:AL193" si="45">+AB130-M130</f>
        <v>-15.929996707753162</v>
      </c>
      <c r="AN130" s="546">
        <f t="shared" ref="AN130:AN193" si="46">IF(AL130=0,0,AL130/H130)</f>
        <v>-2.8106172382580814E-4</v>
      </c>
      <c r="AO130" s="314"/>
      <c r="AP130" s="318"/>
    </row>
    <row r="131" spans="2:42">
      <c r="B131" s="296" t="s">
        <v>953</v>
      </c>
      <c r="C131" s="299" t="s">
        <v>276</v>
      </c>
      <c r="D131" s="298" t="s">
        <v>730</v>
      </c>
      <c r="E131" s="299" t="s">
        <v>113</v>
      </c>
      <c r="F131" s="299" t="s">
        <v>59</v>
      </c>
      <c r="G131" s="300">
        <v>44603</v>
      </c>
      <c r="H131" s="303">
        <v>407401.30231393653</v>
      </c>
      <c r="I131" s="301" t="str">
        <f t="shared" si="37"/>
        <v>Ingresos Sección II LISR (SIC &amp; BMV)</v>
      </c>
      <c r="J131" s="302">
        <f t="shared" ref="J131:J194" si="47">+V131</f>
        <v>76351</v>
      </c>
      <c r="K131" s="304">
        <f t="shared" si="38"/>
        <v>5.3359000185188998</v>
      </c>
      <c r="L131" s="305">
        <f>IF(H131=0,0,IF(OR(E131=$AT$5,E131=$AT$6),AA131,IF(F131="MXN",1/HLOOKUP(YEAR(G131)+(MONTH(G131)/100),TC!$5:$37,DAY(G131)+2,FALSE),VLOOKUP(F131,Equivalencia!$5:$23,((MAX(Equivalencia!$3:$3)-YEAR(G131))*14)+MONTH(G131)+2,FALSE))))</f>
        <v>1</v>
      </c>
      <c r="M131" s="306">
        <f t="shared" si="39"/>
        <v>407401.30231393653</v>
      </c>
      <c r="N131" s="305">
        <f>IF(G131=0,0,(IF(OR(E131=$AT$5,E131=$AT$6),AC131,HLOOKUP(YEAR(G131)+(MONTH(G131)/100),TC!$5:$37,DAY(G131)+2,FALSE))))</f>
        <v>20.500800000000002</v>
      </c>
      <c r="O131" s="307">
        <f t="shared" ref="O131:O194" si="48">+M131*N131</f>
        <v>8352052.6184775503</v>
      </c>
      <c r="P131" s="552">
        <f>IF(G131=0,0,VLOOKUP(YEAR(G131),INPC!$B$4:$P$30,MONTH(G131)+2))</f>
        <v>118.98099999999999</v>
      </c>
      <c r="Q131" s="552">
        <f>IF(X131=0,0,IF(OR(E131=$AT$10,E131=$AT$9),VLOOKUP(YEAR(X131),INPC!$B$4:$P$30,MONTH(X131)+1),VLOOKUP(YEAR(X131),INPC!$B$4:$P$30,MONTH(X131)+2,0)))</f>
        <v>125.997</v>
      </c>
      <c r="R131" s="309">
        <f t="shared" si="40"/>
        <v>1.0589</v>
      </c>
      <c r="S131" s="310">
        <f t="shared" ref="S131:S194" si="49">+R131*O131</f>
        <v>8843988.5177058782</v>
      </c>
      <c r="T131" s="547">
        <f t="shared" ref="T131:T194" si="50">IF(V131=0,0,S131/V131)</f>
        <v>115.83330300462178</v>
      </c>
      <c r="U131" s="311"/>
      <c r="V131" s="312">
        <v>76351</v>
      </c>
      <c r="W131" s="299" t="s">
        <v>194</v>
      </c>
      <c r="X131" s="300">
        <v>44897</v>
      </c>
      <c r="Y131" s="299" t="s">
        <v>59</v>
      </c>
      <c r="Z131" s="303">
        <v>409981.96</v>
      </c>
      <c r="AA131" s="305">
        <f>IF(Z131=0,0,IF(Y131="MXN",1/HLOOKUP(YEAR(X131)+(MONTH(X131)/100),TC!$5:$37,DAY(X131)+2,FALSE),VLOOKUP(Y131,Equivalencia!$1:$23,((MAX(Equivalencia!$3:$3)-YEAR(X131))*14)+MONTH(X131)+2,FALSE)))</f>
        <v>1</v>
      </c>
      <c r="AB131" s="306">
        <f t="shared" ref="AB131:AB194" si="51">+AA131*Z131</f>
        <v>409981.96</v>
      </c>
      <c r="AC131" s="305">
        <f>+IF(X131=0,0,HLOOKUP(YEAR(X131)+(MONTH(X131)/100),TC!$5:$37,DAY(X131)+2,FALSE))</f>
        <v>19.3965</v>
      </c>
      <c r="AD131" s="307">
        <f t="shared" ref="AD131:AD194" si="52">+AC131*AB131</f>
        <v>7952215.0871400004</v>
      </c>
      <c r="AE131" s="314">
        <f t="shared" si="41"/>
        <v>8843988.5177058782</v>
      </c>
      <c r="AF131" s="315">
        <f t="shared" si="42"/>
        <v>-891773.43056587782</v>
      </c>
      <c r="AG131" s="316">
        <f t="shared" si="43"/>
        <v>0.80547945205479454</v>
      </c>
      <c r="AH131" s="314">
        <v>1</v>
      </c>
      <c r="AI131" s="314">
        <f t="shared" si="44"/>
        <v>-891773.43056587782</v>
      </c>
      <c r="AJ131" s="314">
        <f t="shared" ref="AJ131:AJ194" si="53">+AF131-AI131</f>
        <v>0</v>
      </c>
      <c r="AK131" s="317"/>
      <c r="AL131" s="315">
        <f t="shared" si="45"/>
        <v>2580.6576860634959</v>
      </c>
      <c r="AN131" s="546">
        <f t="shared" si="46"/>
        <v>6.3344365160494381E-3</v>
      </c>
      <c r="AO131" s="314"/>
      <c r="AP131" s="318"/>
    </row>
    <row r="132" spans="2:42">
      <c r="B132" s="296" t="s">
        <v>953</v>
      </c>
      <c r="C132" s="299" t="s">
        <v>276</v>
      </c>
      <c r="D132" s="298" t="s">
        <v>731</v>
      </c>
      <c r="E132" s="299" t="s">
        <v>113</v>
      </c>
      <c r="F132" s="299" t="s">
        <v>59</v>
      </c>
      <c r="G132" s="300">
        <v>44671</v>
      </c>
      <c r="H132" s="303">
        <v>37674.247129323638</v>
      </c>
      <c r="I132" s="301" t="str">
        <f t="shared" si="37"/>
        <v>Ingresos Sección II LISR (SIC &amp; BMV)</v>
      </c>
      <c r="J132" s="302">
        <f t="shared" si="47"/>
        <v>1174</v>
      </c>
      <c r="K132" s="304">
        <f t="shared" si="38"/>
        <v>32.09050011015642</v>
      </c>
      <c r="L132" s="305">
        <f>IF(H132=0,0,IF(OR(E132=$AT$5,E132=$AT$6),AA132,IF(F132="MXN",1/HLOOKUP(YEAR(G132)+(MONTH(G132)/100),TC!$5:$37,DAY(G132)+2,FALSE),VLOOKUP(F132,Equivalencia!$5:$23,((MAX(Equivalencia!$3:$3)-YEAR(G132))*14)+MONTH(G132)+2,FALSE))))</f>
        <v>1</v>
      </c>
      <c r="M132" s="306">
        <f t="shared" si="39"/>
        <v>37674.247129323638</v>
      </c>
      <c r="N132" s="305">
        <f>IF(G132=0,0,(IF(OR(E132=$AT$5,E132=$AT$6),AC132,HLOOKUP(YEAR(G132)+(MONTH(G132)/100),TC!$5:$37,DAY(G132)+2,FALSE))))</f>
        <v>19.9377</v>
      </c>
      <c r="O132" s="307">
        <f t="shared" si="48"/>
        <v>751137.83699031582</v>
      </c>
      <c r="P132" s="552">
        <f>IF(G132=0,0,VLOOKUP(YEAR(G132),INPC!$B$4:$P$30,MONTH(G132)+2))</f>
        <v>120.809</v>
      </c>
      <c r="Q132" s="552">
        <f>IF(X132=0,0,IF(OR(E132=$AT$10,E132=$AT$9),VLOOKUP(YEAR(X132),INPC!$B$4:$P$30,MONTH(X132)+1),VLOOKUP(YEAR(X132),INPC!$B$4:$P$30,MONTH(X132)+2,0)))</f>
        <v>124.571</v>
      </c>
      <c r="R132" s="309">
        <f t="shared" si="40"/>
        <v>1.0310999999999999</v>
      </c>
      <c r="S132" s="310">
        <f t="shared" si="49"/>
        <v>774498.22372071457</v>
      </c>
      <c r="T132" s="547">
        <f t="shared" si="50"/>
        <v>659.70887880810437</v>
      </c>
      <c r="U132" s="311"/>
      <c r="V132" s="312">
        <v>1174</v>
      </c>
      <c r="W132" s="299" t="s">
        <v>194</v>
      </c>
      <c r="X132" s="300">
        <v>44862</v>
      </c>
      <c r="Y132" s="299" t="s">
        <v>59</v>
      </c>
      <c r="Z132" s="303">
        <v>29565.19</v>
      </c>
      <c r="AA132" s="305">
        <f>IF(Z132=0,0,IF(Y132="MXN",1/HLOOKUP(YEAR(X132)+(MONTH(X132)/100),TC!$5:$37,DAY(X132)+2,FALSE),VLOOKUP(Y132,Equivalencia!$1:$23,((MAX(Equivalencia!$3:$3)-YEAR(X132))*14)+MONTH(X132)+2,FALSE)))</f>
        <v>1</v>
      </c>
      <c r="AB132" s="306">
        <f t="shared" si="51"/>
        <v>29565.19</v>
      </c>
      <c r="AC132" s="305">
        <f>+IF(X132=0,0,HLOOKUP(YEAR(X132)+(MONTH(X132)/100),TC!$5:$37,DAY(X132)+2,FALSE))</f>
        <v>19.8553</v>
      </c>
      <c r="AD132" s="307">
        <f t="shared" si="52"/>
        <v>587025.717007</v>
      </c>
      <c r="AE132" s="314">
        <f t="shared" si="41"/>
        <v>774498.22372071457</v>
      </c>
      <c r="AF132" s="315">
        <f t="shared" si="42"/>
        <v>-187472.50671371457</v>
      </c>
      <c r="AG132" s="316">
        <f t="shared" si="43"/>
        <v>0.52328767123287667</v>
      </c>
      <c r="AH132" s="314">
        <v>1</v>
      </c>
      <c r="AI132" s="314">
        <f t="shared" si="44"/>
        <v>-187472.50671371457</v>
      </c>
      <c r="AJ132" s="314">
        <f t="shared" si="53"/>
        <v>0</v>
      </c>
      <c r="AK132" s="317"/>
      <c r="AL132" s="315">
        <f t="shared" si="45"/>
        <v>-8109.0571293236389</v>
      </c>
      <c r="AN132" s="546">
        <f t="shared" si="46"/>
        <v>-0.21524138495688686</v>
      </c>
      <c r="AO132" s="314"/>
      <c r="AP132" s="318"/>
    </row>
    <row r="133" spans="2:42">
      <c r="B133" s="296" t="s">
        <v>953</v>
      </c>
      <c r="C133" s="299" t="s">
        <v>276</v>
      </c>
      <c r="D133" s="298" t="s">
        <v>732</v>
      </c>
      <c r="E133" s="299" t="s">
        <v>113</v>
      </c>
      <c r="F133" s="299" t="s">
        <v>59</v>
      </c>
      <c r="G133" s="300">
        <v>44603</v>
      </c>
      <c r="H133" s="303">
        <v>2053.186178946316</v>
      </c>
      <c r="I133" s="301" t="str">
        <f t="shared" si="37"/>
        <v>Ingresos Sección II LISR (SIC &amp; BMV)</v>
      </c>
      <c r="J133" s="302">
        <f t="shared" si="47"/>
        <v>234</v>
      </c>
      <c r="K133" s="304">
        <f t="shared" si="38"/>
        <v>8.7742999100269916</v>
      </c>
      <c r="L133" s="305">
        <f>IF(H133=0,0,IF(OR(E133=$AT$5,E133=$AT$6),AA133,IF(F133="MXN",1/HLOOKUP(YEAR(G133)+(MONTH(G133)/100),TC!$5:$37,DAY(G133)+2,FALSE),VLOOKUP(F133,Equivalencia!$5:$23,((MAX(Equivalencia!$3:$3)-YEAR(G133))*14)+MONTH(G133)+2,FALSE))))</f>
        <v>1</v>
      </c>
      <c r="M133" s="306">
        <f t="shared" si="39"/>
        <v>2053.186178946316</v>
      </c>
      <c r="N133" s="305">
        <f>IF(G133=0,0,(IF(OR(E133=$AT$5,E133=$AT$6),AC133,HLOOKUP(YEAR(G133)+(MONTH(G133)/100),TC!$5:$37,DAY(G133)+2,FALSE))))</f>
        <v>20.500800000000002</v>
      </c>
      <c r="O133" s="307">
        <f t="shared" si="48"/>
        <v>42091.959217342635</v>
      </c>
      <c r="P133" s="552">
        <f>IF(G133=0,0,VLOOKUP(YEAR(G133),INPC!$B$4:$P$30,MONTH(G133)+2))</f>
        <v>118.98099999999999</v>
      </c>
      <c r="Q133" s="552">
        <f>IF(X133=0,0,IF(OR(E133=$AT$10,E133=$AT$9),VLOOKUP(YEAR(X133),INPC!$B$4:$P$30,MONTH(X133)+1),VLOOKUP(YEAR(X133),INPC!$B$4:$P$30,MONTH(X133)+2,0)))</f>
        <v>124.571</v>
      </c>
      <c r="R133" s="309">
        <f t="shared" si="40"/>
        <v>1.0468999999999999</v>
      </c>
      <c r="S133" s="310">
        <f t="shared" si="49"/>
        <v>44066.072104636005</v>
      </c>
      <c r="T133" s="547">
        <f t="shared" si="50"/>
        <v>188.31654745570941</v>
      </c>
      <c r="U133" s="311"/>
      <c r="V133" s="312">
        <v>234</v>
      </c>
      <c r="W133" s="299" t="s">
        <v>194</v>
      </c>
      <c r="X133" s="300">
        <v>44862</v>
      </c>
      <c r="Y133" s="299" t="s">
        <v>59</v>
      </c>
      <c r="Z133" s="303">
        <v>1723.18</v>
      </c>
      <c r="AA133" s="305">
        <f>IF(Z133=0,0,IF(Y133="MXN",1/HLOOKUP(YEAR(X133)+(MONTH(X133)/100),TC!$5:$37,DAY(X133)+2,FALSE),VLOOKUP(Y133,Equivalencia!$1:$23,((MAX(Equivalencia!$3:$3)-YEAR(X133))*14)+MONTH(X133)+2,FALSE)))</f>
        <v>1</v>
      </c>
      <c r="AB133" s="306">
        <f t="shared" si="51"/>
        <v>1723.18</v>
      </c>
      <c r="AC133" s="305">
        <f>+IF(X133=0,0,HLOOKUP(YEAR(X133)+(MONTH(X133)/100),TC!$5:$37,DAY(X133)+2,FALSE))</f>
        <v>19.8553</v>
      </c>
      <c r="AD133" s="307">
        <f t="shared" si="52"/>
        <v>34214.255854000003</v>
      </c>
      <c r="AE133" s="314">
        <f t="shared" si="41"/>
        <v>44066.072104636005</v>
      </c>
      <c r="AF133" s="315">
        <f t="shared" si="42"/>
        <v>-9851.8162506360022</v>
      </c>
      <c r="AG133" s="316">
        <f t="shared" si="43"/>
        <v>0.70958904109589038</v>
      </c>
      <c r="AH133" s="314">
        <v>1</v>
      </c>
      <c r="AI133" s="314">
        <f t="shared" si="44"/>
        <v>-9851.8162506360022</v>
      </c>
      <c r="AJ133" s="314">
        <f t="shared" si="53"/>
        <v>0</v>
      </c>
      <c r="AK133" s="317"/>
      <c r="AL133" s="315">
        <f t="shared" si="45"/>
        <v>-330.00617894631591</v>
      </c>
      <c r="AN133" s="546">
        <f t="shared" si="46"/>
        <v>-0.16072881374823655</v>
      </c>
      <c r="AO133" s="314"/>
      <c r="AP133" s="318"/>
    </row>
    <row r="134" spans="2:42">
      <c r="B134" s="296" t="s">
        <v>953</v>
      </c>
      <c r="C134" s="299" t="s">
        <v>276</v>
      </c>
      <c r="D134" s="298" t="s">
        <v>781</v>
      </c>
      <c r="E134" s="299" t="s">
        <v>113</v>
      </c>
      <c r="F134" s="299" t="s">
        <v>59</v>
      </c>
      <c r="G134" s="300">
        <v>44769</v>
      </c>
      <c r="H134" s="303">
        <v>278241.46000000002</v>
      </c>
      <c r="I134" s="301" t="str">
        <f t="shared" si="37"/>
        <v>Ingresos Sección II LISR (SIC &amp; BMV)</v>
      </c>
      <c r="J134" s="302">
        <f t="shared" si="47"/>
        <v>2137</v>
      </c>
      <c r="K134" s="304">
        <f t="shared" si="38"/>
        <v>130.2018998596163</v>
      </c>
      <c r="L134" s="305">
        <f>IF(H134=0,0,IF(OR(E134=$AT$5,E134=$AT$6),AA134,IF(F134="MXN",1/HLOOKUP(YEAR(G134)+(MONTH(G134)/100),TC!$5:$37,DAY(G134)+2,FALSE),VLOOKUP(F134,Equivalencia!$5:$23,((MAX(Equivalencia!$3:$3)-YEAR(G134))*14)+MONTH(G134)+2,FALSE))))</f>
        <v>1</v>
      </c>
      <c r="M134" s="306">
        <f t="shared" si="39"/>
        <v>278241.46000000002</v>
      </c>
      <c r="N134" s="305">
        <f>IF(G134=0,0,(IF(OR(E134=$AT$5,E134=$AT$6),AC134,HLOOKUP(YEAR(G134)+(MONTH(G134)/100),TC!$5:$37,DAY(G134)+2,FALSE))))</f>
        <v>20.465199999999999</v>
      </c>
      <c r="O134" s="307">
        <f t="shared" si="48"/>
        <v>5694267.1271919999</v>
      </c>
      <c r="P134" s="552">
        <f>IF(G134=0,0,VLOOKUP(YEAR(G134),INPC!$B$4:$P$30,MONTH(G134)+2))</f>
        <v>122.94799999999999</v>
      </c>
      <c r="Q134" s="552">
        <f>IF(X134=0,0,IF(OR(E134=$AT$10,E134=$AT$9),VLOOKUP(YEAR(X134),INPC!$B$4:$P$30,MONTH(X134)+1),VLOOKUP(YEAR(X134),INPC!$B$4:$P$30,MONTH(X134)+2,0)))</f>
        <v>124.571</v>
      </c>
      <c r="R134" s="309">
        <f t="shared" si="40"/>
        <v>1.0132000000000001</v>
      </c>
      <c r="S134" s="310">
        <f t="shared" si="49"/>
        <v>5769431.4532709345</v>
      </c>
      <c r="T134" s="547">
        <f t="shared" si="50"/>
        <v>2699.7807455643119</v>
      </c>
      <c r="U134" s="311"/>
      <c r="V134" s="312">
        <v>2137</v>
      </c>
      <c r="W134" s="299" t="s">
        <v>194</v>
      </c>
      <c r="X134" s="300">
        <v>44862</v>
      </c>
      <c r="Y134" s="299" t="s">
        <v>59</v>
      </c>
      <c r="Z134" s="303">
        <v>264129.14</v>
      </c>
      <c r="AA134" s="305">
        <f>IF(Z134=0,0,IF(Y134="MXN",1/HLOOKUP(YEAR(X134)+(MONTH(X134)/100),TC!$5:$37,DAY(X134)+2,FALSE),VLOOKUP(Y134,Equivalencia!$1:$23,((MAX(Equivalencia!$3:$3)-YEAR(X134))*14)+MONTH(X134)+2,FALSE)))</f>
        <v>1</v>
      </c>
      <c r="AB134" s="306">
        <f t="shared" si="51"/>
        <v>264129.14</v>
      </c>
      <c r="AC134" s="305">
        <f>+IF(X134=0,0,HLOOKUP(YEAR(X134)+(MONTH(X134)/100),TC!$5:$37,DAY(X134)+2,FALSE))</f>
        <v>19.8553</v>
      </c>
      <c r="AD134" s="307">
        <f t="shared" si="52"/>
        <v>5244363.3134420002</v>
      </c>
      <c r="AE134" s="314">
        <f t="shared" si="41"/>
        <v>5769431.4532709345</v>
      </c>
      <c r="AF134" s="315">
        <f t="shared" si="42"/>
        <v>-525068.13982893433</v>
      </c>
      <c r="AG134" s="316">
        <f t="shared" si="43"/>
        <v>0.25479452054794521</v>
      </c>
      <c r="AH134" s="314">
        <v>1</v>
      </c>
      <c r="AI134" s="314">
        <f t="shared" si="44"/>
        <v>-525068.13982893433</v>
      </c>
      <c r="AJ134" s="314">
        <f t="shared" si="53"/>
        <v>0</v>
      </c>
      <c r="AK134" s="317"/>
      <c r="AL134" s="315">
        <f t="shared" si="45"/>
        <v>-14112.320000000007</v>
      </c>
      <c r="AN134" s="546">
        <f t="shared" si="46"/>
        <v>-5.071968785672705E-2</v>
      </c>
      <c r="AO134" s="314"/>
      <c r="AP134" s="318"/>
    </row>
    <row r="135" spans="2:42">
      <c r="B135" s="296" t="s">
        <v>953</v>
      </c>
      <c r="C135" s="299" t="s">
        <v>276</v>
      </c>
      <c r="D135" s="298" t="s">
        <v>729</v>
      </c>
      <c r="E135" s="299" t="s">
        <v>113</v>
      </c>
      <c r="F135" s="299" t="s">
        <v>59</v>
      </c>
      <c r="G135" s="300">
        <v>44769</v>
      </c>
      <c r="H135" s="303">
        <v>222647.12491616921</v>
      </c>
      <c r="I135" s="301" t="str">
        <f t="shared" si="37"/>
        <v>Ingresos Sección II LISR (SIC &amp; BMV)</v>
      </c>
      <c r="J135" s="302">
        <f t="shared" si="47"/>
        <v>42109</v>
      </c>
      <c r="K135" s="304">
        <f t="shared" si="38"/>
        <v>5.2873999600125678</v>
      </c>
      <c r="L135" s="305">
        <f>IF(H135=0,0,IF(OR(E135=$AT$5,E135=$AT$6),AA135,IF(F135="MXN",1/HLOOKUP(YEAR(G135)+(MONTH(G135)/100),TC!$5:$37,DAY(G135)+2,FALSE),VLOOKUP(F135,Equivalencia!$5:$23,((MAX(Equivalencia!$3:$3)-YEAR(G135))*14)+MONTH(G135)+2,FALSE))))</f>
        <v>1</v>
      </c>
      <c r="M135" s="306">
        <f t="shared" si="39"/>
        <v>222647.12491616921</v>
      </c>
      <c r="N135" s="305">
        <f>IF(G135=0,0,(IF(OR(E135=$AT$5,E135=$AT$6),AC135,HLOOKUP(YEAR(G135)+(MONTH(G135)/100),TC!$5:$37,DAY(G135)+2,FALSE))))</f>
        <v>20.465199999999999</v>
      </c>
      <c r="O135" s="307">
        <f t="shared" si="48"/>
        <v>4556517.9408343863</v>
      </c>
      <c r="P135" s="552">
        <f>IF(G135=0,0,VLOOKUP(YEAR(G135),INPC!$B$4:$P$30,MONTH(G135)+2))</f>
        <v>122.94799999999999</v>
      </c>
      <c r="Q135" s="552">
        <f>IF(X135=0,0,IF(OR(E135=$AT$10,E135=$AT$9),VLOOKUP(YEAR(X135),INPC!$B$4:$P$30,MONTH(X135)+1),VLOOKUP(YEAR(X135),INPC!$B$4:$P$30,MONTH(X135)+2,0)))</f>
        <v>125.997</v>
      </c>
      <c r="R135" s="309">
        <f t="shared" si="40"/>
        <v>1.0246999999999999</v>
      </c>
      <c r="S135" s="310">
        <f t="shared" si="49"/>
        <v>4669063.9339729957</v>
      </c>
      <c r="T135" s="547">
        <f t="shared" si="50"/>
        <v>110.88042779389194</v>
      </c>
      <c r="U135" s="311"/>
      <c r="V135" s="312">
        <v>42109</v>
      </c>
      <c r="W135" s="299" t="s">
        <v>194</v>
      </c>
      <c r="X135" s="300">
        <v>44897</v>
      </c>
      <c r="Y135" s="299" t="s">
        <v>59</v>
      </c>
      <c r="Z135" s="303">
        <v>224727.31</v>
      </c>
      <c r="AA135" s="305">
        <f>IF(Z135=0,0,IF(Y135="MXN",1/HLOOKUP(YEAR(X135)+(MONTH(X135)/100),TC!$5:$37,DAY(X135)+2,FALSE),VLOOKUP(Y135,Equivalencia!$1:$23,((MAX(Equivalencia!$3:$3)-YEAR(X135))*14)+MONTH(X135)+2,FALSE)))</f>
        <v>1</v>
      </c>
      <c r="AB135" s="306">
        <f t="shared" si="51"/>
        <v>224727.31</v>
      </c>
      <c r="AC135" s="305">
        <f>+IF(X135=0,0,HLOOKUP(YEAR(X135)+(MONTH(X135)/100),TC!$5:$37,DAY(X135)+2,FALSE))</f>
        <v>19.3965</v>
      </c>
      <c r="AD135" s="307">
        <f t="shared" si="52"/>
        <v>4358923.2684150003</v>
      </c>
      <c r="AE135" s="314">
        <f t="shared" si="41"/>
        <v>4669063.9339729957</v>
      </c>
      <c r="AF135" s="315">
        <f t="shared" si="42"/>
        <v>-310140.66555799544</v>
      </c>
      <c r="AG135" s="316">
        <f t="shared" si="43"/>
        <v>0.35068493150684932</v>
      </c>
      <c r="AH135" s="314">
        <v>1</v>
      </c>
      <c r="AI135" s="314">
        <f t="shared" si="44"/>
        <v>-310140.66555799544</v>
      </c>
      <c r="AJ135" s="314">
        <f t="shared" si="53"/>
        <v>0</v>
      </c>
      <c r="AK135" s="317"/>
      <c r="AL135" s="315">
        <f t="shared" si="45"/>
        <v>2080.1850838307873</v>
      </c>
      <c r="AN135" s="546">
        <f t="shared" si="46"/>
        <v>9.3429685409771885E-3</v>
      </c>
      <c r="AO135" s="314"/>
      <c r="AP135" s="318"/>
    </row>
    <row r="136" spans="2:42">
      <c r="B136" s="296"/>
      <c r="C136" s="299"/>
      <c r="D136" s="298"/>
      <c r="E136" s="299"/>
      <c r="F136" s="299"/>
      <c r="G136" s="300"/>
      <c r="H136" s="303"/>
      <c r="I136" s="301">
        <f t="shared" si="37"/>
        <v>0</v>
      </c>
      <c r="J136" s="302">
        <f t="shared" si="47"/>
        <v>0</v>
      </c>
      <c r="K136" s="304">
        <f t="shared" si="38"/>
        <v>0</v>
      </c>
      <c r="L136" s="305">
        <f>IF(H136=0,0,IF(OR(E136=$AT$5,E136=$AT$6),AA136,IF(F136="MXN",1/HLOOKUP(YEAR(G136)+(MONTH(G136)/100),TC!$5:$37,DAY(G136)+2,FALSE),VLOOKUP(F136,Equivalencia!$5:$23,((MAX(Equivalencia!$3:$3)-YEAR(G136))*14)+MONTH(G136)+2,FALSE))))</f>
        <v>0</v>
      </c>
      <c r="M136" s="306">
        <f t="shared" si="39"/>
        <v>0</v>
      </c>
      <c r="N136" s="305">
        <f>IF(G136=0,0,(IF(OR(E136=$AT$5,E136=$AT$6),AC136,HLOOKUP(YEAR(G136)+(MONTH(G136)/100),TC!$5:$37,DAY(G136)+2,FALSE))))</f>
        <v>0</v>
      </c>
      <c r="O136" s="307">
        <f t="shared" si="48"/>
        <v>0</v>
      </c>
      <c r="P136" s="552">
        <f>IF(G136=0,0,VLOOKUP(YEAR(G136),INPC!$B$4:$P$30,MONTH(G136)+2))</f>
        <v>0</v>
      </c>
      <c r="Q136" s="552">
        <f>IF(X136=0,0,IF(OR(E136=$AT$10,E136=$AT$9),VLOOKUP(YEAR(X136),INPC!$B$4:$P$30,MONTH(X136)+1),VLOOKUP(YEAR(X136),INPC!$B$4:$P$30,MONTH(X136)+2,0)))</f>
        <v>0</v>
      </c>
      <c r="R136" s="309">
        <f t="shared" si="40"/>
        <v>0</v>
      </c>
      <c r="S136" s="310">
        <f t="shared" si="49"/>
        <v>0</v>
      </c>
      <c r="T136" s="547">
        <f t="shared" si="50"/>
        <v>0</v>
      </c>
      <c r="U136" s="311"/>
      <c r="V136" s="312"/>
      <c r="W136" s="299"/>
      <c r="X136" s="300"/>
      <c r="Y136" s="299"/>
      <c r="Z136" s="303"/>
      <c r="AA136" s="305">
        <f>IF(Z136=0,0,IF(Y136="MXN",1/HLOOKUP(YEAR(X136)+(MONTH(X136)/100),TC!$5:$37,DAY(X136)+2,FALSE),VLOOKUP(Y136,Equivalencia!$1:$23,((MAX(Equivalencia!$3:$3)-YEAR(X136))*14)+MONTH(X136)+2,FALSE)))</f>
        <v>0</v>
      </c>
      <c r="AB136" s="306">
        <f t="shared" si="51"/>
        <v>0</v>
      </c>
      <c r="AC136" s="305">
        <f>+IF(X136=0,0,HLOOKUP(YEAR(X136)+(MONTH(X136)/100),TC!$5:$37,DAY(X136)+2,FALSE))</f>
        <v>0</v>
      </c>
      <c r="AD136" s="307">
        <f t="shared" si="52"/>
        <v>0</v>
      </c>
      <c r="AE136" s="314">
        <f t="shared" si="41"/>
        <v>0</v>
      </c>
      <c r="AF136" s="315">
        <f t="shared" si="42"/>
        <v>0</v>
      </c>
      <c r="AG136" s="316">
        <f t="shared" si="43"/>
        <v>0</v>
      </c>
      <c r="AH136" s="314">
        <v>1</v>
      </c>
      <c r="AI136" s="314">
        <f t="shared" si="44"/>
        <v>0</v>
      </c>
      <c r="AJ136" s="314">
        <f t="shared" si="53"/>
        <v>0</v>
      </c>
      <c r="AK136" s="317"/>
      <c r="AL136" s="315">
        <f t="shared" si="45"/>
        <v>0</v>
      </c>
      <c r="AN136" s="546">
        <f t="shared" si="46"/>
        <v>0</v>
      </c>
      <c r="AO136" s="314"/>
      <c r="AP136" s="318"/>
    </row>
    <row r="137" spans="2:42">
      <c r="B137" s="296"/>
      <c r="C137" s="299"/>
      <c r="D137" s="298"/>
      <c r="E137" s="299"/>
      <c r="F137" s="299"/>
      <c r="G137" s="300"/>
      <c r="H137" s="303"/>
      <c r="I137" s="301">
        <f t="shared" si="37"/>
        <v>0</v>
      </c>
      <c r="J137" s="302">
        <f t="shared" si="47"/>
        <v>0</v>
      </c>
      <c r="K137" s="304">
        <f t="shared" si="38"/>
        <v>0</v>
      </c>
      <c r="L137" s="305">
        <f>IF(H137=0,0,IF(OR(E137=$AT$5,E137=$AT$6),AA137,IF(F137="MXN",1/HLOOKUP(YEAR(G137)+(MONTH(G137)/100),TC!$5:$37,DAY(G137)+2,FALSE),VLOOKUP(F137,Equivalencia!$5:$23,((MAX(Equivalencia!$3:$3)-YEAR(G137))*14)+MONTH(G137)+2,FALSE))))</f>
        <v>0</v>
      </c>
      <c r="M137" s="306">
        <f t="shared" si="39"/>
        <v>0</v>
      </c>
      <c r="N137" s="305">
        <f>IF(G137=0,0,(IF(OR(E137=$AT$5,E137=$AT$6),AC137,HLOOKUP(YEAR(G137)+(MONTH(G137)/100),TC!$5:$37,DAY(G137)+2,FALSE))))</f>
        <v>0</v>
      </c>
      <c r="O137" s="307">
        <f t="shared" si="48"/>
        <v>0</v>
      </c>
      <c r="P137" s="552">
        <f>IF(G137=0,0,VLOOKUP(YEAR(G137),INPC!$B$4:$P$30,MONTH(G137)+2))</f>
        <v>0</v>
      </c>
      <c r="Q137" s="552">
        <f>IF(X137=0,0,IF(OR(E137=$AT$10,E137=$AT$9),VLOOKUP(YEAR(X137),INPC!$B$4:$P$30,MONTH(X137)+1),VLOOKUP(YEAR(X137),INPC!$B$4:$P$30,MONTH(X137)+2,0)))</f>
        <v>0</v>
      </c>
      <c r="R137" s="309">
        <f t="shared" si="40"/>
        <v>0</v>
      </c>
      <c r="S137" s="310">
        <f t="shared" si="49"/>
        <v>0</v>
      </c>
      <c r="T137" s="547">
        <f t="shared" si="50"/>
        <v>0</v>
      </c>
      <c r="U137" s="311"/>
      <c r="V137" s="312"/>
      <c r="W137" s="299"/>
      <c r="X137" s="300"/>
      <c r="Y137" s="299"/>
      <c r="Z137" s="303"/>
      <c r="AA137" s="305">
        <f>IF(Z137=0,0,IF(Y137="MXN",1/HLOOKUP(YEAR(X137)+(MONTH(X137)/100),TC!$5:$37,DAY(X137)+2,FALSE),VLOOKUP(Y137,Equivalencia!$1:$23,((MAX(Equivalencia!$3:$3)-YEAR(X137))*14)+MONTH(X137)+2,FALSE)))</f>
        <v>0</v>
      </c>
      <c r="AB137" s="306">
        <f t="shared" si="51"/>
        <v>0</v>
      </c>
      <c r="AC137" s="305">
        <f>+IF(X137=0,0,HLOOKUP(YEAR(X137)+(MONTH(X137)/100),TC!$5:$37,DAY(X137)+2,FALSE))</f>
        <v>0</v>
      </c>
      <c r="AD137" s="307">
        <f t="shared" si="52"/>
        <v>0</v>
      </c>
      <c r="AE137" s="314">
        <f t="shared" si="41"/>
        <v>0</v>
      </c>
      <c r="AF137" s="315">
        <f t="shared" si="42"/>
        <v>0</v>
      </c>
      <c r="AG137" s="316">
        <f t="shared" si="43"/>
        <v>0</v>
      </c>
      <c r="AH137" s="314">
        <v>1</v>
      </c>
      <c r="AI137" s="314">
        <f t="shared" si="44"/>
        <v>0</v>
      </c>
      <c r="AJ137" s="314">
        <f t="shared" si="53"/>
        <v>0</v>
      </c>
      <c r="AK137" s="317"/>
      <c r="AL137" s="315">
        <f t="shared" si="45"/>
        <v>0</v>
      </c>
      <c r="AN137" s="546">
        <f t="shared" si="46"/>
        <v>0</v>
      </c>
      <c r="AO137" s="314"/>
      <c r="AP137" s="318"/>
    </row>
    <row r="138" spans="2:42">
      <c r="B138" s="296"/>
      <c r="C138" s="299"/>
      <c r="D138" s="298"/>
      <c r="E138" s="299"/>
      <c r="F138" s="299"/>
      <c r="G138" s="300"/>
      <c r="H138" s="303"/>
      <c r="I138" s="301">
        <f t="shared" si="37"/>
        <v>0</v>
      </c>
      <c r="J138" s="302">
        <f t="shared" si="47"/>
        <v>0</v>
      </c>
      <c r="K138" s="304">
        <f t="shared" si="38"/>
        <v>0</v>
      </c>
      <c r="L138" s="305">
        <f>IF(H138=0,0,IF(OR(E138=$AT$5,E138=$AT$6),AA138,IF(F138="MXN",1/HLOOKUP(YEAR(G138)+(MONTH(G138)/100),TC!$5:$37,DAY(G138)+2,FALSE),VLOOKUP(F138,Equivalencia!$5:$23,((MAX(Equivalencia!$3:$3)-YEAR(G138))*14)+MONTH(G138)+2,FALSE))))</f>
        <v>0</v>
      </c>
      <c r="M138" s="306">
        <f t="shared" si="39"/>
        <v>0</v>
      </c>
      <c r="N138" s="305">
        <f>IF(G138=0,0,(IF(OR(E138=$AT$5,E138=$AT$6),AC138,HLOOKUP(YEAR(G138)+(MONTH(G138)/100),TC!$5:$37,DAY(G138)+2,FALSE))))</f>
        <v>0</v>
      </c>
      <c r="O138" s="307">
        <f t="shared" si="48"/>
        <v>0</v>
      </c>
      <c r="P138" s="552">
        <f>IF(G138=0,0,VLOOKUP(YEAR(G138),INPC!$B$4:$P$30,MONTH(G138)+2))</f>
        <v>0</v>
      </c>
      <c r="Q138" s="552">
        <f>IF(X138=0,0,IF(OR(E138=$AT$10,E138=$AT$9),VLOOKUP(YEAR(X138),INPC!$B$4:$P$30,MONTH(X138)+1),VLOOKUP(YEAR(X138),INPC!$B$4:$P$30,MONTH(X138)+2,0)))</f>
        <v>0</v>
      </c>
      <c r="R138" s="309">
        <f t="shared" si="40"/>
        <v>0</v>
      </c>
      <c r="S138" s="310">
        <f t="shared" si="49"/>
        <v>0</v>
      </c>
      <c r="T138" s="547">
        <f t="shared" si="50"/>
        <v>0</v>
      </c>
      <c r="U138" s="311"/>
      <c r="V138" s="312"/>
      <c r="W138" s="299"/>
      <c r="X138" s="300"/>
      <c r="Y138" s="299"/>
      <c r="Z138" s="303"/>
      <c r="AA138" s="305">
        <f>IF(Z138=0,0,IF(Y138="MXN",1/HLOOKUP(YEAR(X138)+(MONTH(X138)/100),TC!$5:$37,DAY(X138)+2,FALSE),VLOOKUP(Y138,Equivalencia!$1:$23,((MAX(Equivalencia!$3:$3)-YEAR(X138))*14)+MONTH(X138)+2,FALSE)))</f>
        <v>0</v>
      </c>
      <c r="AB138" s="306">
        <f t="shared" si="51"/>
        <v>0</v>
      </c>
      <c r="AC138" s="305">
        <f>+IF(X138=0,0,HLOOKUP(YEAR(X138)+(MONTH(X138)/100),TC!$5:$37,DAY(X138)+2,FALSE))</f>
        <v>0</v>
      </c>
      <c r="AD138" s="307">
        <f t="shared" si="52"/>
        <v>0</v>
      </c>
      <c r="AE138" s="314">
        <f t="shared" si="41"/>
        <v>0</v>
      </c>
      <c r="AF138" s="315">
        <f t="shared" si="42"/>
        <v>0</v>
      </c>
      <c r="AG138" s="316">
        <f t="shared" si="43"/>
        <v>0</v>
      </c>
      <c r="AH138" s="314">
        <v>1</v>
      </c>
      <c r="AI138" s="314">
        <f t="shared" si="44"/>
        <v>0</v>
      </c>
      <c r="AJ138" s="314">
        <f t="shared" si="53"/>
        <v>0</v>
      </c>
      <c r="AK138" s="317"/>
      <c r="AL138" s="315">
        <f t="shared" si="45"/>
        <v>0</v>
      </c>
      <c r="AN138" s="546">
        <f t="shared" si="46"/>
        <v>0</v>
      </c>
      <c r="AO138" s="314"/>
      <c r="AP138" s="318"/>
    </row>
    <row r="139" spans="2:42">
      <c r="B139" s="296"/>
      <c r="C139" s="299"/>
      <c r="D139" s="298"/>
      <c r="E139" s="299"/>
      <c r="F139" s="299"/>
      <c r="G139" s="300"/>
      <c r="H139" s="303"/>
      <c r="I139" s="301">
        <f t="shared" si="37"/>
        <v>0</v>
      </c>
      <c r="J139" s="302">
        <f t="shared" si="47"/>
        <v>0</v>
      </c>
      <c r="K139" s="304">
        <f t="shared" si="38"/>
        <v>0</v>
      </c>
      <c r="L139" s="305">
        <f>IF(H139=0,0,IF(OR(E139=$AT$5,E139=$AT$6),AA139,IF(F139="MXN",1/HLOOKUP(YEAR(G139)+(MONTH(G139)/100),TC!$5:$37,DAY(G139)+2,FALSE),VLOOKUP(F139,Equivalencia!$5:$23,((MAX(Equivalencia!$3:$3)-YEAR(G139))*14)+MONTH(G139)+2,FALSE))))</f>
        <v>0</v>
      </c>
      <c r="M139" s="306">
        <f t="shared" si="39"/>
        <v>0</v>
      </c>
      <c r="N139" s="305">
        <f>IF(G139=0,0,(IF(OR(E139=$AT$5,E139=$AT$6),AC139,HLOOKUP(YEAR(G139)+(MONTH(G139)/100),TC!$5:$37,DAY(G139)+2,FALSE))))</f>
        <v>0</v>
      </c>
      <c r="O139" s="307">
        <f t="shared" si="48"/>
        <v>0</v>
      </c>
      <c r="P139" s="552">
        <f>IF(G139=0,0,VLOOKUP(YEAR(G139),INPC!$B$4:$P$30,MONTH(G139)+2))</f>
        <v>0</v>
      </c>
      <c r="Q139" s="552">
        <f>IF(X139=0,0,IF(OR(E139=$AT$10,E139=$AT$9),VLOOKUP(YEAR(X139),INPC!$B$4:$P$30,MONTH(X139)+1),VLOOKUP(YEAR(X139),INPC!$B$4:$P$30,MONTH(X139)+2,0)))</f>
        <v>0</v>
      </c>
      <c r="R139" s="309">
        <f t="shared" si="40"/>
        <v>0</v>
      </c>
      <c r="S139" s="310">
        <f t="shared" si="49"/>
        <v>0</v>
      </c>
      <c r="T139" s="547">
        <f t="shared" si="50"/>
        <v>0</v>
      </c>
      <c r="U139" s="311"/>
      <c r="V139" s="312"/>
      <c r="W139" s="299"/>
      <c r="X139" s="300"/>
      <c r="Y139" s="299"/>
      <c r="Z139" s="303"/>
      <c r="AA139" s="305">
        <f>IF(Z139=0,0,IF(Y139="MXN",1/HLOOKUP(YEAR(X139)+(MONTH(X139)/100),TC!$5:$37,DAY(X139)+2,FALSE),VLOOKUP(Y139,Equivalencia!$1:$23,((MAX(Equivalencia!$3:$3)-YEAR(X139))*14)+MONTH(X139)+2,FALSE)))</f>
        <v>0</v>
      </c>
      <c r="AB139" s="306">
        <f t="shared" si="51"/>
        <v>0</v>
      </c>
      <c r="AC139" s="305">
        <f>+IF(X139=0,0,HLOOKUP(YEAR(X139)+(MONTH(X139)/100),TC!$5:$37,DAY(X139)+2,FALSE))</f>
        <v>0</v>
      </c>
      <c r="AD139" s="307">
        <f t="shared" si="52"/>
        <v>0</v>
      </c>
      <c r="AE139" s="314">
        <f t="shared" si="41"/>
        <v>0</v>
      </c>
      <c r="AF139" s="315">
        <f t="shared" si="42"/>
        <v>0</v>
      </c>
      <c r="AG139" s="316">
        <f t="shared" si="43"/>
        <v>0</v>
      </c>
      <c r="AH139" s="314">
        <v>1</v>
      </c>
      <c r="AI139" s="314">
        <f t="shared" si="44"/>
        <v>0</v>
      </c>
      <c r="AJ139" s="314">
        <f t="shared" si="53"/>
        <v>0</v>
      </c>
      <c r="AK139" s="317"/>
      <c r="AL139" s="315">
        <f t="shared" si="45"/>
        <v>0</v>
      </c>
      <c r="AN139" s="546">
        <f t="shared" si="46"/>
        <v>0</v>
      </c>
      <c r="AO139" s="314"/>
      <c r="AP139" s="318"/>
    </row>
    <row r="140" spans="2:42">
      <c r="B140" s="296"/>
      <c r="C140" s="299"/>
      <c r="D140" s="298"/>
      <c r="E140" s="299"/>
      <c r="F140" s="299"/>
      <c r="G140" s="300"/>
      <c r="H140" s="303"/>
      <c r="I140" s="301">
        <f t="shared" si="37"/>
        <v>0</v>
      </c>
      <c r="J140" s="302">
        <f t="shared" si="47"/>
        <v>0</v>
      </c>
      <c r="K140" s="304">
        <f t="shared" si="38"/>
        <v>0</v>
      </c>
      <c r="L140" s="305">
        <f>IF(H140=0,0,IF(OR(E140=$AT$5,E140=$AT$6),AA140,IF(F140="MXN",1/HLOOKUP(YEAR(G140)+(MONTH(G140)/100),TC!$5:$37,DAY(G140)+2,FALSE),VLOOKUP(F140,Equivalencia!$5:$23,((MAX(Equivalencia!$3:$3)-YEAR(G140))*14)+MONTH(G140)+2,FALSE))))</f>
        <v>0</v>
      </c>
      <c r="M140" s="306">
        <f t="shared" si="39"/>
        <v>0</v>
      </c>
      <c r="N140" s="305">
        <f>IF(G140=0,0,(IF(OR(E140=$AT$5,E140=$AT$6),AC140,HLOOKUP(YEAR(G140)+(MONTH(G140)/100),TC!$5:$37,DAY(G140)+2,FALSE))))</f>
        <v>0</v>
      </c>
      <c r="O140" s="307">
        <f t="shared" si="48"/>
        <v>0</v>
      </c>
      <c r="P140" s="552">
        <f>IF(G140=0,0,VLOOKUP(YEAR(G140),INPC!$B$4:$P$30,MONTH(G140)+2))</f>
        <v>0</v>
      </c>
      <c r="Q140" s="552">
        <f>IF(X140=0,0,IF(OR(E140=$AT$10,E140=$AT$9),VLOOKUP(YEAR(X140),INPC!$B$4:$P$30,MONTH(X140)+1),VLOOKUP(YEAR(X140),INPC!$B$4:$P$30,MONTH(X140)+2,0)))</f>
        <v>0</v>
      </c>
      <c r="R140" s="309">
        <f t="shared" si="40"/>
        <v>0</v>
      </c>
      <c r="S140" s="310">
        <f t="shared" si="49"/>
        <v>0</v>
      </c>
      <c r="T140" s="547">
        <f t="shared" si="50"/>
        <v>0</v>
      </c>
      <c r="U140" s="311"/>
      <c r="V140" s="312"/>
      <c r="W140" s="299"/>
      <c r="X140" s="300"/>
      <c r="Y140" s="299"/>
      <c r="Z140" s="303"/>
      <c r="AA140" s="305">
        <f>IF(Z140=0,0,IF(Y140="MXN",1/HLOOKUP(YEAR(X140)+(MONTH(X140)/100),TC!$5:$37,DAY(X140)+2,FALSE),VLOOKUP(Y140,Equivalencia!$1:$23,((MAX(Equivalencia!$3:$3)-YEAR(X140))*14)+MONTH(X140)+2,FALSE)))</f>
        <v>0</v>
      </c>
      <c r="AB140" s="306">
        <f t="shared" si="51"/>
        <v>0</v>
      </c>
      <c r="AC140" s="305">
        <f>+IF(X140=0,0,HLOOKUP(YEAR(X140)+(MONTH(X140)/100),TC!$5:$37,DAY(X140)+2,FALSE))</f>
        <v>0</v>
      </c>
      <c r="AD140" s="307">
        <f t="shared" si="52"/>
        <v>0</v>
      </c>
      <c r="AE140" s="314">
        <f t="shared" si="41"/>
        <v>0</v>
      </c>
      <c r="AF140" s="315">
        <f t="shared" si="42"/>
        <v>0</v>
      </c>
      <c r="AG140" s="316">
        <f t="shared" si="43"/>
        <v>0</v>
      </c>
      <c r="AH140" s="314">
        <v>1</v>
      </c>
      <c r="AI140" s="314">
        <f t="shared" si="44"/>
        <v>0</v>
      </c>
      <c r="AJ140" s="314">
        <f t="shared" si="53"/>
        <v>0</v>
      </c>
      <c r="AK140" s="317"/>
      <c r="AL140" s="315">
        <f t="shared" si="45"/>
        <v>0</v>
      </c>
      <c r="AN140" s="546">
        <f t="shared" si="46"/>
        <v>0</v>
      </c>
      <c r="AO140" s="314"/>
      <c r="AP140" s="318"/>
    </row>
    <row r="141" spans="2:42">
      <c r="B141" s="296"/>
      <c r="C141" s="299"/>
      <c r="D141" s="298"/>
      <c r="E141" s="299"/>
      <c r="F141" s="299"/>
      <c r="G141" s="300"/>
      <c r="H141" s="303"/>
      <c r="I141" s="301">
        <f t="shared" si="37"/>
        <v>0</v>
      </c>
      <c r="J141" s="302">
        <f t="shared" si="47"/>
        <v>0</v>
      </c>
      <c r="K141" s="304">
        <f t="shared" si="38"/>
        <v>0</v>
      </c>
      <c r="L141" s="305">
        <f>IF(H141=0,0,IF(OR(E141=$AT$5,E141=$AT$6),AA141,IF(F141="MXN",1/HLOOKUP(YEAR(G141)+(MONTH(G141)/100),TC!$5:$37,DAY(G141)+2,FALSE),VLOOKUP(F141,Equivalencia!$5:$23,((MAX(Equivalencia!$3:$3)-YEAR(G141))*14)+MONTH(G141)+2,FALSE))))</f>
        <v>0</v>
      </c>
      <c r="M141" s="306">
        <f t="shared" si="39"/>
        <v>0</v>
      </c>
      <c r="N141" s="305">
        <f>IF(G141=0,0,(IF(OR(E141=$AT$5,E141=$AT$6),AC141,HLOOKUP(YEAR(G141)+(MONTH(G141)/100),TC!$5:$37,DAY(G141)+2,FALSE))))</f>
        <v>0</v>
      </c>
      <c r="O141" s="307">
        <f t="shared" si="48"/>
        <v>0</v>
      </c>
      <c r="P141" s="552">
        <f>IF(G141=0,0,VLOOKUP(YEAR(G141),INPC!$B$4:$P$30,MONTH(G141)+2))</f>
        <v>0</v>
      </c>
      <c r="Q141" s="552">
        <f>IF(X141=0,0,IF(OR(E141=$AT$10,E141=$AT$9),VLOOKUP(YEAR(X141),INPC!$B$4:$P$30,MONTH(X141)+1),VLOOKUP(YEAR(X141),INPC!$B$4:$P$30,MONTH(X141)+2,0)))</f>
        <v>0</v>
      </c>
      <c r="R141" s="309">
        <f t="shared" si="40"/>
        <v>0</v>
      </c>
      <c r="S141" s="310">
        <f t="shared" si="49"/>
        <v>0</v>
      </c>
      <c r="T141" s="547">
        <f t="shared" si="50"/>
        <v>0</v>
      </c>
      <c r="U141" s="311"/>
      <c r="V141" s="312"/>
      <c r="W141" s="299"/>
      <c r="X141" s="300"/>
      <c r="Y141" s="299"/>
      <c r="Z141" s="303"/>
      <c r="AA141" s="305">
        <f>IF(Z141=0,0,IF(Y141="MXN",1/HLOOKUP(YEAR(X141)+(MONTH(X141)/100),TC!$5:$37,DAY(X141)+2,FALSE),VLOOKUP(Y141,Equivalencia!$1:$23,((MAX(Equivalencia!$3:$3)-YEAR(X141))*14)+MONTH(X141)+2,FALSE)))</f>
        <v>0</v>
      </c>
      <c r="AB141" s="306">
        <f t="shared" si="51"/>
        <v>0</v>
      </c>
      <c r="AC141" s="305">
        <f>+IF(X141=0,0,HLOOKUP(YEAR(X141)+(MONTH(X141)/100),TC!$5:$37,DAY(X141)+2,FALSE))</f>
        <v>0</v>
      </c>
      <c r="AD141" s="307">
        <f t="shared" si="52"/>
        <v>0</v>
      </c>
      <c r="AE141" s="314">
        <f t="shared" si="41"/>
        <v>0</v>
      </c>
      <c r="AF141" s="315">
        <f t="shared" si="42"/>
        <v>0</v>
      </c>
      <c r="AG141" s="316">
        <f t="shared" si="43"/>
        <v>0</v>
      </c>
      <c r="AH141" s="314">
        <v>1</v>
      </c>
      <c r="AI141" s="314">
        <f t="shared" si="44"/>
        <v>0</v>
      </c>
      <c r="AJ141" s="314">
        <f t="shared" si="53"/>
        <v>0</v>
      </c>
      <c r="AK141" s="317"/>
      <c r="AL141" s="315">
        <f t="shared" si="45"/>
        <v>0</v>
      </c>
      <c r="AN141" s="546">
        <f t="shared" si="46"/>
        <v>0</v>
      </c>
      <c r="AO141" s="314"/>
      <c r="AP141" s="318"/>
    </row>
    <row r="142" spans="2:42">
      <c r="B142" s="296"/>
      <c r="C142" s="299"/>
      <c r="D142" s="298"/>
      <c r="E142" s="299"/>
      <c r="F142" s="299"/>
      <c r="G142" s="300"/>
      <c r="H142" s="303"/>
      <c r="I142" s="301">
        <f t="shared" si="37"/>
        <v>0</v>
      </c>
      <c r="J142" s="302">
        <f t="shared" si="47"/>
        <v>0</v>
      </c>
      <c r="K142" s="304">
        <f t="shared" si="38"/>
        <v>0</v>
      </c>
      <c r="L142" s="305">
        <f>IF(H142=0,0,IF(OR(E142=$AT$5,E142=$AT$6),AA142,IF(F142="MXN",1/HLOOKUP(YEAR(G142)+(MONTH(G142)/100),TC!$5:$37,DAY(G142)+2,FALSE),VLOOKUP(F142,Equivalencia!$5:$23,((MAX(Equivalencia!$3:$3)-YEAR(G142))*14)+MONTH(G142)+2,FALSE))))</f>
        <v>0</v>
      </c>
      <c r="M142" s="306">
        <f t="shared" si="39"/>
        <v>0</v>
      </c>
      <c r="N142" s="305">
        <f>IF(G142=0,0,(IF(OR(E142=$AT$5,E142=$AT$6),AC142,HLOOKUP(YEAR(G142)+(MONTH(G142)/100),TC!$5:$37,DAY(G142)+2,FALSE))))</f>
        <v>0</v>
      </c>
      <c r="O142" s="307">
        <f t="shared" si="48"/>
        <v>0</v>
      </c>
      <c r="P142" s="552">
        <f>IF(G142=0,0,VLOOKUP(YEAR(G142),INPC!$B$4:$P$30,MONTH(G142)+2))</f>
        <v>0</v>
      </c>
      <c r="Q142" s="552">
        <f>IF(X142=0,0,IF(OR(E142=$AT$10,E142=$AT$9),VLOOKUP(YEAR(X142),INPC!$B$4:$P$30,MONTH(X142)+1),VLOOKUP(YEAR(X142),INPC!$B$4:$P$30,MONTH(X142)+2,0)))</f>
        <v>0</v>
      </c>
      <c r="R142" s="309">
        <f t="shared" si="40"/>
        <v>0</v>
      </c>
      <c r="S142" s="310">
        <f t="shared" si="49"/>
        <v>0</v>
      </c>
      <c r="T142" s="547">
        <f t="shared" si="50"/>
        <v>0</v>
      </c>
      <c r="U142" s="311"/>
      <c r="V142" s="312"/>
      <c r="W142" s="299"/>
      <c r="X142" s="300"/>
      <c r="Y142" s="299"/>
      <c r="Z142" s="303"/>
      <c r="AA142" s="305">
        <f>IF(Z142=0,0,IF(Y142="MXN",1/HLOOKUP(YEAR(X142)+(MONTH(X142)/100),TC!$5:$37,DAY(X142)+2,FALSE),VLOOKUP(Y142,Equivalencia!$1:$23,((MAX(Equivalencia!$3:$3)-YEAR(X142))*14)+MONTH(X142)+2,FALSE)))</f>
        <v>0</v>
      </c>
      <c r="AB142" s="306">
        <f t="shared" si="51"/>
        <v>0</v>
      </c>
      <c r="AC142" s="305">
        <f>+IF(X142=0,0,HLOOKUP(YEAR(X142)+(MONTH(X142)/100),TC!$5:$37,DAY(X142)+2,FALSE))</f>
        <v>0</v>
      </c>
      <c r="AD142" s="307">
        <f t="shared" si="52"/>
        <v>0</v>
      </c>
      <c r="AE142" s="314">
        <f t="shared" si="41"/>
        <v>0</v>
      </c>
      <c r="AF142" s="315">
        <f t="shared" si="42"/>
        <v>0</v>
      </c>
      <c r="AG142" s="316">
        <f t="shared" si="43"/>
        <v>0</v>
      </c>
      <c r="AH142" s="314">
        <v>1</v>
      </c>
      <c r="AI142" s="314">
        <f t="shared" si="44"/>
        <v>0</v>
      </c>
      <c r="AJ142" s="314">
        <f t="shared" si="53"/>
        <v>0</v>
      </c>
      <c r="AK142" s="317"/>
      <c r="AL142" s="315">
        <f t="shared" si="45"/>
        <v>0</v>
      </c>
      <c r="AN142" s="546">
        <f t="shared" si="46"/>
        <v>0</v>
      </c>
      <c r="AO142" s="314"/>
      <c r="AP142" s="318"/>
    </row>
    <row r="143" spans="2:42">
      <c r="B143" s="296"/>
      <c r="C143" s="299"/>
      <c r="D143" s="298"/>
      <c r="E143" s="299"/>
      <c r="F143" s="299"/>
      <c r="G143" s="300"/>
      <c r="H143" s="303"/>
      <c r="I143" s="301">
        <f t="shared" si="37"/>
        <v>0</v>
      </c>
      <c r="J143" s="302">
        <f t="shared" si="47"/>
        <v>0</v>
      </c>
      <c r="K143" s="304">
        <f t="shared" si="38"/>
        <v>0</v>
      </c>
      <c r="L143" s="305">
        <f>IF(H143=0,0,IF(OR(E143=$AT$5,E143=$AT$6),AA143,IF(F143="MXN",1/HLOOKUP(YEAR(G143)+(MONTH(G143)/100),TC!$5:$37,DAY(G143)+2,FALSE),VLOOKUP(F143,Equivalencia!$5:$23,((MAX(Equivalencia!$3:$3)-YEAR(G143))*14)+MONTH(G143)+2,FALSE))))</f>
        <v>0</v>
      </c>
      <c r="M143" s="306">
        <f t="shared" si="39"/>
        <v>0</v>
      </c>
      <c r="N143" s="305">
        <f>IF(G143=0,0,(IF(OR(E143=$AT$5,E143=$AT$6),AC143,HLOOKUP(YEAR(G143)+(MONTH(G143)/100),TC!$5:$37,DAY(G143)+2,FALSE))))</f>
        <v>0</v>
      </c>
      <c r="O143" s="307">
        <f t="shared" si="48"/>
        <v>0</v>
      </c>
      <c r="P143" s="552">
        <f>IF(G143=0,0,VLOOKUP(YEAR(G143),INPC!$B$4:$P$30,MONTH(G143)+2))</f>
        <v>0</v>
      </c>
      <c r="Q143" s="552">
        <f>IF(X143=0,0,IF(OR(E143=$AT$10,E143=$AT$9),VLOOKUP(YEAR(X143),INPC!$B$4:$P$30,MONTH(X143)+1),VLOOKUP(YEAR(X143),INPC!$B$4:$P$30,MONTH(X143)+2,0)))</f>
        <v>0</v>
      </c>
      <c r="R143" s="309">
        <f t="shared" si="40"/>
        <v>0</v>
      </c>
      <c r="S143" s="310">
        <f t="shared" si="49"/>
        <v>0</v>
      </c>
      <c r="T143" s="547">
        <f t="shared" si="50"/>
        <v>0</v>
      </c>
      <c r="U143" s="311"/>
      <c r="V143" s="312"/>
      <c r="W143" s="299"/>
      <c r="X143" s="300"/>
      <c r="Y143" s="299"/>
      <c r="Z143" s="303"/>
      <c r="AA143" s="305">
        <f>IF(Z143=0,0,IF(Y143="MXN",1/HLOOKUP(YEAR(X143)+(MONTH(X143)/100),TC!$5:$37,DAY(X143)+2,FALSE),VLOOKUP(Y143,Equivalencia!$1:$23,((MAX(Equivalencia!$3:$3)-YEAR(X143))*14)+MONTH(X143)+2,FALSE)))</f>
        <v>0</v>
      </c>
      <c r="AB143" s="306">
        <f t="shared" si="51"/>
        <v>0</v>
      </c>
      <c r="AC143" s="305">
        <f>+IF(X143=0,0,HLOOKUP(YEAR(X143)+(MONTH(X143)/100),TC!$5:$37,DAY(X143)+2,FALSE))</f>
        <v>0</v>
      </c>
      <c r="AD143" s="307">
        <f t="shared" si="52"/>
        <v>0</v>
      </c>
      <c r="AE143" s="314">
        <f t="shared" si="41"/>
        <v>0</v>
      </c>
      <c r="AF143" s="315">
        <f t="shared" si="42"/>
        <v>0</v>
      </c>
      <c r="AG143" s="316">
        <f t="shared" si="43"/>
        <v>0</v>
      </c>
      <c r="AH143" s="314">
        <v>1</v>
      </c>
      <c r="AI143" s="314">
        <f t="shared" si="44"/>
        <v>0</v>
      </c>
      <c r="AJ143" s="314">
        <f t="shared" si="53"/>
        <v>0</v>
      </c>
      <c r="AK143" s="317"/>
      <c r="AL143" s="315">
        <f t="shared" si="45"/>
        <v>0</v>
      </c>
      <c r="AN143" s="546">
        <f t="shared" si="46"/>
        <v>0</v>
      </c>
      <c r="AO143" s="314"/>
      <c r="AP143" s="318"/>
    </row>
    <row r="144" spans="2:42">
      <c r="B144" s="296"/>
      <c r="C144" s="299"/>
      <c r="D144" s="298"/>
      <c r="E144" s="299"/>
      <c r="F144" s="299"/>
      <c r="G144" s="300"/>
      <c r="H144" s="303"/>
      <c r="I144" s="301">
        <f t="shared" si="37"/>
        <v>0</v>
      </c>
      <c r="J144" s="302">
        <f t="shared" si="47"/>
        <v>0</v>
      </c>
      <c r="K144" s="304">
        <f t="shared" si="38"/>
        <v>0</v>
      </c>
      <c r="L144" s="305">
        <f>IF(H144=0,0,IF(OR(E144=$AT$5,E144=$AT$6),AA144,IF(F144="MXN",1/HLOOKUP(YEAR(G144)+(MONTH(G144)/100),TC!$5:$37,DAY(G144)+2,FALSE),VLOOKUP(F144,Equivalencia!$5:$23,((MAX(Equivalencia!$3:$3)-YEAR(G144))*14)+MONTH(G144)+2,FALSE))))</f>
        <v>0</v>
      </c>
      <c r="M144" s="306">
        <f t="shared" si="39"/>
        <v>0</v>
      </c>
      <c r="N144" s="305">
        <f>IF(G144=0,0,(IF(OR(E144=$AT$5,E144=$AT$6),AC144,HLOOKUP(YEAR(G144)+(MONTH(G144)/100),TC!$5:$37,DAY(G144)+2,FALSE))))</f>
        <v>0</v>
      </c>
      <c r="O144" s="307">
        <f t="shared" si="48"/>
        <v>0</v>
      </c>
      <c r="P144" s="552">
        <f>IF(G144=0,0,VLOOKUP(YEAR(G144),INPC!$B$4:$P$30,MONTH(G144)+2))</f>
        <v>0</v>
      </c>
      <c r="Q144" s="552">
        <f>IF(X144=0,0,IF(OR(E144=$AT$10,E144=$AT$9),VLOOKUP(YEAR(X144),INPC!$B$4:$P$30,MONTH(X144)+1),VLOOKUP(YEAR(X144),INPC!$B$4:$P$30,MONTH(X144)+2,0)))</f>
        <v>0</v>
      </c>
      <c r="R144" s="309">
        <f t="shared" si="40"/>
        <v>0</v>
      </c>
      <c r="S144" s="310">
        <f t="shared" si="49"/>
        <v>0</v>
      </c>
      <c r="T144" s="547">
        <f t="shared" si="50"/>
        <v>0</v>
      </c>
      <c r="U144" s="311"/>
      <c r="V144" s="312"/>
      <c r="W144" s="299"/>
      <c r="X144" s="300"/>
      <c r="Y144" s="299"/>
      <c r="Z144" s="303"/>
      <c r="AA144" s="305">
        <f>IF(Z144=0,0,IF(Y144="MXN",1/HLOOKUP(YEAR(X144)+(MONTH(X144)/100),TC!$5:$37,DAY(X144)+2,FALSE),VLOOKUP(Y144,Equivalencia!$1:$23,((MAX(Equivalencia!$3:$3)-YEAR(X144))*14)+MONTH(X144)+2,FALSE)))</f>
        <v>0</v>
      </c>
      <c r="AB144" s="306">
        <f t="shared" si="51"/>
        <v>0</v>
      </c>
      <c r="AC144" s="305">
        <f>+IF(X144=0,0,HLOOKUP(YEAR(X144)+(MONTH(X144)/100),TC!$5:$37,DAY(X144)+2,FALSE))</f>
        <v>0</v>
      </c>
      <c r="AD144" s="307">
        <f t="shared" si="52"/>
        <v>0</v>
      </c>
      <c r="AE144" s="314">
        <f t="shared" si="41"/>
        <v>0</v>
      </c>
      <c r="AF144" s="315">
        <f t="shared" si="42"/>
        <v>0</v>
      </c>
      <c r="AG144" s="316">
        <f t="shared" si="43"/>
        <v>0</v>
      </c>
      <c r="AH144" s="314">
        <v>1</v>
      </c>
      <c r="AI144" s="314">
        <f t="shared" si="44"/>
        <v>0</v>
      </c>
      <c r="AJ144" s="314">
        <f t="shared" si="53"/>
        <v>0</v>
      </c>
      <c r="AK144" s="317"/>
      <c r="AL144" s="315">
        <f t="shared" si="45"/>
        <v>0</v>
      </c>
      <c r="AN144" s="546">
        <f t="shared" si="46"/>
        <v>0</v>
      </c>
      <c r="AO144" s="314"/>
      <c r="AP144" s="318"/>
    </row>
    <row r="145" spans="2:42">
      <c r="B145" s="296"/>
      <c r="C145" s="299"/>
      <c r="D145" s="298"/>
      <c r="E145" s="299"/>
      <c r="F145" s="299"/>
      <c r="G145" s="300"/>
      <c r="H145" s="303"/>
      <c r="I145" s="301">
        <f t="shared" si="37"/>
        <v>0</v>
      </c>
      <c r="J145" s="302">
        <f t="shared" si="47"/>
        <v>0</v>
      </c>
      <c r="K145" s="304">
        <f t="shared" si="38"/>
        <v>0</v>
      </c>
      <c r="L145" s="305">
        <f>IF(H145=0,0,IF(OR(E145=$AT$5,E145=$AT$6),AA145,IF(F145="MXN",1/HLOOKUP(YEAR(G145)+(MONTH(G145)/100),TC!$5:$37,DAY(G145)+2,FALSE),VLOOKUP(F145,Equivalencia!$5:$23,((MAX(Equivalencia!$3:$3)-YEAR(G145))*14)+MONTH(G145)+2,FALSE))))</f>
        <v>0</v>
      </c>
      <c r="M145" s="306">
        <f t="shared" si="39"/>
        <v>0</v>
      </c>
      <c r="N145" s="305">
        <f>IF(G145=0,0,(IF(OR(E145=$AT$5,E145=$AT$6),AC145,HLOOKUP(YEAR(G145)+(MONTH(G145)/100),TC!$5:$37,DAY(G145)+2,FALSE))))</f>
        <v>0</v>
      </c>
      <c r="O145" s="307">
        <f t="shared" si="48"/>
        <v>0</v>
      </c>
      <c r="P145" s="552">
        <f>IF(G145=0,0,VLOOKUP(YEAR(G145),INPC!$B$4:$P$30,MONTH(G145)+2))</f>
        <v>0</v>
      </c>
      <c r="Q145" s="552">
        <f>IF(X145=0,0,IF(OR(E145=$AT$10,E145=$AT$9),VLOOKUP(YEAR(X145),INPC!$B$4:$P$30,MONTH(X145)+1),VLOOKUP(YEAR(X145),INPC!$B$4:$P$30,MONTH(X145)+2,0)))</f>
        <v>0</v>
      </c>
      <c r="R145" s="309">
        <f t="shared" si="40"/>
        <v>0</v>
      </c>
      <c r="S145" s="310">
        <f t="shared" si="49"/>
        <v>0</v>
      </c>
      <c r="T145" s="547">
        <f t="shared" si="50"/>
        <v>0</v>
      </c>
      <c r="U145" s="311"/>
      <c r="V145" s="312"/>
      <c r="W145" s="299"/>
      <c r="X145" s="300"/>
      <c r="Y145" s="299"/>
      <c r="Z145" s="303"/>
      <c r="AA145" s="305">
        <f>IF(Z145=0,0,IF(Y145="MXN",1/HLOOKUP(YEAR(X145)+(MONTH(X145)/100),TC!$5:$37,DAY(X145)+2,FALSE),VLOOKUP(Y145,Equivalencia!$1:$23,((MAX(Equivalencia!$3:$3)-YEAR(X145))*14)+MONTH(X145)+2,FALSE)))</f>
        <v>0</v>
      </c>
      <c r="AB145" s="306">
        <f t="shared" si="51"/>
        <v>0</v>
      </c>
      <c r="AC145" s="305">
        <f>+IF(X145=0,0,HLOOKUP(YEAR(X145)+(MONTH(X145)/100),TC!$5:$37,DAY(X145)+2,FALSE))</f>
        <v>0</v>
      </c>
      <c r="AD145" s="307">
        <f t="shared" si="52"/>
        <v>0</v>
      </c>
      <c r="AE145" s="314">
        <f t="shared" si="41"/>
        <v>0</v>
      </c>
      <c r="AF145" s="315">
        <f t="shared" si="42"/>
        <v>0</v>
      </c>
      <c r="AG145" s="316">
        <f t="shared" si="43"/>
        <v>0</v>
      </c>
      <c r="AH145" s="314">
        <v>1</v>
      </c>
      <c r="AI145" s="314">
        <f t="shared" si="44"/>
        <v>0</v>
      </c>
      <c r="AJ145" s="314">
        <f t="shared" si="53"/>
        <v>0</v>
      </c>
      <c r="AK145" s="317"/>
      <c r="AL145" s="315">
        <f t="shared" si="45"/>
        <v>0</v>
      </c>
      <c r="AN145" s="546">
        <f t="shared" si="46"/>
        <v>0</v>
      </c>
      <c r="AO145" s="314"/>
      <c r="AP145" s="318"/>
    </row>
    <row r="146" spans="2:42">
      <c r="B146" s="296"/>
      <c r="C146" s="299"/>
      <c r="D146" s="298"/>
      <c r="E146" s="299"/>
      <c r="F146" s="299"/>
      <c r="G146" s="300"/>
      <c r="H146" s="303"/>
      <c r="I146" s="301">
        <f t="shared" si="37"/>
        <v>0</v>
      </c>
      <c r="J146" s="302">
        <f t="shared" si="47"/>
        <v>0</v>
      </c>
      <c r="K146" s="304">
        <f t="shared" si="38"/>
        <v>0</v>
      </c>
      <c r="L146" s="305">
        <f>IF(H146=0,0,IF(OR(E146=$AT$5,E146=$AT$6),AA146,IF(F146="MXN",1/HLOOKUP(YEAR(G146)+(MONTH(G146)/100),TC!$5:$37,DAY(G146)+2,FALSE),VLOOKUP(F146,Equivalencia!$5:$23,((MAX(Equivalencia!$3:$3)-YEAR(G146))*14)+MONTH(G146)+2,FALSE))))</f>
        <v>0</v>
      </c>
      <c r="M146" s="306">
        <f t="shared" si="39"/>
        <v>0</v>
      </c>
      <c r="N146" s="305">
        <f>IF(G146=0,0,(IF(OR(E146=$AT$5,E146=$AT$6),AC146,HLOOKUP(YEAR(G146)+(MONTH(G146)/100),TC!$5:$37,DAY(G146)+2,FALSE))))</f>
        <v>0</v>
      </c>
      <c r="O146" s="307">
        <f t="shared" si="48"/>
        <v>0</v>
      </c>
      <c r="P146" s="552">
        <f>IF(G146=0,0,VLOOKUP(YEAR(G146),INPC!$B$4:$P$30,MONTH(G146)+2))</f>
        <v>0</v>
      </c>
      <c r="Q146" s="552">
        <f>IF(X146=0,0,IF(OR(E146=$AT$10,E146=$AT$9),VLOOKUP(YEAR(X146),INPC!$B$4:$P$30,MONTH(X146)+1),VLOOKUP(YEAR(X146),INPC!$B$4:$P$30,MONTH(X146)+2,0)))</f>
        <v>0</v>
      </c>
      <c r="R146" s="309">
        <f t="shared" si="40"/>
        <v>0</v>
      </c>
      <c r="S146" s="310">
        <f t="shared" si="49"/>
        <v>0</v>
      </c>
      <c r="T146" s="547">
        <f t="shared" si="50"/>
        <v>0</v>
      </c>
      <c r="U146" s="311"/>
      <c r="V146" s="312"/>
      <c r="W146" s="299"/>
      <c r="X146" s="300"/>
      <c r="Y146" s="299"/>
      <c r="Z146" s="303"/>
      <c r="AA146" s="305">
        <f>IF(Z146=0,0,IF(Y146="MXN",1/HLOOKUP(YEAR(X146)+(MONTH(X146)/100),TC!$5:$37,DAY(X146)+2,FALSE),VLOOKUP(Y146,Equivalencia!$1:$23,((MAX(Equivalencia!$3:$3)-YEAR(X146))*14)+MONTH(X146)+2,FALSE)))</f>
        <v>0</v>
      </c>
      <c r="AB146" s="306">
        <f t="shared" si="51"/>
        <v>0</v>
      </c>
      <c r="AC146" s="305">
        <f>+IF(X146=0,0,HLOOKUP(YEAR(X146)+(MONTH(X146)/100),TC!$5:$37,DAY(X146)+2,FALSE))</f>
        <v>0</v>
      </c>
      <c r="AD146" s="307">
        <f t="shared" si="52"/>
        <v>0</v>
      </c>
      <c r="AE146" s="314">
        <f t="shared" si="41"/>
        <v>0</v>
      </c>
      <c r="AF146" s="315">
        <f t="shared" si="42"/>
        <v>0</v>
      </c>
      <c r="AG146" s="316">
        <f t="shared" si="43"/>
        <v>0</v>
      </c>
      <c r="AH146" s="314">
        <v>1</v>
      </c>
      <c r="AI146" s="314">
        <f t="shared" si="44"/>
        <v>0</v>
      </c>
      <c r="AJ146" s="314">
        <f t="shared" si="53"/>
        <v>0</v>
      </c>
      <c r="AK146" s="317"/>
      <c r="AL146" s="315">
        <f t="shared" si="45"/>
        <v>0</v>
      </c>
      <c r="AN146" s="546">
        <f t="shared" si="46"/>
        <v>0</v>
      </c>
      <c r="AO146" s="314"/>
      <c r="AP146" s="318"/>
    </row>
    <row r="147" spans="2:42">
      <c r="B147" s="296"/>
      <c r="C147" s="299"/>
      <c r="D147" s="298"/>
      <c r="E147" s="299"/>
      <c r="F147" s="299"/>
      <c r="G147" s="300"/>
      <c r="H147" s="303"/>
      <c r="I147" s="301">
        <f t="shared" si="37"/>
        <v>0</v>
      </c>
      <c r="J147" s="302">
        <f t="shared" si="47"/>
        <v>0</v>
      </c>
      <c r="K147" s="304">
        <f t="shared" si="38"/>
        <v>0</v>
      </c>
      <c r="L147" s="305">
        <f>IF(H147=0,0,IF(OR(E147=$AT$5,E147=$AT$6),AA147,IF(F147="MXN",1/HLOOKUP(YEAR(G147)+(MONTH(G147)/100),TC!$5:$37,DAY(G147)+2,FALSE),VLOOKUP(F147,Equivalencia!$5:$23,((MAX(Equivalencia!$3:$3)-YEAR(G147))*14)+MONTH(G147)+2,FALSE))))</f>
        <v>0</v>
      </c>
      <c r="M147" s="306">
        <f t="shared" si="39"/>
        <v>0</v>
      </c>
      <c r="N147" s="305">
        <f>IF(G147=0,0,(IF(OR(E147=$AT$5,E147=$AT$6),AC147,HLOOKUP(YEAR(G147)+(MONTH(G147)/100),TC!$5:$37,DAY(G147)+2,FALSE))))</f>
        <v>0</v>
      </c>
      <c r="O147" s="307">
        <f t="shared" si="48"/>
        <v>0</v>
      </c>
      <c r="P147" s="552">
        <f>IF(G147=0,0,VLOOKUP(YEAR(G147),INPC!$B$4:$P$30,MONTH(G147)+2))</f>
        <v>0</v>
      </c>
      <c r="Q147" s="552">
        <f>IF(X147=0,0,IF(OR(E147=$AT$10,E147=$AT$9),VLOOKUP(YEAR(X147),INPC!$B$4:$P$30,MONTH(X147)+1),VLOOKUP(YEAR(X147),INPC!$B$4:$P$30,MONTH(X147)+2,0)))</f>
        <v>0</v>
      </c>
      <c r="R147" s="309">
        <f t="shared" si="40"/>
        <v>0</v>
      </c>
      <c r="S147" s="310">
        <f t="shared" si="49"/>
        <v>0</v>
      </c>
      <c r="T147" s="547">
        <f t="shared" si="50"/>
        <v>0</v>
      </c>
      <c r="U147" s="311"/>
      <c r="V147" s="312"/>
      <c r="W147" s="299"/>
      <c r="X147" s="300"/>
      <c r="Y147" s="299"/>
      <c r="Z147" s="303"/>
      <c r="AA147" s="305">
        <f>IF(Z147=0,0,IF(Y147="MXN",1/HLOOKUP(YEAR(X147)+(MONTH(X147)/100),TC!$5:$37,DAY(X147)+2,FALSE),VLOOKUP(Y147,Equivalencia!$1:$23,((MAX(Equivalencia!$3:$3)-YEAR(X147))*14)+MONTH(X147)+2,FALSE)))</f>
        <v>0</v>
      </c>
      <c r="AB147" s="306">
        <f t="shared" si="51"/>
        <v>0</v>
      </c>
      <c r="AC147" s="305">
        <f>+IF(X147=0,0,HLOOKUP(YEAR(X147)+(MONTH(X147)/100),TC!$5:$37,DAY(X147)+2,FALSE))</f>
        <v>0</v>
      </c>
      <c r="AD147" s="307">
        <f t="shared" si="52"/>
        <v>0</v>
      </c>
      <c r="AE147" s="314">
        <f t="shared" si="41"/>
        <v>0</v>
      </c>
      <c r="AF147" s="315">
        <f t="shared" si="42"/>
        <v>0</v>
      </c>
      <c r="AG147" s="316">
        <f t="shared" si="43"/>
        <v>0</v>
      </c>
      <c r="AH147" s="314">
        <v>1</v>
      </c>
      <c r="AI147" s="314">
        <f t="shared" si="44"/>
        <v>0</v>
      </c>
      <c r="AJ147" s="314">
        <f t="shared" si="53"/>
        <v>0</v>
      </c>
      <c r="AK147" s="317"/>
      <c r="AL147" s="315">
        <f t="shared" si="45"/>
        <v>0</v>
      </c>
      <c r="AN147" s="546">
        <f t="shared" si="46"/>
        <v>0</v>
      </c>
      <c r="AO147" s="314"/>
      <c r="AP147" s="318"/>
    </row>
    <row r="148" spans="2:42">
      <c r="B148" s="296"/>
      <c r="C148" s="299"/>
      <c r="D148" s="298"/>
      <c r="E148" s="299"/>
      <c r="F148" s="299"/>
      <c r="G148" s="300"/>
      <c r="H148" s="303"/>
      <c r="I148" s="301">
        <f t="shared" si="37"/>
        <v>0</v>
      </c>
      <c r="J148" s="302">
        <f t="shared" si="47"/>
        <v>0</v>
      </c>
      <c r="K148" s="304">
        <f t="shared" si="38"/>
        <v>0</v>
      </c>
      <c r="L148" s="305">
        <f>IF(H148=0,0,IF(OR(E148=$AT$5,E148=$AT$6),AA148,IF(F148="MXN",1/HLOOKUP(YEAR(G148)+(MONTH(G148)/100),TC!$5:$37,DAY(G148)+2,FALSE),VLOOKUP(F148,Equivalencia!$5:$23,((MAX(Equivalencia!$3:$3)-YEAR(G148))*14)+MONTH(G148)+2,FALSE))))</f>
        <v>0</v>
      </c>
      <c r="M148" s="306">
        <f t="shared" si="39"/>
        <v>0</v>
      </c>
      <c r="N148" s="305">
        <f>IF(G148=0,0,(IF(OR(E148=$AT$5,E148=$AT$6),AC148,HLOOKUP(YEAR(G148)+(MONTH(G148)/100),TC!$5:$37,DAY(G148)+2,FALSE))))</f>
        <v>0</v>
      </c>
      <c r="O148" s="307">
        <f t="shared" si="48"/>
        <v>0</v>
      </c>
      <c r="P148" s="552">
        <f>IF(G148=0,0,VLOOKUP(YEAR(G148),INPC!$B$4:$P$30,MONTH(G148)+2))</f>
        <v>0</v>
      </c>
      <c r="Q148" s="552">
        <f>IF(X148=0,0,IF(OR(E148=$AT$10,E148=$AT$9),VLOOKUP(YEAR(X148),INPC!$B$4:$P$30,MONTH(X148)+1),VLOOKUP(YEAR(X148),INPC!$B$4:$P$30,MONTH(X148)+2,0)))</f>
        <v>0</v>
      </c>
      <c r="R148" s="309">
        <f t="shared" si="40"/>
        <v>0</v>
      </c>
      <c r="S148" s="310">
        <f t="shared" si="49"/>
        <v>0</v>
      </c>
      <c r="T148" s="547">
        <f t="shared" si="50"/>
        <v>0</v>
      </c>
      <c r="U148" s="311"/>
      <c r="V148" s="312"/>
      <c r="W148" s="299"/>
      <c r="X148" s="300"/>
      <c r="Y148" s="299"/>
      <c r="Z148" s="303"/>
      <c r="AA148" s="305">
        <f>IF(Z148=0,0,IF(Y148="MXN",1/HLOOKUP(YEAR(X148)+(MONTH(X148)/100),TC!$5:$37,DAY(X148)+2,FALSE),VLOOKUP(Y148,Equivalencia!$1:$23,((MAX(Equivalencia!$3:$3)-YEAR(X148))*14)+MONTH(X148)+2,FALSE)))</f>
        <v>0</v>
      </c>
      <c r="AB148" s="306">
        <f t="shared" si="51"/>
        <v>0</v>
      </c>
      <c r="AC148" s="305">
        <f>+IF(X148=0,0,HLOOKUP(YEAR(X148)+(MONTH(X148)/100),TC!$5:$37,DAY(X148)+2,FALSE))</f>
        <v>0</v>
      </c>
      <c r="AD148" s="307">
        <f t="shared" si="52"/>
        <v>0</v>
      </c>
      <c r="AE148" s="314">
        <f t="shared" si="41"/>
        <v>0</v>
      </c>
      <c r="AF148" s="315">
        <f t="shared" si="42"/>
        <v>0</v>
      </c>
      <c r="AG148" s="316">
        <f t="shared" si="43"/>
        <v>0</v>
      </c>
      <c r="AH148" s="314">
        <v>1</v>
      </c>
      <c r="AI148" s="314">
        <f t="shared" si="44"/>
        <v>0</v>
      </c>
      <c r="AJ148" s="314">
        <f t="shared" si="53"/>
        <v>0</v>
      </c>
      <c r="AK148" s="317"/>
      <c r="AL148" s="315">
        <f t="shared" si="45"/>
        <v>0</v>
      </c>
      <c r="AN148" s="546">
        <f t="shared" si="46"/>
        <v>0</v>
      </c>
      <c r="AO148" s="314"/>
      <c r="AP148" s="318"/>
    </row>
    <row r="149" spans="2:42">
      <c r="B149" s="296"/>
      <c r="C149" s="299"/>
      <c r="D149" s="298"/>
      <c r="E149" s="299"/>
      <c r="F149" s="299"/>
      <c r="G149" s="300"/>
      <c r="H149" s="303"/>
      <c r="I149" s="301">
        <f t="shared" si="37"/>
        <v>0</v>
      </c>
      <c r="J149" s="302">
        <f t="shared" si="47"/>
        <v>0</v>
      </c>
      <c r="K149" s="304">
        <f t="shared" si="38"/>
        <v>0</v>
      </c>
      <c r="L149" s="305">
        <f>IF(H149=0,0,IF(OR(E149=$AT$5,E149=$AT$6),AA149,IF(F149="MXN",1/HLOOKUP(YEAR(G149)+(MONTH(G149)/100),TC!$5:$37,DAY(G149)+2,FALSE),VLOOKUP(F149,Equivalencia!$5:$23,((MAX(Equivalencia!$3:$3)-YEAR(G149))*14)+MONTH(G149)+2,FALSE))))</f>
        <v>0</v>
      </c>
      <c r="M149" s="306">
        <f t="shared" si="39"/>
        <v>0</v>
      </c>
      <c r="N149" s="305">
        <f>IF(G149=0,0,(IF(OR(E149=$AT$5,E149=$AT$6),AC149,HLOOKUP(YEAR(G149)+(MONTH(G149)/100),TC!$5:$37,DAY(G149)+2,FALSE))))</f>
        <v>0</v>
      </c>
      <c r="O149" s="307">
        <f t="shared" si="48"/>
        <v>0</v>
      </c>
      <c r="P149" s="552">
        <f>IF(G149=0,0,VLOOKUP(YEAR(G149),INPC!$B$4:$P$30,MONTH(G149)+2))</f>
        <v>0</v>
      </c>
      <c r="Q149" s="552">
        <f>IF(X149=0,0,IF(OR(E149=$AT$10,E149=$AT$9),VLOOKUP(YEAR(X149),INPC!$B$4:$P$30,MONTH(X149)+1),VLOOKUP(YEAR(X149),INPC!$B$4:$P$30,MONTH(X149)+2,0)))</f>
        <v>0</v>
      </c>
      <c r="R149" s="309">
        <f t="shared" si="40"/>
        <v>0</v>
      </c>
      <c r="S149" s="310">
        <f t="shared" si="49"/>
        <v>0</v>
      </c>
      <c r="T149" s="547">
        <f t="shared" si="50"/>
        <v>0</v>
      </c>
      <c r="U149" s="311"/>
      <c r="V149" s="312"/>
      <c r="W149" s="299"/>
      <c r="X149" s="300"/>
      <c r="Y149" s="299"/>
      <c r="Z149" s="303"/>
      <c r="AA149" s="305">
        <f>IF(Z149=0,0,IF(Y149="MXN",1/HLOOKUP(YEAR(X149)+(MONTH(X149)/100),TC!$5:$37,DAY(X149)+2,FALSE),VLOOKUP(Y149,Equivalencia!$1:$23,((MAX(Equivalencia!$3:$3)-YEAR(X149))*14)+MONTH(X149)+2,FALSE)))</f>
        <v>0</v>
      </c>
      <c r="AB149" s="306">
        <f t="shared" si="51"/>
        <v>0</v>
      </c>
      <c r="AC149" s="305">
        <f>+IF(X149=0,0,HLOOKUP(YEAR(X149)+(MONTH(X149)/100),TC!$5:$37,DAY(X149)+2,FALSE))</f>
        <v>0</v>
      </c>
      <c r="AD149" s="307">
        <f t="shared" si="52"/>
        <v>0</v>
      </c>
      <c r="AE149" s="314">
        <f t="shared" si="41"/>
        <v>0</v>
      </c>
      <c r="AF149" s="315">
        <f t="shared" si="42"/>
        <v>0</v>
      </c>
      <c r="AG149" s="316">
        <f t="shared" si="43"/>
        <v>0</v>
      </c>
      <c r="AH149" s="314">
        <v>1</v>
      </c>
      <c r="AI149" s="314">
        <f t="shared" si="44"/>
        <v>0</v>
      </c>
      <c r="AJ149" s="314">
        <f t="shared" si="53"/>
        <v>0</v>
      </c>
      <c r="AK149" s="317"/>
      <c r="AL149" s="315">
        <f t="shared" si="45"/>
        <v>0</v>
      </c>
      <c r="AN149" s="546">
        <f t="shared" si="46"/>
        <v>0</v>
      </c>
      <c r="AO149" s="314"/>
      <c r="AP149" s="318"/>
    </row>
    <row r="150" spans="2:42">
      <c r="B150" s="296"/>
      <c r="C150" s="299"/>
      <c r="D150" s="298"/>
      <c r="E150" s="299"/>
      <c r="F150" s="299"/>
      <c r="G150" s="300"/>
      <c r="H150" s="303"/>
      <c r="I150" s="301">
        <f t="shared" si="37"/>
        <v>0</v>
      </c>
      <c r="J150" s="302">
        <f t="shared" si="47"/>
        <v>0</v>
      </c>
      <c r="K150" s="304">
        <f t="shared" si="38"/>
        <v>0</v>
      </c>
      <c r="L150" s="305">
        <f>IF(H150=0,0,IF(OR(E150=$AT$5,E150=$AT$6),AA150,IF(F150="MXN",1/HLOOKUP(YEAR(G150)+(MONTH(G150)/100),TC!$5:$37,DAY(G150)+2,FALSE),VLOOKUP(F150,Equivalencia!$5:$23,((MAX(Equivalencia!$3:$3)-YEAR(G150))*14)+MONTH(G150)+2,FALSE))))</f>
        <v>0</v>
      </c>
      <c r="M150" s="306">
        <f t="shared" si="39"/>
        <v>0</v>
      </c>
      <c r="N150" s="305">
        <f>IF(G150=0,0,(IF(OR(E150=$AT$5,E150=$AT$6),AC150,HLOOKUP(YEAR(G150)+(MONTH(G150)/100),TC!$5:$37,DAY(G150)+2,FALSE))))</f>
        <v>0</v>
      </c>
      <c r="O150" s="307">
        <f t="shared" si="48"/>
        <v>0</v>
      </c>
      <c r="P150" s="552">
        <f>IF(G150=0,0,VLOOKUP(YEAR(G150),INPC!$B$4:$P$30,MONTH(G150)+2))</f>
        <v>0</v>
      </c>
      <c r="Q150" s="552">
        <f>IF(X150=0,0,IF(OR(E150=$AT$10,E150=$AT$9),VLOOKUP(YEAR(X150),INPC!$B$4:$P$30,MONTH(X150)+1),VLOOKUP(YEAR(X150),INPC!$B$4:$P$30,MONTH(X150)+2,0)))</f>
        <v>0</v>
      </c>
      <c r="R150" s="309">
        <f t="shared" si="40"/>
        <v>0</v>
      </c>
      <c r="S150" s="310">
        <f t="shared" si="49"/>
        <v>0</v>
      </c>
      <c r="T150" s="547">
        <f t="shared" si="50"/>
        <v>0</v>
      </c>
      <c r="U150" s="311"/>
      <c r="V150" s="312"/>
      <c r="W150" s="299"/>
      <c r="X150" s="300"/>
      <c r="Y150" s="299"/>
      <c r="Z150" s="303"/>
      <c r="AA150" s="305">
        <f>IF(Z150=0,0,IF(Y150="MXN",1/HLOOKUP(YEAR(X150)+(MONTH(X150)/100),TC!$5:$37,DAY(X150)+2,FALSE),VLOOKUP(Y150,Equivalencia!$1:$23,((MAX(Equivalencia!$3:$3)-YEAR(X150))*14)+MONTH(X150)+2,FALSE)))</f>
        <v>0</v>
      </c>
      <c r="AB150" s="306">
        <f t="shared" si="51"/>
        <v>0</v>
      </c>
      <c r="AC150" s="305">
        <f>+IF(X150=0,0,HLOOKUP(YEAR(X150)+(MONTH(X150)/100),TC!$5:$37,DAY(X150)+2,FALSE))</f>
        <v>0</v>
      </c>
      <c r="AD150" s="307">
        <f t="shared" si="52"/>
        <v>0</v>
      </c>
      <c r="AE150" s="314">
        <f t="shared" si="41"/>
        <v>0</v>
      </c>
      <c r="AF150" s="315">
        <f t="shared" si="42"/>
        <v>0</v>
      </c>
      <c r="AG150" s="316">
        <f t="shared" si="43"/>
        <v>0</v>
      </c>
      <c r="AH150" s="314">
        <v>1</v>
      </c>
      <c r="AI150" s="314">
        <f t="shared" si="44"/>
        <v>0</v>
      </c>
      <c r="AJ150" s="314">
        <f t="shared" si="53"/>
        <v>0</v>
      </c>
      <c r="AK150" s="317"/>
      <c r="AL150" s="315">
        <f t="shared" si="45"/>
        <v>0</v>
      </c>
      <c r="AN150" s="546">
        <f t="shared" si="46"/>
        <v>0</v>
      </c>
      <c r="AO150" s="314"/>
      <c r="AP150" s="318"/>
    </row>
    <row r="151" spans="2:42">
      <c r="B151" s="296"/>
      <c r="C151" s="299"/>
      <c r="D151" s="298"/>
      <c r="E151" s="299"/>
      <c r="F151" s="299"/>
      <c r="G151" s="300"/>
      <c r="H151" s="303"/>
      <c r="I151" s="301">
        <f t="shared" si="37"/>
        <v>0</v>
      </c>
      <c r="J151" s="302">
        <f t="shared" si="47"/>
        <v>0</v>
      </c>
      <c r="K151" s="304">
        <f t="shared" si="38"/>
        <v>0</v>
      </c>
      <c r="L151" s="305">
        <f>IF(H151=0,0,IF(OR(E151=$AT$5,E151=$AT$6),AA151,IF(F151="MXN",1/HLOOKUP(YEAR(G151)+(MONTH(G151)/100),TC!$5:$37,DAY(G151)+2,FALSE),VLOOKUP(F151,Equivalencia!$5:$23,((MAX(Equivalencia!$3:$3)-YEAR(G151))*14)+MONTH(G151)+2,FALSE))))</f>
        <v>0</v>
      </c>
      <c r="M151" s="306">
        <f t="shared" si="39"/>
        <v>0</v>
      </c>
      <c r="N151" s="305">
        <f>IF(G151=0,0,(IF(OR(E151=$AT$5,E151=$AT$6),AC151,HLOOKUP(YEAR(G151)+(MONTH(G151)/100),TC!$5:$37,DAY(G151)+2,FALSE))))</f>
        <v>0</v>
      </c>
      <c r="O151" s="307">
        <f t="shared" si="48"/>
        <v>0</v>
      </c>
      <c r="P151" s="552">
        <f>IF(G151=0,0,VLOOKUP(YEAR(G151),INPC!$B$4:$P$30,MONTH(G151)+2))</f>
        <v>0</v>
      </c>
      <c r="Q151" s="552">
        <f>IF(X151=0,0,IF(OR(E151=$AT$10,E151=$AT$9),VLOOKUP(YEAR(X151),INPC!$B$4:$P$30,MONTH(X151)+1),VLOOKUP(YEAR(X151),INPC!$B$4:$P$30,MONTH(X151)+2,0)))</f>
        <v>0</v>
      </c>
      <c r="R151" s="309">
        <f t="shared" si="40"/>
        <v>0</v>
      </c>
      <c r="S151" s="310">
        <f t="shared" si="49"/>
        <v>0</v>
      </c>
      <c r="T151" s="547">
        <f t="shared" si="50"/>
        <v>0</v>
      </c>
      <c r="U151" s="311"/>
      <c r="V151" s="312"/>
      <c r="W151" s="299"/>
      <c r="X151" s="300"/>
      <c r="Y151" s="299"/>
      <c r="Z151" s="303"/>
      <c r="AA151" s="305">
        <f>IF(Z151=0,0,IF(Y151="MXN",1/HLOOKUP(YEAR(X151)+(MONTH(X151)/100),TC!$5:$37,DAY(X151)+2,FALSE),VLOOKUP(Y151,Equivalencia!$1:$23,((MAX(Equivalencia!$3:$3)-YEAR(X151))*14)+MONTH(X151)+2,FALSE)))</f>
        <v>0</v>
      </c>
      <c r="AB151" s="306">
        <f t="shared" si="51"/>
        <v>0</v>
      </c>
      <c r="AC151" s="305">
        <f>+IF(X151=0,0,HLOOKUP(YEAR(X151)+(MONTH(X151)/100),TC!$5:$37,DAY(X151)+2,FALSE))</f>
        <v>0</v>
      </c>
      <c r="AD151" s="307">
        <f t="shared" si="52"/>
        <v>0</v>
      </c>
      <c r="AE151" s="314">
        <f t="shared" si="41"/>
        <v>0</v>
      </c>
      <c r="AF151" s="315">
        <f t="shared" si="42"/>
        <v>0</v>
      </c>
      <c r="AG151" s="316">
        <f t="shared" si="43"/>
        <v>0</v>
      </c>
      <c r="AH151" s="314">
        <v>1</v>
      </c>
      <c r="AI151" s="314">
        <f t="shared" si="44"/>
        <v>0</v>
      </c>
      <c r="AJ151" s="314">
        <f t="shared" si="53"/>
        <v>0</v>
      </c>
      <c r="AK151" s="317"/>
      <c r="AL151" s="315">
        <f t="shared" si="45"/>
        <v>0</v>
      </c>
      <c r="AN151" s="546">
        <f t="shared" si="46"/>
        <v>0</v>
      </c>
      <c r="AO151" s="314"/>
      <c r="AP151" s="318"/>
    </row>
    <row r="152" spans="2:42">
      <c r="B152" s="296"/>
      <c r="C152" s="299"/>
      <c r="D152" s="298"/>
      <c r="E152" s="299"/>
      <c r="F152" s="299"/>
      <c r="G152" s="300"/>
      <c r="H152" s="303"/>
      <c r="I152" s="301">
        <f t="shared" si="37"/>
        <v>0</v>
      </c>
      <c r="J152" s="302">
        <f t="shared" si="47"/>
        <v>0</v>
      </c>
      <c r="K152" s="304">
        <f t="shared" si="38"/>
        <v>0</v>
      </c>
      <c r="L152" s="305">
        <f>IF(H152=0,0,IF(OR(E152=$AT$5,E152=$AT$6),AA152,IF(F152="MXN",1/HLOOKUP(YEAR(G152)+(MONTH(G152)/100),TC!$5:$37,DAY(G152)+2,FALSE),VLOOKUP(F152,Equivalencia!$5:$23,((MAX(Equivalencia!$3:$3)-YEAR(G152))*14)+MONTH(G152)+2,FALSE))))</f>
        <v>0</v>
      </c>
      <c r="M152" s="306">
        <f t="shared" si="39"/>
        <v>0</v>
      </c>
      <c r="N152" s="305">
        <f>IF(G152=0,0,(IF(OR(E152=$AT$5,E152=$AT$6),AC152,HLOOKUP(YEAR(G152)+(MONTH(G152)/100),TC!$5:$37,DAY(G152)+2,FALSE))))</f>
        <v>0</v>
      </c>
      <c r="O152" s="307">
        <f t="shared" si="48"/>
        <v>0</v>
      </c>
      <c r="P152" s="552">
        <f>IF(G152=0,0,VLOOKUP(YEAR(G152),INPC!$B$4:$P$30,MONTH(G152)+2))</f>
        <v>0</v>
      </c>
      <c r="Q152" s="552">
        <f>IF(X152=0,0,IF(OR(E152=$AT$10,E152=$AT$9),VLOOKUP(YEAR(X152),INPC!$B$4:$P$30,MONTH(X152)+1),VLOOKUP(YEAR(X152),INPC!$B$4:$P$30,MONTH(X152)+2,0)))</f>
        <v>0</v>
      </c>
      <c r="R152" s="309">
        <f t="shared" si="40"/>
        <v>0</v>
      </c>
      <c r="S152" s="310">
        <f t="shared" si="49"/>
        <v>0</v>
      </c>
      <c r="T152" s="547">
        <f t="shared" si="50"/>
        <v>0</v>
      </c>
      <c r="U152" s="311"/>
      <c r="V152" s="312"/>
      <c r="W152" s="299"/>
      <c r="X152" s="300"/>
      <c r="Y152" s="299"/>
      <c r="Z152" s="303"/>
      <c r="AA152" s="305">
        <f>IF(Z152=0,0,IF(Y152="MXN",1/HLOOKUP(YEAR(X152)+(MONTH(X152)/100),TC!$5:$37,DAY(X152)+2,FALSE),VLOOKUP(Y152,Equivalencia!$1:$23,((MAX(Equivalencia!$3:$3)-YEAR(X152))*14)+MONTH(X152)+2,FALSE)))</f>
        <v>0</v>
      </c>
      <c r="AB152" s="306">
        <f t="shared" si="51"/>
        <v>0</v>
      </c>
      <c r="AC152" s="305">
        <f>+IF(X152=0,0,HLOOKUP(YEAR(X152)+(MONTH(X152)/100),TC!$5:$37,DAY(X152)+2,FALSE))</f>
        <v>0</v>
      </c>
      <c r="AD152" s="307">
        <f t="shared" si="52"/>
        <v>0</v>
      </c>
      <c r="AE152" s="314">
        <f t="shared" si="41"/>
        <v>0</v>
      </c>
      <c r="AF152" s="315">
        <f t="shared" si="42"/>
        <v>0</v>
      </c>
      <c r="AG152" s="316">
        <f t="shared" si="43"/>
        <v>0</v>
      </c>
      <c r="AH152" s="314">
        <v>1</v>
      </c>
      <c r="AI152" s="314">
        <f t="shared" si="44"/>
        <v>0</v>
      </c>
      <c r="AJ152" s="314">
        <f t="shared" si="53"/>
        <v>0</v>
      </c>
      <c r="AK152" s="317"/>
      <c r="AL152" s="315">
        <f t="shared" si="45"/>
        <v>0</v>
      </c>
      <c r="AN152" s="546">
        <f t="shared" si="46"/>
        <v>0</v>
      </c>
      <c r="AO152" s="314"/>
      <c r="AP152" s="318"/>
    </row>
    <row r="153" spans="2:42">
      <c r="B153" s="296"/>
      <c r="C153" s="299"/>
      <c r="D153" s="298"/>
      <c r="E153" s="299"/>
      <c r="F153" s="299"/>
      <c r="G153" s="300"/>
      <c r="H153" s="303"/>
      <c r="I153" s="301">
        <f t="shared" si="37"/>
        <v>0</v>
      </c>
      <c r="J153" s="302">
        <f t="shared" si="47"/>
        <v>0</v>
      </c>
      <c r="K153" s="304">
        <f t="shared" si="38"/>
        <v>0</v>
      </c>
      <c r="L153" s="305">
        <f>IF(H153=0,0,IF(OR(E153=$AT$5,E153=$AT$6),AA153,IF(F153="MXN",1/HLOOKUP(YEAR(G153)+(MONTH(G153)/100),TC!$5:$37,DAY(G153)+2,FALSE),VLOOKUP(F153,Equivalencia!$5:$23,((MAX(Equivalencia!$3:$3)-YEAR(G153))*14)+MONTH(G153)+2,FALSE))))</f>
        <v>0</v>
      </c>
      <c r="M153" s="306">
        <f t="shared" si="39"/>
        <v>0</v>
      </c>
      <c r="N153" s="305">
        <f>IF(G153=0,0,(IF(OR(E153=$AT$5,E153=$AT$6),AC153,HLOOKUP(YEAR(G153)+(MONTH(G153)/100),TC!$5:$37,DAY(G153)+2,FALSE))))</f>
        <v>0</v>
      </c>
      <c r="O153" s="307">
        <f t="shared" si="48"/>
        <v>0</v>
      </c>
      <c r="P153" s="552">
        <f>IF(G153=0,0,VLOOKUP(YEAR(G153),INPC!$B$4:$P$30,MONTH(G153)+2))</f>
        <v>0</v>
      </c>
      <c r="Q153" s="552">
        <f>IF(X153=0,0,IF(OR(E153=$AT$10,E153=$AT$9),VLOOKUP(YEAR(X153),INPC!$B$4:$P$30,MONTH(X153)+1),VLOOKUP(YEAR(X153),INPC!$B$4:$P$30,MONTH(X153)+2,0)))</f>
        <v>0</v>
      </c>
      <c r="R153" s="309">
        <f t="shared" si="40"/>
        <v>0</v>
      </c>
      <c r="S153" s="310">
        <f t="shared" si="49"/>
        <v>0</v>
      </c>
      <c r="T153" s="547">
        <f t="shared" si="50"/>
        <v>0</v>
      </c>
      <c r="U153" s="311"/>
      <c r="V153" s="312"/>
      <c r="W153" s="299"/>
      <c r="X153" s="300"/>
      <c r="Y153" s="299"/>
      <c r="Z153" s="303"/>
      <c r="AA153" s="305">
        <f>IF(Z153=0,0,IF(Y153="MXN",1/HLOOKUP(YEAR(X153)+(MONTH(X153)/100),TC!$5:$37,DAY(X153)+2,FALSE),VLOOKUP(Y153,Equivalencia!$1:$23,((MAX(Equivalencia!$3:$3)-YEAR(X153))*14)+MONTH(X153)+2,FALSE)))</f>
        <v>0</v>
      </c>
      <c r="AB153" s="306">
        <f t="shared" si="51"/>
        <v>0</v>
      </c>
      <c r="AC153" s="305">
        <f>+IF(X153=0,0,HLOOKUP(YEAR(X153)+(MONTH(X153)/100),TC!$5:$37,DAY(X153)+2,FALSE))</f>
        <v>0</v>
      </c>
      <c r="AD153" s="307">
        <f t="shared" si="52"/>
        <v>0</v>
      </c>
      <c r="AE153" s="314">
        <f t="shared" si="41"/>
        <v>0</v>
      </c>
      <c r="AF153" s="315">
        <f t="shared" si="42"/>
        <v>0</v>
      </c>
      <c r="AG153" s="316">
        <f t="shared" si="43"/>
        <v>0</v>
      </c>
      <c r="AH153" s="314">
        <v>1</v>
      </c>
      <c r="AI153" s="314">
        <f t="shared" si="44"/>
        <v>0</v>
      </c>
      <c r="AJ153" s="314">
        <f t="shared" si="53"/>
        <v>0</v>
      </c>
      <c r="AK153" s="317"/>
      <c r="AL153" s="315">
        <f t="shared" si="45"/>
        <v>0</v>
      </c>
      <c r="AN153" s="546">
        <f t="shared" si="46"/>
        <v>0</v>
      </c>
      <c r="AO153" s="314"/>
      <c r="AP153" s="318"/>
    </row>
    <row r="154" spans="2:42">
      <c r="B154" s="296"/>
      <c r="C154" s="299"/>
      <c r="D154" s="298"/>
      <c r="E154" s="299"/>
      <c r="F154" s="299"/>
      <c r="G154" s="300"/>
      <c r="H154" s="303"/>
      <c r="I154" s="301">
        <f t="shared" si="37"/>
        <v>0</v>
      </c>
      <c r="J154" s="302">
        <f t="shared" si="47"/>
        <v>0</v>
      </c>
      <c r="K154" s="304">
        <f t="shared" si="38"/>
        <v>0</v>
      </c>
      <c r="L154" s="305">
        <f>IF(H154=0,0,IF(OR(E154=$AT$5,E154=$AT$6),AA154,IF(F154="MXN",1/HLOOKUP(YEAR(G154)+(MONTH(G154)/100),TC!$5:$37,DAY(G154)+2,FALSE),VLOOKUP(F154,Equivalencia!$5:$23,((MAX(Equivalencia!$3:$3)-YEAR(G154))*14)+MONTH(G154)+2,FALSE))))</f>
        <v>0</v>
      </c>
      <c r="M154" s="306">
        <f t="shared" si="39"/>
        <v>0</v>
      </c>
      <c r="N154" s="305">
        <f>IF(G154=0,0,(IF(OR(E154=$AT$5,E154=$AT$6),AC154,HLOOKUP(YEAR(G154)+(MONTH(G154)/100),TC!$5:$37,DAY(G154)+2,FALSE))))</f>
        <v>0</v>
      </c>
      <c r="O154" s="307">
        <f t="shared" si="48"/>
        <v>0</v>
      </c>
      <c r="P154" s="552">
        <f>IF(G154=0,0,VLOOKUP(YEAR(G154),INPC!$B$4:$P$30,MONTH(G154)+2))</f>
        <v>0</v>
      </c>
      <c r="Q154" s="552">
        <f>IF(X154=0,0,IF(OR(E154=$AT$10,E154=$AT$9),VLOOKUP(YEAR(X154),INPC!$B$4:$P$30,MONTH(X154)+1),VLOOKUP(YEAR(X154),INPC!$B$4:$P$30,MONTH(X154)+2,0)))</f>
        <v>0</v>
      </c>
      <c r="R154" s="309">
        <f t="shared" si="40"/>
        <v>0</v>
      </c>
      <c r="S154" s="310">
        <f t="shared" si="49"/>
        <v>0</v>
      </c>
      <c r="T154" s="547">
        <f t="shared" si="50"/>
        <v>0</v>
      </c>
      <c r="U154" s="311"/>
      <c r="V154" s="312"/>
      <c r="W154" s="299"/>
      <c r="X154" s="300"/>
      <c r="Y154" s="299"/>
      <c r="Z154" s="303"/>
      <c r="AA154" s="305">
        <f>IF(Z154=0,0,IF(Y154="MXN",1/HLOOKUP(YEAR(X154)+(MONTH(X154)/100),TC!$5:$37,DAY(X154)+2,FALSE),VLOOKUP(Y154,Equivalencia!$1:$23,((MAX(Equivalencia!$3:$3)-YEAR(X154))*14)+MONTH(X154)+2,FALSE)))</f>
        <v>0</v>
      </c>
      <c r="AB154" s="306">
        <f t="shared" si="51"/>
        <v>0</v>
      </c>
      <c r="AC154" s="305">
        <f>+IF(X154=0,0,HLOOKUP(YEAR(X154)+(MONTH(X154)/100),TC!$5:$37,DAY(X154)+2,FALSE))</f>
        <v>0</v>
      </c>
      <c r="AD154" s="307">
        <f t="shared" si="52"/>
        <v>0</v>
      </c>
      <c r="AE154" s="314">
        <f t="shared" si="41"/>
        <v>0</v>
      </c>
      <c r="AF154" s="315">
        <f t="shared" si="42"/>
        <v>0</v>
      </c>
      <c r="AG154" s="316">
        <f t="shared" si="43"/>
        <v>0</v>
      </c>
      <c r="AH154" s="314">
        <v>1</v>
      </c>
      <c r="AI154" s="314">
        <f t="shared" si="44"/>
        <v>0</v>
      </c>
      <c r="AJ154" s="314">
        <f t="shared" si="53"/>
        <v>0</v>
      </c>
      <c r="AK154" s="317"/>
      <c r="AL154" s="315">
        <f t="shared" si="45"/>
        <v>0</v>
      </c>
      <c r="AN154" s="546">
        <f t="shared" si="46"/>
        <v>0</v>
      </c>
      <c r="AO154" s="314"/>
      <c r="AP154" s="318"/>
    </row>
    <row r="155" spans="2:42">
      <c r="B155" s="296"/>
      <c r="C155" s="299"/>
      <c r="D155" s="298"/>
      <c r="E155" s="299"/>
      <c r="F155" s="299"/>
      <c r="G155" s="300"/>
      <c r="H155" s="303"/>
      <c r="I155" s="301">
        <f t="shared" si="37"/>
        <v>0</v>
      </c>
      <c r="J155" s="302">
        <f t="shared" si="47"/>
        <v>0</v>
      </c>
      <c r="K155" s="304">
        <f t="shared" si="38"/>
        <v>0</v>
      </c>
      <c r="L155" s="305">
        <f>IF(H155=0,0,IF(OR(E155=$AT$5,E155=$AT$6),AA155,IF(F155="MXN",1/HLOOKUP(YEAR(G155)+(MONTH(G155)/100),TC!$5:$37,DAY(G155)+2,FALSE),VLOOKUP(F155,Equivalencia!$5:$23,((MAX(Equivalencia!$3:$3)-YEAR(G155))*14)+MONTH(G155)+2,FALSE))))</f>
        <v>0</v>
      </c>
      <c r="M155" s="306">
        <f t="shared" si="39"/>
        <v>0</v>
      </c>
      <c r="N155" s="305">
        <f>IF(G155=0,0,(IF(OR(E155=$AT$5,E155=$AT$6),AC155,HLOOKUP(YEAR(G155)+(MONTH(G155)/100),TC!$5:$37,DAY(G155)+2,FALSE))))</f>
        <v>0</v>
      </c>
      <c r="O155" s="307">
        <f t="shared" si="48"/>
        <v>0</v>
      </c>
      <c r="P155" s="552">
        <f>IF(G155=0,0,VLOOKUP(YEAR(G155),INPC!$B$4:$P$30,MONTH(G155)+2))</f>
        <v>0</v>
      </c>
      <c r="Q155" s="552">
        <f>IF(X155=0,0,IF(OR(E155=$AT$10,E155=$AT$9),VLOOKUP(YEAR(X155),INPC!$B$4:$P$30,MONTH(X155)+1),VLOOKUP(YEAR(X155),INPC!$B$4:$P$30,MONTH(X155)+2,0)))</f>
        <v>0</v>
      </c>
      <c r="R155" s="309">
        <f t="shared" si="40"/>
        <v>0</v>
      </c>
      <c r="S155" s="310">
        <f t="shared" si="49"/>
        <v>0</v>
      </c>
      <c r="T155" s="547">
        <f t="shared" si="50"/>
        <v>0</v>
      </c>
      <c r="U155" s="311"/>
      <c r="V155" s="312"/>
      <c r="W155" s="299"/>
      <c r="X155" s="300"/>
      <c r="Y155" s="299"/>
      <c r="Z155" s="303"/>
      <c r="AA155" s="305">
        <f>IF(Z155=0,0,IF(Y155="MXN",1/HLOOKUP(YEAR(X155)+(MONTH(X155)/100),TC!$5:$37,DAY(X155)+2,FALSE),VLOOKUP(Y155,Equivalencia!$1:$23,((MAX(Equivalencia!$3:$3)-YEAR(X155))*14)+MONTH(X155)+2,FALSE)))</f>
        <v>0</v>
      </c>
      <c r="AB155" s="306">
        <f t="shared" si="51"/>
        <v>0</v>
      </c>
      <c r="AC155" s="305">
        <f>+IF(X155=0,0,HLOOKUP(YEAR(X155)+(MONTH(X155)/100),TC!$5:$37,DAY(X155)+2,FALSE))</f>
        <v>0</v>
      </c>
      <c r="AD155" s="307">
        <f t="shared" si="52"/>
        <v>0</v>
      </c>
      <c r="AE155" s="314">
        <f t="shared" si="41"/>
        <v>0</v>
      </c>
      <c r="AF155" s="315">
        <f t="shared" si="42"/>
        <v>0</v>
      </c>
      <c r="AG155" s="316">
        <f t="shared" si="43"/>
        <v>0</v>
      </c>
      <c r="AH155" s="314">
        <v>1</v>
      </c>
      <c r="AI155" s="314">
        <f t="shared" si="44"/>
        <v>0</v>
      </c>
      <c r="AJ155" s="314">
        <f t="shared" si="53"/>
        <v>0</v>
      </c>
      <c r="AK155" s="317"/>
      <c r="AL155" s="315">
        <f t="shared" si="45"/>
        <v>0</v>
      </c>
      <c r="AN155" s="546">
        <f t="shared" si="46"/>
        <v>0</v>
      </c>
      <c r="AO155" s="314"/>
      <c r="AP155" s="318"/>
    </row>
    <row r="156" spans="2:42">
      <c r="B156" s="296"/>
      <c r="C156" s="299"/>
      <c r="D156" s="298"/>
      <c r="E156" s="299"/>
      <c r="F156" s="299"/>
      <c r="G156" s="300"/>
      <c r="H156" s="303"/>
      <c r="I156" s="301">
        <f t="shared" si="37"/>
        <v>0</v>
      </c>
      <c r="J156" s="302">
        <f t="shared" si="47"/>
        <v>0</v>
      </c>
      <c r="K156" s="304">
        <f t="shared" si="38"/>
        <v>0</v>
      </c>
      <c r="L156" s="305">
        <f>IF(H156=0,0,IF(OR(E156=$AT$5,E156=$AT$6),AA156,IF(F156="MXN",1/HLOOKUP(YEAR(G156)+(MONTH(G156)/100),TC!$5:$37,DAY(G156)+2,FALSE),VLOOKUP(F156,Equivalencia!$5:$23,((MAX(Equivalencia!$3:$3)-YEAR(G156))*14)+MONTH(G156)+2,FALSE))))</f>
        <v>0</v>
      </c>
      <c r="M156" s="306">
        <f t="shared" si="39"/>
        <v>0</v>
      </c>
      <c r="N156" s="305">
        <f>IF(G156=0,0,(IF(OR(E156=$AT$5,E156=$AT$6),AC156,HLOOKUP(YEAR(G156)+(MONTH(G156)/100),TC!$5:$37,DAY(G156)+2,FALSE))))</f>
        <v>0</v>
      </c>
      <c r="O156" s="307">
        <f t="shared" si="48"/>
        <v>0</v>
      </c>
      <c r="P156" s="552">
        <f>IF(G156=0,0,VLOOKUP(YEAR(G156),INPC!$B$4:$P$30,MONTH(G156)+2))</f>
        <v>0</v>
      </c>
      <c r="Q156" s="552">
        <f>IF(X156=0,0,IF(OR(E156=$AT$10,E156=$AT$9),VLOOKUP(YEAR(X156),INPC!$B$4:$P$30,MONTH(X156)+1),VLOOKUP(YEAR(X156),INPC!$B$4:$P$30,MONTH(X156)+2,0)))</f>
        <v>0</v>
      </c>
      <c r="R156" s="309">
        <f t="shared" si="40"/>
        <v>0</v>
      </c>
      <c r="S156" s="310">
        <f t="shared" si="49"/>
        <v>0</v>
      </c>
      <c r="T156" s="547">
        <f t="shared" si="50"/>
        <v>0</v>
      </c>
      <c r="U156" s="311"/>
      <c r="V156" s="312"/>
      <c r="W156" s="299"/>
      <c r="X156" s="300"/>
      <c r="Y156" s="299"/>
      <c r="Z156" s="303"/>
      <c r="AA156" s="305">
        <f>IF(Z156=0,0,IF(Y156="MXN",1/HLOOKUP(YEAR(X156)+(MONTH(X156)/100),TC!$5:$37,DAY(X156)+2,FALSE),VLOOKUP(Y156,Equivalencia!$1:$23,((MAX(Equivalencia!$3:$3)-YEAR(X156))*14)+MONTH(X156)+2,FALSE)))</f>
        <v>0</v>
      </c>
      <c r="AB156" s="306">
        <f t="shared" si="51"/>
        <v>0</v>
      </c>
      <c r="AC156" s="305">
        <f>+IF(X156=0,0,HLOOKUP(YEAR(X156)+(MONTH(X156)/100),TC!$5:$37,DAY(X156)+2,FALSE))</f>
        <v>0</v>
      </c>
      <c r="AD156" s="307">
        <f t="shared" si="52"/>
        <v>0</v>
      </c>
      <c r="AE156" s="314">
        <f t="shared" si="41"/>
        <v>0</v>
      </c>
      <c r="AF156" s="315">
        <f t="shared" si="42"/>
        <v>0</v>
      </c>
      <c r="AG156" s="316">
        <f t="shared" si="43"/>
        <v>0</v>
      </c>
      <c r="AH156" s="314">
        <v>1</v>
      </c>
      <c r="AI156" s="314">
        <f t="shared" si="44"/>
        <v>0</v>
      </c>
      <c r="AJ156" s="314">
        <f t="shared" si="53"/>
        <v>0</v>
      </c>
      <c r="AK156" s="317"/>
      <c r="AL156" s="315">
        <f t="shared" si="45"/>
        <v>0</v>
      </c>
      <c r="AN156" s="546">
        <f t="shared" si="46"/>
        <v>0</v>
      </c>
      <c r="AO156" s="314"/>
      <c r="AP156" s="318"/>
    </row>
    <row r="157" spans="2:42">
      <c r="B157" s="296"/>
      <c r="C157" s="299"/>
      <c r="D157" s="298"/>
      <c r="E157" s="299"/>
      <c r="F157" s="299"/>
      <c r="G157" s="300"/>
      <c r="H157" s="303"/>
      <c r="I157" s="301">
        <f t="shared" si="37"/>
        <v>0</v>
      </c>
      <c r="J157" s="302">
        <f t="shared" si="47"/>
        <v>0</v>
      </c>
      <c r="K157" s="304">
        <f t="shared" si="38"/>
        <v>0</v>
      </c>
      <c r="L157" s="305">
        <f>IF(H157=0,0,IF(OR(E157=$AT$5,E157=$AT$6),AA157,IF(F157="MXN",1/HLOOKUP(YEAR(G157)+(MONTH(G157)/100),TC!$5:$37,DAY(G157)+2,FALSE),VLOOKUP(F157,Equivalencia!$5:$23,((MAX(Equivalencia!$3:$3)-YEAR(G157))*14)+MONTH(G157)+2,FALSE))))</f>
        <v>0</v>
      </c>
      <c r="M157" s="306">
        <f t="shared" si="39"/>
        <v>0</v>
      </c>
      <c r="N157" s="305">
        <f>IF(G157=0,0,(IF(OR(E157=$AT$5,E157=$AT$6),AC157,HLOOKUP(YEAR(G157)+(MONTH(G157)/100),TC!$5:$37,DAY(G157)+2,FALSE))))</f>
        <v>0</v>
      </c>
      <c r="O157" s="307">
        <f t="shared" si="48"/>
        <v>0</v>
      </c>
      <c r="P157" s="552">
        <f>IF(G157=0,0,VLOOKUP(YEAR(G157),INPC!$B$4:$P$30,MONTH(G157)+2))</f>
        <v>0</v>
      </c>
      <c r="Q157" s="552">
        <f>IF(X157=0,0,IF(OR(E157=$AT$10,E157=$AT$9),VLOOKUP(YEAR(X157),INPC!$B$4:$P$30,MONTH(X157)+1),VLOOKUP(YEAR(X157),INPC!$B$4:$P$30,MONTH(X157)+2,0)))</f>
        <v>0</v>
      </c>
      <c r="R157" s="309">
        <f t="shared" si="40"/>
        <v>0</v>
      </c>
      <c r="S157" s="310">
        <f t="shared" si="49"/>
        <v>0</v>
      </c>
      <c r="T157" s="547">
        <f t="shared" si="50"/>
        <v>0</v>
      </c>
      <c r="U157" s="311"/>
      <c r="V157" s="312"/>
      <c r="W157" s="299"/>
      <c r="X157" s="300"/>
      <c r="Y157" s="299"/>
      <c r="Z157" s="303"/>
      <c r="AA157" s="305">
        <f>IF(Z157=0,0,IF(Y157="MXN",1/HLOOKUP(YEAR(X157)+(MONTH(X157)/100),TC!$5:$37,DAY(X157)+2,FALSE),VLOOKUP(Y157,Equivalencia!$1:$23,((MAX(Equivalencia!$3:$3)-YEAR(X157))*14)+MONTH(X157)+2,FALSE)))</f>
        <v>0</v>
      </c>
      <c r="AB157" s="306">
        <f t="shared" si="51"/>
        <v>0</v>
      </c>
      <c r="AC157" s="305">
        <f>+IF(X157=0,0,HLOOKUP(YEAR(X157)+(MONTH(X157)/100),TC!$5:$37,DAY(X157)+2,FALSE))</f>
        <v>0</v>
      </c>
      <c r="AD157" s="307">
        <f t="shared" si="52"/>
        <v>0</v>
      </c>
      <c r="AE157" s="314">
        <f t="shared" si="41"/>
        <v>0</v>
      </c>
      <c r="AF157" s="315">
        <f t="shared" si="42"/>
        <v>0</v>
      </c>
      <c r="AG157" s="316">
        <f t="shared" si="43"/>
        <v>0</v>
      </c>
      <c r="AH157" s="314">
        <v>1</v>
      </c>
      <c r="AI157" s="314">
        <f t="shared" si="44"/>
        <v>0</v>
      </c>
      <c r="AJ157" s="314">
        <f t="shared" si="53"/>
        <v>0</v>
      </c>
      <c r="AK157" s="317"/>
      <c r="AL157" s="315">
        <f t="shared" si="45"/>
        <v>0</v>
      </c>
      <c r="AN157" s="546">
        <f t="shared" si="46"/>
        <v>0</v>
      </c>
      <c r="AO157" s="314"/>
      <c r="AP157" s="318"/>
    </row>
    <row r="158" spans="2:42">
      <c r="B158" s="296"/>
      <c r="C158" s="299"/>
      <c r="D158" s="298"/>
      <c r="E158" s="299"/>
      <c r="F158" s="299"/>
      <c r="G158" s="300"/>
      <c r="H158" s="303"/>
      <c r="I158" s="301">
        <f t="shared" si="37"/>
        <v>0</v>
      </c>
      <c r="J158" s="302">
        <f t="shared" si="47"/>
        <v>0</v>
      </c>
      <c r="K158" s="304">
        <f t="shared" si="38"/>
        <v>0</v>
      </c>
      <c r="L158" s="305">
        <f>IF(H158=0,0,IF(OR(E158=$AT$5,E158=$AT$6),AA158,IF(F158="MXN",1/HLOOKUP(YEAR(G158)+(MONTH(G158)/100),TC!$5:$37,DAY(G158)+2,FALSE),VLOOKUP(F158,Equivalencia!$5:$23,((MAX(Equivalencia!$3:$3)-YEAR(G158))*14)+MONTH(G158)+2,FALSE))))</f>
        <v>0</v>
      </c>
      <c r="M158" s="306">
        <f t="shared" si="39"/>
        <v>0</v>
      </c>
      <c r="N158" s="305">
        <f>IF(G158=0,0,(IF(OR(E158=$AT$5,E158=$AT$6),AC158,HLOOKUP(YEAR(G158)+(MONTH(G158)/100),TC!$5:$37,DAY(G158)+2,FALSE))))</f>
        <v>0</v>
      </c>
      <c r="O158" s="307">
        <f t="shared" si="48"/>
        <v>0</v>
      </c>
      <c r="P158" s="552">
        <f>IF(G158=0,0,VLOOKUP(YEAR(G158),INPC!$B$4:$P$30,MONTH(G158)+2))</f>
        <v>0</v>
      </c>
      <c r="Q158" s="552">
        <f>IF(X158=0,0,IF(OR(E158=$AT$10,E158=$AT$9),VLOOKUP(YEAR(X158),INPC!$B$4:$P$30,MONTH(X158)+1),VLOOKUP(YEAR(X158),INPC!$B$4:$P$30,MONTH(X158)+2,0)))</f>
        <v>0</v>
      </c>
      <c r="R158" s="309">
        <f t="shared" si="40"/>
        <v>0</v>
      </c>
      <c r="S158" s="310">
        <f t="shared" si="49"/>
        <v>0</v>
      </c>
      <c r="T158" s="547">
        <f t="shared" si="50"/>
        <v>0</v>
      </c>
      <c r="U158" s="311"/>
      <c r="V158" s="312"/>
      <c r="W158" s="299"/>
      <c r="X158" s="300"/>
      <c r="Y158" s="299"/>
      <c r="Z158" s="303"/>
      <c r="AA158" s="305">
        <f>IF(Z158=0,0,IF(Y158="MXN",1/HLOOKUP(YEAR(X158)+(MONTH(X158)/100),TC!$5:$37,DAY(X158)+2,FALSE),VLOOKUP(Y158,Equivalencia!$1:$23,((MAX(Equivalencia!$3:$3)-YEAR(X158))*14)+MONTH(X158)+2,FALSE)))</f>
        <v>0</v>
      </c>
      <c r="AB158" s="306">
        <f t="shared" si="51"/>
        <v>0</v>
      </c>
      <c r="AC158" s="305">
        <f>+IF(X158=0,0,HLOOKUP(YEAR(X158)+(MONTH(X158)/100),TC!$5:$37,DAY(X158)+2,FALSE))</f>
        <v>0</v>
      </c>
      <c r="AD158" s="307">
        <f t="shared" si="52"/>
        <v>0</v>
      </c>
      <c r="AE158" s="314">
        <f t="shared" si="41"/>
        <v>0</v>
      </c>
      <c r="AF158" s="315">
        <f t="shared" si="42"/>
        <v>0</v>
      </c>
      <c r="AG158" s="316">
        <f t="shared" si="43"/>
        <v>0</v>
      </c>
      <c r="AH158" s="314">
        <v>1</v>
      </c>
      <c r="AI158" s="314">
        <f t="shared" si="44"/>
        <v>0</v>
      </c>
      <c r="AJ158" s="314">
        <f t="shared" si="53"/>
        <v>0</v>
      </c>
      <c r="AK158" s="317"/>
      <c r="AL158" s="315">
        <f t="shared" si="45"/>
        <v>0</v>
      </c>
      <c r="AN158" s="546">
        <f t="shared" si="46"/>
        <v>0</v>
      </c>
      <c r="AO158" s="314"/>
      <c r="AP158" s="318"/>
    </row>
    <row r="159" spans="2:42">
      <c r="B159" s="296"/>
      <c r="C159" s="299"/>
      <c r="D159" s="298"/>
      <c r="E159" s="299"/>
      <c r="F159" s="299"/>
      <c r="G159" s="300"/>
      <c r="H159" s="303"/>
      <c r="I159" s="301">
        <f t="shared" si="37"/>
        <v>0</v>
      </c>
      <c r="J159" s="302">
        <f t="shared" si="47"/>
        <v>0</v>
      </c>
      <c r="K159" s="304">
        <f t="shared" si="38"/>
        <v>0</v>
      </c>
      <c r="L159" s="305">
        <f>IF(H159=0,0,IF(OR(E159=$AT$5,E159=$AT$6),AA159,IF(F159="MXN",1/HLOOKUP(YEAR(G159)+(MONTH(G159)/100),TC!$5:$37,DAY(G159)+2,FALSE),VLOOKUP(F159,Equivalencia!$5:$23,((MAX(Equivalencia!$3:$3)-YEAR(G159))*14)+MONTH(G159)+2,FALSE))))</f>
        <v>0</v>
      </c>
      <c r="M159" s="306">
        <f t="shared" si="39"/>
        <v>0</v>
      </c>
      <c r="N159" s="305">
        <f>IF(G159=0,0,(IF(OR(E159=$AT$5,E159=$AT$6),AC159,HLOOKUP(YEAR(G159)+(MONTH(G159)/100),TC!$5:$37,DAY(G159)+2,FALSE))))</f>
        <v>0</v>
      </c>
      <c r="O159" s="307">
        <f t="shared" si="48"/>
        <v>0</v>
      </c>
      <c r="P159" s="552">
        <f>IF(G159=0,0,VLOOKUP(YEAR(G159),INPC!$B$4:$P$30,MONTH(G159)+2))</f>
        <v>0</v>
      </c>
      <c r="Q159" s="552">
        <f>IF(X159=0,0,IF(OR(E159=$AT$10,E159=$AT$9),VLOOKUP(YEAR(X159),INPC!$B$4:$P$30,MONTH(X159)+1),VLOOKUP(YEAR(X159),INPC!$B$4:$P$30,MONTH(X159)+2,0)))</f>
        <v>0</v>
      </c>
      <c r="R159" s="309">
        <f t="shared" si="40"/>
        <v>0</v>
      </c>
      <c r="S159" s="310">
        <f t="shared" si="49"/>
        <v>0</v>
      </c>
      <c r="T159" s="547">
        <f t="shared" si="50"/>
        <v>0</v>
      </c>
      <c r="U159" s="311"/>
      <c r="V159" s="312"/>
      <c r="W159" s="299"/>
      <c r="X159" s="300"/>
      <c r="Y159" s="299"/>
      <c r="Z159" s="303"/>
      <c r="AA159" s="305">
        <f>IF(Z159=0,0,IF(Y159="MXN",1/HLOOKUP(YEAR(X159)+(MONTH(X159)/100),TC!$5:$37,DAY(X159)+2,FALSE),VLOOKUP(Y159,Equivalencia!$1:$23,((MAX(Equivalencia!$3:$3)-YEAR(X159))*14)+MONTH(X159)+2,FALSE)))</f>
        <v>0</v>
      </c>
      <c r="AB159" s="306">
        <f t="shared" si="51"/>
        <v>0</v>
      </c>
      <c r="AC159" s="305">
        <f>+IF(X159=0,0,HLOOKUP(YEAR(X159)+(MONTH(X159)/100),TC!$5:$37,DAY(X159)+2,FALSE))</f>
        <v>0</v>
      </c>
      <c r="AD159" s="307">
        <f t="shared" si="52"/>
        <v>0</v>
      </c>
      <c r="AE159" s="314">
        <f t="shared" si="41"/>
        <v>0</v>
      </c>
      <c r="AF159" s="315">
        <f t="shared" si="42"/>
        <v>0</v>
      </c>
      <c r="AG159" s="316">
        <f t="shared" si="43"/>
        <v>0</v>
      </c>
      <c r="AH159" s="314">
        <v>1</v>
      </c>
      <c r="AI159" s="314">
        <f t="shared" si="44"/>
        <v>0</v>
      </c>
      <c r="AJ159" s="314">
        <f t="shared" si="53"/>
        <v>0</v>
      </c>
      <c r="AK159" s="317"/>
      <c r="AL159" s="315">
        <f t="shared" si="45"/>
        <v>0</v>
      </c>
      <c r="AN159" s="546">
        <f t="shared" si="46"/>
        <v>0</v>
      </c>
      <c r="AO159" s="314"/>
      <c r="AP159" s="318"/>
    </row>
    <row r="160" spans="2:42">
      <c r="B160" s="296"/>
      <c r="C160" s="299"/>
      <c r="D160" s="298"/>
      <c r="E160" s="299"/>
      <c r="F160" s="299"/>
      <c r="G160" s="300"/>
      <c r="H160" s="303"/>
      <c r="I160" s="301">
        <f t="shared" si="37"/>
        <v>0</v>
      </c>
      <c r="J160" s="302">
        <f t="shared" si="47"/>
        <v>0</v>
      </c>
      <c r="K160" s="304">
        <f t="shared" si="38"/>
        <v>0</v>
      </c>
      <c r="L160" s="305">
        <f>IF(H160=0,0,IF(OR(E160=$AT$5,E160=$AT$6),AA160,IF(F160="MXN",1/HLOOKUP(YEAR(G160)+(MONTH(G160)/100),TC!$5:$37,DAY(G160)+2,FALSE),VLOOKUP(F160,Equivalencia!$5:$23,((MAX(Equivalencia!$3:$3)-YEAR(G160))*14)+MONTH(G160)+2,FALSE))))</f>
        <v>0</v>
      </c>
      <c r="M160" s="306">
        <f t="shared" si="39"/>
        <v>0</v>
      </c>
      <c r="N160" s="305">
        <f>IF(G160=0,0,(IF(OR(E160=$AT$5,E160=$AT$6),AC160,HLOOKUP(YEAR(G160)+(MONTH(G160)/100),TC!$5:$37,DAY(G160)+2,FALSE))))</f>
        <v>0</v>
      </c>
      <c r="O160" s="307">
        <f t="shared" si="48"/>
        <v>0</v>
      </c>
      <c r="P160" s="552">
        <f>IF(G160=0,0,VLOOKUP(YEAR(G160),INPC!$B$4:$P$30,MONTH(G160)+2))</f>
        <v>0</v>
      </c>
      <c r="Q160" s="552">
        <f>IF(X160=0,0,IF(OR(E160=$AT$10,E160=$AT$9),VLOOKUP(YEAR(X160),INPC!$B$4:$P$30,MONTH(X160)+1),VLOOKUP(YEAR(X160),INPC!$B$4:$P$30,MONTH(X160)+2,0)))</f>
        <v>0</v>
      </c>
      <c r="R160" s="309">
        <f t="shared" si="40"/>
        <v>0</v>
      </c>
      <c r="S160" s="310">
        <f t="shared" si="49"/>
        <v>0</v>
      </c>
      <c r="T160" s="547">
        <f t="shared" si="50"/>
        <v>0</v>
      </c>
      <c r="U160" s="311"/>
      <c r="V160" s="312"/>
      <c r="W160" s="299"/>
      <c r="X160" s="300"/>
      <c r="Y160" s="299"/>
      <c r="Z160" s="303"/>
      <c r="AA160" s="305">
        <f>IF(Z160=0,0,IF(Y160="MXN",1/HLOOKUP(YEAR(X160)+(MONTH(X160)/100),TC!$5:$37,DAY(X160)+2,FALSE),VLOOKUP(Y160,Equivalencia!$1:$23,((MAX(Equivalencia!$3:$3)-YEAR(X160))*14)+MONTH(X160)+2,FALSE)))</f>
        <v>0</v>
      </c>
      <c r="AB160" s="306">
        <f t="shared" si="51"/>
        <v>0</v>
      </c>
      <c r="AC160" s="305">
        <f>+IF(X160=0,0,HLOOKUP(YEAR(X160)+(MONTH(X160)/100),TC!$5:$37,DAY(X160)+2,FALSE))</f>
        <v>0</v>
      </c>
      <c r="AD160" s="307">
        <f t="shared" si="52"/>
        <v>0</v>
      </c>
      <c r="AE160" s="314">
        <f t="shared" si="41"/>
        <v>0</v>
      </c>
      <c r="AF160" s="315">
        <f t="shared" si="42"/>
        <v>0</v>
      </c>
      <c r="AG160" s="316">
        <f t="shared" si="43"/>
        <v>0</v>
      </c>
      <c r="AH160" s="314">
        <v>1</v>
      </c>
      <c r="AI160" s="314">
        <f t="shared" si="44"/>
        <v>0</v>
      </c>
      <c r="AJ160" s="314">
        <f t="shared" si="53"/>
        <v>0</v>
      </c>
      <c r="AK160" s="317"/>
      <c r="AL160" s="315">
        <f t="shared" si="45"/>
        <v>0</v>
      </c>
      <c r="AN160" s="546">
        <f t="shared" si="46"/>
        <v>0</v>
      </c>
      <c r="AO160" s="314"/>
      <c r="AP160" s="318"/>
    </row>
    <row r="161" spans="2:42">
      <c r="B161" s="296"/>
      <c r="C161" s="299"/>
      <c r="D161" s="298"/>
      <c r="E161" s="299"/>
      <c r="F161" s="299"/>
      <c r="G161" s="300"/>
      <c r="H161" s="303"/>
      <c r="I161" s="301">
        <f t="shared" si="37"/>
        <v>0</v>
      </c>
      <c r="J161" s="302">
        <f t="shared" si="47"/>
        <v>0</v>
      </c>
      <c r="K161" s="304">
        <f t="shared" si="38"/>
        <v>0</v>
      </c>
      <c r="L161" s="305">
        <f>IF(H161=0,0,IF(OR(E161=$AT$5,E161=$AT$6),AA161,IF(F161="MXN",1/HLOOKUP(YEAR(G161)+(MONTH(G161)/100),TC!$5:$37,DAY(G161)+2,FALSE),VLOOKUP(F161,Equivalencia!$5:$23,((MAX(Equivalencia!$3:$3)-YEAR(G161))*14)+MONTH(G161)+2,FALSE))))</f>
        <v>0</v>
      </c>
      <c r="M161" s="306">
        <f t="shared" si="39"/>
        <v>0</v>
      </c>
      <c r="N161" s="305">
        <f>IF(G161=0,0,(IF(OR(E161=$AT$5,E161=$AT$6),AC161,HLOOKUP(YEAR(G161)+(MONTH(G161)/100),TC!$5:$37,DAY(G161)+2,FALSE))))</f>
        <v>0</v>
      </c>
      <c r="O161" s="307">
        <f t="shared" si="48"/>
        <v>0</v>
      </c>
      <c r="P161" s="552">
        <f>IF(G161=0,0,VLOOKUP(YEAR(G161),INPC!$B$4:$P$30,MONTH(G161)+2))</f>
        <v>0</v>
      </c>
      <c r="Q161" s="552">
        <f>IF(X161=0,0,IF(OR(E161=$AT$10,E161=$AT$9),VLOOKUP(YEAR(X161),INPC!$B$4:$P$30,MONTH(X161)+1),VLOOKUP(YEAR(X161),INPC!$B$4:$P$30,MONTH(X161)+2,0)))</f>
        <v>0</v>
      </c>
      <c r="R161" s="309">
        <f t="shared" si="40"/>
        <v>0</v>
      </c>
      <c r="S161" s="310">
        <f t="shared" si="49"/>
        <v>0</v>
      </c>
      <c r="T161" s="547">
        <f t="shared" si="50"/>
        <v>0</v>
      </c>
      <c r="U161" s="311"/>
      <c r="V161" s="312"/>
      <c r="W161" s="299"/>
      <c r="X161" s="300"/>
      <c r="Y161" s="299"/>
      <c r="Z161" s="303"/>
      <c r="AA161" s="305">
        <f>IF(Z161=0,0,IF(Y161="MXN",1/HLOOKUP(YEAR(X161)+(MONTH(X161)/100),TC!$5:$37,DAY(X161)+2,FALSE),VLOOKUP(Y161,Equivalencia!$1:$23,((MAX(Equivalencia!$3:$3)-YEAR(X161))*14)+MONTH(X161)+2,FALSE)))</f>
        <v>0</v>
      </c>
      <c r="AB161" s="306">
        <f t="shared" si="51"/>
        <v>0</v>
      </c>
      <c r="AC161" s="305">
        <f>+IF(X161=0,0,HLOOKUP(YEAR(X161)+(MONTH(X161)/100),TC!$5:$37,DAY(X161)+2,FALSE))</f>
        <v>0</v>
      </c>
      <c r="AD161" s="307">
        <f t="shared" si="52"/>
        <v>0</v>
      </c>
      <c r="AE161" s="314">
        <f t="shared" si="41"/>
        <v>0</v>
      </c>
      <c r="AF161" s="315">
        <f t="shared" si="42"/>
        <v>0</v>
      </c>
      <c r="AG161" s="316">
        <f t="shared" si="43"/>
        <v>0</v>
      </c>
      <c r="AH161" s="314">
        <v>1</v>
      </c>
      <c r="AI161" s="314">
        <f t="shared" si="44"/>
        <v>0</v>
      </c>
      <c r="AJ161" s="314">
        <f t="shared" si="53"/>
        <v>0</v>
      </c>
      <c r="AK161" s="317"/>
      <c r="AL161" s="315">
        <f t="shared" si="45"/>
        <v>0</v>
      </c>
      <c r="AN161" s="546">
        <f t="shared" si="46"/>
        <v>0</v>
      </c>
      <c r="AO161" s="314"/>
      <c r="AP161" s="318"/>
    </row>
    <row r="162" spans="2:42">
      <c r="B162" s="296"/>
      <c r="C162" s="299"/>
      <c r="D162" s="298"/>
      <c r="E162" s="299"/>
      <c r="F162" s="299"/>
      <c r="G162" s="300"/>
      <c r="H162" s="303"/>
      <c r="I162" s="301">
        <f t="shared" si="37"/>
        <v>0</v>
      </c>
      <c r="J162" s="302">
        <f t="shared" si="47"/>
        <v>0</v>
      </c>
      <c r="K162" s="304">
        <f t="shared" si="38"/>
        <v>0</v>
      </c>
      <c r="L162" s="305">
        <f>IF(H162=0,0,IF(OR(E162=$AT$5,E162=$AT$6),AA162,IF(F162="MXN",1/HLOOKUP(YEAR(G162)+(MONTH(G162)/100),TC!$5:$37,DAY(G162)+2,FALSE),VLOOKUP(F162,Equivalencia!$5:$23,((MAX(Equivalencia!$3:$3)-YEAR(G162))*14)+MONTH(G162)+2,FALSE))))</f>
        <v>0</v>
      </c>
      <c r="M162" s="306">
        <f t="shared" si="39"/>
        <v>0</v>
      </c>
      <c r="N162" s="305">
        <f>IF(G162=0,0,(IF(OR(E162=$AT$5,E162=$AT$6),AC162,HLOOKUP(YEAR(G162)+(MONTH(G162)/100),TC!$5:$37,DAY(G162)+2,FALSE))))</f>
        <v>0</v>
      </c>
      <c r="O162" s="307">
        <f t="shared" si="48"/>
        <v>0</v>
      </c>
      <c r="P162" s="552">
        <f>IF(G162=0,0,VLOOKUP(YEAR(G162),INPC!$B$4:$P$30,MONTH(G162)+2))</f>
        <v>0</v>
      </c>
      <c r="Q162" s="552">
        <f>IF(X162=0,0,IF(OR(E162=$AT$10,E162=$AT$9),VLOOKUP(YEAR(X162),INPC!$B$4:$P$30,MONTH(X162)+1),VLOOKUP(YEAR(X162),INPC!$B$4:$P$30,MONTH(X162)+2,0)))</f>
        <v>0</v>
      </c>
      <c r="R162" s="309">
        <f t="shared" si="40"/>
        <v>0</v>
      </c>
      <c r="S162" s="310">
        <f t="shared" si="49"/>
        <v>0</v>
      </c>
      <c r="T162" s="547">
        <f t="shared" si="50"/>
        <v>0</v>
      </c>
      <c r="U162" s="311"/>
      <c r="V162" s="312"/>
      <c r="W162" s="299"/>
      <c r="X162" s="300"/>
      <c r="Y162" s="299"/>
      <c r="Z162" s="303"/>
      <c r="AA162" s="305">
        <f>IF(Z162=0,0,IF(Y162="MXN",1/HLOOKUP(YEAR(X162)+(MONTH(X162)/100),TC!$5:$37,DAY(X162)+2,FALSE),VLOOKUP(Y162,Equivalencia!$1:$23,((MAX(Equivalencia!$3:$3)-YEAR(X162))*14)+MONTH(X162)+2,FALSE)))</f>
        <v>0</v>
      </c>
      <c r="AB162" s="306">
        <f t="shared" si="51"/>
        <v>0</v>
      </c>
      <c r="AC162" s="305">
        <f>+IF(X162=0,0,HLOOKUP(YEAR(X162)+(MONTH(X162)/100),TC!$5:$37,DAY(X162)+2,FALSE))</f>
        <v>0</v>
      </c>
      <c r="AD162" s="307">
        <f t="shared" si="52"/>
        <v>0</v>
      </c>
      <c r="AE162" s="314">
        <f t="shared" si="41"/>
        <v>0</v>
      </c>
      <c r="AF162" s="315">
        <f t="shared" si="42"/>
        <v>0</v>
      </c>
      <c r="AG162" s="316">
        <f t="shared" si="43"/>
        <v>0</v>
      </c>
      <c r="AH162" s="314">
        <v>1</v>
      </c>
      <c r="AI162" s="314">
        <f t="shared" si="44"/>
        <v>0</v>
      </c>
      <c r="AJ162" s="314">
        <f t="shared" si="53"/>
        <v>0</v>
      </c>
      <c r="AK162" s="317"/>
      <c r="AL162" s="315">
        <f t="shared" si="45"/>
        <v>0</v>
      </c>
      <c r="AN162" s="546">
        <f t="shared" si="46"/>
        <v>0</v>
      </c>
      <c r="AO162" s="314"/>
      <c r="AP162" s="318"/>
    </row>
    <row r="163" spans="2:42">
      <c r="B163" s="296"/>
      <c r="C163" s="299"/>
      <c r="D163" s="298"/>
      <c r="E163" s="299"/>
      <c r="F163" s="299"/>
      <c r="G163" s="300"/>
      <c r="H163" s="303"/>
      <c r="I163" s="301">
        <f t="shared" si="37"/>
        <v>0</v>
      </c>
      <c r="J163" s="302">
        <f t="shared" si="47"/>
        <v>0</v>
      </c>
      <c r="K163" s="304">
        <f t="shared" si="38"/>
        <v>0</v>
      </c>
      <c r="L163" s="305">
        <f>IF(H163=0,0,IF(OR(E163=$AT$5,E163=$AT$6),AA163,IF(F163="MXN",1/HLOOKUP(YEAR(G163)+(MONTH(G163)/100),TC!$5:$37,DAY(G163)+2,FALSE),VLOOKUP(F163,Equivalencia!$5:$23,((MAX(Equivalencia!$3:$3)-YEAR(G163))*14)+MONTH(G163)+2,FALSE))))</f>
        <v>0</v>
      </c>
      <c r="M163" s="306">
        <f t="shared" si="39"/>
        <v>0</v>
      </c>
      <c r="N163" s="305">
        <f>IF(G163=0,0,(IF(OR(E163=$AT$5,E163=$AT$6),AC163,HLOOKUP(YEAR(G163)+(MONTH(G163)/100),TC!$5:$37,DAY(G163)+2,FALSE))))</f>
        <v>0</v>
      </c>
      <c r="O163" s="307">
        <f t="shared" si="48"/>
        <v>0</v>
      </c>
      <c r="P163" s="552">
        <f>IF(G163=0,0,VLOOKUP(YEAR(G163),INPC!$B$4:$P$30,MONTH(G163)+2))</f>
        <v>0</v>
      </c>
      <c r="Q163" s="552">
        <f>IF(X163=0,0,IF(OR(E163=$AT$10,E163=$AT$9),VLOOKUP(YEAR(X163),INPC!$B$4:$P$30,MONTH(X163)+1),VLOOKUP(YEAR(X163),INPC!$B$4:$P$30,MONTH(X163)+2,0)))</f>
        <v>0</v>
      </c>
      <c r="R163" s="309">
        <f t="shared" si="40"/>
        <v>0</v>
      </c>
      <c r="S163" s="310">
        <f t="shared" si="49"/>
        <v>0</v>
      </c>
      <c r="T163" s="547">
        <f t="shared" si="50"/>
        <v>0</v>
      </c>
      <c r="U163" s="311"/>
      <c r="V163" s="312"/>
      <c r="W163" s="299"/>
      <c r="X163" s="300"/>
      <c r="Y163" s="299"/>
      <c r="Z163" s="303"/>
      <c r="AA163" s="305">
        <f>IF(Z163=0,0,IF(Y163="MXN",1/HLOOKUP(YEAR(X163)+(MONTH(X163)/100),TC!$5:$37,DAY(X163)+2,FALSE),VLOOKUP(Y163,Equivalencia!$1:$23,((MAX(Equivalencia!$3:$3)-YEAR(X163))*14)+MONTH(X163)+2,FALSE)))</f>
        <v>0</v>
      </c>
      <c r="AB163" s="306">
        <f t="shared" si="51"/>
        <v>0</v>
      </c>
      <c r="AC163" s="305">
        <f>+IF(X163=0,0,HLOOKUP(YEAR(X163)+(MONTH(X163)/100),TC!$5:$37,DAY(X163)+2,FALSE))</f>
        <v>0</v>
      </c>
      <c r="AD163" s="307">
        <f t="shared" si="52"/>
        <v>0</v>
      </c>
      <c r="AE163" s="314">
        <f t="shared" si="41"/>
        <v>0</v>
      </c>
      <c r="AF163" s="315">
        <f t="shared" si="42"/>
        <v>0</v>
      </c>
      <c r="AG163" s="316">
        <f t="shared" si="43"/>
        <v>0</v>
      </c>
      <c r="AH163" s="314">
        <v>1</v>
      </c>
      <c r="AI163" s="314">
        <f t="shared" si="44"/>
        <v>0</v>
      </c>
      <c r="AJ163" s="314">
        <f t="shared" si="53"/>
        <v>0</v>
      </c>
      <c r="AK163" s="317"/>
      <c r="AL163" s="315">
        <f t="shared" si="45"/>
        <v>0</v>
      </c>
      <c r="AN163" s="546">
        <f t="shared" si="46"/>
        <v>0</v>
      </c>
      <c r="AO163" s="314"/>
      <c r="AP163" s="318"/>
    </row>
    <row r="164" spans="2:42">
      <c r="B164" s="296"/>
      <c r="C164" s="299"/>
      <c r="D164" s="298"/>
      <c r="E164" s="299"/>
      <c r="F164" s="299"/>
      <c r="G164" s="300"/>
      <c r="H164" s="303"/>
      <c r="I164" s="301">
        <f t="shared" si="37"/>
        <v>0</v>
      </c>
      <c r="J164" s="302">
        <f t="shared" si="47"/>
        <v>0</v>
      </c>
      <c r="K164" s="304">
        <f t="shared" si="38"/>
        <v>0</v>
      </c>
      <c r="L164" s="305">
        <f>IF(H164=0,0,IF(OR(E164=$AT$5,E164=$AT$6),AA164,IF(F164="MXN",1/HLOOKUP(YEAR(G164)+(MONTH(G164)/100),TC!$5:$37,DAY(G164)+2,FALSE),VLOOKUP(F164,Equivalencia!$5:$23,((MAX(Equivalencia!$3:$3)-YEAR(G164))*14)+MONTH(G164)+2,FALSE))))</f>
        <v>0</v>
      </c>
      <c r="M164" s="306">
        <f t="shared" si="39"/>
        <v>0</v>
      </c>
      <c r="N164" s="305">
        <f>IF(G164=0,0,(IF(OR(E164=$AT$5,E164=$AT$6),AC164,HLOOKUP(YEAR(G164)+(MONTH(G164)/100),TC!$5:$37,DAY(G164)+2,FALSE))))</f>
        <v>0</v>
      </c>
      <c r="O164" s="307">
        <f t="shared" si="48"/>
        <v>0</v>
      </c>
      <c r="P164" s="552">
        <f>IF(G164=0,0,VLOOKUP(YEAR(G164),INPC!$B$4:$P$30,MONTH(G164)+2))</f>
        <v>0</v>
      </c>
      <c r="Q164" s="552">
        <f>IF(X164=0,0,IF(OR(E164=$AT$10,E164=$AT$9),VLOOKUP(YEAR(X164),INPC!$B$4:$P$30,MONTH(X164)+1),VLOOKUP(YEAR(X164),INPC!$B$4:$P$30,MONTH(X164)+2,0)))</f>
        <v>0</v>
      </c>
      <c r="R164" s="309">
        <f t="shared" si="40"/>
        <v>0</v>
      </c>
      <c r="S164" s="310">
        <f t="shared" si="49"/>
        <v>0</v>
      </c>
      <c r="T164" s="547">
        <f t="shared" si="50"/>
        <v>0</v>
      </c>
      <c r="U164" s="311"/>
      <c r="V164" s="312"/>
      <c r="W164" s="299"/>
      <c r="X164" s="300"/>
      <c r="Y164" s="299"/>
      <c r="Z164" s="303"/>
      <c r="AA164" s="305">
        <f>IF(Z164=0,0,IF(Y164="MXN",1/HLOOKUP(YEAR(X164)+(MONTH(X164)/100),TC!$5:$37,DAY(X164)+2,FALSE),VLOOKUP(Y164,Equivalencia!$1:$23,((MAX(Equivalencia!$3:$3)-YEAR(X164))*14)+MONTH(X164)+2,FALSE)))</f>
        <v>0</v>
      </c>
      <c r="AB164" s="306">
        <f t="shared" si="51"/>
        <v>0</v>
      </c>
      <c r="AC164" s="305">
        <f>+IF(X164=0,0,HLOOKUP(YEAR(X164)+(MONTH(X164)/100),TC!$5:$37,DAY(X164)+2,FALSE))</f>
        <v>0</v>
      </c>
      <c r="AD164" s="307">
        <f t="shared" si="52"/>
        <v>0</v>
      </c>
      <c r="AE164" s="314">
        <f t="shared" si="41"/>
        <v>0</v>
      </c>
      <c r="AF164" s="315">
        <f t="shared" si="42"/>
        <v>0</v>
      </c>
      <c r="AG164" s="316">
        <f t="shared" si="43"/>
        <v>0</v>
      </c>
      <c r="AH164" s="314">
        <v>1</v>
      </c>
      <c r="AI164" s="314">
        <f t="shared" si="44"/>
        <v>0</v>
      </c>
      <c r="AJ164" s="314">
        <f t="shared" si="53"/>
        <v>0</v>
      </c>
      <c r="AK164" s="317"/>
      <c r="AL164" s="315">
        <f t="shared" si="45"/>
        <v>0</v>
      </c>
      <c r="AN164" s="546">
        <f t="shared" si="46"/>
        <v>0</v>
      </c>
      <c r="AO164" s="314"/>
      <c r="AP164" s="318"/>
    </row>
    <row r="165" spans="2:42">
      <c r="B165" s="296"/>
      <c r="C165" s="299"/>
      <c r="D165" s="298"/>
      <c r="E165" s="299"/>
      <c r="F165" s="299"/>
      <c r="G165" s="300"/>
      <c r="H165" s="303"/>
      <c r="I165" s="301">
        <f t="shared" si="37"/>
        <v>0</v>
      </c>
      <c r="J165" s="302">
        <f t="shared" si="47"/>
        <v>0</v>
      </c>
      <c r="K165" s="304">
        <f t="shared" si="38"/>
        <v>0</v>
      </c>
      <c r="L165" s="305">
        <f>IF(H165=0,0,IF(OR(E165=$AT$5,E165=$AT$6),AA165,IF(F165="MXN",1/HLOOKUP(YEAR(G165)+(MONTH(G165)/100),TC!$5:$37,DAY(G165)+2,FALSE),VLOOKUP(F165,Equivalencia!$5:$23,((MAX(Equivalencia!$3:$3)-YEAR(G165))*14)+MONTH(G165)+2,FALSE))))</f>
        <v>0</v>
      </c>
      <c r="M165" s="306">
        <f t="shared" si="39"/>
        <v>0</v>
      </c>
      <c r="N165" s="305">
        <f>IF(G165=0,0,(IF(OR(E165=$AT$5,E165=$AT$6),AC165,HLOOKUP(YEAR(G165)+(MONTH(G165)/100),TC!$5:$37,DAY(G165)+2,FALSE))))</f>
        <v>0</v>
      </c>
      <c r="O165" s="307">
        <f t="shared" si="48"/>
        <v>0</v>
      </c>
      <c r="P165" s="552">
        <f>IF(G165=0,0,VLOOKUP(YEAR(G165),INPC!$B$4:$P$30,MONTH(G165)+2))</f>
        <v>0</v>
      </c>
      <c r="Q165" s="552">
        <f>IF(X165=0,0,IF(OR(E165=$AT$10,E165=$AT$9),VLOOKUP(YEAR(X165),INPC!$B$4:$P$30,MONTH(X165)+1),VLOOKUP(YEAR(X165),INPC!$B$4:$P$30,MONTH(X165)+2,0)))</f>
        <v>0</v>
      </c>
      <c r="R165" s="309">
        <f t="shared" si="40"/>
        <v>0</v>
      </c>
      <c r="S165" s="310">
        <f t="shared" si="49"/>
        <v>0</v>
      </c>
      <c r="T165" s="547">
        <f t="shared" si="50"/>
        <v>0</v>
      </c>
      <c r="U165" s="311"/>
      <c r="V165" s="312"/>
      <c r="W165" s="299"/>
      <c r="X165" s="300"/>
      <c r="Y165" s="299"/>
      <c r="Z165" s="303"/>
      <c r="AA165" s="305">
        <f>IF(Z165=0,0,IF(Y165="MXN",1/HLOOKUP(YEAR(X165)+(MONTH(X165)/100),TC!$5:$37,DAY(X165)+2,FALSE),VLOOKUP(Y165,Equivalencia!$1:$23,((MAX(Equivalencia!$3:$3)-YEAR(X165))*14)+MONTH(X165)+2,FALSE)))</f>
        <v>0</v>
      </c>
      <c r="AB165" s="306">
        <f t="shared" si="51"/>
        <v>0</v>
      </c>
      <c r="AC165" s="305">
        <f>+IF(X165=0,0,HLOOKUP(YEAR(X165)+(MONTH(X165)/100),TC!$5:$37,DAY(X165)+2,FALSE))</f>
        <v>0</v>
      </c>
      <c r="AD165" s="307">
        <f t="shared" si="52"/>
        <v>0</v>
      </c>
      <c r="AE165" s="314">
        <f t="shared" si="41"/>
        <v>0</v>
      </c>
      <c r="AF165" s="315">
        <f t="shared" si="42"/>
        <v>0</v>
      </c>
      <c r="AG165" s="316">
        <f t="shared" si="43"/>
        <v>0</v>
      </c>
      <c r="AH165" s="314">
        <v>1</v>
      </c>
      <c r="AI165" s="314">
        <f t="shared" si="44"/>
        <v>0</v>
      </c>
      <c r="AJ165" s="314">
        <f t="shared" si="53"/>
        <v>0</v>
      </c>
      <c r="AK165" s="317"/>
      <c r="AL165" s="315">
        <f t="shared" si="45"/>
        <v>0</v>
      </c>
      <c r="AN165" s="546">
        <f t="shared" si="46"/>
        <v>0</v>
      </c>
      <c r="AO165" s="314"/>
      <c r="AP165" s="318"/>
    </row>
    <row r="166" spans="2:42">
      <c r="B166" s="296"/>
      <c r="C166" s="299"/>
      <c r="D166" s="298"/>
      <c r="E166" s="299"/>
      <c r="F166" s="299"/>
      <c r="G166" s="300"/>
      <c r="H166" s="303"/>
      <c r="I166" s="301">
        <f t="shared" si="37"/>
        <v>0</v>
      </c>
      <c r="J166" s="302">
        <f t="shared" si="47"/>
        <v>0</v>
      </c>
      <c r="K166" s="304">
        <f t="shared" si="38"/>
        <v>0</v>
      </c>
      <c r="L166" s="305">
        <f>IF(H166=0,0,IF(OR(E166=$AT$5,E166=$AT$6),AA166,IF(F166="MXN",1/HLOOKUP(YEAR(G166)+(MONTH(G166)/100),TC!$5:$37,DAY(G166)+2,FALSE),VLOOKUP(F166,Equivalencia!$5:$23,((MAX(Equivalencia!$3:$3)-YEAR(G166))*14)+MONTH(G166)+2,FALSE))))</f>
        <v>0</v>
      </c>
      <c r="M166" s="306">
        <f t="shared" si="39"/>
        <v>0</v>
      </c>
      <c r="N166" s="305">
        <f>IF(G166=0,0,(IF(OR(E166=$AT$5,E166=$AT$6),AC166,HLOOKUP(YEAR(G166)+(MONTH(G166)/100),TC!$5:$37,DAY(G166)+2,FALSE))))</f>
        <v>0</v>
      </c>
      <c r="O166" s="307">
        <f t="shared" si="48"/>
        <v>0</v>
      </c>
      <c r="P166" s="552">
        <f>IF(G166=0,0,VLOOKUP(YEAR(G166),INPC!$B$4:$P$30,MONTH(G166)+2))</f>
        <v>0</v>
      </c>
      <c r="Q166" s="552">
        <f>IF(X166=0,0,IF(OR(E166=$AT$10,E166=$AT$9),VLOOKUP(YEAR(X166),INPC!$B$4:$P$30,MONTH(X166)+1),VLOOKUP(YEAR(X166),INPC!$B$4:$P$30,MONTH(X166)+2,0)))</f>
        <v>0</v>
      </c>
      <c r="R166" s="309">
        <f t="shared" si="40"/>
        <v>0</v>
      </c>
      <c r="S166" s="310">
        <f t="shared" si="49"/>
        <v>0</v>
      </c>
      <c r="T166" s="547">
        <f t="shared" si="50"/>
        <v>0</v>
      </c>
      <c r="U166" s="311"/>
      <c r="V166" s="312"/>
      <c r="W166" s="299"/>
      <c r="X166" s="300"/>
      <c r="Y166" s="299"/>
      <c r="Z166" s="303"/>
      <c r="AA166" s="305">
        <f>IF(Z166=0,0,IF(Y166="MXN",1/HLOOKUP(YEAR(X166)+(MONTH(X166)/100),TC!$5:$37,DAY(X166)+2,FALSE),VLOOKUP(Y166,Equivalencia!$1:$23,((MAX(Equivalencia!$3:$3)-YEAR(X166))*14)+MONTH(X166)+2,FALSE)))</f>
        <v>0</v>
      </c>
      <c r="AB166" s="306">
        <f t="shared" si="51"/>
        <v>0</v>
      </c>
      <c r="AC166" s="305">
        <f>+IF(X166=0,0,HLOOKUP(YEAR(X166)+(MONTH(X166)/100),TC!$5:$37,DAY(X166)+2,FALSE))</f>
        <v>0</v>
      </c>
      <c r="AD166" s="307">
        <f t="shared" si="52"/>
        <v>0</v>
      </c>
      <c r="AE166" s="314">
        <f t="shared" si="41"/>
        <v>0</v>
      </c>
      <c r="AF166" s="315">
        <f t="shared" si="42"/>
        <v>0</v>
      </c>
      <c r="AG166" s="316">
        <f t="shared" si="43"/>
        <v>0</v>
      </c>
      <c r="AH166" s="314">
        <v>1</v>
      </c>
      <c r="AI166" s="314">
        <f t="shared" si="44"/>
        <v>0</v>
      </c>
      <c r="AJ166" s="314">
        <f t="shared" si="53"/>
        <v>0</v>
      </c>
      <c r="AK166" s="317"/>
      <c r="AL166" s="315">
        <f t="shared" si="45"/>
        <v>0</v>
      </c>
      <c r="AN166" s="546">
        <f t="shared" si="46"/>
        <v>0</v>
      </c>
      <c r="AO166" s="314"/>
      <c r="AP166" s="318"/>
    </row>
    <row r="167" spans="2:42">
      <c r="B167" s="296"/>
      <c r="C167" s="299"/>
      <c r="D167" s="298"/>
      <c r="E167" s="299"/>
      <c r="F167" s="299"/>
      <c r="G167" s="300"/>
      <c r="H167" s="303"/>
      <c r="I167" s="301">
        <f t="shared" si="37"/>
        <v>0</v>
      </c>
      <c r="J167" s="302">
        <f t="shared" si="47"/>
        <v>0</v>
      </c>
      <c r="K167" s="304">
        <f t="shared" si="38"/>
        <v>0</v>
      </c>
      <c r="L167" s="305">
        <f>IF(H167=0,0,IF(OR(E167=$AT$5,E167=$AT$6),AA167,IF(F167="MXN",1/HLOOKUP(YEAR(G167)+(MONTH(G167)/100),TC!$5:$37,DAY(G167)+2,FALSE),VLOOKUP(F167,Equivalencia!$5:$23,((MAX(Equivalencia!$3:$3)-YEAR(G167))*14)+MONTH(G167)+2,FALSE))))</f>
        <v>0</v>
      </c>
      <c r="M167" s="306">
        <f t="shared" si="39"/>
        <v>0</v>
      </c>
      <c r="N167" s="305">
        <f>IF(G167=0,0,(IF(OR(E167=$AT$5,E167=$AT$6),AC167,HLOOKUP(YEAR(G167)+(MONTH(G167)/100),TC!$5:$37,DAY(G167)+2,FALSE))))</f>
        <v>0</v>
      </c>
      <c r="O167" s="307">
        <f t="shared" si="48"/>
        <v>0</v>
      </c>
      <c r="P167" s="552">
        <f>IF(G167=0,0,VLOOKUP(YEAR(G167),INPC!$B$4:$P$30,MONTH(G167)+2))</f>
        <v>0</v>
      </c>
      <c r="Q167" s="552">
        <f>IF(X167=0,0,IF(OR(E167=$AT$10,E167=$AT$9),VLOOKUP(YEAR(X167),INPC!$B$4:$P$30,MONTH(X167)+1),VLOOKUP(YEAR(X167),INPC!$B$4:$P$30,MONTH(X167)+2,0)))</f>
        <v>0</v>
      </c>
      <c r="R167" s="309">
        <f t="shared" si="40"/>
        <v>0</v>
      </c>
      <c r="S167" s="310">
        <f t="shared" si="49"/>
        <v>0</v>
      </c>
      <c r="T167" s="547">
        <f t="shared" si="50"/>
        <v>0</v>
      </c>
      <c r="U167" s="311"/>
      <c r="V167" s="312"/>
      <c r="W167" s="299"/>
      <c r="X167" s="300"/>
      <c r="Y167" s="299"/>
      <c r="Z167" s="303"/>
      <c r="AA167" s="305">
        <f>IF(Z167=0,0,IF(Y167="MXN",1/HLOOKUP(YEAR(X167)+(MONTH(X167)/100),TC!$5:$37,DAY(X167)+2,FALSE),VLOOKUP(Y167,Equivalencia!$1:$23,((MAX(Equivalencia!$3:$3)-YEAR(X167))*14)+MONTH(X167)+2,FALSE)))</f>
        <v>0</v>
      </c>
      <c r="AB167" s="306">
        <f t="shared" si="51"/>
        <v>0</v>
      </c>
      <c r="AC167" s="305">
        <f>+IF(X167=0,0,HLOOKUP(YEAR(X167)+(MONTH(X167)/100),TC!$5:$37,DAY(X167)+2,FALSE))</f>
        <v>0</v>
      </c>
      <c r="AD167" s="307">
        <f t="shared" si="52"/>
        <v>0</v>
      </c>
      <c r="AE167" s="314">
        <f t="shared" si="41"/>
        <v>0</v>
      </c>
      <c r="AF167" s="315">
        <f t="shared" si="42"/>
        <v>0</v>
      </c>
      <c r="AG167" s="316">
        <f t="shared" si="43"/>
        <v>0</v>
      </c>
      <c r="AH167" s="314">
        <v>1</v>
      </c>
      <c r="AI167" s="314">
        <f t="shared" si="44"/>
        <v>0</v>
      </c>
      <c r="AJ167" s="314">
        <f t="shared" si="53"/>
        <v>0</v>
      </c>
      <c r="AK167" s="317"/>
      <c r="AL167" s="315">
        <f t="shared" si="45"/>
        <v>0</v>
      </c>
      <c r="AN167" s="546">
        <f t="shared" si="46"/>
        <v>0</v>
      </c>
      <c r="AO167" s="314"/>
      <c r="AP167" s="318"/>
    </row>
    <row r="168" spans="2:42">
      <c r="B168" s="296"/>
      <c r="C168" s="299"/>
      <c r="D168" s="298"/>
      <c r="E168" s="299"/>
      <c r="F168" s="299"/>
      <c r="G168" s="300"/>
      <c r="H168" s="303"/>
      <c r="I168" s="301">
        <f t="shared" si="37"/>
        <v>0</v>
      </c>
      <c r="J168" s="302">
        <f t="shared" si="47"/>
        <v>0</v>
      </c>
      <c r="K168" s="304">
        <f t="shared" si="38"/>
        <v>0</v>
      </c>
      <c r="L168" s="305">
        <f>IF(H168=0,0,IF(OR(E168=$AT$5,E168=$AT$6),AA168,IF(F168="MXN",1/HLOOKUP(YEAR(G168)+(MONTH(G168)/100),TC!$5:$37,DAY(G168)+2,FALSE),VLOOKUP(F168,Equivalencia!$5:$23,((MAX(Equivalencia!$3:$3)-YEAR(G168))*14)+MONTH(G168)+2,FALSE))))</f>
        <v>0</v>
      </c>
      <c r="M168" s="306">
        <f t="shared" si="39"/>
        <v>0</v>
      </c>
      <c r="N168" s="305">
        <f>IF(G168=0,0,(IF(OR(E168=$AT$5,E168=$AT$6),AC168,HLOOKUP(YEAR(G168)+(MONTH(G168)/100),TC!$5:$37,DAY(G168)+2,FALSE))))</f>
        <v>0</v>
      </c>
      <c r="O168" s="307">
        <f t="shared" si="48"/>
        <v>0</v>
      </c>
      <c r="P168" s="552">
        <f>IF(G168=0,0,VLOOKUP(YEAR(G168),INPC!$B$4:$P$30,MONTH(G168)+2))</f>
        <v>0</v>
      </c>
      <c r="Q168" s="552">
        <f>IF(X168=0,0,IF(OR(E168=$AT$10,E168=$AT$9),VLOOKUP(YEAR(X168),INPC!$B$4:$P$30,MONTH(X168)+1),VLOOKUP(YEAR(X168),INPC!$B$4:$P$30,MONTH(X168)+2,0)))</f>
        <v>0</v>
      </c>
      <c r="R168" s="309">
        <f t="shared" si="40"/>
        <v>0</v>
      </c>
      <c r="S168" s="310">
        <f t="shared" si="49"/>
        <v>0</v>
      </c>
      <c r="T168" s="547">
        <f t="shared" si="50"/>
        <v>0</v>
      </c>
      <c r="U168" s="311"/>
      <c r="V168" s="312"/>
      <c r="W168" s="299"/>
      <c r="X168" s="300"/>
      <c r="Y168" s="299"/>
      <c r="Z168" s="303"/>
      <c r="AA168" s="305">
        <f>IF(Z168=0,0,IF(Y168="MXN",1/HLOOKUP(YEAR(X168)+(MONTH(X168)/100),TC!$5:$37,DAY(X168)+2,FALSE),VLOOKUP(Y168,Equivalencia!$1:$23,((MAX(Equivalencia!$3:$3)-YEAR(X168))*14)+MONTH(X168)+2,FALSE)))</f>
        <v>0</v>
      </c>
      <c r="AB168" s="306">
        <f t="shared" si="51"/>
        <v>0</v>
      </c>
      <c r="AC168" s="305">
        <f>+IF(X168=0,0,HLOOKUP(YEAR(X168)+(MONTH(X168)/100),TC!$5:$37,DAY(X168)+2,FALSE))</f>
        <v>0</v>
      </c>
      <c r="AD168" s="307">
        <f t="shared" si="52"/>
        <v>0</v>
      </c>
      <c r="AE168" s="314">
        <f t="shared" si="41"/>
        <v>0</v>
      </c>
      <c r="AF168" s="315">
        <f t="shared" si="42"/>
        <v>0</v>
      </c>
      <c r="AG168" s="316">
        <f t="shared" si="43"/>
        <v>0</v>
      </c>
      <c r="AH168" s="314">
        <v>1</v>
      </c>
      <c r="AI168" s="314">
        <f t="shared" si="44"/>
        <v>0</v>
      </c>
      <c r="AJ168" s="314">
        <f t="shared" si="53"/>
        <v>0</v>
      </c>
      <c r="AK168" s="317"/>
      <c r="AL168" s="315">
        <f t="shared" si="45"/>
        <v>0</v>
      </c>
      <c r="AN168" s="546">
        <f t="shared" si="46"/>
        <v>0</v>
      </c>
      <c r="AO168" s="314"/>
      <c r="AP168" s="318"/>
    </row>
    <row r="169" spans="2:42">
      <c r="B169" s="296"/>
      <c r="C169" s="299"/>
      <c r="D169" s="298"/>
      <c r="E169" s="299"/>
      <c r="F169" s="299"/>
      <c r="G169" s="300"/>
      <c r="H169" s="303"/>
      <c r="I169" s="301">
        <f t="shared" si="37"/>
        <v>0</v>
      </c>
      <c r="J169" s="302">
        <f t="shared" si="47"/>
        <v>0</v>
      </c>
      <c r="K169" s="304">
        <f t="shared" si="38"/>
        <v>0</v>
      </c>
      <c r="L169" s="305">
        <f>IF(H169=0,0,IF(OR(E169=$AT$5,E169=$AT$6),AA169,IF(F169="MXN",1/HLOOKUP(YEAR(G169)+(MONTH(G169)/100),TC!$5:$37,DAY(G169)+2,FALSE),VLOOKUP(F169,Equivalencia!$5:$23,((MAX(Equivalencia!$3:$3)-YEAR(G169))*14)+MONTH(G169)+2,FALSE))))</f>
        <v>0</v>
      </c>
      <c r="M169" s="306">
        <f t="shared" si="39"/>
        <v>0</v>
      </c>
      <c r="N169" s="305">
        <f>IF(G169=0,0,(IF(OR(E169=$AT$5,E169=$AT$6),AC169,HLOOKUP(YEAR(G169)+(MONTH(G169)/100),TC!$5:$37,DAY(G169)+2,FALSE))))</f>
        <v>0</v>
      </c>
      <c r="O169" s="307">
        <f t="shared" si="48"/>
        <v>0</v>
      </c>
      <c r="P169" s="552">
        <f>IF(G169=0,0,VLOOKUP(YEAR(G169),INPC!$B$4:$P$30,MONTH(G169)+2))</f>
        <v>0</v>
      </c>
      <c r="Q169" s="552">
        <f>IF(X169=0,0,IF(OR(E169=$AT$10,E169=$AT$9),VLOOKUP(YEAR(X169),INPC!$B$4:$P$30,MONTH(X169)+1),VLOOKUP(YEAR(X169),INPC!$B$4:$P$30,MONTH(X169)+2,0)))</f>
        <v>0</v>
      </c>
      <c r="R169" s="309">
        <f t="shared" si="40"/>
        <v>0</v>
      </c>
      <c r="S169" s="310">
        <f t="shared" si="49"/>
        <v>0</v>
      </c>
      <c r="T169" s="547">
        <f t="shared" si="50"/>
        <v>0</v>
      </c>
      <c r="U169" s="311"/>
      <c r="V169" s="312"/>
      <c r="W169" s="299"/>
      <c r="X169" s="300"/>
      <c r="Y169" s="299"/>
      <c r="Z169" s="303"/>
      <c r="AA169" s="305">
        <f>IF(Z169=0,0,IF(Y169="MXN",1/HLOOKUP(YEAR(X169)+(MONTH(X169)/100),TC!$5:$37,DAY(X169)+2,FALSE),VLOOKUP(Y169,Equivalencia!$1:$23,((MAX(Equivalencia!$3:$3)-YEAR(X169))*14)+MONTH(X169)+2,FALSE)))</f>
        <v>0</v>
      </c>
      <c r="AB169" s="306">
        <f t="shared" si="51"/>
        <v>0</v>
      </c>
      <c r="AC169" s="305">
        <f>+IF(X169=0,0,HLOOKUP(YEAR(X169)+(MONTH(X169)/100),TC!$5:$37,DAY(X169)+2,FALSE))</f>
        <v>0</v>
      </c>
      <c r="AD169" s="307">
        <f t="shared" si="52"/>
        <v>0</v>
      </c>
      <c r="AE169" s="314">
        <f t="shared" si="41"/>
        <v>0</v>
      </c>
      <c r="AF169" s="315">
        <f t="shared" si="42"/>
        <v>0</v>
      </c>
      <c r="AG169" s="316">
        <f t="shared" si="43"/>
        <v>0</v>
      </c>
      <c r="AH169" s="314">
        <v>1</v>
      </c>
      <c r="AI169" s="314">
        <f t="shared" si="44"/>
        <v>0</v>
      </c>
      <c r="AJ169" s="314">
        <f t="shared" si="53"/>
        <v>0</v>
      </c>
      <c r="AK169" s="317"/>
      <c r="AL169" s="315">
        <f t="shared" si="45"/>
        <v>0</v>
      </c>
      <c r="AN169" s="546">
        <f t="shared" si="46"/>
        <v>0</v>
      </c>
      <c r="AO169" s="314"/>
      <c r="AP169" s="318"/>
    </row>
    <row r="170" spans="2:42">
      <c r="B170" s="296"/>
      <c r="C170" s="299"/>
      <c r="D170" s="298"/>
      <c r="E170" s="299"/>
      <c r="F170" s="299"/>
      <c r="G170" s="300"/>
      <c r="H170" s="303"/>
      <c r="I170" s="301">
        <f t="shared" si="37"/>
        <v>0</v>
      </c>
      <c r="J170" s="302">
        <f t="shared" si="47"/>
        <v>0</v>
      </c>
      <c r="K170" s="304">
        <f t="shared" si="38"/>
        <v>0</v>
      </c>
      <c r="L170" s="305">
        <f>IF(H170=0,0,IF(OR(E170=$AT$5,E170=$AT$6),AA170,IF(F170="MXN",1/HLOOKUP(YEAR(G170)+(MONTH(G170)/100),TC!$5:$37,DAY(G170)+2,FALSE),VLOOKUP(F170,Equivalencia!$5:$23,((MAX(Equivalencia!$3:$3)-YEAR(G170))*14)+MONTH(G170)+2,FALSE))))</f>
        <v>0</v>
      </c>
      <c r="M170" s="306">
        <f t="shared" si="39"/>
        <v>0</v>
      </c>
      <c r="N170" s="305">
        <f>IF(G170=0,0,(IF(OR(E170=$AT$5,E170=$AT$6),AC170,HLOOKUP(YEAR(G170)+(MONTH(G170)/100),TC!$5:$37,DAY(G170)+2,FALSE))))</f>
        <v>0</v>
      </c>
      <c r="O170" s="307">
        <f t="shared" si="48"/>
        <v>0</v>
      </c>
      <c r="P170" s="552">
        <f>IF(G170=0,0,VLOOKUP(YEAR(G170),INPC!$B$4:$P$30,MONTH(G170)+2))</f>
        <v>0</v>
      </c>
      <c r="Q170" s="552">
        <f>IF(X170=0,0,IF(OR(E170=$AT$10,E170=$AT$9),VLOOKUP(YEAR(X170),INPC!$B$4:$P$30,MONTH(X170)+1),VLOOKUP(YEAR(X170),INPC!$B$4:$P$30,MONTH(X170)+2,0)))</f>
        <v>0</v>
      </c>
      <c r="R170" s="309">
        <f t="shared" si="40"/>
        <v>0</v>
      </c>
      <c r="S170" s="310">
        <f t="shared" si="49"/>
        <v>0</v>
      </c>
      <c r="T170" s="547">
        <f t="shared" si="50"/>
        <v>0</v>
      </c>
      <c r="U170" s="311"/>
      <c r="V170" s="312"/>
      <c r="W170" s="299"/>
      <c r="X170" s="300"/>
      <c r="Y170" s="299"/>
      <c r="Z170" s="303"/>
      <c r="AA170" s="305">
        <f>IF(Z170=0,0,IF(Y170="MXN",1/HLOOKUP(YEAR(X170)+(MONTH(X170)/100),TC!$5:$37,DAY(X170)+2,FALSE),VLOOKUP(Y170,Equivalencia!$1:$23,((MAX(Equivalencia!$3:$3)-YEAR(X170))*14)+MONTH(X170)+2,FALSE)))</f>
        <v>0</v>
      </c>
      <c r="AB170" s="306">
        <f t="shared" si="51"/>
        <v>0</v>
      </c>
      <c r="AC170" s="305">
        <f>+IF(X170=0,0,HLOOKUP(YEAR(X170)+(MONTH(X170)/100),TC!$5:$37,DAY(X170)+2,FALSE))</f>
        <v>0</v>
      </c>
      <c r="AD170" s="307">
        <f t="shared" si="52"/>
        <v>0</v>
      </c>
      <c r="AE170" s="314">
        <f t="shared" si="41"/>
        <v>0</v>
      </c>
      <c r="AF170" s="315">
        <f t="shared" si="42"/>
        <v>0</v>
      </c>
      <c r="AG170" s="316">
        <f t="shared" si="43"/>
        <v>0</v>
      </c>
      <c r="AH170" s="314">
        <v>1</v>
      </c>
      <c r="AI170" s="314">
        <f t="shared" si="44"/>
        <v>0</v>
      </c>
      <c r="AJ170" s="314">
        <f t="shared" si="53"/>
        <v>0</v>
      </c>
      <c r="AK170" s="317"/>
      <c r="AL170" s="315">
        <f t="shared" si="45"/>
        <v>0</v>
      </c>
      <c r="AN170" s="546">
        <f t="shared" si="46"/>
        <v>0</v>
      </c>
      <c r="AO170" s="314"/>
      <c r="AP170" s="318"/>
    </row>
    <row r="171" spans="2:42">
      <c r="B171" s="296"/>
      <c r="C171" s="299"/>
      <c r="D171" s="298"/>
      <c r="E171" s="299"/>
      <c r="F171" s="299"/>
      <c r="G171" s="300"/>
      <c r="H171" s="303"/>
      <c r="I171" s="301">
        <f t="shared" si="37"/>
        <v>0</v>
      </c>
      <c r="J171" s="302">
        <f t="shared" si="47"/>
        <v>0</v>
      </c>
      <c r="K171" s="304">
        <f t="shared" si="38"/>
        <v>0</v>
      </c>
      <c r="L171" s="305">
        <f>IF(H171=0,0,IF(OR(E171=$AT$5,E171=$AT$6),AA171,IF(F171="MXN",1/HLOOKUP(YEAR(G171)+(MONTH(G171)/100),TC!$5:$37,DAY(G171)+2,FALSE),VLOOKUP(F171,Equivalencia!$5:$23,((MAX(Equivalencia!$3:$3)-YEAR(G171))*14)+MONTH(G171)+2,FALSE))))</f>
        <v>0</v>
      </c>
      <c r="M171" s="306">
        <f t="shared" si="39"/>
        <v>0</v>
      </c>
      <c r="N171" s="305">
        <f>IF(G171=0,0,(IF(OR(E171=$AT$5,E171=$AT$6),AC171,HLOOKUP(YEAR(G171)+(MONTH(G171)/100),TC!$5:$37,DAY(G171)+2,FALSE))))</f>
        <v>0</v>
      </c>
      <c r="O171" s="307">
        <f t="shared" si="48"/>
        <v>0</v>
      </c>
      <c r="P171" s="552">
        <f>IF(G171=0,0,VLOOKUP(YEAR(G171),INPC!$B$4:$P$30,MONTH(G171)+2))</f>
        <v>0</v>
      </c>
      <c r="Q171" s="552">
        <f>IF(X171=0,0,IF(OR(E171=$AT$10,E171=$AT$9),VLOOKUP(YEAR(X171),INPC!$B$4:$P$30,MONTH(X171)+1),VLOOKUP(YEAR(X171),INPC!$B$4:$P$30,MONTH(X171)+2,0)))</f>
        <v>0</v>
      </c>
      <c r="R171" s="309">
        <f t="shared" si="40"/>
        <v>0</v>
      </c>
      <c r="S171" s="310">
        <f t="shared" si="49"/>
        <v>0</v>
      </c>
      <c r="T171" s="547">
        <f t="shared" si="50"/>
        <v>0</v>
      </c>
      <c r="U171" s="311"/>
      <c r="V171" s="312"/>
      <c r="W171" s="299"/>
      <c r="X171" s="300"/>
      <c r="Y171" s="299"/>
      <c r="Z171" s="303"/>
      <c r="AA171" s="305">
        <f>IF(Z171=0,0,IF(Y171="MXN",1/HLOOKUP(YEAR(X171)+(MONTH(X171)/100),TC!$5:$37,DAY(X171)+2,FALSE),VLOOKUP(Y171,Equivalencia!$1:$23,((MAX(Equivalencia!$3:$3)-YEAR(X171))*14)+MONTH(X171)+2,FALSE)))</f>
        <v>0</v>
      </c>
      <c r="AB171" s="306">
        <f t="shared" si="51"/>
        <v>0</v>
      </c>
      <c r="AC171" s="305">
        <f>+IF(X171=0,0,HLOOKUP(YEAR(X171)+(MONTH(X171)/100),TC!$5:$37,DAY(X171)+2,FALSE))</f>
        <v>0</v>
      </c>
      <c r="AD171" s="307">
        <f t="shared" si="52"/>
        <v>0</v>
      </c>
      <c r="AE171" s="314">
        <f t="shared" si="41"/>
        <v>0</v>
      </c>
      <c r="AF171" s="315">
        <f t="shared" si="42"/>
        <v>0</v>
      </c>
      <c r="AG171" s="316">
        <f t="shared" si="43"/>
        <v>0</v>
      </c>
      <c r="AH171" s="314">
        <v>1</v>
      </c>
      <c r="AI171" s="314">
        <f t="shared" si="44"/>
        <v>0</v>
      </c>
      <c r="AJ171" s="314">
        <f t="shared" si="53"/>
        <v>0</v>
      </c>
      <c r="AK171" s="317"/>
      <c r="AL171" s="315">
        <f t="shared" si="45"/>
        <v>0</v>
      </c>
      <c r="AN171" s="546">
        <f t="shared" si="46"/>
        <v>0</v>
      </c>
      <c r="AO171" s="314"/>
      <c r="AP171" s="318"/>
    </row>
    <row r="172" spans="2:42">
      <c r="B172" s="296"/>
      <c r="C172" s="299"/>
      <c r="D172" s="298"/>
      <c r="E172" s="299"/>
      <c r="F172" s="299"/>
      <c r="G172" s="300"/>
      <c r="H172" s="303"/>
      <c r="I172" s="301">
        <f t="shared" si="37"/>
        <v>0</v>
      </c>
      <c r="J172" s="302">
        <f t="shared" si="47"/>
        <v>0</v>
      </c>
      <c r="K172" s="304">
        <f t="shared" si="38"/>
        <v>0</v>
      </c>
      <c r="L172" s="305">
        <f>IF(H172=0,0,IF(OR(E172=$AT$5,E172=$AT$6),AA172,IF(F172="MXN",1/HLOOKUP(YEAR(G172)+(MONTH(G172)/100),TC!$5:$37,DAY(G172)+2,FALSE),VLOOKUP(F172,Equivalencia!$5:$23,((MAX(Equivalencia!$3:$3)-YEAR(G172))*14)+MONTH(G172)+2,FALSE))))</f>
        <v>0</v>
      </c>
      <c r="M172" s="306">
        <f t="shared" si="39"/>
        <v>0</v>
      </c>
      <c r="N172" s="305">
        <f>IF(G172=0,0,(IF(OR(E172=$AT$5,E172=$AT$6),AC172,HLOOKUP(YEAR(G172)+(MONTH(G172)/100),TC!$5:$37,DAY(G172)+2,FALSE))))</f>
        <v>0</v>
      </c>
      <c r="O172" s="307">
        <f t="shared" si="48"/>
        <v>0</v>
      </c>
      <c r="P172" s="552">
        <f>IF(G172=0,0,VLOOKUP(YEAR(G172),INPC!$B$4:$P$30,MONTH(G172)+2))</f>
        <v>0</v>
      </c>
      <c r="Q172" s="552">
        <f>IF(X172=0,0,IF(OR(E172=$AT$10,E172=$AT$9),VLOOKUP(YEAR(X172),INPC!$B$4:$P$30,MONTH(X172)+1),VLOOKUP(YEAR(X172),INPC!$B$4:$P$30,MONTH(X172)+2,0)))</f>
        <v>0</v>
      </c>
      <c r="R172" s="309">
        <f t="shared" si="40"/>
        <v>0</v>
      </c>
      <c r="S172" s="310">
        <f t="shared" si="49"/>
        <v>0</v>
      </c>
      <c r="T172" s="547">
        <f t="shared" si="50"/>
        <v>0</v>
      </c>
      <c r="U172" s="311"/>
      <c r="V172" s="312"/>
      <c r="W172" s="299"/>
      <c r="X172" s="300"/>
      <c r="Y172" s="299"/>
      <c r="Z172" s="303"/>
      <c r="AA172" s="305">
        <f>IF(Z172=0,0,IF(Y172="MXN",1/HLOOKUP(YEAR(X172)+(MONTH(X172)/100),TC!$5:$37,DAY(X172)+2,FALSE),VLOOKUP(Y172,Equivalencia!$1:$23,((MAX(Equivalencia!$3:$3)-YEAR(X172))*14)+MONTH(X172)+2,FALSE)))</f>
        <v>0</v>
      </c>
      <c r="AB172" s="306">
        <f t="shared" si="51"/>
        <v>0</v>
      </c>
      <c r="AC172" s="305">
        <f>+IF(X172=0,0,HLOOKUP(YEAR(X172)+(MONTH(X172)/100),TC!$5:$37,DAY(X172)+2,FALSE))</f>
        <v>0</v>
      </c>
      <c r="AD172" s="307">
        <f t="shared" si="52"/>
        <v>0</v>
      </c>
      <c r="AE172" s="314">
        <f t="shared" si="41"/>
        <v>0</v>
      </c>
      <c r="AF172" s="315">
        <f t="shared" si="42"/>
        <v>0</v>
      </c>
      <c r="AG172" s="316">
        <f t="shared" si="43"/>
        <v>0</v>
      </c>
      <c r="AH172" s="314">
        <v>1</v>
      </c>
      <c r="AI172" s="314">
        <f t="shared" si="44"/>
        <v>0</v>
      </c>
      <c r="AJ172" s="314">
        <f t="shared" si="53"/>
        <v>0</v>
      </c>
      <c r="AK172" s="317"/>
      <c r="AL172" s="315">
        <f t="shared" si="45"/>
        <v>0</v>
      </c>
      <c r="AN172" s="546">
        <f t="shared" si="46"/>
        <v>0</v>
      </c>
      <c r="AO172" s="314"/>
      <c r="AP172" s="318"/>
    </row>
    <row r="173" spans="2:42">
      <c r="B173" s="296"/>
      <c r="C173" s="299"/>
      <c r="D173" s="298"/>
      <c r="E173" s="299"/>
      <c r="F173" s="299"/>
      <c r="G173" s="300"/>
      <c r="H173" s="303"/>
      <c r="I173" s="301">
        <f t="shared" si="37"/>
        <v>0</v>
      </c>
      <c r="J173" s="302">
        <f t="shared" si="47"/>
        <v>0</v>
      </c>
      <c r="K173" s="304">
        <f t="shared" si="38"/>
        <v>0</v>
      </c>
      <c r="L173" s="305">
        <f>IF(H173=0,0,IF(OR(E173=$AT$5,E173=$AT$6),AA173,IF(F173="MXN",1/HLOOKUP(YEAR(G173)+(MONTH(G173)/100),TC!$5:$37,DAY(G173)+2,FALSE),VLOOKUP(F173,Equivalencia!$5:$23,((MAX(Equivalencia!$3:$3)-YEAR(G173))*14)+MONTH(G173)+2,FALSE))))</f>
        <v>0</v>
      </c>
      <c r="M173" s="306">
        <f t="shared" si="39"/>
        <v>0</v>
      </c>
      <c r="N173" s="305">
        <f>IF(G173=0,0,(IF(OR(E173=$AT$5,E173=$AT$6),AC173,HLOOKUP(YEAR(G173)+(MONTH(G173)/100),TC!$5:$37,DAY(G173)+2,FALSE))))</f>
        <v>0</v>
      </c>
      <c r="O173" s="307">
        <f t="shared" si="48"/>
        <v>0</v>
      </c>
      <c r="P173" s="552">
        <f>IF(G173=0,0,VLOOKUP(YEAR(G173),INPC!$B$4:$P$30,MONTH(G173)+2))</f>
        <v>0</v>
      </c>
      <c r="Q173" s="552">
        <f>IF(X173=0,0,IF(OR(E173=$AT$10,E173=$AT$9),VLOOKUP(YEAR(X173),INPC!$B$4:$P$30,MONTH(X173)+1),VLOOKUP(YEAR(X173),INPC!$B$4:$P$30,MONTH(X173)+2,0)))</f>
        <v>0</v>
      </c>
      <c r="R173" s="309">
        <f t="shared" si="40"/>
        <v>0</v>
      </c>
      <c r="S173" s="310">
        <f t="shared" si="49"/>
        <v>0</v>
      </c>
      <c r="T173" s="547">
        <f t="shared" si="50"/>
        <v>0</v>
      </c>
      <c r="U173" s="311"/>
      <c r="V173" s="312"/>
      <c r="W173" s="299"/>
      <c r="X173" s="300"/>
      <c r="Y173" s="299"/>
      <c r="Z173" s="303"/>
      <c r="AA173" s="305">
        <f>IF(Z173=0,0,IF(Y173="MXN",1/HLOOKUP(YEAR(X173)+(MONTH(X173)/100),TC!$5:$37,DAY(X173)+2,FALSE),VLOOKUP(Y173,Equivalencia!$1:$23,((MAX(Equivalencia!$3:$3)-YEAR(X173))*14)+MONTH(X173)+2,FALSE)))</f>
        <v>0</v>
      </c>
      <c r="AB173" s="306">
        <f t="shared" si="51"/>
        <v>0</v>
      </c>
      <c r="AC173" s="305">
        <f>+IF(X173=0,0,HLOOKUP(YEAR(X173)+(MONTH(X173)/100),TC!$5:$37,DAY(X173)+2,FALSE))</f>
        <v>0</v>
      </c>
      <c r="AD173" s="307">
        <f t="shared" si="52"/>
        <v>0</v>
      </c>
      <c r="AE173" s="314">
        <f t="shared" si="41"/>
        <v>0</v>
      </c>
      <c r="AF173" s="315">
        <f t="shared" si="42"/>
        <v>0</v>
      </c>
      <c r="AG173" s="316">
        <f t="shared" si="43"/>
        <v>0</v>
      </c>
      <c r="AH173" s="314">
        <v>1</v>
      </c>
      <c r="AI173" s="314">
        <f t="shared" si="44"/>
        <v>0</v>
      </c>
      <c r="AJ173" s="314">
        <f t="shared" si="53"/>
        <v>0</v>
      </c>
      <c r="AK173" s="317"/>
      <c r="AL173" s="315">
        <f t="shared" si="45"/>
        <v>0</v>
      </c>
      <c r="AN173" s="546">
        <f t="shared" si="46"/>
        <v>0</v>
      </c>
      <c r="AO173" s="314"/>
      <c r="AP173" s="318"/>
    </row>
    <row r="174" spans="2:42">
      <c r="B174" s="296"/>
      <c r="C174" s="299"/>
      <c r="D174" s="298"/>
      <c r="E174" s="299"/>
      <c r="F174" s="299"/>
      <c r="G174" s="300"/>
      <c r="H174" s="303"/>
      <c r="I174" s="301">
        <f t="shared" si="37"/>
        <v>0</v>
      </c>
      <c r="J174" s="302">
        <f t="shared" si="47"/>
        <v>0</v>
      </c>
      <c r="K174" s="304">
        <f t="shared" si="38"/>
        <v>0</v>
      </c>
      <c r="L174" s="305">
        <f>IF(H174=0,0,IF(OR(E174=$AT$5,E174=$AT$6),AA174,IF(F174="MXN",1/HLOOKUP(YEAR(G174)+(MONTH(G174)/100),TC!$5:$37,DAY(G174)+2,FALSE),VLOOKUP(F174,Equivalencia!$5:$23,((MAX(Equivalencia!$3:$3)-YEAR(G174))*14)+MONTH(G174)+2,FALSE))))</f>
        <v>0</v>
      </c>
      <c r="M174" s="306">
        <f t="shared" si="39"/>
        <v>0</v>
      </c>
      <c r="N174" s="305">
        <f>IF(G174=0,0,(IF(OR(E174=$AT$5,E174=$AT$6),AC174,HLOOKUP(YEAR(G174)+(MONTH(G174)/100),TC!$5:$37,DAY(G174)+2,FALSE))))</f>
        <v>0</v>
      </c>
      <c r="O174" s="307">
        <f t="shared" si="48"/>
        <v>0</v>
      </c>
      <c r="P174" s="552">
        <f>IF(G174=0,0,VLOOKUP(YEAR(G174),INPC!$B$4:$P$30,MONTH(G174)+2))</f>
        <v>0</v>
      </c>
      <c r="Q174" s="552">
        <f>IF(X174=0,0,IF(OR(E174=$AT$10,E174=$AT$9),VLOOKUP(YEAR(X174),INPC!$B$4:$P$30,MONTH(X174)+1),VLOOKUP(YEAR(X174),INPC!$B$4:$P$30,MONTH(X174)+2,0)))</f>
        <v>0</v>
      </c>
      <c r="R174" s="309">
        <f t="shared" si="40"/>
        <v>0</v>
      </c>
      <c r="S174" s="310">
        <f t="shared" si="49"/>
        <v>0</v>
      </c>
      <c r="T174" s="547">
        <f t="shared" si="50"/>
        <v>0</v>
      </c>
      <c r="U174" s="311"/>
      <c r="V174" s="312"/>
      <c r="W174" s="299"/>
      <c r="X174" s="300"/>
      <c r="Y174" s="299"/>
      <c r="Z174" s="303"/>
      <c r="AA174" s="305">
        <f>IF(Z174=0,0,IF(Y174="MXN",1/HLOOKUP(YEAR(X174)+(MONTH(X174)/100),TC!$5:$37,DAY(X174)+2,FALSE),VLOOKUP(Y174,Equivalencia!$1:$23,((MAX(Equivalencia!$3:$3)-YEAR(X174))*14)+MONTH(X174)+2,FALSE)))</f>
        <v>0</v>
      </c>
      <c r="AB174" s="306">
        <f t="shared" si="51"/>
        <v>0</v>
      </c>
      <c r="AC174" s="305">
        <f>+IF(X174=0,0,HLOOKUP(YEAR(X174)+(MONTH(X174)/100),TC!$5:$37,DAY(X174)+2,FALSE))</f>
        <v>0</v>
      </c>
      <c r="AD174" s="307">
        <f t="shared" si="52"/>
        <v>0</v>
      </c>
      <c r="AE174" s="314">
        <f t="shared" si="41"/>
        <v>0</v>
      </c>
      <c r="AF174" s="315">
        <f t="shared" si="42"/>
        <v>0</v>
      </c>
      <c r="AG174" s="316">
        <f t="shared" si="43"/>
        <v>0</v>
      </c>
      <c r="AH174" s="314">
        <v>1</v>
      </c>
      <c r="AI174" s="314">
        <f t="shared" si="44"/>
        <v>0</v>
      </c>
      <c r="AJ174" s="314">
        <f t="shared" si="53"/>
        <v>0</v>
      </c>
      <c r="AK174" s="317"/>
      <c r="AL174" s="315">
        <f t="shared" si="45"/>
        <v>0</v>
      </c>
      <c r="AN174" s="546">
        <f t="shared" si="46"/>
        <v>0</v>
      </c>
      <c r="AO174" s="314"/>
      <c r="AP174" s="318"/>
    </row>
    <row r="175" spans="2:42">
      <c r="B175" s="296"/>
      <c r="C175" s="299"/>
      <c r="D175" s="298"/>
      <c r="E175" s="299"/>
      <c r="F175" s="299"/>
      <c r="G175" s="300"/>
      <c r="H175" s="303"/>
      <c r="I175" s="301">
        <f t="shared" si="37"/>
        <v>0</v>
      </c>
      <c r="J175" s="302">
        <f t="shared" si="47"/>
        <v>0</v>
      </c>
      <c r="K175" s="304">
        <f t="shared" si="38"/>
        <v>0</v>
      </c>
      <c r="L175" s="305">
        <f>IF(H175=0,0,IF(OR(E175=$AT$5,E175=$AT$6),AA175,IF(F175="MXN",1/HLOOKUP(YEAR(G175)+(MONTH(G175)/100),TC!$5:$37,DAY(G175)+2,FALSE),VLOOKUP(F175,Equivalencia!$5:$23,((MAX(Equivalencia!$3:$3)-YEAR(G175))*14)+MONTH(G175)+2,FALSE))))</f>
        <v>0</v>
      </c>
      <c r="M175" s="306">
        <f t="shared" si="39"/>
        <v>0</v>
      </c>
      <c r="N175" s="305">
        <f>IF(G175=0,0,(IF(OR(E175=$AT$5,E175=$AT$6),AC175,HLOOKUP(YEAR(G175)+(MONTH(G175)/100),TC!$5:$37,DAY(G175)+2,FALSE))))</f>
        <v>0</v>
      </c>
      <c r="O175" s="307">
        <f t="shared" si="48"/>
        <v>0</v>
      </c>
      <c r="P175" s="552">
        <f>IF(G175=0,0,VLOOKUP(YEAR(G175),INPC!$B$4:$P$30,MONTH(G175)+2))</f>
        <v>0</v>
      </c>
      <c r="Q175" s="552">
        <f>IF(X175=0,0,IF(OR(E175=$AT$10,E175=$AT$9),VLOOKUP(YEAR(X175),INPC!$B$4:$P$30,MONTH(X175)+1),VLOOKUP(YEAR(X175),INPC!$B$4:$P$30,MONTH(X175)+2,0)))</f>
        <v>0</v>
      </c>
      <c r="R175" s="309">
        <f t="shared" si="40"/>
        <v>0</v>
      </c>
      <c r="S175" s="310">
        <f t="shared" si="49"/>
        <v>0</v>
      </c>
      <c r="T175" s="547">
        <f t="shared" si="50"/>
        <v>0</v>
      </c>
      <c r="U175" s="311"/>
      <c r="V175" s="312"/>
      <c r="W175" s="299"/>
      <c r="X175" s="300"/>
      <c r="Y175" s="299"/>
      <c r="Z175" s="303"/>
      <c r="AA175" s="305">
        <f>IF(Z175=0,0,IF(Y175="MXN",1/HLOOKUP(YEAR(X175)+(MONTH(X175)/100),TC!$5:$37,DAY(X175)+2,FALSE),VLOOKUP(Y175,Equivalencia!$1:$23,((MAX(Equivalencia!$3:$3)-YEAR(X175))*14)+MONTH(X175)+2,FALSE)))</f>
        <v>0</v>
      </c>
      <c r="AB175" s="306">
        <f t="shared" si="51"/>
        <v>0</v>
      </c>
      <c r="AC175" s="305">
        <f>+IF(X175=0,0,HLOOKUP(YEAR(X175)+(MONTH(X175)/100),TC!$5:$37,DAY(X175)+2,FALSE))</f>
        <v>0</v>
      </c>
      <c r="AD175" s="307">
        <f t="shared" si="52"/>
        <v>0</v>
      </c>
      <c r="AE175" s="314">
        <f t="shared" si="41"/>
        <v>0</v>
      </c>
      <c r="AF175" s="315">
        <f t="shared" si="42"/>
        <v>0</v>
      </c>
      <c r="AG175" s="316">
        <f t="shared" si="43"/>
        <v>0</v>
      </c>
      <c r="AH175" s="314">
        <v>1</v>
      </c>
      <c r="AI175" s="314">
        <f t="shared" si="44"/>
        <v>0</v>
      </c>
      <c r="AJ175" s="314">
        <f t="shared" si="53"/>
        <v>0</v>
      </c>
      <c r="AK175" s="317"/>
      <c r="AL175" s="315">
        <f t="shared" si="45"/>
        <v>0</v>
      </c>
      <c r="AN175" s="546">
        <f t="shared" si="46"/>
        <v>0</v>
      </c>
      <c r="AO175" s="314"/>
      <c r="AP175" s="318"/>
    </row>
    <row r="176" spans="2:42">
      <c r="B176" s="296"/>
      <c r="C176" s="299"/>
      <c r="D176" s="298"/>
      <c r="E176" s="299"/>
      <c r="F176" s="299"/>
      <c r="G176" s="300"/>
      <c r="H176" s="303"/>
      <c r="I176" s="301">
        <f t="shared" si="37"/>
        <v>0</v>
      </c>
      <c r="J176" s="302">
        <f t="shared" si="47"/>
        <v>0</v>
      </c>
      <c r="K176" s="304">
        <f t="shared" si="38"/>
        <v>0</v>
      </c>
      <c r="L176" s="305">
        <f>IF(H176=0,0,IF(OR(E176=$AT$5,E176=$AT$6),AA176,IF(F176="MXN",1/HLOOKUP(YEAR(G176)+(MONTH(G176)/100),TC!$5:$37,DAY(G176)+2,FALSE),VLOOKUP(F176,Equivalencia!$5:$23,((MAX(Equivalencia!$3:$3)-YEAR(G176))*14)+MONTH(G176)+2,FALSE))))</f>
        <v>0</v>
      </c>
      <c r="M176" s="306">
        <f t="shared" si="39"/>
        <v>0</v>
      </c>
      <c r="N176" s="305">
        <f>IF(G176=0,0,(IF(OR(E176=$AT$5,E176=$AT$6),AC176,HLOOKUP(YEAR(G176)+(MONTH(G176)/100),TC!$5:$37,DAY(G176)+2,FALSE))))</f>
        <v>0</v>
      </c>
      <c r="O176" s="307">
        <f t="shared" si="48"/>
        <v>0</v>
      </c>
      <c r="P176" s="552">
        <f>IF(G176=0,0,VLOOKUP(YEAR(G176),INPC!$B$4:$P$30,MONTH(G176)+2))</f>
        <v>0</v>
      </c>
      <c r="Q176" s="552">
        <f>IF(X176=0,0,IF(OR(E176=$AT$10,E176=$AT$9),VLOOKUP(YEAR(X176),INPC!$B$4:$P$30,MONTH(X176)+1),VLOOKUP(YEAR(X176),INPC!$B$4:$P$30,MONTH(X176)+2,0)))</f>
        <v>0</v>
      </c>
      <c r="R176" s="309">
        <f t="shared" si="40"/>
        <v>0</v>
      </c>
      <c r="S176" s="310">
        <f t="shared" si="49"/>
        <v>0</v>
      </c>
      <c r="T176" s="547">
        <f t="shared" si="50"/>
        <v>0</v>
      </c>
      <c r="U176" s="311"/>
      <c r="V176" s="312"/>
      <c r="W176" s="299"/>
      <c r="X176" s="300"/>
      <c r="Y176" s="299"/>
      <c r="Z176" s="303"/>
      <c r="AA176" s="305">
        <f>IF(Z176=0,0,IF(Y176="MXN",1/HLOOKUP(YEAR(X176)+(MONTH(X176)/100),TC!$5:$37,DAY(X176)+2,FALSE),VLOOKUP(Y176,Equivalencia!$1:$23,((MAX(Equivalencia!$3:$3)-YEAR(X176))*14)+MONTH(X176)+2,FALSE)))</f>
        <v>0</v>
      </c>
      <c r="AB176" s="306">
        <f t="shared" si="51"/>
        <v>0</v>
      </c>
      <c r="AC176" s="305">
        <f>+IF(X176=0,0,HLOOKUP(YEAR(X176)+(MONTH(X176)/100),TC!$5:$37,DAY(X176)+2,FALSE))</f>
        <v>0</v>
      </c>
      <c r="AD176" s="307">
        <f t="shared" si="52"/>
        <v>0</v>
      </c>
      <c r="AE176" s="314">
        <f t="shared" si="41"/>
        <v>0</v>
      </c>
      <c r="AF176" s="315">
        <f t="shared" si="42"/>
        <v>0</v>
      </c>
      <c r="AG176" s="316">
        <f t="shared" si="43"/>
        <v>0</v>
      </c>
      <c r="AH176" s="314">
        <v>1</v>
      </c>
      <c r="AI176" s="314">
        <f t="shared" si="44"/>
        <v>0</v>
      </c>
      <c r="AJ176" s="314">
        <f t="shared" si="53"/>
        <v>0</v>
      </c>
      <c r="AK176" s="317"/>
      <c r="AL176" s="315">
        <f t="shared" si="45"/>
        <v>0</v>
      </c>
      <c r="AN176" s="546">
        <f t="shared" si="46"/>
        <v>0</v>
      </c>
      <c r="AO176" s="314"/>
      <c r="AP176" s="318"/>
    </row>
    <row r="177" spans="2:42">
      <c r="B177" s="296"/>
      <c r="C177" s="299"/>
      <c r="D177" s="298"/>
      <c r="E177" s="299"/>
      <c r="F177" s="299"/>
      <c r="G177" s="300"/>
      <c r="H177" s="303"/>
      <c r="I177" s="301">
        <f t="shared" si="37"/>
        <v>0</v>
      </c>
      <c r="J177" s="302">
        <f t="shared" si="47"/>
        <v>0</v>
      </c>
      <c r="K177" s="304">
        <f t="shared" si="38"/>
        <v>0</v>
      </c>
      <c r="L177" s="305">
        <f>IF(H177=0,0,IF(OR(E177=$AT$5,E177=$AT$6),AA177,IF(F177="MXN",1/HLOOKUP(YEAR(G177)+(MONTH(G177)/100),TC!$5:$37,DAY(G177)+2,FALSE),VLOOKUP(F177,Equivalencia!$5:$23,((MAX(Equivalencia!$3:$3)-YEAR(G177))*14)+MONTH(G177)+2,FALSE))))</f>
        <v>0</v>
      </c>
      <c r="M177" s="306">
        <f t="shared" si="39"/>
        <v>0</v>
      </c>
      <c r="N177" s="305">
        <f>IF(G177=0,0,(IF(OR(E177=$AT$5,E177=$AT$6),AC177,HLOOKUP(YEAR(G177)+(MONTH(G177)/100),TC!$5:$37,DAY(G177)+2,FALSE))))</f>
        <v>0</v>
      </c>
      <c r="O177" s="307">
        <f t="shared" si="48"/>
        <v>0</v>
      </c>
      <c r="P177" s="552">
        <f>IF(G177=0,0,VLOOKUP(YEAR(G177),INPC!$B$4:$P$30,MONTH(G177)+2))</f>
        <v>0</v>
      </c>
      <c r="Q177" s="552">
        <f>IF(X177=0,0,IF(OR(E177=$AT$10,E177=$AT$9),VLOOKUP(YEAR(X177),INPC!$B$4:$P$30,MONTH(X177)+1),VLOOKUP(YEAR(X177),INPC!$B$4:$P$30,MONTH(X177)+2,0)))</f>
        <v>0</v>
      </c>
      <c r="R177" s="309">
        <f t="shared" si="40"/>
        <v>0</v>
      </c>
      <c r="S177" s="310">
        <f t="shared" si="49"/>
        <v>0</v>
      </c>
      <c r="T177" s="547">
        <f t="shared" si="50"/>
        <v>0</v>
      </c>
      <c r="U177" s="311"/>
      <c r="V177" s="312"/>
      <c r="W177" s="299"/>
      <c r="X177" s="300"/>
      <c r="Y177" s="299"/>
      <c r="Z177" s="303"/>
      <c r="AA177" s="305">
        <f>IF(Z177=0,0,IF(Y177="MXN",1/HLOOKUP(YEAR(X177)+(MONTH(X177)/100),TC!$5:$37,DAY(X177)+2,FALSE),VLOOKUP(Y177,Equivalencia!$1:$23,((MAX(Equivalencia!$3:$3)-YEAR(X177))*14)+MONTH(X177)+2,FALSE)))</f>
        <v>0</v>
      </c>
      <c r="AB177" s="306">
        <f t="shared" si="51"/>
        <v>0</v>
      </c>
      <c r="AC177" s="305">
        <f>+IF(X177=0,0,HLOOKUP(YEAR(X177)+(MONTH(X177)/100),TC!$5:$37,DAY(X177)+2,FALSE))</f>
        <v>0</v>
      </c>
      <c r="AD177" s="307">
        <f t="shared" si="52"/>
        <v>0</v>
      </c>
      <c r="AE177" s="314">
        <f t="shared" si="41"/>
        <v>0</v>
      </c>
      <c r="AF177" s="315">
        <f t="shared" si="42"/>
        <v>0</v>
      </c>
      <c r="AG177" s="316">
        <f t="shared" si="43"/>
        <v>0</v>
      </c>
      <c r="AH177" s="314">
        <v>1</v>
      </c>
      <c r="AI177" s="314">
        <f t="shared" si="44"/>
        <v>0</v>
      </c>
      <c r="AJ177" s="314">
        <f t="shared" si="53"/>
        <v>0</v>
      </c>
      <c r="AK177" s="317"/>
      <c r="AL177" s="315">
        <f t="shared" si="45"/>
        <v>0</v>
      </c>
      <c r="AN177" s="546">
        <f t="shared" si="46"/>
        <v>0</v>
      </c>
      <c r="AO177" s="314"/>
      <c r="AP177" s="318"/>
    </row>
    <row r="178" spans="2:42">
      <c r="B178" s="296"/>
      <c r="C178" s="299"/>
      <c r="D178" s="298"/>
      <c r="E178" s="299"/>
      <c r="F178" s="299"/>
      <c r="G178" s="300"/>
      <c r="H178" s="303"/>
      <c r="I178" s="301">
        <f t="shared" si="37"/>
        <v>0</v>
      </c>
      <c r="J178" s="302">
        <f t="shared" si="47"/>
        <v>0</v>
      </c>
      <c r="K178" s="304">
        <f t="shared" si="38"/>
        <v>0</v>
      </c>
      <c r="L178" s="305">
        <f>IF(H178=0,0,IF(OR(E178=$AT$5,E178=$AT$6),AA178,IF(F178="MXN",1/HLOOKUP(YEAR(G178)+(MONTH(G178)/100),TC!$5:$37,DAY(G178)+2,FALSE),VLOOKUP(F178,Equivalencia!$5:$23,((MAX(Equivalencia!$3:$3)-YEAR(G178))*14)+MONTH(G178)+2,FALSE))))</f>
        <v>0</v>
      </c>
      <c r="M178" s="306">
        <f t="shared" si="39"/>
        <v>0</v>
      </c>
      <c r="N178" s="305">
        <f>IF(G178=0,0,(IF(OR(E178=$AT$5,E178=$AT$6),AC178,HLOOKUP(YEAR(G178)+(MONTH(G178)/100),TC!$5:$37,DAY(G178)+2,FALSE))))</f>
        <v>0</v>
      </c>
      <c r="O178" s="307">
        <f t="shared" si="48"/>
        <v>0</v>
      </c>
      <c r="P178" s="552">
        <f>IF(G178=0,0,VLOOKUP(YEAR(G178),INPC!$B$4:$P$30,MONTH(G178)+2))</f>
        <v>0</v>
      </c>
      <c r="Q178" s="552">
        <f>IF(X178=0,0,IF(OR(E178=$AT$10,E178=$AT$9),VLOOKUP(YEAR(X178),INPC!$B$4:$P$30,MONTH(X178)+1),VLOOKUP(YEAR(X178),INPC!$B$4:$P$30,MONTH(X178)+2,0)))</f>
        <v>0</v>
      </c>
      <c r="R178" s="309">
        <f t="shared" si="40"/>
        <v>0</v>
      </c>
      <c r="S178" s="310">
        <f t="shared" si="49"/>
        <v>0</v>
      </c>
      <c r="T178" s="547">
        <f t="shared" si="50"/>
        <v>0</v>
      </c>
      <c r="U178" s="311"/>
      <c r="V178" s="312"/>
      <c r="W178" s="299"/>
      <c r="X178" s="300"/>
      <c r="Y178" s="299"/>
      <c r="Z178" s="303"/>
      <c r="AA178" s="305">
        <f>IF(Z178=0,0,IF(Y178="MXN",1/HLOOKUP(YEAR(X178)+(MONTH(X178)/100),TC!$5:$37,DAY(X178)+2,FALSE),VLOOKUP(Y178,Equivalencia!$1:$23,((MAX(Equivalencia!$3:$3)-YEAR(X178))*14)+MONTH(X178)+2,FALSE)))</f>
        <v>0</v>
      </c>
      <c r="AB178" s="306">
        <f t="shared" si="51"/>
        <v>0</v>
      </c>
      <c r="AC178" s="305">
        <f>+IF(X178=0,0,HLOOKUP(YEAR(X178)+(MONTH(X178)/100),TC!$5:$37,DAY(X178)+2,FALSE))</f>
        <v>0</v>
      </c>
      <c r="AD178" s="307">
        <f t="shared" si="52"/>
        <v>0</v>
      </c>
      <c r="AE178" s="314">
        <f t="shared" si="41"/>
        <v>0</v>
      </c>
      <c r="AF178" s="315">
        <f t="shared" si="42"/>
        <v>0</v>
      </c>
      <c r="AG178" s="316">
        <f t="shared" si="43"/>
        <v>0</v>
      </c>
      <c r="AH178" s="314">
        <v>1</v>
      </c>
      <c r="AI178" s="314">
        <f t="shared" si="44"/>
        <v>0</v>
      </c>
      <c r="AJ178" s="314">
        <f t="shared" si="53"/>
        <v>0</v>
      </c>
      <c r="AK178" s="317"/>
      <c r="AL178" s="315">
        <f t="shared" si="45"/>
        <v>0</v>
      </c>
      <c r="AN178" s="546">
        <f t="shared" si="46"/>
        <v>0</v>
      </c>
      <c r="AO178" s="314"/>
      <c r="AP178" s="318"/>
    </row>
    <row r="179" spans="2:42">
      <c r="B179" s="296"/>
      <c r="C179" s="299"/>
      <c r="D179" s="298"/>
      <c r="E179" s="299"/>
      <c r="F179" s="299"/>
      <c r="G179" s="300"/>
      <c r="H179" s="303"/>
      <c r="I179" s="301">
        <f t="shared" si="37"/>
        <v>0</v>
      </c>
      <c r="J179" s="302">
        <f t="shared" si="47"/>
        <v>0</v>
      </c>
      <c r="K179" s="304">
        <f t="shared" si="38"/>
        <v>0</v>
      </c>
      <c r="L179" s="305">
        <f>IF(H179=0,0,IF(OR(E179=$AT$5,E179=$AT$6),AA179,IF(F179="MXN",1/HLOOKUP(YEAR(G179)+(MONTH(G179)/100),TC!$5:$37,DAY(G179)+2,FALSE),VLOOKUP(F179,Equivalencia!$5:$23,((MAX(Equivalencia!$3:$3)-YEAR(G179))*14)+MONTH(G179)+2,FALSE))))</f>
        <v>0</v>
      </c>
      <c r="M179" s="306">
        <f t="shared" si="39"/>
        <v>0</v>
      </c>
      <c r="N179" s="305">
        <f>IF(G179=0,0,(IF(OR(E179=$AT$5,E179=$AT$6),AC179,HLOOKUP(YEAR(G179)+(MONTH(G179)/100),TC!$5:$37,DAY(G179)+2,FALSE))))</f>
        <v>0</v>
      </c>
      <c r="O179" s="307">
        <f t="shared" si="48"/>
        <v>0</v>
      </c>
      <c r="P179" s="552">
        <f>IF(G179=0,0,VLOOKUP(YEAR(G179),INPC!$B$4:$P$30,MONTH(G179)+2))</f>
        <v>0</v>
      </c>
      <c r="Q179" s="552">
        <f>IF(X179=0,0,IF(OR(E179=$AT$10,E179=$AT$9),VLOOKUP(YEAR(X179),INPC!$B$4:$P$30,MONTH(X179)+1),VLOOKUP(YEAR(X179),INPC!$B$4:$P$30,MONTH(X179)+2,0)))</f>
        <v>0</v>
      </c>
      <c r="R179" s="309">
        <f t="shared" si="40"/>
        <v>0</v>
      </c>
      <c r="S179" s="310">
        <f t="shared" si="49"/>
        <v>0</v>
      </c>
      <c r="T179" s="547">
        <f t="shared" si="50"/>
        <v>0</v>
      </c>
      <c r="U179" s="311"/>
      <c r="V179" s="312"/>
      <c r="W179" s="299"/>
      <c r="X179" s="300"/>
      <c r="Y179" s="299"/>
      <c r="Z179" s="303"/>
      <c r="AA179" s="305">
        <f>IF(Z179=0,0,IF(Y179="MXN",1/HLOOKUP(YEAR(X179)+(MONTH(X179)/100),TC!$5:$37,DAY(X179)+2,FALSE),VLOOKUP(Y179,Equivalencia!$1:$23,((MAX(Equivalencia!$3:$3)-YEAR(X179))*14)+MONTH(X179)+2,FALSE)))</f>
        <v>0</v>
      </c>
      <c r="AB179" s="306">
        <f t="shared" si="51"/>
        <v>0</v>
      </c>
      <c r="AC179" s="305">
        <f>+IF(X179=0,0,HLOOKUP(YEAR(X179)+(MONTH(X179)/100),TC!$5:$37,DAY(X179)+2,FALSE))</f>
        <v>0</v>
      </c>
      <c r="AD179" s="307">
        <f t="shared" si="52"/>
        <v>0</v>
      </c>
      <c r="AE179" s="314">
        <f t="shared" si="41"/>
        <v>0</v>
      </c>
      <c r="AF179" s="315">
        <f t="shared" si="42"/>
        <v>0</v>
      </c>
      <c r="AG179" s="316">
        <f t="shared" si="43"/>
        <v>0</v>
      </c>
      <c r="AH179" s="314">
        <v>1</v>
      </c>
      <c r="AI179" s="314">
        <f t="shared" si="44"/>
        <v>0</v>
      </c>
      <c r="AJ179" s="314">
        <f t="shared" si="53"/>
        <v>0</v>
      </c>
      <c r="AK179" s="317"/>
      <c r="AL179" s="315">
        <f t="shared" si="45"/>
        <v>0</v>
      </c>
      <c r="AN179" s="546">
        <f t="shared" si="46"/>
        <v>0</v>
      </c>
      <c r="AO179" s="314"/>
      <c r="AP179" s="318"/>
    </row>
    <row r="180" spans="2:42">
      <c r="B180" s="296"/>
      <c r="C180" s="299"/>
      <c r="D180" s="298"/>
      <c r="E180" s="299"/>
      <c r="F180" s="299"/>
      <c r="G180" s="300"/>
      <c r="H180" s="303"/>
      <c r="I180" s="301">
        <f t="shared" si="37"/>
        <v>0</v>
      </c>
      <c r="J180" s="302">
        <f t="shared" si="47"/>
        <v>0</v>
      </c>
      <c r="K180" s="304">
        <f t="shared" si="38"/>
        <v>0</v>
      </c>
      <c r="L180" s="305">
        <f>IF(H180=0,0,IF(OR(E180=$AT$5,E180=$AT$6),AA180,IF(F180="MXN",1/HLOOKUP(YEAR(G180)+(MONTH(G180)/100),TC!$5:$37,DAY(G180)+2,FALSE),VLOOKUP(F180,Equivalencia!$5:$23,((MAX(Equivalencia!$3:$3)-YEAR(G180))*14)+MONTH(G180)+2,FALSE))))</f>
        <v>0</v>
      </c>
      <c r="M180" s="306">
        <f t="shared" si="39"/>
        <v>0</v>
      </c>
      <c r="N180" s="305">
        <f>IF(G180=0,0,(IF(OR(E180=$AT$5,E180=$AT$6),AC180,HLOOKUP(YEAR(G180)+(MONTH(G180)/100),TC!$5:$37,DAY(G180)+2,FALSE))))</f>
        <v>0</v>
      </c>
      <c r="O180" s="307">
        <f t="shared" si="48"/>
        <v>0</v>
      </c>
      <c r="P180" s="552">
        <f>IF(G180=0,0,VLOOKUP(YEAR(G180),INPC!$B$4:$P$30,MONTH(G180)+2))</f>
        <v>0</v>
      </c>
      <c r="Q180" s="552">
        <f>IF(X180=0,0,IF(OR(E180=$AT$10,E180=$AT$9),VLOOKUP(YEAR(X180),INPC!$B$4:$P$30,MONTH(X180)+1),VLOOKUP(YEAR(X180),INPC!$B$4:$P$30,MONTH(X180)+2,0)))</f>
        <v>0</v>
      </c>
      <c r="R180" s="309">
        <f t="shared" si="40"/>
        <v>0</v>
      </c>
      <c r="S180" s="310">
        <f t="shared" si="49"/>
        <v>0</v>
      </c>
      <c r="T180" s="547">
        <f t="shared" si="50"/>
        <v>0</v>
      </c>
      <c r="U180" s="311"/>
      <c r="V180" s="312"/>
      <c r="W180" s="299"/>
      <c r="X180" s="300"/>
      <c r="Y180" s="299"/>
      <c r="Z180" s="303"/>
      <c r="AA180" s="305">
        <f>IF(Z180=0,0,IF(Y180="MXN",1/HLOOKUP(YEAR(X180)+(MONTH(X180)/100),TC!$5:$37,DAY(X180)+2,FALSE),VLOOKUP(Y180,Equivalencia!$1:$23,((MAX(Equivalencia!$3:$3)-YEAR(X180))*14)+MONTH(X180)+2,FALSE)))</f>
        <v>0</v>
      </c>
      <c r="AB180" s="306">
        <f t="shared" si="51"/>
        <v>0</v>
      </c>
      <c r="AC180" s="305">
        <f>+IF(X180=0,0,HLOOKUP(YEAR(X180)+(MONTH(X180)/100),TC!$5:$37,DAY(X180)+2,FALSE))</f>
        <v>0</v>
      </c>
      <c r="AD180" s="307">
        <f t="shared" si="52"/>
        <v>0</v>
      </c>
      <c r="AE180" s="314">
        <f t="shared" si="41"/>
        <v>0</v>
      </c>
      <c r="AF180" s="315">
        <f t="shared" si="42"/>
        <v>0</v>
      </c>
      <c r="AG180" s="316">
        <f t="shared" si="43"/>
        <v>0</v>
      </c>
      <c r="AH180" s="314">
        <v>1</v>
      </c>
      <c r="AI180" s="314">
        <f t="shared" si="44"/>
        <v>0</v>
      </c>
      <c r="AJ180" s="314">
        <f t="shared" si="53"/>
        <v>0</v>
      </c>
      <c r="AK180" s="317"/>
      <c r="AL180" s="315">
        <f t="shared" si="45"/>
        <v>0</v>
      </c>
      <c r="AN180" s="546">
        <f t="shared" si="46"/>
        <v>0</v>
      </c>
      <c r="AO180" s="314"/>
      <c r="AP180" s="318"/>
    </row>
    <row r="181" spans="2:42">
      <c r="B181" s="296"/>
      <c r="C181" s="299"/>
      <c r="D181" s="298"/>
      <c r="E181" s="299"/>
      <c r="F181" s="299"/>
      <c r="G181" s="300"/>
      <c r="H181" s="303"/>
      <c r="I181" s="301">
        <f t="shared" si="37"/>
        <v>0</v>
      </c>
      <c r="J181" s="302">
        <f t="shared" si="47"/>
        <v>0</v>
      </c>
      <c r="K181" s="304">
        <f t="shared" si="38"/>
        <v>0</v>
      </c>
      <c r="L181" s="305">
        <f>IF(H181=0,0,IF(OR(E181=$AT$5,E181=$AT$6),AA181,IF(F181="MXN",1/HLOOKUP(YEAR(G181)+(MONTH(G181)/100),TC!$5:$37,DAY(G181)+2,FALSE),VLOOKUP(F181,Equivalencia!$5:$23,((MAX(Equivalencia!$3:$3)-YEAR(G181))*14)+MONTH(G181)+2,FALSE))))</f>
        <v>0</v>
      </c>
      <c r="M181" s="306">
        <f t="shared" si="39"/>
        <v>0</v>
      </c>
      <c r="N181" s="305">
        <f>IF(G181=0,0,(IF(OR(E181=$AT$5,E181=$AT$6),AC181,HLOOKUP(YEAR(G181)+(MONTH(G181)/100),TC!$5:$37,DAY(G181)+2,FALSE))))</f>
        <v>0</v>
      </c>
      <c r="O181" s="307">
        <f t="shared" si="48"/>
        <v>0</v>
      </c>
      <c r="P181" s="552">
        <f>IF(G181=0,0,VLOOKUP(YEAR(G181),INPC!$B$4:$P$30,MONTH(G181)+2))</f>
        <v>0</v>
      </c>
      <c r="Q181" s="552">
        <f>IF(X181=0,0,IF(OR(E181=$AT$10,E181=$AT$9),VLOOKUP(YEAR(X181),INPC!$B$4:$P$30,MONTH(X181)+1),VLOOKUP(YEAR(X181),INPC!$B$4:$P$30,MONTH(X181)+2,0)))</f>
        <v>0</v>
      </c>
      <c r="R181" s="309">
        <f t="shared" si="40"/>
        <v>0</v>
      </c>
      <c r="S181" s="310">
        <f t="shared" si="49"/>
        <v>0</v>
      </c>
      <c r="T181" s="547">
        <f t="shared" si="50"/>
        <v>0</v>
      </c>
      <c r="U181" s="311"/>
      <c r="V181" s="312"/>
      <c r="W181" s="299"/>
      <c r="X181" s="300"/>
      <c r="Y181" s="299"/>
      <c r="Z181" s="303"/>
      <c r="AA181" s="305">
        <f>IF(Z181=0,0,IF(Y181="MXN",1/HLOOKUP(YEAR(X181)+(MONTH(X181)/100),TC!$5:$37,DAY(X181)+2,FALSE),VLOOKUP(Y181,Equivalencia!$1:$23,((MAX(Equivalencia!$3:$3)-YEAR(X181))*14)+MONTH(X181)+2,FALSE)))</f>
        <v>0</v>
      </c>
      <c r="AB181" s="306">
        <f t="shared" si="51"/>
        <v>0</v>
      </c>
      <c r="AC181" s="305">
        <f>+IF(X181=0,0,HLOOKUP(YEAR(X181)+(MONTH(X181)/100),TC!$5:$37,DAY(X181)+2,FALSE))</f>
        <v>0</v>
      </c>
      <c r="AD181" s="307">
        <f t="shared" si="52"/>
        <v>0</v>
      </c>
      <c r="AE181" s="314">
        <f t="shared" si="41"/>
        <v>0</v>
      </c>
      <c r="AF181" s="315">
        <f t="shared" si="42"/>
        <v>0</v>
      </c>
      <c r="AG181" s="316">
        <f t="shared" si="43"/>
        <v>0</v>
      </c>
      <c r="AH181" s="314">
        <v>1</v>
      </c>
      <c r="AI181" s="314">
        <f t="shared" si="44"/>
        <v>0</v>
      </c>
      <c r="AJ181" s="314">
        <f t="shared" si="53"/>
        <v>0</v>
      </c>
      <c r="AK181" s="317"/>
      <c r="AL181" s="315">
        <f t="shared" si="45"/>
        <v>0</v>
      </c>
      <c r="AN181" s="546">
        <f t="shared" si="46"/>
        <v>0</v>
      </c>
      <c r="AO181" s="314"/>
      <c r="AP181" s="318"/>
    </row>
    <row r="182" spans="2:42">
      <c r="B182" s="296"/>
      <c r="C182" s="299"/>
      <c r="D182" s="298"/>
      <c r="E182" s="299"/>
      <c r="F182" s="299"/>
      <c r="G182" s="300"/>
      <c r="H182" s="303"/>
      <c r="I182" s="301">
        <f t="shared" si="37"/>
        <v>0</v>
      </c>
      <c r="J182" s="302">
        <f t="shared" si="47"/>
        <v>0</v>
      </c>
      <c r="K182" s="304">
        <f t="shared" si="38"/>
        <v>0</v>
      </c>
      <c r="L182" s="305">
        <f>IF(H182=0,0,IF(OR(E182=$AT$5,E182=$AT$6),AA182,IF(F182="MXN",1/HLOOKUP(YEAR(G182)+(MONTH(G182)/100),TC!$5:$37,DAY(G182)+2,FALSE),VLOOKUP(F182,Equivalencia!$5:$23,((MAX(Equivalencia!$3:$3)-YEAR(G182))*14)+MONTH(G182)+2,FALSE))))</f>
        <v>0</v>
      </c>
      <c r="M182" s="306">
        <f t="shared" si="39"/>
        <v>0</v>
      </c>
      <c r="N182" s="305">
        <f>IF(G182=0,0,(IF(OR(E182=$AT$5,E182=$AT$6),AC182,HLOOKUP(YEAR(G182)+(MONTH(G182)/100),TC!$5:$37,DAY(G182)+2,FALSE))))</f>
        <v>0</v>
      </c>
      <c r="O182" s="307">
        <f t="shared" si="48"/>
        <v>0</v>
      </c>
      <c r="P182" s="552">
        <f>IF(G182=0,0,VLOOKUP(YEAR(G182),INPC!$B$4:$P$30,MONTH(G182)+2))</f>
        <v>0</v>
      </c>
      <c r="Q182" s="552">
        <f>IF(X182=0,0,IF(OR(E182=$AT$10,E182=$AT$9),VLOOKUP(YEAR(X182),INPC!$B$4:$P$30,MONTH(X182)+1),VLOOKUP(YEAR(X182),INPC!$B$4:$P$30,MONTH(X182)+2,0)))</f>
        <v>0</v>
      </c>
      <c r="R182" s="309">
        <f t="shared" si="40"/>
        <v>0</v>
      </c>
      <c r="S182" s="310">
        <f t="shared" si="49"/>
        <v>0</v>
      </c>
      <c r="T182" s="547">
        <f t="shared" si="50"/>
        <v>0</v>
      </c>
      <c r="U182" s="311"/>
      <c r="V182" s="312"/>
      <c r="W182" s="299"/>
      <c r="X182" s="300"/>
      <c r="Y182" s="299"/>
      <c r="Z182" s="303"/>
      <c r="AA182" s="305">
        <f>IF(Z182=0,0,IF(Y182="MXN",1/HLOOKUP(YEAR(X182)+(MONTH(X182)/100),TC!$5:$37,DAY(X182)+2,FALSE),VLOOKUP(Y182,Equivalencia!$1:$23,((MAX(Equivalencia!$3:$3)-YEAR(X182))*14)+MONTH(X182)+2,FALSE)))</f>
        <v>0</v>
      </c>
      <c r="AB182" s="306">
        <f t="shared" si="51"/>
        <v>0</v>
      </c>
      <c r="AC182" s="305">
        <f>+IF(X182=0,0,HLOOKUP(YEAR(X182)+(MONTH(X182)/100),TC!$5:$37,DAY(X182)+2,FALSE))</f>
        <v>0</v>
      </c>
      <c r="AD182" s="307">
        <f t="shared" si="52"/>
        <v>0</v>
      </c>
      <c r="AE182" s="314">
        <f t="shared" si="41"/>
        <v>0</v>
      </c>
      <c r="AF182" s="315">
        <f t="shared" si="42"/>
        <v>0</v>
      </c>
      <c r="AG182" s="316">
        <f t="shared" si="43"/>
        <v>0</v>
      </c>
      <c r="AH182" s="314">
        <v>1</v>
      </c>
      <c r="AI182" s="314">
        <f t="shared" si="44"/>
        <v>0</v>
      </c>
      <c r="AJ182" s="314">
        <f t="shared" si="53"/>
        <v>0</v>
      </c>
      <c r="AK182" s="317"/>
      <c r="AL182" s="315">
        <f t="shared" si="45"/>
        <v>0</v>
      </c>
      <c r="AN182" s="546">
        <f t="shared" si="46"/>
        <v>0</v>
      </c>
      <c r="AO182" s="314"/>
      <c r="AP182" s="318"/>
    </row>
    <row r="183" spans="2:42">
      <c r="B183" s="296"/>
      <c r="C183" s="299"/>
      <c r="D183" s="298"/>
      <c r="E183" s="299"/>
      <c r="F183" s="299"/>
      <c r="G183" s="300"/>
      <c r="H183" s="303"/>
      <c r="I183" s="301">
        <f t="shared" si="37"/>
        <v>0</v>
      </c>
      <c r="J183" s="302">
        <f t="shared" si="47"/>
        <v>0</v>
      </c>
      <c r="K183" s="304">
        <f t="shared" si="38"/>
        <v>0</v>
      </c>
      <c r="L183" s="305">
        <f>IF(H183=0,0,IF(OR(E183=$AT$5,E183=$AT$6),AA183,IF(F183="MXN",1/HLOOKUP(YEAR(G183)+(MONTH(G183)/100),TC!$5:$37,DAY(G183)+2,FALSE),VLOOKUP(F183,Equivalencia!$5:$23,((MAX(Equivalencia!$3:$3)-YEAR(G183))*14)+MONTH(G183)+2,FALSE))))</f>
        <v>0</v>
      </c>
      <c r="M183" s="306">
        <f t="shared" si="39"/>
        <v>0</v>
      </c>
      <c r="N183" s="305">
        <f>IF(G183=0,0,(IF(OR(E183=$AT$5,E183=$AT$6),AC183,HLOOKUP(YEAR(G183)+(MONTH(G183)/100),TC!$5:$37,DAY(G183)+2,FALSE))))</f>
        <v>0</v>
      </c>
      <c r="O183" s="307">
        <f t="shared" si="48"/>
        <v>0</v>
      </c>
      <c r="P183" s="552">
        <f>IF(G183=0,0,VLOOKUP(YEAR(G183),INPC!$B$4:$P$30,MONTH(G183)+2))</f>
        <v>0</v>
      </c>
      <c r="Q183" s="552">
        <f>IF(X183=0,0,IF(OR(E183=$AT$10,E183=$AT$9),VLOOKUP(YEAR(X183),INPC!$B$4:$P$30,MONTH(X183)+1),VLOOKUP(YEAR(X183),INPC!$B$4:$P$30,MONTH(X183)+2,0)))</f>
        <v>0</v>
      </c>
      <c r="R183" s="309">
        <f t="shared" si="40"/>
        <v>0</v>
      </c>
      <c r="S183" s="310">
        <f t="shared" si="49"/>
        <v>0</v>
      </c>
      <c r="T183" s="547">
        <f t="shared" si="50"/>
        <v>0</v>
      </c>
      <c r="U183" s="311"/>
      <c r="V183" s="312"/>
      <c r="W183" s="299"/>
      <c r="X183" s="300"/>
      <c r="Y183" s="299"/>
      <c r="Z183" s="303"/>
      <c r="AA183" s="305">
        <f>IF(Z183=0,0,IF(Y183="MXN",1/HLOOKUP(YEAR(X183)+(MONTH(X183)/100),TC!$5:$37,DAY(X183)+2,FALSE),VLOOKUP(Y183,Equivalencia!$1:$23,((MAX(Equivalencia!$3:$3)-YEAR(X183))*14)+MONTH(X183)+2,FALSE)))</f>
        <v>0</v>
      </c>
      <c r="AB183" s="306">
        <f t="shared" si="51"/>
        <v>0</v>
      </c>
      <c r="AC183" s="305">
        <f>+IF(X183=0,0,HLOOKUP(YEAR(X183)+(MONTH(X183)/100),TC!$5:$37,DAY(X183)+2,FALSE))</f>
        <v>0</v>
      </c>
      <c r="AD183" s="307">
        <f t="shared" si="52"/>
        <v>0</v>
      </c>
      <c r="AE183" s="314">
        <f t="shared" si="41"/>
        <v>0</v>
      </c>
      <c r="AF183" s="315">
        <f t="shared" si="42"/>
        <v>0</v>
      </c>
      <c r="AG183" s="316">
        <f t="shared" si="43"/>
        <v>0</v>
      </c>
      <c r="AH183" s="314">
        <v>1</v>
      </c>
      <c r="AI183" s="314">
        <f t="shared" si="44"/>
        <v>0</v>
      </c>
      <c r="AJ183" s="314">
        <f t="shared" si="53"/>
        <v>0</v>
      </c>
      <c r="AK183" s="317"/>
      <c r="AL183" s="315">
        <f t="shared" si="45"/>
        <v>0</v>
      </c>
      <c r="AN183" s="546">
        <f t="shared" si="46"/>
        <v>0</v>
      </c>
      <c r="AO183" s="314"/>
      <c r="AP183" s="318"/>
    </row>
    <row r="184" spans="2:42">
      <c r="B184" s="296"/>
      <c r="C184" s="299"/>
      <c r="D184" s="298"/>
      <c r="E184" s="299"/>
      <c r="F184" s="299"/>
      <c r="G184" s="300"/>
      <c r="H184" s="303"/>
      <c r="I184" s="301">
        <f t="shared" si="37"/>
        <v>0</v>
      </c>
      <c r="J184" s="302">
        <f t="shared" si="47"/>
        <v>0</v>
      </c>
      <c r="K184" s="304">
        <f t="shared" si="38"/>
        <v>0</v>
      </c>
      <c r="L184" s="305">
        <f>IF(H184=0,0,IF(OR(E184=$AT$5,E184=$AT$6),AA184,IF(F184="MXN",1/HLOOKUP(YEAR(G184)+(MONTH(G184)/100),TC!$5:$37,DAY(G184)+2,FALSE),VLOOKUP(F184,Equivalencia!$5:$23,((MAX(Equivalencia!$3:$3)-YEAR(G184))*14)+MONTH(G184)+2,FALSE))))</f>
        <v>0</v>
      </c>
      <c r="M184" s="306">
        <f t="shared" si="39"/>
        <v>0</v>
      </c>
      <c r="N184" s="305">
        <f>IF(G184=0,0,(IF(OR(E184=$AT$5,E184=$AT$6),AC184,HLOOKUP(YEAR(G184)+(MONTH(G184)/100),TC!$5:$37,DAY(G184)+2,FALSE))))</f>
        <v>0</v>
      </c>
      <c r="O184" s="307">
        <f t="shared" si="48"/>
        <v>0</v>
      </c>
      <c r="P184" s="552">
        <f>IF(G184=0,0,VLOOKUP(YEAR(G184),INPC!$B$4:$P$30,MONTH(G184)+2))</f>
        <v>0</v>
      </c>
      <c r="Q184" s="552">
        <f>IF(X184=0,0,IF(OR(E184=$AT$10,E184=$AT$9),VLOOKUP(YEAR(X184),INPC!$B$4:$P$30,MONTH(X184)+1),VLOOKUP(YEAR(X184),INPC!$B$4:$P$30,MONTH(X184)+2,0)))</f>
        <v>0</v>
      </c>
      <c r="R184" s="309">
        <f t="shared" si="40"/>
        <v>0</v>
      </c>
      <c r="S184" s="310">
        <f t="shared" si="49"/>
        <v>0</v>
      </c>
      <c r="T184" s="547">
        <f t="shared" si="50"/>
        <v>0</v>
      </c>
      <c r="U184" s="311"/>
      <c r="V184" s="312"/>
      <c r="W184" s="299"/>
      <c r="X184" s="300"/>
      <c r="Y184" s="299"/>
      <c r="Z184" s="303"/>
      <c r="AA184" s="305">
        <f>IF(Z184=0,0,IF(Y184="MXN",1/HLOOKUP(YEAR(X184)+(MONTH(X184)/100),TC!$5:$37,DAY(X184)+2,FALSE),VLOOKUP(Y184,Equivalencia!$1:$23,((MAX(Equivalencia!$3:$3)-YEAR(X184))*14)+MONTH(X184)+2,FALSE)))</f>
        <v>0</v>
      </c>
      <c r="AB184" s="306">
        <f t="shared" si="51"/>
        <v>0</v>
      </c>
      <c r="AC184" s="305">
        <f>+IF(X184=0,0,HLOOKUP(YEAR(X184)+(MONTH(X184)/100),TC!$5:$37,DAY(X184)+2,FALSE))</f>
        <v>0</v>
      </c>
      <c r="AD184" s="307">
        <f t="shared" si="52"/>
        <v>0</v>
      </c>
      <c r="AE184" s="314">
        <f t="shared" si="41"/>
        <v>0</v>
      </c>
      <c r="AF184" s="315">
        <f t="shared" si="42"/>
        <v>0</v>
      </c>
      <c r="AG184" s="316">
        <f t="shared" si="43"/>
        <v>0</v>
      </c>
      <c r="AH184" s="314">
        <v>1</v>
      </c>
      <c r="AI184" s="314">
        <f t="shared" si="44"/>
        <v>0</v>
      </c>
      <c r="AJ184" s="314">
        <f t="shared" si="53"/>
        <v>0</v>
      </c>
      <c r="AK184" s="317"/>
      <c r="AL184" s="315">
        <f t="shared" si="45"/>
        <v>0</v>
      </c>
      <c r="AN184" s="546">
        <f t="shared" si="46"/>
        <v>0</v>
      </c>
      <c r="AO184" s="314"/>
      <c r="AP184" s="318"/>
    </row>
    <row r="185" spans="2:42">
      <c r="B185" s="296"/>
      <c r="C185" s="299"/>
      <c r="D185" s="298"/>
      <c r="E185" s="299"/>
      <c r="F185" s="299"/>
      <c r="G185" s="300"/>
      <c r="H185" s="303"/>
      <c r="I185" s="301">
        <f t="shared" si="37"/>
        <v>0</v>
      </c>
      <c r="J185" s="302">
        <f t="shared" si="47"/>
        <v>0</v>
      </c>
      <c r="K185" s="304">
        <f t="shared" si="38"/>
        <v>0</v>
      </c>
      <c r="L185" s="305">
        <f>IF(H185=0,0,IF(OR(E185=$AT$5,E185=$AT$6),AA185,IF(F185="MXN",1/HLOOKUP(YEAR(G185)+(MONTH(G185)/100),TC!$5:$37,DAY(G185)+2,FALSE),VLOOKUP(F185,Equivalencia!$5:$23,((MAX(Equivalencia!$3:$3)-YEAR(G185))*14)+MONTH(G185)+2,FALSE))))</f>
        <v>0</v>
      </c>
      <c r="M185" s="306">
        <f t="shared" si="39"/>
        <v>0</v>
      </c>
      <c r="N185" s="305">
        <f>IF(G185=0,0,(IF(OR(E185=$AT$5,E185=$AT$6),AC185,HLOOKUP(YEAR(G185)+(MONTH(G185)/100),TC!$5:$37,DAY(G185)+2,FALSE))))</f>
        <v>0</v>
      </c>
      <c r="O185" s="307">
        <f t="shared" si="48"/>
        <v>0</v>
      </c>
      <c r="P185" s="552">
        <f>IF(G185=0,0,VLOOKUP(YEAR(G185),INPC!$B$4:$P$30,MONTH(G185)+2))</f>
        <v>0</v>
      </c>
      <c r="Q185" s="552">
        <f>IF(X185=0,0,IF(OR(E185=$AT$10,E185=$AT$9),VLOOKUP(YEAR(X185),INPC!$B$4:$P$30,MONTH(X185)+1),VLOOKUP(YEAR(X185),INPC!$B$4:$P$30,MONTH(X185)+2,0)))</f>
        <v>0</v>
      </c>
      <c r="R185" s="309">
        <f t="shared" si="40"/>
        <v>0</v>
      </c>
      <c r="S185" s="310">
        <f t="shared" si="49"/>
        <v>0</v>
      </c>
      <c r="T185" s="547">
        <f t="shared" si="50"/>
        <v>0</v>
      </c>
      <c r="U185" s="311"/>
      <c r="V185" s="312"/>
      <c r="W185" s="299"/>
      <c r="X185" s="300"/>
      <c r="Y185" s="299"/>
      <c r="Z185" s="303"/>
      <c r="AA185" s="305">
        <f>IF(Z185=0,0,IF(Y185="MXN",1/HLOOKUP(YEAR(X185)+(MONTH(X185)/100),TC!$5:$37,DAY(X185)+2,FALSE),VLOOKUP(Y185,Equivalencia!$1:$23,((MAX(Equivalencia!$3:$3)-YEAR(X185))*14)+MONTH(X185)+2,FALSE)))</f>
        <v>0</v>
      </c>
      <c r="AB185" s="306">
        <f t="shared" si="51"/>
        <v>0</v>
      </c>
      <c r="AC185" s="305">
        <f>+IF(X185=0,0,HLOOKUP(YEAR(X185)+(MONTH(X185)/100),TC!$5:$37,DAY(X185)+2,FALSE))</f>
        <v>0</v>
      </c>
      <c r="AD185" s="307">
        <f t="shared" si="52"/>
        <v>0</v>
      </c>
      <c r="AE185" s="314">
        <f t="shared" si="41"/>
        <v>0</v>
      </c>
      <c r="AF185" s="315">
        <f t="shared" si="42"/>
        <v>0</v>
      </c>
      <c r="AG185" s="316">
        <f t="shared" si="43"/>
        <v>0</v>
      </c>
      <c r="AH185" s="314">
        <v>1</v>
      </c>
      <c r="AI185" s="314">
        <f t="shared" si="44"/>
        <v>0</v>
      </c>
      <c r="AJ185" s="314">
        <f t="shared" si="53"/>
        <v>0</v>
      </c>
      <c r="AK185" s="317"/>
      <c r="AL185" s="315">
        <f t="shared" si="45"/>
        <v>0</v>
      </c>
      <c r="AN185" s="546">
        <f t="shared" si="46"/>
        <v>0</v>
      </c>
      <c r="AO185" s="314"/>
      <c r="AP185" s="318"/>
    </row>
    <row r="186" spans="2:42">
      <c r="B186" s="296"/>
      <c r="C186" s="299"/>
      <c r="D186" s="298"/>
      <c r="E186" s="299"/>
      <c r="F186" s="299"/>
      <c r="G186" s="300"/>
      <c r="H186" s="303"/>
      <c r="I186" s="301">
        <f t="shared" si="37"/>
        <v>0</v>
      </c>
      <c r="J186" s="302">
        <f t="shared" si="47"/>
        <v>0</v>
      </c>
      <c r="K186" s="304">
        <f t="shared" si="38"/>
        <v>0</v>
      </c>
      <c r="L186" s="305">
        <f>IF(H186=0,0,IF(OR(E186=$AT$5,E186=$AT$6),AA186,IF(F186="MXN",1/HLOOKUP(YEAR(G186)+(MONTH(G186)/100),TC!$5:$37,DAY(G186)+2,FALSE),VLOOKUP(F186,Equivalencia!$5:$23,((MAX(Equivalencia!$3:$3)-YEAR(G186))*14)+MONTH(G186)+2,FALSE))))</f>
        <v>0</v>
      </c>
      <c r="M186" s="306">
        <f t="shared" si="39"/>
        <v>0</v>
      </c>
      <c r="N186" s="305">
        <f>IF(G186=0,0,(IF(OR(E186=$AT$5,E186=$AT$6),AC186,HLOOKUP(YEAR(G186)+(MONTH(G186)/100),TC!$5:$37,DAY(G186)+2,FALSE))))</f>
        <v>0</v>
      </c>
      <c r="O186" s="307">
        <f t="shared" si="48"/>
        <v>0</v>
      </c>
      <c r="P186" s="552">
        <f>IF(G186=0,0,VLOOKUP(YEAR(G186),INPC!$B$4:$P$30,MONTH(G186)+2))</f>
        <v>0</v>
      </c>
      <c r="Q186" s="552">
        <f>IF(X186=0,0,IF(OR(E186=$AT$10,E186=$AT$9),VLOOKUP(YEAR(X186),INPC!$B$4:$P$30,MONTH(X186)+1),VLOOKUP(YEAR(X186),INPC!$B$4:$P$30,MONTH(X186)+2,0)))</f>
        <v>0</v>
      </c>
      <c r="R186" s="309">
        <f t="shared" si="40"/>
        <v>0</v>
      </c>
      <c r="S186" s="310">
        <f t="shared" si="49"/>
        <v>0</v>
      </c>
      <c r="T186" s="547">
        <f t="shared" si="50"/>
        <v>0</v>
      </c>
      <c r="U186" s="311"/>
      <c r="V186" s="312"/>
      <c r="W186" s="299"/>
      <c r="X186" s="300"/>
      <c r="Y186" s="299"/>
      <c r="Z186" s="303"/>
      <c r="AA186" s="305">
        <f>IF(Z186=0,0,IF(Y186="MXN",1/HLOOKUP(YEAR(X186)+(MONTH(X186)/100),TC!$5:$37,DAY(X186)+2,FALSE),VLOOKUP(Y186,Equivalencia!$1:$23,((MAX(Equivalencia!$3:$3)-YEAR(X186))*14)+MONTH(X186)+2,FALSE)))</f>
        <v>0</v>
      </c>
      <c r="AB186" s="306">
        <f t="shared" si="51"/>
        <v>0</v>
      </c>
      <c r="AC186" s="305">
        <f>+IF(X186=0,0,HLOOKUP(YEAR(X186)+(MONTH(X186)/100),TC!$5:$37,DAY(X186)+2,FALSE))</f>
        <v>0</v>
      </c>
      <c r="AD186" s="307">
        <f t="shared" si="52"/>
        <v>0</v>
      </c>
      <c r="AE186" s="314">
        <f t="shared" si="41"/>
        <v>0</v>
      </c>
      <c r="AF186" s="315">
        <f t="shared" si="42"/>
        <v>0</v>
      </c>
      <c r="AG186" s="316">
        <f t="shared" si="43"/>
        <v>0</v>
      </c>
      <c r="AH186" s="314">
        <v>1</v>
      </c>
      <c r="AI186" s="314">
        <f t="shared" si="44"/>
        <v>0</v>
      </c>
      <c r="AJ186" s="314">
        <f t="shared" si="53"/>
        <v>0</v>
      </c>
      <c r="AK186" s="317"/>
      <c r="AL186" s="315">
        <f t="shared" si="45"/>
        <v>0</v>
      </c>
      <c r="AN186" s="546">
        <f t="shared" si="46"/>
        <v>0</v>
      </c>
      <c r="AO186" s="314"/>
      <c r="AP186" s="318"/>
    </row>
    <row r="187" spans="2:42">
      <c r="B187" s="296"/>
      <c r="C187" s="299"/>
      <c r="D187" s="298"/>
      <c r="E187" s="299"/>
      <c r="F187" s="299"/>
      <c r="G187" s="300"/>
      <c r="H187" s="303"/>
      <c r="I187" s="301">
        <f t="shared" si="37"/>
        <v>0</v>
      </c>
      <c r="J187" s="302">
        <f t="shared" si="47"/>
        <v>0</v>
      </c>
      <c r="K187" s="304">
        <f t="shared" si="38"/>
        <v>0</v>
      </c>
      <c r="L187" s="305">
        <f>IF(H187=0,0,IF(OR(E187=$AT$5,E187=$AT$6),AA187,IF(F187="MXN",1/HLOOKUP(YEAR(G187)+(MONTH(G187)/100),TC!$5:$37,DAY(G187)+2,FALSE),VLOOKUP(F187,Equivalencia!$5:$23,((MAX(Equivalencia!$3:$3)-YEAR(G187))*14)+MONTH(G187)+2,FALSE))))</f>
        <v>0</v>
      </c>
      <c r="M187" s="306">
        <f t="shared" si="39"/>
        <v>0</v>
      </c>
      <c r="N187" s="305">
        <f>IF(G187=0,0,(IF(OR(E187=$AT$5,E187=$AT$6),AC187,HLOOKUP(YEAR(G187)+(MONTH(G187)/100),TC!$5:$37,DAY(G187)+2,FALSE))))</f>
        <v>0</v>
      </c>
      <c r="O187" s="307">
        <f t="shared" si="48"/>
        <v>0</v>
      </c>
      <c r="P187" s="552">
        <f>IF(G187=0,0,VLOOKUP(YEAR(G187),INPC!$B$4:$P$30,MONTH(G187)+2))</f>
        <v>0</v>
      </c>
      <c r="Q187" s="552">
        <f>IF(X187=0,0,IF(OR(E187=$AT$10,E187=$AT$9),VLOOKUP(YEAR(X187),INPC!$B$4:$P$30,MONTH(X187)+1),VLOOKUP(YEAR(X187),INPC!$B$4:$P$30,MONTH(X187)+2,0)))</f>
        <v>0</v>
      </c>
      <c r="R187" s="309">
        <f t="shared" si="40"/>
        <v>0</v>
      </c>
      <c r="S187" s="310">
        <f t="shared" si="49"/>
        <v>0</v>
      </c>
      <c r="T187" s="547">
        <f t="shared" si="50"/>
        <v>0</v>
      </c>
      <c r="U187" s="311"/>
      <c r="V187" s="312"/>
      <c r="W187" s="299"/>
      <c r="X187" s="300"/>
      <c r="Y187" s="299"/>
      <c r="Z187" s="303"/>
      <c r="AA187" s="305">
        <f>IF(Z187=0,0,IF(Y187="MXN",1/HLOOKUP(YEAR(X187)+(MONTH(X187)/100),TC!$5:$37,DAY(X187)+2,FALSE),VLOOKUP(Y187,Equivalencia!$1:$23,((MAX(Equivalencia!$3:$3)-YEAR(X187))*14)+MONTH(X187)+2,FALSE)))</f>
        <v>0</v>
      </c>
      <c r="AB187" s="306">
        <f t="shared" si="51"/>
        <v>0</v>
      </c>
      <c r="AC187" s="305">
        <f>+IF(X187=0,0,HLOOKUP(YEAR(X187)+(MONTH(X187)/100),TC!$5:$37,DAY(X187)+2,FALSE))</f>
        <v>0</v>
      </c>
      <c r="AD187" s="307">
        <f t="shared" si="52"/>
        <v>0</v>
      </c>
      <c r="AE187" s="314">
        <f t="shared" si="41"/>
        <v>0</v>
      </c>
      <c r="AF187" s="315">
        <f t="shared" si="42"/>
        <v>0</v>
      </c>
      <c r="AG187" s="316">
        <f t="shared" si="43"/>
        <v>0</v>
      </c>
      <c r="AH187" s="314">
        <v>1</v>
      </c>
      <c r="AI187" s="314">
        <f t="shared" si="44"/>
        <v>0</v>
      </c>
      <c r="AJ187" s="314">
        <f t="shared" si="53"/>
        <v>0</v>
      </c>
      <c r="AK187" s="317"/>
      <c r="AL187" s="315">
        <f t="shared" si="45"/>
        <v>0</v>
      </c>
      <c r="AN187" s="546">
        <f t="shared" si="46"/>
        <v>0</v>
      </c>
      <c r="AO187" s="314"/>
      <c r="AP187" s="318"/>
    </row>
    <row r="188" spans="2:42">
      <c r="B188" s="296"/>
      <c r="C188" s="299"/>
      <c r="D188" s="298"/>
      <c r="E188" s="299"/>
      <c r="F188" s="299"/>
      <c r="G188" s="300"/>
      <c r="H188" s="303"/>
      <c r="I188" s="301">
        <f t="shared" si="37"/>
        <v>0</v>
      </c>
      <c r="J188" s="302">
        <f t="shared" si="47"/>
        <v>0</v>
      </c>
      <c r="K188" s="304">
        <f t="shared" si="38"/>
        <v>0</v>
      </c>
      <c r="L188" s="305">
        <f>IF(H188=0,0,IF(OR(E188=$AT$5,E188=$AT$6),AA188,IF(F188="MXN",1/HLOOKUP(YEAR(G188)+(MONTH(G188)/100),TC!$5:$37,DAY(G188)+2,FALSE),VLOOKUP(F188,Equivalencia!$5:$23,((MAX(Equivalencia!$3:$3)-YEAR(G188))*14)+MONTH(G188)+2,FALSE))))</f>
        <v>0</v>
      </c>
      <c r="M188" s="306">
        <f t="shared" si="39"/>
        <v>0</v>
      </c>
      <c r="N188" s="305">
        <f>IF(G188=0,0,(IF(OR(E188=$AT$5,E188=$AT$6),AC188,HLOOKUP(YEAR(G188)+(MONTH(G188)/100),TC!$5:$37,DAY(G188)+2,FALSE))))</f>
        <v>0</v>
      </c>
      <c r="O188" s="307">
        <f t="shared" si="48"/>
        <v>0</v>
      </c>
      <c r="P188" s="552">
        <f>IF(G188=0,0,VLOOKUP(YEAR(G188),INPC!$B$4:$P$30,MONTH(G188)+2))</f>
        <v>0</v>
      </c>
      <c r="Q188" s="552">
        <f>IF(X188=0,0,IF(OR(E188=$AT$10,E188=$AT$9),VLOOKUP(YEAR(X188),INPC!$B$4:$P$30,MONTH(X188)+1),VLOOKUP(YEAR(X188),INPC!$B$4:$P$30,MONTH(X188)+2,0)))</f>
        <v>0</v>
      </c>
      <c r="R188" s="309">
        <f t="shared" si="40"/>
        <v>0</v>
      </c>
      <c r="S188" s="310">
        <f t="shared" si="49"/>
        <v>0</v>
      </c>
      <c r="T188" s="547">
        <f t="shared" si="50"/>
        <v>0</v>
      </c>
      <c r="U188" s="311"/>
      <c r="V188" s="312"/>
      <c r="W188" s="299"/>
      <c r="X188" s="300"/>
      <c r="Y188" s="299"/>
      <c r="Z188" s="303"/>
      <c r="AA188" s="305">
        <f>IF(Z188=0,0,IF(Y188="MXN",1/HLOOKUP(YEAR(X188)+(MONTH(X188)/100),TC!$5:$37,DAY(X188)+2,FALSE),VLOOKUP(Y188,Equivalencia!$1:$23,((MAX(Equivalencia!$3:$3)-YEAR(X188))*14)+MONTH(X188)+2,FALSE)))</f>
        <v>0</v>
      </c>
      <c r="AB188" s="306">
        <f t="shared" si="51"/>
        <v>0</v>
      </c>
      <c r="AC188" s="305">
        <f>+IF(X188=0,0,HLOOKUP(YEAR(X188)+(MONTH(X188)/100),TC!$5:$37,DAY(X188)+2,FALSE))</f>
        <v>0</v>
      </c>
      <c r="AD188" s="307">
        <f t="shared" si="52"/>
        <v>0</v>
      </c>
      <c r="AE188" s="314">
        <f t="shared" si="41"/>
        <v>0</v>
      </c>
      <c r="AF188" s="315">
        <f t="shared" si="42"/>
        <v>0</v>
      </c>
      <c r="AG188" s="316">
        <f t="shared" si="43"/>
        <v>0</v>
      </c>
      <c r="AH188" s="314">
        <v>1</v>
      </c>
      <c r="AI188" s="314">
        <f t="shared" si="44"/>
        <v>0</v>
      </c>
      <c r="AJ188" s="314">
        <f t="shared" si="53"/>
        <v>0</v>
      </c>
      <c r="AK188" s="317"/>
      <c r="AL188" s="315">
        <f t="shared" si="45"/>
        <v>0</v>
      </c>
      <c r="AN188" s="546">
        <f t="shared" si="46"/>
        <v>0</v>
      </c>
      <c r="AO188" s="314"/>
      <c r="AP188" s="318"/>
    </row>
    <row r="189" spans="2:42">
      <c r="B189" s="296"/>
      <c r="C189" s="299"/>
      <c r="D189" s="298"/>
      <c r="E189" s="299"/>
      <c r="F189" s="299"/>
      <c r="G189" s="300"/>
      <c r="H189" s="303"/>
      <c r="I189" s="301">
        <f t="shared" si="37"/>
        <v>0</v>
      </c>
      <c r="J189" s="302">
        <f t="shared" si="47"/>
        <v>0</v>
      </c>
      <c r="K189" s="304">
        <f t="shared" si="38"/>
        <v>0</v>
      </c>
      <c r="L189" s="305">
        <f>IF(H189=0,0,IF(OR(E189=$AT$5,E189=$AT$6),AA189,IF(F189="MXN",1/HLOOKUP(YEAR(G189)+(MONTH(G189)/100),TC!$5:$37,DAY(G189)+2,FALSE),VLOOKUP(F189,Equivalencia!$5:$23,((MAX(Equivalencia!$3:$3)-YEAR(G189))*14)+MONTH(G189)+2,FALSE))))</f>
        <v>0</v>
      </c>
      <c r="M189" s="306">
        <f t="shared" si="39"/>
        <v>0</v>
      </c>
      <c r="N189" s="305">
        <f>IF(G189=0,0,(IF(OR(E189=$AT$5,E189=$AT$6),AC189,HLOOKUP(YEAR(G189)+(MONTH(G189)/100),TC!$5:$37,DAY(G189)+2,FALSE))))</f>
        <v>0</v>
      </c>
      <c r="O189" s="307">
        <f t="shared" si="48"/>
        <v>0</v>
      </c>
      <c r="P189" s="552">
        <f>IF(G189=0,0,VLOOKUP(YEAR(G189),INPC!$B$4:$P$30,MONTH(G189)+2))</f>
        <v>0</v>
      </c>
      <c r="Q189" s="552">
        <f>IF(X189=0,0,IF(OR(E189=$AT$10,E189=$AT$9),VLOOKUP(YEAR(X189),INPC!$B$4:$P$30,MONTH(X189)+1),VLOOKUP(YEAR(X189),INPC!$B$4:$P$30,MONTH(X189)+2,0)))</f>
        <v>0</v>
      </c>
      <c r="R189" s="309">
        <f t="shared" si="40"/>
        <v>0</v>
      </c>
      <c r="S189" s="310">
        <f t="shared" si="49"/>
        <v>0</v>
      </c>
      <c r="T189" s="547">
        <f t="shared" si="50"/>
        <v>0</v>
      </c>
      <c r="U189" s="311"/>
      <c r="V189" s="312"/>
      <c r="W189" s="299"/>
      <c r="X189" s="300"/>
      <c r="Y189" s="299"/>
      <c r="Z189" s="303"/>
      <c r="AA189" s="305">
        <f>IF(Z189=0,0,IF(Y189="MXN",1/HLOOKUP(YEAR(X189)+(MONTH(X189)/100),TC!$5:$37,DAY(X189)+2,FALSE),VLOOKUP(Y189,Equivalencia!$1:$23,((MAX(Equivalencia!$3:$3)-YEAR(X189))*14)+MONTH(X189)+2,FALSE)))</f>
        <v>0</v>
      </c>
      <c r="AB189" s="306">
        <f t="shared" si="51"/>
        <v>0</v>
      </c>
      <c r="AC189" s="305">
        <f>+IF(X189=0,0,HLOOKUP(YEAR(X189)+(MONTH(X189)/100),TC!$5:$37,DAY(X189)+2,FALSE))</f>
        <v>0</v>
      </c>
      <c r="AD189" s="307">
        <f t="shared" si="52"/>
        <v>0</v>
      </c>
      <c r="AE189" s="314">
        <f t="shared" si="41"/>
        <v>0</v>
      </c>
      <c r="AF189" s="315">
        <f t="shared" si="42"/>
        <v>0</v>
      </c>
      <c r="AG189" s="316">
        <f t="shared" si="43"/>
        <v>0</v>
      </c>
      <c r="AH189" s="314">
        <v>1</v>
      </c>
      <c r="AI189" s="314">
        <f t="shared" si="44"/>
        <v>0</v>
      </c>
      <c r="AJ189" s="314">
        <f t="shared" si="53"/>
        <v>0</v>
      </c>
      <c r="AK189" s="317"/>
      <c r="AL189" s="315">
        <f t="shared" si="45"/>
        <v>0</v>
      </c>
      <c r="AN189" s="546">
        <f t="shared" si="46"/>
        <v>0</v>
      </c>
      <c r="AO189" s="314"/>
      <c r="AP189" s="318"/>
    </row>
    <row r="190" spans="2:42">
      <c r="B190" s="296"/>
      <c r="C190" s="299"/>
      <c r="D190" s="298"/>
      <c r="E190" s="299"/>
      <c r="F190" s="299"/>
      <c r="G190" s="300"/>
      <c r="H190" s="303"/>
      <c r="I190" s="301">
        <f t="shared" si="37"/>
        <v>0</v>
      </c>
      <c r="J190" s="302">
        <f t="shared" si="47"/>
        <v>0</v>
      </c>
      <c r="K190" s="304">
        <f t="shared" si="38"/>
        <v>0</v>
      </c>
      <c r="L190" s="305">
        <f>IF(H190=0,0,IF(OR(E190=$AT$5,E190=$AT$6),AA190,IF(F190="MXN",1/HLOOKUP(YEAR(G190)+(MONTH(G190)/100),TC!$5:$37,DAY(G190)+2,FALSE),VLOOKUP(F190,Equivalencia!$5:$23,((MAX(Equivalencia!$3:$3)-YEAR(G190))*14)+MONTH(G190)+2,FALSE))))</f>
        <v>0</v>
      </c>
      <c r="M190" s="306">
        <f t="shared" si="39"/>
        <v>0</v>
      </c>
      <c r="N190" s="305">
        <f>IF(G190=0,0,(IF(OR(E190=$AT$5,E190=$AT$6),AC190,HLOOKUP(YEAR(G190)+(MONTH(G190)/100),TC!$5:$37,DAY(G190)+2,FALSE))))</f>
        <v>0</v>
      </c>
      <c r="O190" s="307">
        <f t="shared" si="48"/>
        <v>0</v>
      </c>
      <c r="P190" s="552">
        <f>IF(G190=0,0,VLOOKUP(YEAR(G190),INPC!$B$4:$P$30,MONTH(G190)+2))</f>
        <v>0</v>
      </c>
      <c r="Q190" s="552">
        <f>IF(X190=0,0,IF(OR(E190=$AT$10,E190=$AT$9),VLOOKUP(YEAR(X190),INPC!$B$4:$P$30,MONTH(X190)+1),VLOOKUP(YEAR(X190),INPC!$B$4:$P$30,MONTH(X190)+2,0)))</f>
        <v>0</v>
      </c>
      <c r="R190" s="309">
        <f t="shared" si="40"/>
        <v>0</v>
      </c>
      <c r="S190" s="310">
        <f t="shared" si="49"/>
        <v>0</v>
      </c>
      <c r="T190" s="547">
        <f t="shared" si="50"/>
        <v>0</v>
      </c>
      <c r="U190" s="311"/>
      <c r="V190" s="312"/>
      <c r="W190" s="299"/>
      <c r="X190" s="300"/>
      <c r="Y190" s="299"/>
      <c r="Z190" s="303"/>
      <c r="AA190" s="305">
        <f>IF(Z190=0,0,IF(Y190="MXN",1/HLOOKUP(YEAR(X190)+(MONTH(X190)/100),TC!$5:$37,DAY(X190)+2,FALSE),VLOOKUP(Y190,Equivalencia!$1:$23,((MAX(Equivalencia!$3:$3)-YEAR(X190))*14)+MONTH(X190)+2,FALSE)))</f>
        <v>0</v>
      </c>
      <c r="AB190" s="306">
        <f t="shared" si="51"/>
        <v>0</v>
      </c>
      <c r="AC190" s="305">
        <f>+IF(X190=0,0,HLOOKUP(YEAR(X190)+(MONTH(X190)/100),TC!$5:$37,DAY(X190)+2,FALSE))</f>
        <v>0</v>
      </c>
      <c r="AD190" s="307">
        <f t="shared" si="52"/>
        <v>0</v>
      </c>
      <c r="AE190" s="314">
        <f t="shared" si="41"/>
        <v>0</v>
      </c>
      <c r="AF190" s="315">
        <f t="shared" si="42"/>
        <v>0</v>
      </c>
      <c r="AG190" s="316">
        <f t="shared" si="43"/>
        <v>0</v>
      </c>
      <c r="AH190" s="314">
        <v>1</v>
      </c>
      <c r="AI190" s="314">
        <f t="shared" si="44"/>
        <v>0</v>
      </c>
      <c r="AJ190" s="314">
        <f t="shared" si="53"/>
        <v>0</v>
      </c>
      <c r="AK190" s="317"/>
      <c r="AL190" s="315">
        <f t="shared" si="45"/>
        <v>0</v>
      </c>
      <c r="AN190" s="546">
        <f t="shared" si="46"/>
        <v>0</v>
      </c>
      <c r="AO190" s="314"/>
      <c r="AP190" s="318"/>
    </row>
    <row r="191" spans="2:42">
      <c r="B191" s="296"/>
      <c r="C191" s="299"/>
      <c r="D191" s="298"/>
      <c r="E191" s="299"/>
      <c r="F191" s="299"/>
      <c r="G191" s="300"/>
      <c r="H191" s="303"/>
      <c r="I191" s="301">
        <f t="shared" si="37"/>
        <v>0</v>
      </c>
      <c r="J191" s="302">
        <f t="shared" si="47"/>
        <v>0</v>
      </c>
      <c r="K191" s="304">
        <f t="shared" si="38"/>
        <v>0</v>
      </c>
      <c r="L191" s="305">
        <f>IF(H191=0,0,IF(OR(E191=$AT$5,E191=$AT$6),AA191,IF(F191="MXN",1/HLOOKUP(YEAR(G191)+(MONTH(G191)/100),TC!$5:$37,DAY(G191)+2,FALSE),VLOOKUP(F191,Equivalencia!$5:$23,((MAX(Equivalencia!$3:$3)-YEAR(G191))*14)+MONTH(G191)+2,FALSE))))</f>
        <v>0</v>
      </c>
      <c r="M191" s="306">
        <f t="shared" si="39"/>
        <v>0</v>
      </c>
      <c r="N191" s="305">
        <f>IF(G191=0,0,(IF(OR(E191=$AT$5,E191=$AT$6),AC191,HLOOKUP(YEAR(G191)+(MONTH(G191)/100),TC!$5:$37,DAY(G191)+2,FALSE))))</f>
        <v>0</v>
      </c>
      <c r="O191" s="307">
        <f t="shared" si="48"/>
        <v>0</v>
      </c>
      <c r="P191" s="552">
        <f>IF(G191=0,0,VLOOKUP(YEAR(G191),INPC!$B$4:$P$30,MONTH(G191)+2))</f>
        <v>0</v>
      </c>
      <c r="Q191" s="552">
        <f>IF(X191=0,0,IF(OR(E191=$AT$10,E191=$AT$9),VLOOKUP(YEAR(X191),INPC!$B$4:$P$30,MONTH(X191)+1),VLOOKUP(YEAR(X191),INPC!$B$4:$P$30,MONTH(X191)+2,0)))</f>
        <v>0</v>
      </c>
      <c r="R191" s="309">
        <f t="shared" si="40"/>
        <v>0</v>
      </c>
      <c r="S191" s="310">
        <f t="shared" si="49"/>
        <v>0</v>
      </c>
      <c r="T191" s="547">
        <f t="shared" si="50"/>
        <v>0</v>
      </c>
      <c r="U191" s="311"/>
      <c r="V191" s="312"/>
      <c r="W191" s="299"/>
      <c r="X191" s="300"/>
      <c r="Y191" s="299"/>
      <c r="Z191" s="303"/>
      <c r="AA191" s="305">
        <f>IF(Z191=0,0,IF(Y191="MXN",1/HLOOKUP(YEAR(X191)+(MONTH(X191)/100),TC!$5:$37,DAY(X191)+2,FALSE),VLOOKUP(Y191,Equivalencia!$1:$23,((MAX(Equivalencia!$3:$3)-YEAR(X191))*14)+MONTH(X191)+2,FALSE)))</f>
        <v>0</v>
      </c>
      <c r="AB191" s="306">
        <f t="shared" si="51"/>
        <v>0</v>
      </c>
      <c r="AC191" s="305">
        <f>+IF(X191=0,0,HLOOKUP(YEAR(X191)+(MONTH(X191)/100),TC!$5:$37,DAY(X191)+2,FALSE))</f>
        <v>0</v>
      </c>
      <c r="AD191" s="307">
        <f t="shared" si="52"/>
        <v>0</v>
      </c>
      <c r="AE191" s="314">
        <f t="shared" si="41"/>
        <v>0</v>
      </c>
      <c r="AF191" s="315">
        <f t="shared" si="42"/>
        <v>0</v>
      </c>
      <c r="AG191" s="316">
        <f t="shared" si="43"/>
        <v>0</v>
      </c>
      <c r="AH191" s="314">
        <v>1</v>
      </c>
      <c r="AI191" s="314">
        <f t="shared" si="44"/>
        <v>0</v>
      </c>
      <c r="AJ191" s="314">
        <f t="shared" si="53"/>
        <v>0</v>
      </c>
      <c r="AK191" s="317"/>
      <c r="AL191" s="315">
        <f t="shared" si="45"/>
        <v>0</v>
      </c>
      <c r="AN191" s="546">
        <f t="shared" si="46"/>
        <v>0</v>
      </c>
      <c r="AO191" s="314"/>
      <c r="AP191" s="318"/>
    </row>
    <row r="192" spans="2:42">
      <c r="B192" s="296"/>
      <c r="C192" s="299"/>
      <c r="D192" s="298"/>
      <c r="E192" s="299"/>
      <c r="F192" s="299"/>
      <c r="G192" s="300"/>
      <c r="H192" s="303"/>
      <c r="I192" s="301">
        <f t="shared" si="37"/>
        <v>0</v>
      </c>
      <c r="J192" s="302">
        <f t="shared" si="47"/>
        <v>0</v>
      </c>
      <c r="K192" s="304">
        <f t="shared" si="38"/>
        <v>0</v>
      </c>
      <c r="L192" s="305">
        <f>IF(H192=0,0,IF(OR(E192=$AT$5,E192=$AT$6),AA192,IF(F192="MXN",1/HLOOKUP(YEAR(G192)+(MONTH(G192)/100),TC!$5:$37,DAY(G192)+2,FALSE),VLOOKUP(F192,Equivalencia!$5:$23,((MAX(Equivalencia!$3:$3)-YEAR(G192))*14)+MONTH(G192)+2,FALSE))))</f>
        <v>0</v>
      </c>
      <c r="M192" s="306">
        <f t="shared" si="39"/>
        <v>0</v>
      </c>
      <c r="N192" s="305">
        <f>IF(G192=0,0,(IF(OR(E192=$AT$5,E192=$AT$6),AC192,HLOOKUP(YEAR(G192)+(MONTH(G192)/100),TC!$5:$37,DAY(G192)+2,FALSE))))</f>
        <v>0</v>
      </c>
      <c r="O192" s="307">
        <f t="shared" si="48"/>
        <v>0</v>
      </c>
      <c r="P192" s="552">
        <f>IF(G192=0,0,VLOOKUP(YEAR(G192),INPC!$B$4:$P$30,MONTH(G192)+2))</f>
        <v>0</v>
      </c>
      <c r="Q192" s="552">
        <f>IF(X192=0,0,IF(OR(E192=$AT$10,E192=$AT$9),VLOOKUP(YEAR(X192),INPC!$B$4:$P$30,MONTH(X192)+1),VLOOKUP(YEAR(X192),INPC!$B$4:$P$30,MONTH(X192)+2,0)))</f>
        <v>0</v>
      </c>
      <c r="R192" s="309">
        <f t="shared" si="40"/>
        <v>0</v>
      </c>
      <c r="S192" s="310">
        <f t="shared" si="49"/>
        <v>0</v>
      </c>
      <c r="T192" s="547">
        <f t="shared" si="50"/>
        <v>0</v>
      </c>
      <c r="U192" s="311"/>
      <c r="V192" s="312"/>
      <c r="W192" s="299"/>
      <c r="X192" s="300"/>
      <c r="Y192" s="299"/>
      <c r="Z192" s="303"/>
      <c r="AA192" s="305">
        <f>IF(Z192=0,0,IF(Y192="MXN",1/HLOOKUP(YEAR(X192)+(MONTH(X192)/100),TC!$5:$37,DAY(X192)+2,FALSE),VLOOKUP(Y192,Equivalencia!$1:$23,((MAX(Equivalencia!$3:$3)-YEAR(X192))*14)+MONTH(X192)+2,FALSE)))</f>
        <v>0</v>
      </c>
      <c r="AB192" s="306">
        <f t="shared" si="51"/>
        <v>0</v>
      </c>
      <c r="AC192" s="305">
        <f>+IF(X192=0,0,HLOOKUP(YEAR(X192)+(MONTH(X192)/100),TC!$5:$37,DAY(X192)+2,FALSE))</f>
        <v>0</v>
      </c>
      <c r="AD192" s="307">
        <f t="shared" si="52"/>
        <v>0</v>
      </c>
      <c r="AE192" s="314">
        <f t="shared" si="41"/>
        <v>0</v>
      </c>
      <c r="AF192" s="315">
        <f t="shared" si="42"/>
        <v>0</v>
      </c>
      <c r="AG192" s="316">
        <f t="shared" si="43"/>
        <v>0</v>
      </c>
      <c r="AH192" s="314">
        <v>1</v>
      </c>
      <c r="AI192" s="314">
        <f t="shared" si="44"/>
        <v>0</v>
      </c>
      <c r="AJ192" s="314">
        <f t="shared" si="53"/>
        <v>0</v>
      </c>
      <c r="AK192" s="317"/>
      <c r="AL192" s="315">
        <f t="shared" si="45"/>
        <v>0</v>
      </c>
      <c r="AN192" s="546">
        <f t="shared" si="46"/>
        <v>0</v>
      </c>
      <c r="AO192" s="314"/>
      <c r="AP192" s="318"/>
    </row>
    <row r="193" spans="2:42">
      <c r="B193" s="296"/>
      <c r="C193" s="299"/>
      <c r="D193" s="298"/>
      <c r="E193" s="299"/>
      <c r="F193" s="299"/>
      <c r="G193" s="300"/>
      <c r="H193" s="303"/>
      <c r="I193" s="301">
        <f t="shared" si="37"/>
        <v>0</v>
      </c>
      <c r="J193" s="302">
        <f t="shared" si="47"/>
        <v>0</v>
      </c>
      <c r="K193" s="304">
        <f t="shared" si="38"/>
        <v>0</v>
      </c>
      <c r="L193" s="305">
        <f>IF(H193=0,0,IF(OR(E193=$AT$5,E193=$AT$6),AA193,IF(F193="MXN",1/HLOOKUP(YEAR(G193)+(MONTH(G193)/100),TC!$5:$37,DAY(G193)+2,FALSE),VLOOKUP(F193,Equivalencia!$5:$23,((MAX(Equivalencia!$3:$3)-YEAR(G193))*14)+MONTH(G193)+2,FALSE))))</f>
        <v>0</v>
      </c>
      <c r="M193" s="306">
        <f t="shared" si="39"/>
        <v>0</v>
      </c>
      <c r="N193" s="305">
        <f>IF(G193=0,0,(IF(OR(E193=$AT$5,E193=$AT$6),AC193,HLOOKUP(YEAR(G193)+(MONTH(G193)/100),TC!$5:$37,DAY(G193)+2,FALSE))))</f>
        <v>0</v>
      </c>
      <c r="O193" s="307">
        <f t="shared" si="48"/>
        <v>0</v>
      </c>
      <c r="P193" s="552">
        <f>IF(G193=0,0,VLOOKUP(YEAR(G193),INPC!$B$4:$P$30,MONTH(G193)+2))</f>
        <v>0</v>
      </c>
      <c r="Q193" s="552">
        <f>IF(X193=0,0,IF(OR(E193=$AT$10,E193=$AT$9),VLOOKUP(YEAR(X193),INPC!$B$4:$P$30,MONTH(X193)+1),VLOOKUP(YEAR(X193),INPC!$B$4:$P$30,MONTH(X193)+2,0)))</f>
        <v>0</v>
      </c>
      <c r="R193" s="309">
        <f t="shared" si="40"/>
        <v>0</v>
      </c>
      <c r="S193" s="310">
        <f t="shared" si="49"/>
        <v>0</v>
      </c>
      <c r="T193" s="547">
        <f t="shared" si="50"/>
        <v>0</v>
      </c>
      <c r="U193" s="311"/>
      <c r="V193" s="312"/>
      <c r="W193" s="299"/>
      <c r="X193" s="300"/>
      <c r="Y193" s="299"/>
      <c r="Z193" s="303"/>
      <c r="AA193" s="305">
        <f>IF(Z193=0,0,IF(Y193="MXN",1/HLOOKUP(YEAR(X193)+(MONTH(X193)/100),TC!$5:$37,DAY(X193)+2,FALSE),VLOOKUP(Y193,Equivalencia!$1:$23,((MAX(Equivalencia!$3:$3)-YEAR(X193))*14)+MONTH(X193)+2,FALSE)))</f>
        <v>0</v>
      </c>
      <c r="AB193" s="306">
        <f t="shared" si="51"/>
        <v>0</v>
      </c>
      <c r="AC193" s="305">
        <f>+IF(X193=0,0,HLOOKUP(YEAR(X193)+(MONTH(X193)/100),TC!$5:$37,DAY(X193)+2,FALSE))</f>
        <v>0</v>
      </c>
      <c r="AD193" s="307">
        <f t="shared" si="52"/>
        <v>0</v>
      </c>
      <c r="AE193" s="314">
        <f t="shared" si="41"/>
        <v>0</v>
      </c>
      <c r="AF193" s="315">
        <f t="shared" si="42"/>
        <v>0</v>
      </c>
      <c r="AG193" s="316">
        <f t="shared" si="43"/>
        <v>0</v>
      </c>
      <c r="AH193" s="314">
        <v>1</v>
      </c>
      <c r="AI193" s="314">
        <f t="shared" si="44"/>
        <v>0</v>
      </c>
      <c r="AJ193" s="314">
        <f t="shared" si="53"/>
        <v>0</v>
      </c>
      <c r="AK193" s="317"/>
      <c r="AL193" s="315">
        <f t="shared" si="45"/>
        <v>0</v>
      </c>
      <c r="AN193" s="546">
        <f t="shared" si="46"/>
        <v>0</v>
      </c>
      <c r="AO193" s="314"/>
      <c r="AP193" s="318"/>
    </row>
    <row r="194" spans="2:42">
      <c r="B194" s="296"/>
      <c r="C194" s="299"/>
      <c r="D194" s="298"/>
      <c r="E194" s="299"/>
      <c r="F194" s="299"/>
      <c r="G194" s="300"/>
      <c r="H194" s="303"/>
      <c r="I194" s="301">
        <f t="shared" ref="I194:I257" si="54">IF(D194=0,0,IF(OR(E194=$AT$9,E194=$AT$10),"Ingresos Sección II LISR (SIC &amp; BMV)","Ingresos Sección I LISR"))</f>
        <v>0</v>
      </c>
      <c r="J194" s="302">
        <f t="shared" si="47"/>
        <v>0</v>
      </c>
      <c r="K194" s="304">
        <f t="shared" ref="K194:K257" si="55">IF(H194=0,0,H194/J194)</f>
        <v>0</v>
      </c>
      <c r="L194" s="305">
        <f>IF(H194=0,0,IF(OR(E194=$AT$5,E194=$AT$6),AA194,IF(F194="MXN",1/HLOOKUP(YEAR(G194)+(MONTH(G194)/100),TC!$5:$37,DAY(G194)+2,FALSE),VLOOKUP(F194,Equivalencia!$5:$23,((MAX(Equivalencia!$3:$3)-YEAR(G194))*14)+MONTH(G194)+2,FALSE))))</f>
        <v>0</v>
      </c>
      <c r="M194" s="306">
        <f t="shared" ref="M194:M257" si="56">+H194*L194</f>
        <v>0</v>
      </c>
      <c r="N194" s="305">
        <f>IF(G194=0,0,(IF(OR(E194=$AT$5,E194=$AT$6),AC194,HLOOKUP(YEAR(G194)+(MONTH(G194)/100),TC!$5:$37,DAY(G194)+2,FALSE))))</f>
        <v>0</v>
      </c>
      <c r="O194" s="307">
        <f t="shared" si="48"/>
        <v>0</v>
      </c>
      <c r="P194" s="552">
        <f>IF(G194=0,0,VLOOKUP(YEAR(G194),INPC!$B$4:$P$30,MONTH(G194)+2))</f>
        <v>0</v>
      </c>
      <c r="Q194" s="552">
        <f>IF(X194=0,0,IF(OR(E194=$AT$10,E194=$AT$9),VLOOKUP(YEAR(X194),INPC!$B$4:$P$30,MONTH(X194)+1),VLOOKUP(YEAR(X194),INPC!$B$4:$P$30,MONTH(X194)+2,0)))</f>
        <v>0</v>
      </c>
      <c r="R194" s="309">
        <f t="shared" ref="R194:R257" si="57">IF(H194=0,0,IF(OR(E194=$AT$5,E194=$AT$6),1,IF(TRUNC(Q194/P194,4)&gt;=1,TRUNC(Q194/P194,4),1)))</f>
        <v>0</v>
      </c>
      <c r="S194" s="310">
        <f t="shared" si="49"/>
        <v>0</v>
      </c>
      <c r="T194" s="547">
        <f t="shared" si="50"/>
        <v>0</v>
      </c>
      <c r="U194" s="311"/>
      <c r="V194" s="312"/>
      <c r="W194" s="299"/>
      <c r="X194" s="300"/>
      <c r="Y194" s="299"/>
      <c r="Z194" s="303"/>
      <c r="AA194" s="305">
        <f>IF(Z194=0,0,IF(Y194="MXN",1/HLOOKUP(YEAR(X194)+(MONTH(X194)/100),TC!$5:$37,DAY(X194)+2,FALSE),VLOOKUP(Y194,Equivalencia!$1:$23,((MAX(Equivalencia!$3:$3)-YEAR(X194))*14)+MONTH(X194)+2,FALSE)))</f>
        <v>0</v>
      </c>
      <c r="AB194" s="306">
        <f t="shared" si="51"/>
        <v>0</v>
      </c>
      <c r="AC194" s="305">
        <f>+IF(X194=0,0,HLOOKUP(YEAR(X194)+(MONTH(X194)/100),TC!$5:$37,DAY(X194)+2,FALSE))</f>
        <v>0</v>
      </c>
      <c r="AD194" s="307">
        <f t="shared" si="52"/>
        <v>0</v>
      </c>
      <c r="AE194" s="314">
        <f t="shared" ref="AE194:AE257" si="58">+V194*T194</f>
        <v>0</v>
      </c>
      <c r="AF194" s="315">
        <f t="shared" ref="AF194:AF257" si="59">IF(E194=$AT$11,0,AD194-AE194)</f>
        <v>0</v>
      </c>
      <c r="AG194" s="316">
        <f t="shared" ref="AG194:AG257" si="60">+IF(AND(AF194&lt;0,OR(E194=$AT$5,E194=$AT$6)),1,((X194-G194)/365))</f>
        <v>0</v>
      </c>
      <c r="AH194" s="314">
        <v>1</v>
      </c>
      <c r="AI194" s="314">
        <f t="shared" ref="AI194:AI257" si="61">+IF(OR(E194=$AT$9,E194=$AT$10),AF194,+AF194/AH194)</f>
        <v>0</v>
      </c>
      <c r="AJ194" s="314">
        <f t="shared" si="53"/>
        <v>0</v>
      </c>
      <c r="AK194" s="317"/>
      <c r="AL194" s="315">
        <f t="shared" ref="AL194:AL257" si="62">+AB194-M194</f>
        <v>0</v>
      </c>
      <c r="AN194" s="546">
        <f t="shared" ref="AN194:AN257" si="63">IF(AL194=0,0,AL194/H194)</f>
        <v>0</v>
      </c>
      <c r="AO194" s="314"/>
      <c r="AP194" s="318"/>
    </row>
    <row r="195" spans="2:42">
      <c r="B195" s="296"/>
      <c r="C195" s="299"/>
      <c r="D195" s="298"/>
      <c r="E195" s="299"/>
      <c r="F195" s="299"/>
      <c r="G195" s="300"/>
      <c r="H195" s="303"/>
      <c r="I195" s="301">
        <f t="shared" si="54"/>
        <v>0</v>
      </c>
      <c r="J195" s="302">
        <f t="shared" ref="J195:J258" si="64">+V195</f>
        <v>0</v>
      </c>
      <c r="K195" s="304">
        <f t="shared" si="55"/>
        <v>0</v>
      </c>
      <c r="L195" s="305">
        <f>IF(H195=0,0,IF(OR(E195=$AT$5,E195=$AT$6),AA195,IF(F195="MXN",1/HLOOKUP(YEAR(G195)+(MONTH(G195)/100),TC!$5:$37,DAY(G195)+2,FALSE),VLOOKUP(F195,Equivalencia!$5:$23,((MAX(Equivalencia!$3:$3)-YEAR(G195))*14)+MONTH(G195)+2,FALSE))))</f>
        <v>0</v>
      </c>
      <c r="M195" s="306">
        <f t="shared" si="56"/>
        <v>0</v>
      </c>
      <c r="N195" s="305">
        <f>IF(G195=0,0,(IF(OR(E195=$AT$5,E195=$AT$6),AC195,HLOOKUP(YEAR(G195)+(MONTH(G195)/100),TC!$5:$37,DAY(G195)+2,FALSE))))</f>
        <v>0</v>
      </c>
      <c r="O195" s="307">
        <f t="shared" ref="O195:O258" si="65">+M195*N195</f>
        <v>0</v>
      </c>
      <c r="P195" s="552">
        <f>IF(G195=0,0,VLOOKUP(YEAR(G195),INPC!$B$4:$P$30,MONTH(G195)+2))</f>
        <v>0</v>
      </c>
      <c r="Q195" s="552">
        <f>IF(X195=0,0,IF(OR(E195=$AT$10,E195=$AT$9),VLOOKUP(YEAR(X195),INPC!$B$4:$P$30,MONTH(X195)+1),VLOOKUP(YEAR(X195),INPC!$B$4:$P$30,MONTH(X195)+2,0)))</f>
        <v>0</v>
      </c>
      <c r="R195" s="309">
        <f t="shared" si="57"/>
        <v>0</v>
      </c>
      <c r="S195" s="310">
        <f t="shared" ref="S195:S258" si="66">+R195*O195</f>
        <v>0</v>
      </c>
      <c r="T195" s="547">
        <f t="shared" ref="T195:T258" si="67">IF(V195=0,0,S195/V195)</f>
        <v>0</v>
      </c>
      <c r="U195" s="311"/>
      <c r="V195" s="312"/>
      <c r="W195" s="299"/>
      <c r="X195" s="300"/>
      <c r="Y195" s="299"/>
      <c r="Z195" s="303"/>
      <c r="AA195" s="305">
        <f>IF(Z195=0,0,IF(Y195="MXN",1/HLOOKUP(YEAR(X195)+(MONTH(X195)/100),TC!$5:$37,DAY(X195)+2,FALSE),VLOOKUP(Y195,Equivalencia!$1:$23,((MAX(Equivalencia!$3:$3)-YEAR(X195))*14)+MONTH(X195)+2,FALSE)))</f>
        <v>0</v>
      </c>
      <c r="AB195" s="306">
        <f t="shared" ref="AB195:AB258" si="68">+AA195*Z195</f>
        <v>0</v>
      </c>
      <c r="AC195" s="305">
        <f>+IF(X195=0,0,HLOOKUP(YEAR(X195)+(MONTH(X195)/100),TC!$5:$37,DAY(X195)+2,FALSE))</f>
        <v>0</v>
      </c>
      <c r="AD195" s="307">
        <f t="shared" ref="AD195:AD258" si="69">+AC195*AB195</f>
        <v>0</v>
      </c>
      <c r="AE195" s="314">
        <f t="shared" si="58"/>
        <v>0</v>
      </c>
      <c r="AF195" s="315">
        <f t="shared" si="59"/>
        <v>0</v>
      </c>
      <c r="AG195" s="316">
        <f t="shared" si="60"/>
        <v>0</v>
      </c>
      <c r="AH195" s="314">
        <v>1</v>
      </c>
      <c r="AI195" s="314">
        <f t="shared" si="61"/>
        <v>0</v>
      </c>
      <c r="AJ195" s="314">
        <f t="shared" ref="AJ195:AJ258" si="70">+AF195-AI195</f>
        <v>0</v>
      </c>
      <c r="AK195" s="317"/>
      <c r="AL195" s="315">
        <f t="shared" si="62"/>
        <v>0</v>
      </c>
      <c r="AN195" s="546">
        <f t="shared" si="63"/>
        <v>0</v>
      </c>
      <c r="AO195" s="314"/>
      <c r="AP195" s="318"/>
    </row>
    <row r="196" spans="2:42">
      <c r="B196" s="296"/>
      <c r="C196" s="299"/>
      <c r="D196" s="298"/>
      <c r="E196" s="299"/>
      <c r="F196" s="299"/>
      <c r="G196" s="300"/>
      <c r="H196" s="303"/>
      <c r="I196" s="301">
        <f t="shared" si="54"/>
        <v>0</v>
      </c>
      <c r="J196" s="302">
        <f t="shared" si="64"/>
        <v>0</v>
      </c>
      <c r="K196" s="304">
        <f t="shared" si="55"/>
        <v>0</v>
      </c>
      <c r="L196" s="305">
        <f>IF(H196=0,0,IF(OR(E196=$AT$5,E196=$AT$6),AA196,IF(F196="MXN",1/HLOOKUP(YEAR(G196)+(MONTH(G196)/100),TC!$5:$37,DAY(G196)+2,FALSE),VLOOKUP(F196,Equivalencia!$5:$23,((MAX(Equivalencia!$3:$3)-YEAR(G196))*14)+MONTH(G196)+2,FALSE))))</f>
        <v>0</v>
      </c>
      <c r="M196" s="306">
        <f t="shared" si="56"/>
        <v>0</v>
      </c>
      <c r="N196" s="305">
        <f>IF(G196=0,0,(IF(OR(E196=$AT$5,E196=$AT$6),AC196,HLOOKUP(YEAR(G196)+(MONTH(G196)/100),TC!$5:$37,DAY(G196)+2,FALSE))))</f>
        <v>0</v>
      </c>
      <c r="O196" s="307">
        <f t="shared" si="65"/>
        <v>0</v>
      </c>
      <c r="P196" s="552">
        <f>IF(G196=0,0,VLOOKUP(YEAR(G196),INPC!$B$4:$P$30,MONTH(G196)+2))</f>
        <v>0</v>
      </c>
      <c r="Q196" s="552">
        <f>IF(X196=0,0,IF(OR(E196=$AT$10,E196=$AT$9),VLOOKUP(YEAR(X196),INPC!$B$4:$P$30,MONTH(X196)+1),VLOOKUP(YEAR(X196),INPC!$B$4:$P$30,MONTH(X196)+2,0)))</f>
        <v>0</v>
      </c>
      <c r="R196" s="309">
        <f t="shared" si="57"/>
        <v>0</v>
      </c>
      <c r="S196" s="310">
        <f t="shared" si="66"/>
        <v>0</v>
      </c>
      <c r="T196" s="547">
        <f t="shared" si="67"/>
        <v>0</v>
      </c>
      <c r="U196" s="311"/>
      <c r="V196" s="312"/>
      <c r="W196" s="299"/>
      <c r="X196" s="300"/>
      <c r="Y196" s="299"/>
      <c r="Z196" s="303"/>
      <c r="AA196" s="305">
        <f>IF(Z196=0,0,IF(Y196="MXN",1/HLOOKUP(YEAR(X196)+(MONTH(X196)/100),TC!$5:$37,DAY(X196)+2,FALSE),VLOOKUP(Y196,Equivalencia!$1:$23,((MAX(Equivalencia!$3:$3)-YEAR(X196))*14)+MONTH(X196)+2,FALSE)))</f>
        <v>0</v>
      </c>
      <c r="AB196" s="306">
        <f t="shared" si="68"/>
        <v>0</v>
      </c>
      <c r="AC196" s="305">
        <f>+IF(X196=0,0,HLOOKUP(YEAR(X196)+(MONTH(X196)/100),TC!$5:$37,DAY(X196)+2,FALSE))</f>
        <v>0</v>
      </c>
      <c r="AD196" s="307">
        <f t="shared" si="69"/>
        <v>0</v>
      </c>
      <c r="AE196" s="314">
        <f t="shared" si="58"/>
        <v>0</v>
      </c>
      <c r="AF196" s="315">
        <f t="shared" si="59"/>
        <v>0</v>
      </c>
      <c r="AG196" s="316">
        <f t="shared" si="60"/>
        <v>0</v>
      </c>
      <c r="AH196" s="314">
        <v>1</v>
      </c>
      <c r="AI196" s="314">
        <f t="shared" si="61"/>
        <v>0</v>
      </c>
      <c r="AJ196" s="314">
        <f t="shared" si="70"/>
        <v>0</v>
      </c>
      <c r="AK196" s="317"/>
      <c r="AL196" s="315">
        <f t="shared" si="62"/>
        <v>0</v>
      </c>
      <c r="AN196" s="546">
        <f t="shared" si="63"/>
        <v>0</v>
      </c>
      <c r="AO196" s="314"/>
      <c r="AP196" s="318"/>
    </row>
    <row r="197" spans="2:42">
      <c r="B197" s="296"/>
      <c r="C197" s="299"/>
      <c r="D197" s="298"/>
      <c r="E197" s="299"/>
      <c r="F197" s="299"/>
      <c r="G197" s="300"/>
      <c r="H197" s="303"/>
      <c r="I197" s="301">
        <f t="shared" si="54"/>
        <v>0</v>
      </c>
      <c r="J197" s="302">
        <f t="shared" si="64"/>
        <v>0</v>
      </c>
      <c r="K197" s="304">
        <f t="shared" si="55"/>
        <v>0</v>
      </c>
      <c r="L197" s="305">
        <f>IF(H197=0,0,IF(OR(E197=$AT$5,E197=$AT$6),AA197,IF(F197="MXN",1/HLOOKUP(YEAR(G197)+(MONTH(G197)/100),TC!$5:$37,DAY(G197)+2,FALSE),VLOOKUP(F197,Equivalencia!$5:$23,((MAX(Equivalencia!$3:$3)-YEAR(G197))*14)+MONTH(G197)+2,FALSE))))</f>
        <v>0</v>
      </c>
      <c r="M197" s="306">
        <f t="shared" si="56"/>
        <v>0</v>
      </c>
      <c r="N197" s="305">
        <f>IF(G197=0,0,(IF(OR(E197=$AT$5,E197=$AT$6),AC197,HLOOKUP(YEAR(G197)+(MONTH(G197)/100),TC!$5:$37,DAY(G197)+2,FALSE))))</f>
        <v>0</v>
      </c>
      <c r="O197" s="307">
        <f t="shared" si="65"/>
        <v>0</v>
      </c>
      <c r="P197" s="552">
        <f>IF(G197=0,0,VLOOKUP(YEAR(G197),INPC!$B$4:$P$30,MONTH(G197)+2))</f>
        <v>0</v>
      </c>
      <c r="Q197" s="552">
        <f>IF(X197=0,0,IF(OR(E197=$AT$10,E197=$AT$9),VLOOKUP(YEAR(X197),INPC!$B$4:$P$30,MONTH(X197)+1),VLOOKUP(YEAR(X197),INPC!$B$4:$P$30,MONTH(X197)+2,0)))</f>
        <v>0</v>
      </c>
      <c r="R197" s="309">
        <f t="shared" si="57"/>
        <v>0</v>
      </c>
      <c r="S197" s="310">
        <f t="shared" si="66"/>
        <v>0</v>
      </c>
      <c r="T197" s="547">
        <f t="shared" si="67"/>
        <v>0</v>
      </c>
      <c r="U197" s="311"/>
      <c r="V197" s="312"/>
      <c r="W197" s="299"/>
      <c r="X197" s="300"/>
      <c r="Y197" s="299"/>
      <c r="Z197" s="303"/>
      <c r="AA197" s="305">
        <f>IF(Z197=0,0,IF(Y197="MXN",1/HLOOKUP(YEAR(X197)+(MONTH(X197)/100),TC!$5:$37,DAY(X197)+2,FALSE),VLOOKUP(Y197,Equivalencia!$1:$23,((MAX(Equivalencia!$3:$3)-YEAR(X197))*14)+MONTH(X197)+2,FALSE)))</f>
        <v>0</v>
      </c>
      <c r="AB197" s="306">
        <f t="shared" si="68"/>
        <v>0</v>
      </c>
      <c r="AC197" s="305">
        <f>+IF(X197=0,0,HLOOKUP(YEAR(X197)+(MONTH(X197)/100),TC!$5:$37,DAY(X197)+2,FALSE))</f>
        <v>0</v>
      </c>
      <c r="AD197" s="307">
        <f t="shared" si="69"/>
        <v>0</v>
      </c>
      <c r="AE197" s="314">
        <f t="shared" si="58"/>
        <v>0</v>
      </c>
      <c r="AF197" s="315">
        <f t="shared" si="59"/>
        <v>0</v>
      </c>
      <c r="AG197" s="316">
        <f t="shared" si="60"/>
        <v>0</v>
      </c>
      <c r="AH197" s="314">
        <v>1</v>
      </c>
      <c r="AI197" s="314">
        <f t="shared" si="61"/>
        <v>0</v>
      </c>
      <c r="AJ197" s="314">
        <f t="shared" si="70"/>
        <v>0</v>
      </c>
      <c r="AK197" s="317"/>
      <c r="AL197" s="315">
        <f t="shared" si="62"/>
        <v>0</v>
      </c>
      <c r="AN197" s="546">
        <f t="shared" si="63"/>
        <v>0</v>
      </c>
      <c r="AO197" s="314"/>
      <c r="AP197" s="318"/>
    </row>
    <row r="198" spans="2:42">
      <c r="B198" s="296"/>
      <c r="C198" s="299"/>
      <c r="D198" s="298"/>
      <c r="E198" s="299"/>
      <c r="F198" s="299"/>
      <c r="G198" s="300"/>
      <c r="H198" s="303"/>
      <c r="I198" s="301">
        <f t="shared" si="54"/>
        <v>0</v>
      </c>
      <c r="J198" s="302">
        <f t="shared" si="64"/>
        <v>0</v>
      </c>
      <c r="K198" s="304">
        <f t="shared" si="55"/>
        <v>0</v>
      </c>
      <c r="L198" s="305">
        <f>IF(H198=0,0,IF(OR(E198=$AT$5,E198=$AT$6),AA198,IF(F198="MXN",1/HLOOKUP(YEAR(G198)+(MONTH(G198)/100),TC!$5:$37,DAY(G198)+2,FALSE),VLOOKUP(F198,Equivalencia!$5:$23,((MAX(Equivalencia!$3:$3)-YEAR(G198))*14)+MONTH(G198)+2,FALSE))))</f>
        <v>0</v>
      </c>
      <c r="M198" s="306">
        <f t="shared" si="56"/>
        <v>0</v>
      </c>
      <c r="N198" s="305">
        <f>IF(G198=0,0,(IF(OR(E198=$AT$5,E198=$AT$6),AC198,HLOOKUP(YEAR(G198)+(MONTH(G198)/100),TC!$5:$37,DAY(G198)+2,FALSE))))</f>
        <v>0</v>
      </c>
      <c r="O198" s="307">
        <f t="shared" si="65"/>
        <v>0</v>
      </c>
      <c r="P198" s="552">
        <f>IF(G198=0,0,VLOOKUP(YEAR(G198),INPC!$B$4:$P$30,MONTH(G198)+2))</f>
        <v>0</v>
      </c>
      <c r="Q198" s="552">
        <f>IF(X198=0,0,IF(OR(E198=$AT$10,E198=$AT$9),VLOOKUP(YEAR(X198),INPC!$B$4:$P$30,MONTH(X198)+1),VLOOKUP(YEAR(X198),INPC!$B$4:$P$30,MONTH(X198)+2,0)))</f>
        <v>0</v>
      </c>
      <c r="R198" s="309">
        <f t="shared" si="57"/>
        <v>0</v>
      </c>
      <c r="S198" s="310">
        <f t="shared" si="66"/>
        <v>0</v>
      </c>
      <c r="T198" s="547">
        <f t="shared" si="67"/>
        <v>0</v>
      </c>
      <c r="U198" s="311"/>
      <c r="V198" s="312"/>
      <c r="W198" s="299"/>
      <c r="X198" s="300"/>
      <c r="Y198" s="299"/>
      <c r="Z198" s="303"/>
      <c r="AA198" s="305">
        <f>IF(Z198=0,0,IF(Y198="MXN",1/HLOOKUP(YEAR(X198)+(MONTH(X198)/100),TC!$5:$37,DAY(X198)+2,FALSE),VLOOKUP(Y198,Equivalencia!$1:$23,((MAX(Equivalencia!$3:$3)-YEAR(X198))*14)+MONTH(X198)+2,FALSE)))</f>
        <v>0</v>
      </c>
      <c r="AB198" s="306">
        <f t="shared" si="68"/>
        <v>0</v>
      </c>
      <c r="AC198" s="305">
        <f>+IF(X198=0,0,HLOOKUP(YEAR(X198)+(MONTH(X198)/100),TC!$5:$37,DAY(X198)+2,FALSE))</f>
        <v>0</v>
      </c>
      <c r="AD198" s="307">
        <f t="shared" si="69"/>
        <v>0</v>
      </c>
      <c r="AE198" s="314">
        <f t="shared" si="58"/>
        <v>0</v>
      </c>
      <c r="AF198" s="315">
        <f t="shared" si="59"/>
        <v>0</v>
      </c>
      <c r="AG198" s="316">
        <f t="shared" si="60"/>
        <v>0</v>
      </c>
      <c r="AH198" s="314">
        <v>1</v>
      </c>
      <c r="AI198" s="314">
        <f t="shared" si="61"/>
        <v>0</v>
      </c>
      <c r="AJ198" s="314">
        <f t="shared" si="70"/>
        <v>0</v>
      </c>
      <c r="AK198" s="317"/>
      <c r="AL198" s="315">
        <f t="shared" si="62"/>
        <v>0</v>
      </c>
      <c r="AN198" s="546">
        <f t="shared" si="63"/>
        <v>0</v>
      </c>
      <c r="AO198" s="314"/>
      <c r="AP198" s="318"/>
    </row>
    <row r="199" spans="2:42">
      <c r="B199" s="296"/>
      <c r="C199" s="299"/>
      <c r="D199" s="298"/>
      <c r="E199" s="299"/>
      <c r="F199" s="299"/>
      <c r="G199" s="300"/>
      <c r="H199" s="303"/>
      <c r="I199" s="301">
        <f t="shared" si="54"/>
        <v>0</v>
      </c>
      <c r="J199" s="302">
        <f t="shared" si="64"/>
        <v>0</v>
      </c>
      <c r="K199" s="304">
        <f t="shared" si="55"/>
        <v>0</v>
      </c>
      <c r="L199" s="305">
        <f>IF(H199=0,0,IF(OR(E199=$AT$5,E199=$AT$6),AA199,IF(F199="MXN",1/HLOOKUP(YEAR(G199)+(MONTH(G199)/100),TC!$5:$37,DAY(G199)+2,FALSE),VLOOKUP(F199,Equivalencia!$5:$23,((MAX(Equivalencia!$3:$3)-YEAR(G199))*14)+MONTH(G199)+2,FALSE))))</f>
        <v>0</v>
      </c>
      <c r="M199" s="306">
        <f t="shared" si="56"/>
        <v>0</v>
      </c>
      <c r="N199" s="305">
        <f>IF(G199=0,0,(IF(OR(E199=$AT$5,E199=$AT$6),AC199,HLOOKUP(YEAR(G199)+(MONTH(G199)/100),TC!$5:$37,DAY(G199)+2,FALSE))))</f>
        <v>0</v>
      </c>
      <c r="O199" s="307">
        <f t="shared" si="65"/>
        <v>0</v>
      </c>
      <c r="P199" s="552">
        <f>IF(G199=0,0,VLOOKUP(YEAR(G199),INPC!$B$4:$P$30,MONTH(G199)+2))</f>
        <v>0</v>
      </c>
      <c r="Q199" s="552">
        <f>IF(X199=0,0,IF(OR(E199=$AT$10,E199=$AT$9),VLOOKUP(YEAR(X199),INPC!$B$4:$P$30,MONTH(X199)+1),VLOOKUP(YEAR(X199),INPC!$B$4:$P$30,MONTH(X199)+2,0)))</f>
        <v>0</v>
      </c>
      <c r="R199" s="309">
        <f t="shared" si="57"/>
        <v>0</v>
      </c>
      <c r="S199" s="310">
        <f t="shared" si="66"/>
        <v>0</v>
      </c>
      <c r="T199" s="547">
        <f t="shared" si="67"/>
        <v>0</v>
      </c>
      <c r="U199" s="311"/>
      <c r="V199" s="312"/>
      <c r="W199" s="299"/>
      <c r="X199" s="300"/>
      <c r="Y199" s="299"/>
      <c r="Z199" s="303"/>
      <c r="AA199" s="305">
        <f>IF(Z199=0,0,IF(Y199="MXN",1/HLOOKUP(YEAR(X199)+(MONTH(X199)/100),TC!$5:$37,DAY(X199)+2,FALSE),VLOOKUP(Y199,Equivalencia!$1:$23,((MAX(Equivalencia!$3:$3)-YEAR(X199))*14)+MONTH(X199)+2,FALSE)))</f>
        <v>0</v>
      </c>
      <c r="AB199" s="306">
        <f t="shared" si="68"/>
        <v>0</v>
      </c>
      <c r="AC199" s="305">
        <f>+IF(X199=0,0,HLOOKUP(YEAR(X199)+(MONTH(X199)/100),TC!$5:$37,DAY(X199)+2,FALSE))</f>
        <v>0</v>
      </c>
      <c r="AD199" s="307">
        <f t="shared" si="69"/>
        <v>0</v>
      </c>
      <c r="AE199" s="314">
        <f t="shared" si="58"/>
        <v>0</v>
      </c>
      <c r="AF199" s="315">
        <f t="shared" si="59"/>
        <v>0</v>
      </c>
      <c r="AG199" s="316">
        <f t="shared" si="60"/>
        <v>0</v>
      </c>
      <c r="AH199" s="314">
        <v>1</v>
      </c>
      <c r="AI199" s="314">
        <f t="shared" si="61"/>
        <v>0</v>
      </c>
      <c r="AJ199" s="314">
        <f t="shared" si="70"/>
        <v>0</v>
      </c>
      <c r="AK199" s="317"/>
      <c r="AL199" s="315">
        <f t="shared" si="62"/>
        <v>0</v>
      </c>
      <c r="AN199" s="546">
        <f t="shared" si="63"/>
        <v>0</v>
      </c>
      <c r="AO199" s="314"/>
      <c r="AP199" s="318"/>
    </row>
    <row r="200" spans="2:42">
      <c r="B200" s="296"/>
      <c r="C200" s="299"/>
      <c r="D200" s="298"/>
      <c r="E200" s="299"/>
      <c r="F200" s="299"/>
      <c r="G200" s="300"/>
      <c r="H200" s="303"/>
      <c r="I200" s="301">
        <f t="shared" si="54"/>
        <v>0</v>
      </c>
      <c r="J200" s="302">
        <f t="shared" si="64"/>
        <v>0</v>
      </c>
      <c r="K200" s="304">
        <f t="shared" si="55"/>
        <v>0</v>
      </c>
      <c r="L200" s="305">
        <f>IF(H200=0,0,IF(OR(E200=$AT$5,E200=$AT$6),AA200,IF(F200="MXN",1/HLOOKUP(YEAR(G200)+(MONTH(G200)/100),TC!$5:$37,DAY(G200)+2,FALSE),VLOOKUP(F200,Equivalencia!$5:$23,((MAX(Equivalencia!$3:$3)-YEAR(G200))*14)+MONTH(G200)+2,FALSE))))</f>
        <v>0</v>
      </c>
      <c r="M200" s="306">
        <f t="shared" si="56"/>
        <v>0</v>
      </c>
      <c r="N200" s="305">
        <f>IF(G200=0,0,(IF(OR(E200=$AT$5,E200=$AT$6),AC200,HLOOKUP(YEAR(G200)+(MONTH(G200)/100),TC!$5:$37,DAY(G200)+2,FALSE))))</f>
        <v>0</v>
      </c>
      <c r="O200" s="307">
        <f t="shared" si="65"/>
        <v>0</v>
      </c>
      <c r="P200" s="552">
        <f>IF(G200=0,0,VLOOKUP(YEAR(G200),INPC!$B$4:$P$30,MONTH(G200)+2))</f>
        <v>0</v>
      </c>
      <c r="Q200" s="552">
        <f>IF(X200=0,0,IF(OR(E200=$AT$10,E200=$AT$9),VLOOKUP(YEAR(X200),INPC!$B$4:$P$30,MONTH(X200)+1),VLOOKUP(YEAR(X200),INPC!$B$4:$P$30,MONTH(X200)+2,0)))</f>
        <v>0</v>
      </c>
      <c r="R200" s="309">
        <f t="shared" si="57"/>
        <v>0</v>
      </c>
      <c r="S200" s="310">
        <f t="shared" si="66"/>
        <v>0</v>
      </c>
      <c r="T200" s="547">
        <f t="shared" si="67"/>
        <v>0</v>
      </c>
      <c r="U200" s="311"/>
      <c r="V200" s="312"/>
      <c r="W200" s="299"/>
      <c r="X200" s="300"/>
      <c r="Y200" s="299"/>
      <c r="Z200" s="303"/>
      <c r="AA200" s="305">
        <f>IF(Z200=0,0,IF(Y200="MXN",1/HLOOKUP(YEAR(X200)+(MONTH(X200)/100),TC!$5:$37,DAY(X200)+2,FALSE),VLOOKUP(Y200,Equivalencia!$1:$23,((MAX(Equivalencia!$3:$3)-YEAR(X200))*14)+MONTH(X200)+2,FALSE)))</f>
        <v>0</v>
      </c>
      <c r="AB200" s="306">
        <f t="shared" si="68"/>
        <v>0</v>
      </c>
      <c r="AC200" s="305">
        <f>+IF(X200=0,0,HLOOKUP(YEAR(X200)+(MONTH(X200)/100),TC!$5:$37,DAY(X200)+2,FALSE))</f>
        <v>0</v>
      </c>
      <c r="AD200" s="307">
        <f t="shared" si="69"/>
        <v>0</v>
      </c>
      <c r="AE200" s="314">
        <f t="shared" si="58"/>
        <v>0</v>
      </c>
      <c r="AF200" s="315">
        <f t="shared" si="59"/>
        <v>0</v>
      </c>
      <c r="AG200" s="316">
        <f t="shared" si="60"/>
        <v>0</v>
      </c>
      <c r="AH200" s="314">
        <v>1</v>
      </c>
      <c r="AI200" s="314">
        <f t="shared" si="61"/>
        <v>0</v>
      </c>
      <c r="AJ200" s="314">
        <f t="shared" si="70"/>
        <v>0</v>
      </c>
      <c r="AK200" s="317"/>
      <c r="AL200" s="315">
        <f t="shared" si="62"/>
        <v>0</v>
      </c>
      <c r="AN200" s="546">
        <f t="shared" si="63"/>
        <v>0</v>
      </c>
      <c r="AO200" s="314"/>
      <c r="AP200" s="318"/>
    </row>
    <row r="201" spans="2:42">
      <c r="B201" s="296"/>
      <c r="C201" s="299"/>
      <c r="D201" s="298"/>
      <c r="E201" s="299"/>
      <c r="F201" s="299"/>
      <c r="G201" s="300"/>
      <c r="H201" s="303"/>
      <c r="I201" s="301">
        <f t="shared" si="54"/>
        <v>0</v>
      </c>
      <c r="J201" s="302">
        <f t="shared" si="64"/>
        <v>0</v>
      </c>
      <c r="K201" s="304">
        <f t="shared" si="55"/>
        <v>0</v>
      </c>
      <c r="L201" s="305">
        <f>IF(H201=0,0,IF(OR(E201=$AT$5,E201=$AT$6),AA201,IF(F201="MXN",1/HLOOKUP(YEAR(G201)+(MONTH(G201)/100),TC!$5:$37,DAY(G201)+2,FALSE),VLOOKUP(F201,Equivalencia!$5:$23,((MAX(Equivalencia!$3:$3)-YEAR(G201))*14)+MONTH(G201)+2,FALSE))))</f>
        <v>0</v>
      </c>
      <c r="M201" s="306">
        <f t="shared" si="56"/>
        <v>0</v>
      </c>
      <c r="N201" s="305">
        <f>IF(G201=0,0,(IF(OR(E201=$AT$5,E201=$AT$6),AC201,HLOOKUP(YEAR(G201)+(MONTH(G201)/100),TC!$5:$37,DAY(G201)+2,FALSE))))</f>
        <v>0</v>
      </c>
      <c r="O201" s="307">
        <f t="shared" si="65"/>
        <v>0</v>
      </c>
      <c r="P201" s="552">
        <f>IF(G201=0,0,VLOOKUP(YEAR(G201),INPC!$B$4:$P$30,MONTH(G201)+2))</f>
        <v>0</v>
      </c>
      <c r="Q201" s="552">
        <f>IF(X201=0,0,IF(OR(E201=$AT$10,E201=$AT$9),VLOOKUP(YEAR(X201),INPC!$B$4:$P$30,MONTH(X201)+1),VLOOKUP(YEAR(X201),INPC!$B$4:$P$30,MONTH(X201)+2,0)))</f>
        <v>0</v>
      </c>
      <c r="R201" s="309">
        <f t="shared" si="57"/>
        <v>0</v>
      </c>
      <c r="S201" s="310">
        <f t="shared" si="66"/>
        <v>0</v>
      </c>
      <c r="T201" s="547">
        <f t="shared" si="67"/>
        <v>0</v>
      </c>
      <c r="U201" s="311"/>
      <c r="V201" s="312"/>
      <c r="W201" s="299"/>
      <c r="X201" s="300"/>
      <c r="Y201" s="299"/>
      <c r="Z201" s="303"/>
      <c r="AA201" s="305">
        <f>IF(Z201=0,0,IF(Y201="MXN",1/HLOOKUP(YEAR(X201)+(MONTH(X201)/100),TC!$5:$37,DAY(X201)+2,FALSE),VLOOKUP(Y201,Equivalencia!$1:$23,((MAX(Equivalencia!$3:$3)-YEAR(X201))*14)+MONTH(X201)+2,FALSE)))</f>
        <v>0</v>
      </c>
      <c r="AB201" s="306">
        <f t="shared" si="68"/>
        <v>0</v>
      </c>
      <c r="AC201" s="305">
        <f>+IF(X201=0,0,HLOOKUP(YEAR(X201)+(MONTH(X201)/100),TC!$5:$37,DAY(X201)+2,FALSE))</f>
        <v>0</v>
      </c>
      <c r="AD201" s="307">
        <f t="shared" si="69"/>
        <v>0</v>
      </c>
      <c r="AE201" s="314">
        <f t="shared" si="58"/>
        <v>0</v>
      </c>
      <c r="AF201" s="315">
        <f t="shared" si="59"/>
        <v>0</v>
      </c>
      <c r="AG201" s="316">
        <f t="shared" si="60"/>
        <v>0</v>
      </c>
      <c r="AH201" s="314">
        <v>1</v>
      </c>
      <c r="AI201" s="314">
        <f t="shared" si="61"/>
        <v>0</v>
      </c>
      <c r="AJ201" s="314">
        <f t="shared" si="70"/>
        <v>0</v>
      </c>
      <c r="AK201" s="317"/>
      <c r="AL201" s="315">
        <f t="shared" si="62"/>
        <v>0</v>
      </c>
      <c r="AN201" s="546">
        <f t="shared" si="63"/>
        <v>0</v>
      </c>
      <c r="AO201" s="314"/>
      <c r="AP201" s="318"/>
    </row>
    <row r="202" spans="2:42">
      <c r="B202" s="296"/>
      <c r="C202" s="299"/>
      <c r="D202" s="298"/>
      <c r="E202" s="299"/>
      <c r="F202" s="299"/>
      <c r="G202" s="300"/>
      <c r="H202" s="303"/>
      <c r="I202" s="301">
        <f t="shared" si="54"/>
        <v>0</v>
      </c>
      <c r="J202" s="302">
        <f t="shared" si="64"/>
        <v>0</v>
      </c>
      <c r="K202" s="304">
        <f t="shared" si="55"/>
        <v>0</v>
      </c>
      <c r="L202" s="305">
        <f>IF(H202=0,0,IF(OR(E202=$AT$5,E202=$AT$6),AA202,IF(F202="MXN",1/HLOOKUP(YEAR(G202)+(MONTH(G202)/100),TC!$5:$37,DAY(G202)+2,FALSE),VLOOKUP(F202,Equivalencia!$5:$23,((MAX(Equivalencia!$3:$3)-YEAR(G202))*14)+MONTH(G202)+2,FALSE))))</f>
        <v>0</v>
      </c>
      <c r="M202" s="306">
        <f t="shared" si="56"/>
        <v>0</v>
      </c>
      <c r="N202" s="305">
        <f>IF(G202=0,0,(IF(OR(E202=$AT$5,E202=$AT$6),AC202,HLOOKUP(YEAR(G202)+(MONTH(G202)/100),TC!$5:$37,DAY(G202)+2,FALSE))))</f>
        <v>0</v>
      </c>
      <c r="O202" s="307">
        <f t="shared" si="65"/>
        <v>0</v>
      </c>
      <c r="P202" s="552">
        <f>IF(G202=0,0,VLOOKUP(YEAR(G202),INPC!$B$4:$P$30,MONTH(G202)+2))</f>
        <v>0</v>
      </c>
      <c r="Q202" s="552">
        <f>IF(X202=0,0,IF(OR(E202=$AT$10,E202=$AT$9),VLOOKUP(YEAR(X202),INPC!$B$4:$P$30,MONTH(X202)+1),VLOOKUP(YEAR(X202),INPC!$B$4:$P$30,MONTH(X202)+2,0)))</f>
        <v>0</v>
      </c>
      <c r="R202" s="309">
        <f t="shared" si="57"/>
        <v>0</v>
      </c>
      <c r="S202" s="310">
        <f t="shared" si="66"/>
        <v>0</v>
      </c>
      <c r="T202" s="547">
        <f t="shared" si="67"/>
        <v>0</v>
      </c>
      <c r="U202" s="311"/>
      <c r="V202" s="312"/>
      <c r="W202" s="299"/>
      <c r="X202" s="300"/>
      <c r="Y202" s="299"/>
      <c r="Z202" s="303"/>
      <c r="AA202" s="305">
        <f>IF(Z202=0,0,IF(Y202="MXN",1/HLOOKUP(YEAR(X202)+(MONTH(X202)/100),TC!$5:$37,DAY(X202)+2,FALSE),VLOOKUP(Y202,Equivalencia!$1:$23,((MAX(Equivalencia!$3:$3)-YEAR(X202))*14)+MONTH(X202)+2,FALSE)))</f>
        <v>0</v>
      </c>
      <c r="AB202" s="306">
        <f t="shared" si="68"/>
        <v>0</v>
      </c>
      <c r="AC202" s="305">
        <f>+IF(X202=0,0,HLOOKUP(YEAR(X202)+(MONTH(X202)/100),TC!$5:$37,DAY(X202)+2,FALSE))</f>
        <v>0</v>
      </c>
      <c r="AD202" s="307">
        <f t="shared" si="69"/>
        <v>0</v>
      </c>
      <c r="AE202" s="314">
        <f t="shared" si="58"/>
        <v>0</v>
      </c>
      <c r="AF202" s="315">
        <f t="shared" si="59"/>
        <v>0</v>
      </c>
      <c r="AG202" s="316">
        <f t="shared" si="60"/>
        <v>0</v>
      </c>
      <c r="AH202" s="314">
        <v>1</v>
      </c>
      <c r="AI202" s="314">
        <f t="shared" si="61"/>
        <v>0</v>
      </c>
      <c r="AJ202" s="314">
        <f t="shared" si="70"/>
        <v>0</v>
      </c>
      <c r="AK202" s="317"/>
      <c r="AL202" s="315">
        <f t="shared" si="62"/>
        <v>0</v>
      </c>
      <c r="AN202" s="546">
        <f t="shared" si="63"/>
        <v>0</v>
      </c>
      <c r="AO202" s="314"/>
      <c r="AP202" s="318"/>
    </row>
    <row r="203" spans="2:42">
      <c r="B203" s="296"/>
      <c r="C203" s="299"/>
      <c r="D203" s="298"/>
      <c r="E203" s="299"/>
      <c r="F203" s="299"/>
      <c r="G203" s="300"/>
      <c r="H203" s="303"/>
      <c r="I203" s="301">
        <f t="shared" si="54"/>
        <v>0</v>
      </c>
      <c r="J203" s="302">
        <f t="shared" si="64"/>
        <v>0</v>
      </c>
      <c r="K203" s="304">
        <f t="shared" si="55"/>
        <v>0</v>
      </c>
      <c r="L203" s="305">
        <f>IF(H203=0,0,IF(OR(E203=$AT$5,E203=$AT$6),AA203,IF(F203="MXN",1/HLOOKUP(YEAR(G203)+(MONTH(G203)/100),TC!$5:$37,DAY(G203)+2,FALSE),VLOOKUP(F203,Equivalencia!$5:$23,((MAX(Equivalencia!$3:$3)-YEAR(G203))*14)+MONTH(G203)+2,FALSE))))</f>
        <v>0</v>
      </c>
      <c r="M203" s="306">
        <f t="shared" si="56"/>
        <v>0</v>
      </c>
      <c r="N203" s="305">
        <f>IF(G203=0,0,(IF(OR(E203=$AT$5,E203=$AT$6),AC203,HLOOKUP(YEAR(G203)+(MONTH(G203)/100),TC!$5:$37,DAY(G203)+2,FALSE))))</f>
        <v>0</v>
      </c>
      <c r="O203" s="307">
        <f t="shared" si="65"/>
        <v>0</v>
      </c>
      <c r="P203" s="552">
        <f>IF(G203=0,0,VLOOKUP(YEAR(G203),INPC!$B$4:$P$30,MONTH(G203)+2))</f>
        <v>0</v>
      </c>
      <c r="Q203" s="552">
        <f>IF(X203=0,0,IF(OR(E203=$AT$10,E203=$AT$9),VLOOKUP(YEAR(X203),INPC!$B$4:$P$30,MONTH(X203)+1),VLOOKUP(YEAR(X203),INPC!$B$4:$P$30,MONTH(X203)+2,0)))</f>
        <v>0</v>
      </c>
      <c r="R203" s="309">
        <f t="shared" si="57"/>
        <v>0</v>
      </c>
      <c r="S203" s="310">
        <f t="shared" si="66"/>
        <v>0</v>
      </c>
      <c r="T203" s="547">
        <f t="shared" si="67"/>
        <v>0</v>
      </c>
      <c r="U203" s="311"/>
      <c r="V203" s="312"/>
      <c r="W203" s="299"/>
      <c r="X203" s="300"/>
      <c r="Y203" s="299"/>
      <c r="Z203" s="303"/>
      <c r="AA203" s="305">
        <f>IF(Z203=0,0,IF(Y203="MXN",1/HLOOKUP(YEAR(X203)+(MONTH(X203)/100),TC!$5:$37,DAY(X203)+2,FALSE),VLOOKUP(Y203,Equivalencia!$1:$23,((MAX(Equivalencia!$3:$3)-YEAR(X203))*14)+MONTH(X203)+2,FALSE)))</f>
        <v>0</v>
      </c>
      <c r="AB203" s="306">
        <f t="shared" si="68"/>
        <v>0</v>
      </c>
      <c r="AC203" s="305">
        <f>+IF(X203=0,0,HLOOKUP(YEAR(X203)+(MONTH(X203)/100),TC!$5:$37,DAY(X203)+2,FALSE))</f>
        <v>0</v>
      </c>
      <c r="AD203" s="307">
        <f t="shared" si="69"/>
        <v>0</v>
      </c>
      <c r="AE203" s="314">
        <f t="shared" si="58"/>
        <v>0</v>
      </c>
      <c r="AF203" s="315">
        <f t="shared" si="59"/>
        <v>0</v>
      </c>
      <c r="AG203" s="316">
        <f t="shared" si="60"/>
        <v>0</v>
      </c>
      <c r="AH203" s="314">
        <v>1</v>
      </c>
      <c r="AI203" s="314">
        <f t="shared" si="61"/>
        <v>0</v>
      </c>
      <c r="AJ203" s="314">
        <f t="shared" si="70"/>
        <v>0</v>
      </c>
      <c r="AK203" s="317"/>
      <c r="AL203" s="315">
        <f t="shared" si="62"/>
        <v>0</v>
      </c>
      <c r="AN203" s="546">
        <f t="shared" si="63"/>
        <v>0</v>
      </c>
      <c r="AO203" s="314"/>
      <c r="AP203" s="318"/>
    </row>
    <row r="204" spans="2:42">
      <c r="B204" s="296"/>
      <c r="C204" s="299"/>
      <c r="D204" s="298"/>
      <c r="E204" s="299"/>
      <c r="F204" s="299"/>
      <c r="G204" s="300"/>
      <c r="H204" s="303"/>
      <c r="I204" s="301">
        <f t="shared" si="54"/>
        <v>0</v>
      </c>
      <c r="J204" s="302">
        <f t="shared" si="64"/>
        <v>0</v>
      </c>
      <c r="K204" s="304">
        <f t="shared" si="55"/>
        <v>0</v>
      </c>
      <c r="L204" s="305">
        <f>IF(H204=0,0,IF(OR(E204=$AT$5,E204=$AT$6),AA204,IF(F204="MXN",1/HLOOKUP(YEAR(G204)+(MONTH(G204)/100),TC!$5:$37,DAY(G204)+2,FALSE),VLOOKUP(F204,Equivalencia!$5:$23,((MAX(Equivalencia!$3:$3)-YEAR(G204))*14)+MONTH(G204)+2,FALSE))))</f>
        <v>0</v>
      </c>
      <c r="M204" s="306">
        <f t="shared" si="56"/>
        <v>0</v>
      </c>
      <c r="N204" s="305">
        <f>IF(G204=0,0,(IF(OR(E204=$AT$5,E204=$AT$6),AC204,HLOOKUP(YEAR(G204)+(MONTH(G204)/100),TC!$5:$37,DAY(G204)+2,FALSE))))</f>
        <v>0</v>
      </c>
      <c r="O204" s="307">
        <f t="shared" si="65"/>
        <v>0</v>
      </c>
      <c r="P204" s="552">
        <f>IF(G204=0,0,VLOOKUP(YEAR(G204),INPC!$B$4:$P$30,MONTH(G204)+2))</f>
        <v>0</v>
      </c>
      <c r="Q204" s="552">
        <f>IF(X204=0,0,IF(OR(E204=$AT$10,E204=$AT$9),VLOOKUP(YEAR(X204),INPC!$B$4:$P$30,MONTH(X204)+1),VLOOKUP(YEAR(X204),INPC!$B$4:$P$30,MONTH(X204)+2,0)))</f>
        <v>0</v>
      </c>
      <c r="R204" s="309">
        <f t="shared" si="57"/>
        <v>0</v>
      </c>
      <c r="S204" s="310">
        <f t="shared" si="66"/>
        <v>0</v>
      </c>
      <c r="T204" s="547">
        <f t="shared" si="67"/>
        <v>0</v>
      </c>
      <c r="U204" s="311"/>
      <c r="V204" s="312"/>
      <c r="W204" s="299"/>
      <c r="X204" s="300"/>
      <c r="Y204" s="299"/>
      <c r="Z204" s="303"/>
      <c r="AA204" s="305">
        <f>IF(Z204=0,0,IF(Y204="MXN",1/HLOOKUP(YEAR(X204)+(MONTH(X204)/100),TC!$5:$37,DAY(X204)+2,FALSE),VLOOKUP(Y204,Equivalencia!$1:$23,((MAX(Equivalencia!$3:$3)-YEAR(X204))*14)+MONTH(X204)+2,FALSE)))</f>
        <v>0</v>
      </c>
      <c r="AB204" s="306">
        <f t="shared" si="68"/>
        <v>0</v>
      </c>
      <c r="AC204" s="305">
        <f>+IF(X204=0,0,HLOOKUP(YEAR(X204)+(MONTH(X204)/100),TC!$5:$37,DAY(X204)+2,FALSE))</f>
        <v>0</v>
      </c>
      <c r="AD204" s="307">
        <f t="shared" si="69"/>
        <v>0</v>
      </c>
      <c r="AE204" s="314">
        <f t="shared" si="58"/>
        <v>0</v>
      </c>
      <c r="AF204" s="315">
        <f t="shared" si="59"/>
        <v>0</v>
      </c>
      <c r="AG204" s="316">
        <f t="shared" si="60"/>
        <v>0</v>
      </c>
      <c r="AH204" s="314">
        <v>1</v>
      </c>
      <c r="AI204" s="314">
        <f t="shared" si="61"/>
        <v>0</v>
      </c>
      <c r="AJ204" s="314">
        <f t="shared" si="70"/>
        <v>0</v>
      </c>
      <c r="AK204" s="317"/>
      <c r="AL204" s="315">
        <f t="shared" si="62"/>
        <v>0</v>
      </c>
      <c r="AN204" s="546">
        <f t="shared" si="63"/>
        <v>0</v>
      </c>
      <c r="AO204" s="314"/>
      <c r="AP204" s="318"/>
    </row>
    <row r="205" spans="2:42">
      <c r="B205" s="296"/>
      <c r="C205" s="299"/>
      <c r="D205" s="298"/>
      <c r="E205" s="299"/>
      <c r="F205" s="299"/>
      <c r="G205" s="300"/>
      <c r="H205" s="303"/>
      <c r="I205" s="301">
        <f t="shared" si="54"/>
        <v>0</v>
      </c>
      <c r="J205" s="302">
        <f t="shared" si="64"/>
        <v>0</v>
      </c>
      <c r="K205" s="304">
        <f t="shared" si="55"/>
        <v>0</v>
      </c>
      <c r="L205" s="305">
        <f>IF(H205=0,0,IF(OR(E205=$AT$5,E205=$AT$6),AA205,IF(F205="MXN",1/HLOOKUP(YEAR(G205)+(MONTH(G205)/100),TC!$5:$37,DAY(G205)+2,FALSE),VLOOKUP(F205,Equivalencia!$5:$23,((MAX(Equivalencia!$3:$3)-YEAR(G205))*14)+MONTH(G205)+2,FALSE))))</f>
        <v>0</v>
      </c>
      <c r="M205" s="306">
        <f t="shared" si="56"/>
        <v>0</v>
      </c>
      <c r="N205" s="305">
        <f>IF(G205=0,0,(IF(OR(E205=$AT$5,E205=$AT$6),AC205,HLOOKUP(YEAR(G205)+(MONTH(G205)/100),TC!$5:$37,DAY(G205)+2,FALSE))))</f>
        <v>0</v>
      </c>
      <c r="O205" s="307">
        <f t="shared" si="65"/>
        <v>0</v>
      </c>
      <c r="P205" s="552">
        <f>IF(G205=0,0,VLOOKUP(YEAR(G205),INPC!$B$4:$P$30,MONTH(G205)+2))</f>
        <v>0</v>
      </c>
      <c r="Q205" s="552">
        <f>IF(X205=0,0,IF(OR(E205=$AT$10,E205=$AT$9),VLOOKUP(YEAR(X205),INPC!$B$4:$P$30,MONTH(X205)+1),VLOOKUP(YEAR(X205),INPC!$B$4:$P$30,MONTH(X205)+2,0)))</f>
        <v>0</v>
      </c>
      <c r="R205" s="309">
        <f t="shared" si="57"/>
        <v>0</v>
      </c>
      <c r="S205" s="310">
        <f t="shared" si="66"/>
        <v>0</v>
      </c>
      <c r="T205" s="547">
        <f t="shared" si="67"/>
        <v>0</v>
      </c>
      <c r="U205" s="311"/>
      <c r="V205" s="312"/>
      <c r="W205" s="299"/>
      <c r="X205" s="300"/>
      <c r="Y205" s="299"/>
      <c r="Z205" s="303"/>
      <c r="AA205" s="305">
        <f>IF(Z205=0,0,IF(Y205="MXN",1/HLOOKUP(YEAR(X205)+(MONTH(X205)/100),TC!$5:$37,DAY(X205)+2,FALSE),VLOOKUP(Y205,Equivalencia!$1:$23,((MAX(Equivalencia!$3:$3)-YEAR(X205))*14)+MONTH(X205)+2,FALSE)))</f>
        <v>0</v>
      </c>
      <c r="AB205" s="306">
        <f t="shared" si="68"/>
        <v>0</v>
      </c>
      <c r="AC205" s="305">
        <f>+IF(X205=0,0,HLOOKUP(YEAR(X205)+(MONTH(X205)/100),TC!$5:$37,DAY(X205)+2,FALSE))</f>
        <v>0</v>
      </c>
      <c r="AD205" s="307">
        <f t="shared" si="69"/>
        <v>0</v>
      </c>
      <c r="AE205" s="314">
        <f t="shared" si="58"/>
        <v>0</v>
      </c>
      <c r="AF205" s="315">
        <f t="shared" si="59"/>
        <v>0</v>
      </c>
      <c r="AG205" s="316">
        <f t="shared" si="60"/>
        <v>0</v>
      </c>
      <c r="AH205" s="314">
        <v>1</v>
      </c>
      <c r="AI205" s="314">
        <f t="shared" si="61"/>
        <v>0</v>
      </c>
      <c r="AJ205" s="314">
        <f t="shared" si="70"/>
        <v>0</v>
      </c>
      <c r="AK205" s="317"/>
      <c r="AL205" s="315">
        <f t="shared" si="62"/>
        <v>0</v>
      </c>
      <c r="AN205" s="546">
        <f t="shared" si="63"/>
        <v>0</v>
      </c>
      <c r="AO205" s="314"/>
      <c r="AP205" s="318"/>
    </row>
    <row r="206" spans="2:42">
      <c r="B206" s="296"/>
      <c r="C206" s="299"/>
      <c r="D206" s="298"/>
      <c r="E206" s="299"/>
      <c r="F206" s="299"/>
      <c r="G206" s="300"/>
      <c r="H206" s="303"/>
      <c r="I206" s="301">
        <f t="shared" si="54"/>
        <v>0</v>
      </c>
      <c r="J206" s="302">
        <f t="shared" si="64"/>
        <v>0</v>
      </c>
      <c r="K206" s="304">
        <f t="shared" si="55"/>
        <v>0</v>
      </c>
      <c r="L206" s="305">
        <f>IF(H206=0,0,IF(OR(E206=$AT$5,E206=$AT$6),AA206,IF(F206="MXN",1/HLOOKUP(YEAR(G206)+(MONTH(G206)/100),TC!$5:$37,DAY(G206)+2,FALSE),VLOOKUP(F206,Equivalencia!$5:$23,((MAX(Equivalencia!$3:$3)-YEAR(G206))*14)+MONTH(G206)+2,FALSE))))</f>
        <v>0</v>
      </c>
      <c r="M206" s="306">
        <f t="shared" si="56"/>
        <v>0</v>
      </c>
      <c r="N206" s="305">
        <f>IF(G206=0,0,(IF(OR(E206=$AT$5,E206=$AT$6),AC206,HLOOKUP(YEAR(G206)+(MONTH(G206)/100),TC!$5:$37,DAY(G206)+2,FALSE))))</f>
        <v>0</v>
      </c>
      <c r="O206" s="307">
        <f t="shared" si="65"/>
        <v>0</v>
      </c>
      <c r="P206" s="552">
        <f>IF(G206=0,0,VLOOKUP(YEAR(G206),INPC!$B$4:$P$30,MONTH(G206)+2))</f>
        <v>0</v>
      </c>
      <c r="Q206" s="552">
        <f>IF(X206=0,0,IF(OR(E206=$AT$10,E206=$AT$9),VLOOKUP(YEAR(X206),INPC!$B$4:$P$30,MONTH(X206)+1),VLOOKUP(YEAR(X206),INPC!$B$4:$P$30,MONTH(X206)+2,0)))</f>
        <v>0</v>
      </c>
      <c r="R206" s="309">
        <f t="shared" si="57"/>
        <v>0</v>
      </c>
      <c r="S206" s="310">
        <f t="shared" si="66"/>
        <v>0</v>
      </c>
      <c r="T206" s="547">
        <f t="shared" si="67"/>
        <v>0</v>
      </c>
      <c r="U206" s="311"/>
      <c r="V206" s="312"/>
      <c r="W206" s="299"/>
      <c r="X206" s="300"/>
      <c r="Y206" s="299"/>
      <c r="Z206" s="303"/>
      <c r="AA206" s="305">
        <f>IF(Z206=0,0,IF(Y206="MXN",1/HLOOKUP(YEAR(X206)+(MONTH(X206)/100),TC!$5:$37,DAY(X206)+2,FALSE),VLOOKUP(Y206,Equivalencia!$1:$23,((MAX(Equivalencia!$3:$3)-YEAR(X206))*14)+MONTH(X206)+2,FALSE)))</f>
        <v>0</v>
      </c>
      <c r="AB206" s="306">
        <f t="shared" si="68"/>
        <v>0</v>
      </c>
      <c r="AC206" s="305">
        <f>+IF(X206=0,0,HLOOKUP(YEAR(X206)+(MONTH(X206)/100),TC!$5:$37,DAY(X206)+2,FALSE))</f>
        <v>0</v>
      </c>
      <c r="AD206" s="307">
        <f t="shared" si="69"/>
        <v>0</v>
      </c>
      <c r="AE206" s="314">
        <f t="shared" si="58"/>
        <v>0</v>
      </c>
      <c r="AF206" s="315">
        <f t="shared" si="59"/>
        <v>0</v>
      </c>
      <c r="AG206" s="316">
        <f t="shared" si="60"/>
        <v>0</v>
      </c>
      <c r="AH206" s="314">
        <v>1</v>
      </c>
      <c r="AI206" s="314">
        <f t="shared" si="61"/>
        <v>0</v>
      </c>
      <c r="AJ206" s="314">
        <f t="shared" si="70"/>
        <v>0</v>
      </c>
      <c r="AK206" s="317"/>
      <c r="AL206" s="315">
        <f t="shared" si="62"/>
        <v>0</v>
      </c>
      <c r="AN206" s="546">
        <f t="shared" si="63"/>
        <v>0</v>
      </c>
      <c r="AO206" s="314"/>
      <c r="AP206" s="318"/>
    </row>
    <row r="207" spans="2:42">
      <c r="B207" s="296"/>
      <c r="C207" s="299"/>
      <c r="D207" s="298"/>
      <c r="E207" s="299"/>
      <c r="F207" s="299"/>
      <c r="G207" s="300"/>
      <c r="H207" s="303"/>
      <c r="I207" s="301">
        <f t="shared" si="54"/>
        <v>0</v>
      </c>
      <c r="J207" s="302">
        <f t="shared" si="64"/>
        <v>0</v>
      </c>
      <c r="K207" s="304">
        <f t="shared" si="55"/>
        <v>0</v>
      </c>
      <c r="L207" s="305">
        <f>IF(H207=0,0,IF(OR(E207=$AT$5,E207=$AT$6),AA207,IF(F207="MXN",1/HLOOKUP(YEAR(G207)+(MONTH(G207)/100),TC!$5:$37,DAY(G207)+2,FALSE),VLOOKUP(F207,Equivalencia!$5:$23,((MAX(Equivalencia!$3:$3)-YEAR(G207))*14)+MONTH(G207)+2,FALSE))))</f>
        <v>0</v>
      </c>
      <c r="M207" s="306">
        <f t="shared" si="56"/>
        <v>0</v>
      </c>
      <c r="N207" s="305">
        <f>IF(G207=0,0,(IF(OR(E207=$AT$5,E207=$AT$6),AC207,HLOOKUP(YEAR(G207)+(MONTH(G207)/100),TC!$5:$37,DAY(G207)+2,FALSE))))</f>
        <v>0</v>
      </c>
      <c r="O207" s="307">
        <f t="shared" si="65"/>
        <v>0</v>
      </c>
      <c r="P207" s="552">
        <f>IF(G207=0,0,VLOOKUP(YEAR(G207),INPC!$B$4:$P$30,MONTH(G207)+2))</f>
        <v>0</v>
      </c>
      <c r="Q207" s="552">
        <f>IF(X207=0,0,IF(OR(E207=$AT$10,E207=$AT$9),VLOOKUP(YEAR(X207),INPC!$B$4:$P$30,MONTH(X207)+1),VLOOKUP(YEAR(X207),INPC!$B$4:$P$30,MONTH(X207)+2,0)))</f>
        <v>0</v>
      </c>
      <c r="R207" s="309">
        <f t="shared" si="57"/>
        <v>0</v>
      </c>
      <c r="S207" s="310">
        <f t="shared" si="66"/>
        <v>0</v>
      </c>
      <c r="T207" s="547">
        <f t="shared" si="67"/>
        <v>0</v>
      </c>
      <c r="U207" s="311"/>
      <c r="V207" s="312"/>
      <c r="W207" s="299"/>
      <c r="X207" s="300"/>
      <c r="Y207" s="299"/>
      <c r="Z207" s="303"/>
      <c r="AA207" s="305">
        <f>IF(Z207=0,0,IF(Y207="MXN",1/HLOOKUP(YEAR(X207)+(MONTH(X207)/100),TC!$5:$37,DAY(X207)+2,FALSE),VLOOKUP(Y207,Equivalencia!$1:$23,((MAX(Equivalencia!$3:$3)-YEAR(X207))*14)+MONTH(X207)+2,FALSE)))</f>
        <v>0</v>
      </c>
      <c r="AB207" s="306">
        <f t="shared" si="68"/>
        <v>0</v>
      </c>
      <c r="AC207" s="305">
        <f>+IF(X207=0,0,HLOOKUP(YEAR(X207)+(MONTH(X207)/100),TC!$5:$37,DAY(X207)+2,FALSE))</f>
        <v>0</v>
      </c>
      <c r="AD207" s="307">
        <f t="shared" si="69"/>
        <v>0</v>
      </c>
      <c r="AE207" s="314">
        <f t="shared" si="58"/>
        <v>0</v>
      </c>
      <c r="AF207" s="315">
        <f t="shared" si="59"/>
        <v>0</v>
      </c>
      <c r="AG207" s="316">
        <f t="shared" si="60"/>
        <v>0</v>
      </c>
      <c r="AH207" s="314">
        <v>1</v>
      </c>
      <c r="AI207" s="314">
        <f t="shared" si="61"/>
        <v>0</v>
      </c>
      <c r="AJ207" s="314">
        <f t="shared" si="70"/>
        <v>0</v>
      </c>
      <c r="AK207" s="317"/>
      <c r="AL207" s="315">
        <f t="shared" si="62"/>
        <v>0</v>
      </c>
      <c r="AN207" s="546">
        <f t="shared" si="63"/>
        <v>0</v>
      </c>
      <c r="AO207" s="314"/>
      <c r="AP207" s="318"/>
    </row>
    <row r="208" spans="2:42">
      <c r="B208" s="296"/>
      <c r="C208" s="299"/>
      <c r="D208" s="298"/>
      <c r="E208" s="299"/>
      <c r="F208" s="299"/>
      <c r="G208" s="300"/>
      <c r="H208" s="303"/>
      <c r="I208" s="301">
        <f t="shared" si="54"/>
        <v>0</v>
      </c>
      <c r="J208" s="302">
        <f t="shared" si="64"/>
        <v>0</v>
      </c>
      <c r="K208" s="304">
        <f t="shared" si="55"/>
        <v>0</v>
      </c>
      <c r="L208" s="305">
        <f>IF(H208=0,0,IF(OR(E208=$AT$5,E208=$AT$6),AA208,IF(F208="MXN",1/HLOOKUP(YEAR(G208)+(MONTH(G208)/100),TC!$5:$37,DAY(G208)+2,FALSE),VLOOKUP(F208,Equivalencia!$5:$23,((MAX(Equivalencia!$3:$3)-YEAR(G208))*14)+MONTH(G208)+2,FALSE))))</f>
        <v>0</v>
      </c>
      <c r="M208" s="306">
        <f t="shared" si="56"/>
        <v>0</v>
      </c>
      <c r="N208" s="305">
        <f>IF(G208=0,0,(IF(OR(E208=$AT$5,E208=$AT$6),AC208,HLOOKUP(YEAR(G208)+(MONTH(G208)/100),TC!$5:$37,DAY(G208)+2,FALSE))))</f>
        <v>0</v>
      </c>
      <c r="O208" s="307">
        <f t="shared" si="65"/>
        <v>0</v>
      </c>
      <c r="P208" s="552">
        <f>IF(G208=0,0,VLOOKUP(YEAR(G208),INPC!$B$4:$P$30,MONTH(G208)+2))</f>
        <v>0</v>
      </c>
      <c r="Q208" s="552">
        <f>IF(X208=0,0,IF(OR(E208=$AT$10,E208=$AT$9),VLOOKUP(YEAR(X208),INPC!$B$4:$P$30,MONTH(X208)+1),VLOOKUP(YEAR(X208),INPC!$B$4:$P$30,MONTH(X208)+2,0)))</f>
        <v>0</v>
      </c>
      <c r="R208" s="309">
        <f t="shared" si="57"/>
        <v>0</v>
      </c>
      <c r="S208" s="310">
        <f t="shared" si="66"/>
        <v>0</v>
      </c>
      <c r="T208" s="547">
        <f t="shared" si="67"/>
        <v>0</v>
      </c>
      <c r="U208" s="311"/>
      <c r="V208" s="312"/>
      <c r="W208" s="299"/>
      <c r="X208" s="300"/>
      <c r="Y208" s="299"/>
      <c r="Z208" s="303"/>
      <c r="AA208" s="305">
        <f>IF(Z208=0,0,IF(Y208="MXN",1/HLOOKUP(YEAR(X208)+(MONTH(X208)/100),TC!$5:$37,DAY(X208)+2,FALSE),VLOOKUP(Y208,Equivalencia!$1:$23,((MAX(Equivalencia!$3:$3)-YEAR(X208))*14)+MONTH(X208)+2,FALSE)))</f>
        <v>0</v>
      </c>
      <c r="AB208" s="306">
        <f t="shared" si="68"/>
        <v>0</v>
      </c>
      <c r="AC208" s="305">
        <f>+IF(X208=0,0,HLOOKUP(YEAR(X208)+(MONTH(X208)/100),TC!$5:$37,DAY(X208)+2,FALSE))</f>
        <v>0</v>
      </c>
      <c r="AD208" s="307">
        <f t="shared" si="69"/>
        <v>0</v>
      </c>
      <c r="AE208" s="314">
        <f t="shared" si="58"/>
        <v>0</v>
      </c>
      <c r="AF208" s="315">
        <f t="shared" si="59"/>
        <v>0</v>
      </c>
      <c r="AG208" s="316">
        <f t="shared" si="60"/>
        <v>0</v>
      </c>
      <c r="AH208" s="314">
        <v>1</v>
      </c>
      <c r="AI208" s="314">
        <f t="shared" si="61"/>
        <v>0</v>
      </c>
      <c r="AJ208" s="314">
        <f t="shared" si="70"/>
        <v>0</v>
      </c>
      <c r="AK208" s="317"/>
      <c r="AL208" s="315">
        <f t="shared" si="62"/>
        <v>0</v>
      </c>
      <c r="AN208" s="546">
        <f t="shared" si="63"/>
        <v>0</v>
      </c>
      <c r="AO208" s="314"/>
      <c r="AP208" s="318"/>
    </row>
    <row r="209" spans="2:42">
      <c r="B209" s="296"/>
      <c r="C209" s="299"/>
      <c r="D209" s="298"/>
      <c r="E209" s="299"/>
      <c r="F209" s="299"/>
      <c r="G209" s="300"/>
      <c r="H209" s="303"/>
      <c r="I209" s="301">
        <f t="shared" si="54"/>
        <v>0</v>
      </c>
      <c r="J209" s="302">
        <f t="shared" si="64"/>
        <v>0</v>
      </c>
      <c r="K209" s="304">
        <f t="shared" si="55"/>
        <v>0</v>
      </c>
      <c r="L209" s="305">
        <f>IF(H209=0,0,IF(OR(E209=$AT$5,E209=$AT$6),AA209,IF(F209="MXN",1/HLOOKUP(YEAR(G209)+(MONTH(G209)/100),TC!$5:$37,DAY(G209)+2,FALSE),VLOOKUP(F209,Equivalencia!$5:$23,((MAX(Equivalencia!$3:$3)-YEAR(G209))*14)+MONTH(G209)+2,FALSE))))</f>
        <v>0</v>
      </c>
      <c r="M209" s="306">
        <f t="shared" si="56"/>
        <v>0</v>
      </c>
      <c r="N209" s="305">
        <f>IF(G209=0,0,(IF(OR(E209=$AT$5,E209=$AT$6),AC209,HLOOKUP(YEAR(G209)+(MONTH(G209)/100),TC!$5:$37,DAY(G209)+2,FALSE))))</f>
        <v>0</v>
      </c>
      <c r="O209" s="307">
        <f t="shared" si="65"/>
        <v>0</v>
      </c>
      <c r="P209" s="552">
        <f>IF(G209=0,0,VLOOKUP(YEAR(G209),INPC!$B$4:$P$30,MONTH(G209)+2))</f>
        <v>0</v>
      </c>
      <c r="Q209" s="552">
        <f>IF(X209=0,0,IF(OR(E209=$AT$10,E209=$AT$9),VLOOKUP(YEAR(X209),INPC!$B$4:$P$30,MONTH(X209)+1),VLOOKUP(YEAR(X209),INPC!$B$4:$P$30,MONTH(X209)+2,0)))</f>
        <v>0</v>
      </c>
      <c r="R209" s="309">
        <f t="shared" si="57"/>
        <v>0</v>
      </c>
      <c r="S209" s="310">
        <f t="shared" si="66"/>
        <v>0</v>
      </c>
      <c r="T209" s="547">
        <f t="shared" si="67"/>
        <v>0</v>
      </c>
      <c r="U209" s="311"/>
      <c r="V209" s="312"/>
      <c r="W209" s="299"/>
      <c r="X209" s="300"/>
      <c r="Y209" s="299"/>
      <c r="Z209" s="303"/>
      <c r="AA209" s="305">
        <f>IF(Z209=0,0,IF(Y209="MXN",1/HLOOKUP(YEAR(X209)+(MONTH(X209)/100),TC!$5:$37,DAY(X209)+2,FALSE),VLOOKUP(Y209,Equivalencia!$1:$23,((MAX(Equivalencia!$3:$3)-YEAR(X209))*14)+MONTH(X209)+2,FALSE)))</f>
        <v>0</v>
      </c>
      <c r="AB209" s="306">
        <f t="shared" si="68"/>
        <v>0</v>
      </c>
      <c r="AC209" s="305">
        <f>+IF(X209=0,0,HLOOKUP(YEAR(X209)+(MONTH(X209)/100),TC!$5:$37,DAY(X209)+2,FALSE))</f>
        <v>0</v>
      </c>
      <c r="AD209" s="307">
        <f t="shared" si="69"/>
        <v>0</v>
      </c>
      <c r="AE209" s="314">
        <f t="shared" si="58"/>
        <v>0</v>
      </c>
      <c r="AF209" s="315">
        <f t="shared" si="59"/>
        <v>0</v>
      </c>
      <c r="AG209" s="316">
        <f t="shared" si="60"/>
        <v>0</v>
      </c>
      <c r="AH209" s="314">
        <v>1</v>
      </c>
      <c r="AI209" s="314">
        <f t="shared" si="61"/>
        <v>0</v>
      </c>
      <c r="AJ209" s="314">
        <f t="shared" si="70"/>
        <v>0</v>
      </c>
      <c r="AK209" s="317"/>
      <c r="AL209" s="315">
        <f t="shared" si="62"/>
        <v>0</v>
      </c>
      <c r="AN209" s="546">
        <f t="shared" si="63"/>
        <v>0</v>
      </c>
      <c r="AO209" s="314"/>
      <c r="AP209" s="318"/>
    </row>
    <row r="210" spans="2:42">
      <c r="B210" s="296"/>
      <c r="C210" s="299"/>
      <c r="D210" s="298"/>
      <c r="E210" s="299"/>
      <c r="F210" s="299"/>
      <c r="G210" s="300"/>
      <c r="H210" s="303"/>
      <c r="I210" s="301">
        <f t="shared" si="54"/>
        <v>0</v>
      </c>
      <c r="J210" s="302">
        <f t="shared" si="64"/>
        <v>0</v>
      </c>
      <c r="K210" s="304">
        <f t="shared" si="55"/>
        <v>0</v>
      </c>
      <c r="L210" s="305">
        <f>IF(H210=0,0,IF(OR(E210=$AT$5,E210=$AT$6),AA210,IF(F210="MXN",1/HLOOKUP(YEAR(G210)+(MONTH(G210)/100),TC!$5:$37,DAY(G210)+2,FALSE),VLOOKUP(F210,Equivalencia!$5:$23,((MAX(Equivalencia!$3:$3)-YEAR(G210))*14)+MONTH(G210)+2,FALSE))))</f>
        <v>0</v>
      </c>
      <c r="M210" s="306">
        <f t="shared" si="56"/>
        <v>0</v>
      </c>
      <c r="N210" s="305">
        <f>IF(G210=0,0,(IF(OR(E210=$AT$5,E210=$AT$6),AC210,HLOOKUP(YEAR(G210)+(MONTH(G210)/100),TC!$5:$37,DAY(G210)+2,FALSE))))</f>
        <v>0</v>
      </c>
      <c r="O210" s="307">
        <f t="shared" si="65"/>
        <v>0</v>
      </c>
      <c r="P210" s="552">
        <f>IF(G210=0,0,VLOOKUP(YEAR(G210),INPC!$B$4:$P$30,MONTH(G210)+2))</f>
        <v>0</v>
      </c>
      <c r="Q210" s="552">
        <f>IF(X210=0,0,IF(OR(E210=$AT$10,E210=$AT$9),VLOOKUP(YEAR(X210),INPC!$B$4:$P$30,MONTH(X210)+1),VLOOKUP(YEAR(X210),INPC!$B$4:$P$30,MONTH(X210)+2,0)))</f>
        <v>0</v>
      </c>
      <c r="R210" s="309">
        <f t="shared" si="57"/>
        <v>0</v>
      </c>
      <c r="S210" s="310">
        <f t="shared" si="66"/>
        <v>0</v>
      </c>
      <c r="T210" s="547">
        <f t="shared" si="67"/>
        <v>0</v>
      </c>
      <c r="U210" s="311"/>
      <c r="V210" s="312"/>
      <c r="W210" s="299"/>
      <c r="X210" s="300"/>
      <c r="Y210" s="299"/>
      <c r="Z210" s="303"/>
      <c r="AA210" s="305">
        <f>IF(Z210=0,0,IF(Y210="MXN",1/HLOOKUP(YEAR(X210)+(MONTH(X210)/100),TC!$5:$37,DAY(X210)+2,FALSE),VLOOKUP(Y210,Equivalencia!$1:$23,((MAX(Equivalencia!$3:$3)-YEAR(X210))*14)+MONTH(X210)+2,FALSE)))</f>
        <v>0</v>
      </c>
      <c r="AB210" s="306">
        <f t="shared" si="68"/>
        <v>0</v>
      </c>
      <c r="AC210" s="305">
        <f>+IF(X210=0,0,HLOOKUP(YEAR(X210)+(MONTH(X210)/100),TC!$5:$37,DAY(X210)+2,FALSE))</f>
        <v>0</v>
      </c>
      <c r="AD210" s="307">
        <f t="shared" si="69"/>
        <v>0</v>
      </c>
      <c r="AE210" s="314">
        <f t="shared" si="58"/>
        <v>0</v>
      </c>
      <c r="AF210" s="315">
        <f t="shared" si="59"/>
        <v>0</v>
      </c>
      <c r="AG210" s="316">
        <f t="shared" si="60"/>
        <v>0</v>
      </c>
      <c r="AH210" s="314">
        <v>1</v>
      </c>
      <c r="AI210" s="314">
        <f t="shared" si="61"/>
        <v>0</v>
      </c>
      <c r="AJ210" s="314">
        <f t="shared" si="70"/>
        <v>0</v>
      </c>
      <c r="AK210" s="317"/>
      <c r="AL210" s="315">
        <f t="shared" si="62"/>
        <v>0</v>
      </c>
      <c r="AN210" s="546">
        <f t="shared" si="63"/>
        <v>0</v>
      </c>
      <c r="AO210" s="314"/>
      <c r="AP210" s="318"/>
    </row>
    <row r="211" spans="2:42">
      <c r="B211" s="296"/>
      <c r="C211" s="299"/>
      <c r="D211" s="298"/>
      <c r="E211" s="299"/>
      <c r="F211" s="299"/>
      <c r="G211" s="300"/>
      <c r="H211" s="303"/>
      <c r="I211" s="301">
        <f t="shared" si="54"/>
        <v>0</v>
      </c>
      <c r="J211" s="302">
        <f t="shared" si="64"/>
        <v>0</v>
      </c>
      <c r="K211" s="304">
        <f t="shared" si="55"/>
        <v>0</v>
      </c>
      <c r="L211" s="305">
        <f>IF(H211=0,0,IF(OR(E211=$AT$5,E211=$AT$6),AA211,IF(F211="MXN",1/HLOOKUP(YEAR(G211)+(MONTH(G211)/100),TC!$5:$37,DAY(G211)+2,FALSE),VLOOKUP(F211,Equivalencia!$5:$23,((MAX(Equivalencia!$3:$3)-YEAR(G211))*14)+MONTH(G211)+2,FALSE))))</f>
        <v>0</v>
      </c>
      <c r="M211" s="306">
        <f t="shared" si="56"/>
        <v>0</v>
      </c>
      <c r="N211" s="305">
        <f>IF(G211=0,0,(IF(OR(E211=$AT$5,E211=$AT$6),AC211,HLOOKUP(YEAR(G211)+(MONTH(G211)/100),TC!$5:$37,DAY(G211)+2,FALSE))))</f>
        <v>0</v>
      </c>
      <c r="O211" s="307">
        <f t="shared" si="65"/>
        <v>0</v>
      </c>
      <c r="P211" s="552">
        <f>IF(G211=0,0,VLOOKUP(YEAR(G211),INPC!$B$4:$P$30,MONTH(G211)+2))</f>
        <v>0</v>
      </c>
      <c r="Q211" s="552">
        <f>IF(X211=0,0,IF(OR(E211=$AT$10,E211=$AT$9),VLOOKUP(YEAR(X211),INPC!$B$4:$P$30,MONTH(X211)+1),VLOOKUP(YEAR(X211),INPC!$B$4:$P$30,MONTH(X211)+2,0)))</f>
        <v>0</v>
      </c>
      <c r="R211" s="309">
        <f t="shared" si="57"/>
        <v>0</v>
      </c>
      <c r="S211" s="310">
        <f t="shared" si="66"/>
        <v>0</v>
      </c>
      <c r="T211" s="547">
        <f t="shared" si="67"/>
        <v>0</v>
      </c>
      <c r="U211" s="311"/>
      <c r="V211" s="312"/>
      <c r="W211" s="299"/>
      <c r="X211" s="300"/>
      <c r="Y211" s="299"/>
      <c r="Z211" s="303"/>
      <c r="AA211" s="305">
        <f>IF(Z211=0,0,IF(Y211="MXN",1/HLOOKUP(YEAR(X211)+(MONTH(X211)/100),TC!$5:$37,DAY(X211)+2,FALSE),VLOOKUP(Y211,Equivalencia!$1:$23,((MAX(Equivalencia!$3:$3)-YEAR(X211))*14)+MONTH(X211)+2,FALSE)))</f>
        <v>0</v>
      </c>
      <c r="AB211" s="306">
        <f t="shared" si="68"/>
        <v>0</v>
      </c>
      <c r="AC211" s="305">
        <f>+IF(X211=0,0,HLOOKUP(YEAR(X211)+(MONTH(X211)/100),TC!$5:$37,DAY(X211)+2,FALSE))</f>
        <v>0</v>
      </c>
      <c r="AD211" s="307">
        <f t="shared" si="69"/>
        <v>0</v>
      </c>
      <c r="AE211" s="314">
        <f t="shared" si="58"/>
        <v>0</v>
      </c>
      <c r="AF211" s="315">
        <f t="shared" si="59"/>
        <v>0</v>
      </c>
      <c r="AG211" s="316">
        <f t="shared" si="60"/>
        <v>0</v>
      </c>
      <c r="AH211" s="314">
        <v>1</v>
      </c>
      <c r="AI211" s="314">
        <f t="shared" si="61"/>
        <v>0</v>
      </c>
      <c r="AJ211" s="314">
        <f t="shared" si="70"/>
        <v>0</v>
      </c>
      <c r="AK211" s="317"/>
      <c r="AL211" s="315">
        <f t="shared" si="62"/>
        <v>0</v>
      </c>
      <c r="AN211" s="546">
        <f t="shared" si="63"/>
        <v>0</v>
      </c>
      <c r="AO211" s="314"/>
      <c r="AP211" s="318"/>
    </row>
    <row r="212" spans="2:42">
      <c r="B212" s="296"/>
      <c r="C212" s="299"/>
      <c r="D212" s="298"/>
      <c r="E212" s="299"/>
      <c r="F212" s="299"/>
      <c r="G212" s="300"/>
      <c r="H212" s="303"/>
      <c r="I212" s="301">
        <f t="shared" si="54"/>
        <v>0</v>
      </c>
      <c r="J212" s="302">
        <f t="shared" si="64"/>
        <v>0</v>
      </c>
      <c r="K212" s="304">
        <f t="shared" si="55"/>
        <v>0</v>
      </c>
      <c r="L212" s="305">
        <f>IF(H212=0,0,IF(OR(E212=$AT$5,E212=$AT$6),AA212,IF(F212="MXN",1/HLOOKUP(YEAR(G212)+(MONTH(G212)/100),TC!$5:$37,DAY(G212)+2,FALSE),VLOOKUP(F212,Equivalencia!$5:$23,((MAX(Equivalencia!$3:$3)-YEAR(G212))*14)+MONTH(G212)+2,FALSE))))</f>
        <v>0</v>
      </c>
      <c r="M212" s="306">
        <f t="shared" si="56"/>
        <v>0</v>
      </c>
      <c r="N212" s="305">
        <f>IF(G212=0,0,(IF(OR(E212=$AT$5,E212=$AT$6),AC212,HLOOKUP(YEAR(G212)+(MONTH(G212)/100),TC!$5:$37,DAY(G212)+2,FALSE))))</f>
        <v>0</v>
      </c>
      <c r="O212" s="307">
        <f t="shared" si="65"/>
        <v>0</v>
      </c>
      <c r="P212" s="552">
        <f>IF(G212=0,0,VLOOKUP(YEAR(G212),INPC!$B$4:$P$30,MONTH(G212)+2))</f>
        <v>0</v>
      </c>
      <c r="Q212" s="552">
        <f>IF(X212=0,0,IF(OR(E212=$AT$10,E212=$AT$9),VLOOKUP(YEAR(X212),INPC!$B$4:$P$30,MONTH(X212)+1),VLOOKUP(YEAR(X212),INPC!$B$4:$P$30,MONTH(X212)+2,0)))</f>
        <v>0</v>
      </c>
      <c r="R212" s="309">
        <f t="shared" si="57"/>
        <v>0</v>
      </c>
      <c r="S212" s="310">
        <f t="shared" si="66"/>
        <v>0</v>
      </c>
      <c r="T212" s="547">
        <f t="shared" si="67"/>
        <v>0</v>
      </c>
      <c r="U212" s="311"/>
      <c r="V212" s="312"/>
      <c r="W212" s="299"/>
      <c r="X212" s="300"/>
      <c r="Y212" s="299"/>
      <c r="Z212" s="303"/>
      <c r="AA212" s="305">
        <f>IF(Z212=0,0,IF(Y212="MXN",1/HLOOKUP(YEAR(X212)+(MONTH(X212)/100),TC!$5:$37,DAY(X212)+2,FALSE),VLOOKUP(Y212,Equivalencia!$1:$23,((MAX(Equivalencia!$3:$3)-YEAR(X212))*14)+MONTH(X212)+2,FALSE)))</f>
        <v>0</v>
      </c>
      <c r="AB212" s="306">
        <f t="shared" si="68"/>
        <v>0</v>
      </c>
      <c r="AC212" s="305">
        <f>+IF(X212=0,0,HLOOKUP(YEAR(X212)+(MONTH(X212)/100),TC!$5:$37,DAY(X212)+2,FALSE))</f>
        <v>0</v>
      </c>
      <c r="AD212" s="307">
        <f t="shared" si="69"/>
        <v>0</v>
      </c>
      <c r="AE212" s="314">
        <f t="shared" si="58"/>
        <v>0</v>
      </c>
      <c r="AF212" s="315">
        <f t="shared" si="59"/>
        <v>0</v>
      </c>
      <c r="AG212" s="316">
        <f t="shared" si="60"/>
        <v>0</v>
      </c>
      <c r="AH212" s="314">
        <v>1</v>
      </c>
      <c r="AI212" s="314">
        <f t="shared" si="61"/>
        <v>0</v>
      </c>
      <c r="AJ212" s="314">
        <f t="shared" si="70"/>
        <v>0</v>
      </c>
      <c r="AK212" s="317"/>
      <c r="AL212" s="315">
        <f t="shared" si="62"/>
        <v>0</v>
      </c>
      <c r="AN212" s="546">
        <f t="shared" si="63"/>
        <v>0</v>
      </c>
      <c r="AO212" s="314"/>
      <c r="AP212" s="318"/>
    </row>
    <row r="213" spans="2:42">
      <c r="B213" s="296"/>
      <c r="C213" s="299"/>
      <c r="D213" s="298"/>
      <c r="E213" s="299"/>
      <c r="F213" s="299"/>
      <c r="G213" s="300"/>
      <c r="H213" s="303"/>
      <c r="I213" s="301">
        <f t="shared" si="54"/>
        <v>0</v>
      </c>
      <c r="J213" s="302">
        <f t="shared" si="64"/>
        <v>0</v>
      </c>
      <c r="K213" s="304">
        <f t="shared" si="55"/>
        <v>0</v>
      </c>
      <c r="L213" s="305">
        <f>IF(H213=0,0,IF(OR(E213=$AT$5,E213=$AT$6),AA213,IF(F213="MXN",1/HLOOKUP(YEAR(G213)+(MONTH(G213)/100),TC!$5:$37,DAY(G213)+2,FALSE),VLOOKUP(F213,Equivalencia!$5:$23,((MAX(Equivalencia!$3:$3)-YEAR(G213))*14)+MONTH(G213)+2,FALSE))))</f>
        <v>0</v>
      </c>
      <c r="M213" s="306">
        <f t="shared" si="56"/>
        <v>0</v>
      </c>
      <c r="N213" s="305">
        <f>IF(G213=0,0,(IF(OR(E213=$AT$5,E213=$AT$6),AC213,HLOOKUP(YEAR(G213)+(MONTH(G213)/100),TC!$5:$37,DAY(G213)+2,FALSE))))</f>
        <v>0</v>
      </c>
      <c r="O213" s="307">
        <f t="shared" si="65"/>
        <v>0</v>
      </c>
      <c r="P213" s="552">
        <f>IF(G213=0,0,VLOOKUP(YEAR(G213),INPC!$B$4:$P$30,MONTH(G213)+2))</f>
        <v>0</v>
      </c>
      <c r="Q213" s="552">
        <f>IF(X213=0,0,IF(OR(E213=$AT$10,E213=$AT$9),VLOOKUP(YEAR(X213),INPC!$B$4:$P$30,MONTH(X213)+1),VLOOKUP(YEAR(X213),INPC!$B$4:$P$30,MONTH(X213)+2,0)))</f>
        <v>0</v>
      </c>
      <c r="R213" s="309">
        <f t="shared" si="57"/>
        <v>0</v>
      </c>
      <c r="S213" s="310">
        <f t="shared" si="66"/>
        <v>0</v>
      </c>
      <c r="T213" s="547">
        <f t="shared" si="67"/>
        <v>0</v>
      </c>
      <c r="U213" s="311"/>
      <c r="V213" s="312"/>
      <c r="W213" s="299"/>
      <c r="X213" s="300"/>
      <c r="Y213" s="299"/>
      <c r="Z213" s="303"/>
      <c r="AA213" s="305">
        <f>IF(Z213=0,0,IF(Y213="MXN",1/HLOOKUP(YEAR(X213)+(MONTH(X213)/100),TC!$5:$37,DAY(X213)+2,FALSE),VLOOKUP(Y213,Equivalencia!$1:$23,((MAX(Equivalencia!$3:$3)-YEAR(X213))*14)+MONTH(X213)+2,FALSE)))</f>
        <v>0</v>
      </c>
      <c r="AB213" s="306">
        <f t="shared" si="68"/>
        <v>0</v>
      </c>
      <c r="AC213" s="305">
        <f>+IF(X213=0,0,HLOOKUP(YEAR(X213)+(MONTH(X213)/100),TC!$5:$37,DAY(X213)+2,FALSE))</f>
        <v>0</v>
      </c>
      <c r="AD213" s="307">
        <f t="shared" si="69"/>
        <v>0</v>
      </c>
      <c r="AE213" s="314">
        <f t="shared" si="58"/>
        <v>0</v>
      </c>
      <c r="AF213" s="315">
        <f t="shared" si="59"/>
        <v>0</v>
      </c>
      <c r="AG213" s="316">
        <f t="shared" si="60"/>
        <v>0</v>
      </c>
      <c r="AH213" s="314">
        <v>1</v>
      </c>
      <c r="AI213" s="314">
        <f t="shared" si="61"/>
        <v>0</v>
      </c>
      <c r="AJ213" s="314">
        <f t="shared" si="70"/>
        <v>0</v>
      </c>
      <c r="AK213" s="317"/>
      <c r="AL213" s="315">
        <f t="shared" si="62"/>
        <v>0</v>
      </c>
      <c r="AN213" s="546">
        <f t="shared" si="63"/>
        <v>0</v>
      </c>
      <c r="AO213" s="314"/>
      <c r="AP213" s="318"/>
    </row>
    <row r="214" spans="2:42">
      <c r="B214" s="296"/>
      <c r="C214" s="299"/>
      <c r="D214" s="298"/>
      <c r="E214" s="299"/>
      <c r="F214" s="299"/>
      <c r="G214" s="300"/>
      <c r="H214" s="303"/>
      <c r="I214" s="301">
        <f t="shared" si="54"/>
        <v>0</v>
      </c>
      <c r="J214" s="302">
        <f t="shared" si="64"/>
        <v>0</v>
      </c>
      <c r="K214" s="304">
        <f t="shared" si="55"/>
        <v>0</v>
      </c>
      <c r="L214" s="305">
        <f>IF(H214=0,0,IF(OR(E214=$AT$5,E214=$AT$6),AA214,IF(F214="MXN",1/HLOOKUP(YEAR(G214)+(MONTH(G214)/100),TC!$5:$37,DAY(G214)+2,FALSE),VLOOKUP(F214,Equivalencia!$5:$23,((MAX(Equivalencia!$3:$3)-YEAR(G214))*14)+MONTH(G214)+2,FALSE))))</f>
        <v>0</v>
      </c>
      <c r="M214" s="306">
        <f t="shared" si="56"/>
        <v>0</v>
      </c>
      <c r="N214" s="305">
        <f>IF(G214=0,0,(IF(OR(E214=$AT$5,E214=$AT$6),AC214,HLOOKUP(YEAR(G214)+(MONTH(G214)/100),TC!$5:$37,DAY(G214)+2,FALSE))))</f>
        <v>0</v>
      </c>
      <c r="O214" s="307">
        <f t="shared" si="65"/>
        <v>0</v>
      </c>
      <c r="P214" s="552">
        <f>IF(G214=0,0,VLOOKUP(YEAR(G214),INPC!$B$4:$P$30,MONTH(G214)+2))</f>
        <v>0</v>
      </c>
      <c r="Q214" s="552">
        <f>IF(X214=0,0,IF(OR(E214=$AT$10,E214=$AT$9),VLOOKUP(YEAR(X214),INPC!$B$4:$P$30,MONTH(X214)+1),VLOOKUP(YEAR(X214),INPC!$B$4:$P$30,MONTH(X214)+2,0)))</f>
        <v>0</v>
      </c>
      <c r="R214" s="309">
        <f t="shared" si="57"/>
        <v>0</v>
      </c>
      <c r="S214" s="310">
        <f t="shared" si="66"/>
        <v>0</v>
      </c>
      <c r="T214" s="547">
        <f t="shared" si="67"/>
        <v>0</v>
      </c>
      <c r="U214" s="311"/>
      <c r="V214" s="312"/>
      <c r="W214" s="299"/>
      <c r="X214" s="300"/>
      <c r="Y214" s="299"/>
      <c r="Z214" s="303"/>
      <c r="AA214" s="305">
        <f>IF(Z214=0,0,IF(Y214="MXN",1/HLOOKUP(YEAR(X214)+(MONTH(X214)/100),TC!$5:$37,DAY(X214)+2,FALSE),VLOOKUP(Y214,Equivalencia!$1:$23,((MAX(Equivalencia!$3:$3)-YEAR(X214))*14)+MONTH(X214)+2,FALSE)))</f>
        <v>0</v>
      </c>
      <c r="AB214" s="306">
        <f t="shared" si="68"/>
        <v>0</v>
      </c>
      <c r="AC214" s="305">
        <f>+IF(X214=0,0,HLOOKUP(YEAR(X214)+(MONTH(X214)/100),TC!$5:$37,DAY(X214)+2,FALSE))</f>
        <v>0</v>
      </c>
      <c r="AD214" s="307">
        <f t="shared" si="69"/>
        <v>0</v>
      </c>
      <c r="AE214" s="314">
        <f t="shared" si="58"/>
        <v>0</v>
      </c>
      <c r="AF214" s="315">
        <f t="shared" si="59"/>
        <v>0</v>
      </c>
      <c r="AG214" s="316">
        <f t="shared" si="60"/>
        <v>0</v>
      </c>
      <c r="AH214" s="314">
        <v>1</v>
      </c>
      <c r="AI214" s="314">
        <f t="shared" si="61"/>
        <v>0</v>
      </c>
      <c r="AJ214" s="314">
        <f t="shared" si="70"/>
        <v>0</v>
      </c>
      <c r="AK214" s="317"/>
      <c r="AL214" s="315">
        <f t="shared" si="62"/>
        <v>0</v>
      </c>
      <c r="AN214" s="546">
        <f t="shared" si="63"/>
        <v>0</v>
      </c>
      <c r="AO214" s="314"/>
      <c r="AP214" s="318"/>
    </row>
    <row r="215" spans="2:42">
      <c r="B215" s="296"/>
      <c r="C215" s="299"/>
      <c r="D215" s="298"/>
      <c r="E215" s="299"/>
      <c r="F215" s="299"/>
      <c r="G215" s="300"/>
      <c r="H215" s="303"/>
      <c r="I215" s="301">
        <f t="shared" si="54"/>
        <v>0</v>
      </c>
      <c r="J215" s="302">
        <f t="shared" si="64"/>
        <v>0</v>
      </c>
      <c r="K215" s="304">
        <f t="shared" si="55"/>
        <v>0</v>
      </c>
      <c r="L215" s="305">
        <f>IF(H215=0,0,IF(OR(E215=$AT$5,E215=$AT$6),AA215,IF(F215="MXN",1/HLOOKUP(YEAR(G215)+(MONTH(G215)/100),TC!$5:$37,DAY(G215)+2,FALSE),VLOOKUP(F215,Equivalencia!$5:$23,((MAX(Equivalencia!$3:$3)-YEAR(G215))*14)+MONTH(G215)+2,FALSE))))</f>
        <v>0</v>
      </c>
      <c r="M215" s="306">
        <f t="shared" si="56"/>
        <v>0</v>
      </c>
      <c r="N215" s="305">
        <f>IF(G215=0,0,(IF(OR(E215=$AT$5,E215=$AT$6),AC215,HLOOKUP(YEAR(G215)+(MONTH(G215)/100),TC!$5:$37,DAY(G215)+2,FALSE))))</f>
        <v>0</v>
      </c>
      <c r="O215" s="307">
        <f t="shared" si="65"/>
        <v>0</v>
      </c>
      <c r="P215" s="552">
        <f>IF(G215=0,0,VLOOKUP(YEAR(G215),INPC!$B$4:$P$30,MONTH(G215)+2))</f>
        <v>0</v>
      </c>
      <c r="Q215" s="552">
        <f>IF(X215=0,0,IF(OR(E215=$AT$10,E215=$AT$9),VLOOKUP(YEAR(X215),INPC!$B$4:$P$30,MONTH(X215)+1),VLOOKUP(YEAR(X215),INPC!$B$4:$P$30,MONTH(X215)+2,0)))</f>
        <v>0</v>
      </c>
      <c r="R215" s="309">
        <f t="shared" si="57"/>
        <v>0</v>
      </c>
      <c r="S215" s="310">
        <f t="shared" si="66"/>
        <v>0</v>
      </c>
      <c r="T215" s="547">
        <f t="shared" si="67"/>
        <v>0</v>
      </c>
      <c r="U215" s="311"/>
      <c r="V215" s="312"/>
      <c r="W215" s="299"/>
      <c r="X215" s="300"/>
      <c r="Y215" s="299"/>
      <c r="Z215" s="303"/>
      <c r="AA215" s="305">
        <f>IF(Z215=0,0,IF(Y215="MXN",1/HLOOKUP(YEAR(X215)+(MONTH(X215)/100),TC!$5:$37,DAY(X215)+2,FALSE),VLOOKUP(Y215,Equivalencia!$1:$23,((MAX(Equivalencia!$3:$3)-YEAR(X215))*14)+MONTH(X215)+2,FALSE)))</f>
        <v>0</v>
      </c>
      <c r="AB215" s="306">
        <f t="shared" si="68"/>
        <v>0</v>
      </c>
      <c r="AC215" s="305">
        <f>+IF(X215=0,0,HLOOKUP(YEAR(X215)+(MONTH(X215)/100),TC!$5:$37,DAY(X215)+2,FALSE))</f>
        <v>0</v>
      </c>
      <c r="AD215" s="307">
        <f t="shared" si="69"/>
        <v>0</v>
      </c>
      <c r="AE215" s="314">
        <f t="shared" si="58"/>
        <v>0</v>
      </c>
      <c r="AF215" s="315">
        <f t="shared" si="59"/>
        <v>0</v>
      </c>
      <c r="AG215" s="316">
        <f t="shared" si="60"/>
        <v>0</v>
      </c>
      <c r="AH215" s="314">
        <v>1</v>
      </c>
      <c r="AI215" s="314">
        <f t="shared" si="61"/>
        <v>0</v>
      </c>
      <c r="AJ215" s="314">
        <f t="shared" si="70"/>
        <v>0</v>
      </c>
      <c r="AK215" s="317"/>
      <c r="AL215" s="315">
        <f t="shared" si="62"/>
        <v>0</v>
      </c>
      <c r="AN215" s="546">
        <f t="shared" si="63"/>
        <v>0</v>
      </c>
      <c r="AO215" s="314"/>
      <c r="AP215" s="318"/>
    </row>
    <row r="216" spans="2:42">
      <c r="B216" s="296"/>
      <c r="C216" s="299"/>
      <c r="D216" s="298"/>
      <c r="E216" s="299"/>
      <c r="F216" s="299"/>
      <c r="G216" s="300"/>
      <c r="H216" s="303"/>
      <c r="I216" s="301">
        <f t="shared" si="54"/>
        <v>0</v>
      </c>
      <c r="J216" s="302">
        <f t="shared" si="64"/>
        <v>0</v>
      </c>
      <c r="K216" s="304">
        <f t="shared" si="55"/>
        <v>0</v>
      </c>
      <c r="L216" s="305">
        <f>IF(H216=0,0,IF(OR(E216=$AT$5,E216=$AT$6),AA216,IF(F216="MXN",1/HLOOKUP(YEAR(G216)+(MONTH(G216)/100),TC!$5:$37,DAY(G216)+2,FALSE),VLOOKUP(F216,Equivalencia!$5:$23,((MAX(Equivalencia!$3:$3)-YEAR(G216))*14)+MONTH(G216)+2,FALSE))))</f>
        <v>0</v>
      </c>
      <c r="M216" s="306">
        <f t="shared" si="56"/>
        <v>0</v>
      </c>
      <c r="N216" s="305">
        <f>IF(G216=0,0,(IF(OR(E216=$AT$5,E216=$AT$6),AC216,HLOOKUP(YEAR(G216)+(MONTH(G216)/100),TC!$5:$37,DAY(G216)+2,FALSE))))</f>
        <v>0</v>
      </c>
      <c r="O216" s="307">
        <f t="shared" si="65"/>
        <v>0</v>
      </c>
      <c r="P216" s="552">
        <f>IF(G216=0,0,VLOOKUP(YEAR(G216),INPC!$B$4:$P$30,MONTH(G216)+2))</f>
        <v>0</v>
      </c>
      <c r="Q216" s="552">
        <f>IF(X216=0,0,IF(OR(E216=$AT$10,E216=$AT$9),VLOOKUP(YEAR(X216),INPC!$B$4:$P$30,MONTH(X216)+1),VLOOKUP(YEAR(X216),INPC!$B$4:$P$30,MONTH(X216)+2,0)))</f>
        <v>0</v>
      </c>
      <c r="R216" s="309">
        <f t="shared" si="57"/>
        <v>0</v>
      </c>
      <c r="S216" s="310">
        <f t="shared" si="66"/>
        <v>0</v>
      </c>
      <c r="T216" s="547">
        <f t="shared" si="67"/>
        <v>0</v>
      </c>
      <c r="U216" s="311"/>
      <c r="V216" s="312"/>
      <c r="W216" s="299"/>
      <c r="X216" s="300"/>
      <c r="Y216" s="299"/>
      <c r="Z216" s="303"/>
      <c r="AA216" s="305">
        <f>IF(Z216=0,0,IF(Y216="MXN",1/HLOOKUP(YEAR(X216)+(MONTH(X216)/100),TC!$5:$37,DAY(X216)+2,FALSE),VLOOKUP(Y216,Equivalencia!$1:$23,((MAX(Equivalencia!$3:$3)-YEAR(X216))*14)+MONTH(X216)+2,FALSE)))</f>
        <v>0</v>
      </c>
      <c r="AB216" s="306">
        <f t="shared" si="68"/>
        <v>0</v>
      </c>
      <c r="AC216" s="305">
        <f>+IF(X216=0,0,HLOOKUP(YEAR(X216)+(MONTH(X216)/100),TC!$5:$37,DAY(X216)+2,FALSE))</f>
        <v>0</v>
      </c>
      <c r="AD216" s="307">
        <f t="shared" si="69"/>
        <v>0</v>
      </c>
      <c r="AE216" s="314">
        <f t="shared" si="58"/>
        <v>0</v>
      </c>
      <c r="AF216" s="315">
        <f t="shared" si="59"/>
        <v>0</v>
      </c>
      <c r="AG216" s="316">
        <f t="shared" si="60"/>
        <v>0</v>
      </c>
      <c r="AH216" s="314">
        <v>1</v>
      </c>
      <c r="AI216" s="314">
        <f t="shared" si="61"/>
        <v>0</v>
      </c>
      <c r="AJ216" s="314">
        <f t="shared" si="70"/>
        <v>0</v>
      </c>
      <c r="AK216" s="317"/>
      <c r="AL216" s="315">
        <f t="shared" si="62"/>
        <v>0</v>
      </c>
      <c r="AN216" s="546">
        <f t="shared" si="63"/>
        <v>0</v>
      </c>
      <c r="AO216" s="314"/>
      <c r="AP216" s="318"/>
    </row>
    <row r="217" spans="2:42">
      <c r="B217" s="296"/>
      <c r="C217" s="299"/>
      <c r="D217" s="298"/>
      <c r="E217" s="299"/>
      <c r="F217" s="299"/>
      <c r="G217" s="300"/>
      <c r="H217" s="303"/>
      <c r="I217" s="301">
        <f t="shared" si="54"/>
        <v>0</v>
      </c>
      <c r="J217" s="302">
        <f t="shared" si="64"/>
        <v>0</v>
      </c>
      <c r="K217" s="304">
        <f t="shared" si="55"/>
        <v>0</v>
      </c>
      <c r="L217" s="305">
        <f>IF(H217=0,0,IF(OR(E217=$AT$5,E217=$AT$6),AA217,IF(F217="MXN",1/HLOOKUP(YEAR(G217)+(MONTH(G217)/100),TC!$5:$37,DAY(G217)+2,FALSE),VLOOKUP(F217,Equivalencia!$5:$23,((MAX(Equivalencia!$3:$3)-YEAR(G217))*14)+MONTH(G217)+2,FALSE))))</f>
        <v>0</v>
      </c>
      <c r="M217" s="306">
        <f t="shared" si="56"/>
        <v>0</v>
      </c>
      <c r="N217" s="305">
        <f>IF(G217=0,0,(IF(OR(E217=$AT$5,E217=$AT$6),AC217,HLOOKUP(YEAR(G217)+(MONTH(G217)/100),TC!$5:$37,DAY(G217)+2,FALSE))))</f>
        <v>0</v>
      </c>
      <c r="O217" s="307">
        <f t="shared" si="65"/>
        <v>0</v>
      </c>
      <c r="P217" s="552">
        <f>IF(G217=0,0,VLOOKUP(YEAR(G217),INPC!$B$4:$P$30,MONTH(G217)+2))</f>
        <v>0</v>
      </c>
      <c r="Q217" s="552">
        <f>IF(X217=0,0,IF(OR(E217=$AT$10,E217=$AT$9),VLOOKUP(YEAR(X217),INPC!$B$4:$P$30,MONTH(X217)+1),VLOOKUP(YEAR(X217),INPC!$B$4:$P$30,MONTH(X217)+2,0)))</f>
        <v>0</v>
      </c>
      <c r="R217" s="309">
        <f t="shared" si="57"/>
        <v>0</v>
      </c>
      <c r="S217" s="310">
        <f t="shared" si="66"/>
        <v>0</v>
      </c>
      <c r="T217" s="547">
        <f t="shared" si="67"/>
        <v>0</v>
      </c>
      <c r="U217" s="311"/>
      <c r="V217" s="312"/>
      <c r="W217" s="299"/>
      <c r="X217" s="300"/>
      <c r="Y217" s="299"/>
      <c r="Z217" s="303"/>
      <c r="AA217" s="305">
        <f>IF(Z217=0,0,IF(Y217="MXN",1/HLOOKUP(YEAR(X217)+(MONTH(X217)/100),TC!$5:$37,DAY(X217)+2,FALSE),VLOOKUP(Y217,Equivalencia!$1:$23,((MAX(Equivalencia!$3:$3)-YEAR(X217))*14)+MONTH(X217)+2,FALSE)))</f>
        <v>0</v>
      </c>
      <c r="AB217" s="306">
        <f t="shared" si="68"/>
        <v>0</v>
      </c>
      <c r="AC217" s="305">
        <f>+IF(X217=0,0,HLOOKUP(YEAR(X217)+(MONTH(X217)/100),TC!$5:$37,DAY(X217)+2,FALSE))</f>
        <v>0</v>
      </c>
      <c r="AD217" s="307">
        <f t="shared" si="69"/>
        <v>0</v>
      </c>
      <c r="AE217" s="314">
        <f t="shared" si="58"/>
        <v>0</v>
      </c>
      <c r="AF217" s="315">
        <f t="shared" si="59"/>
        <v>0</v>
      </c>
      <c r="AG217" s="316">
        <f t="shared" si="60"/>
        <v>0</v>
      </c>
      <c r="AH217" s="314">
        <v>1</v>
      </c>
      <c r="AI217" s="314">
        <f t="shared" si="61"/>
        <v>0</v>
      </c>
      <c r="AJ217" s="314">
        <f t="shared" si="70"/>
        <v>0</v>
      </c>
      <c r="AK217" s="317"/>
      <c r="AL217" s="315">
        <f t="shared" si="62"/>
        <v>0</v>
      </c>
      <c r="AN217" s="546">
        <f t="shared" si="63"/>
        <v>0</v>
      </c>
      <c r="AO217" s="314"/>
      <c r="AP217" s="318"/>
    </row>
    <row r="218" spans="2:42">
      <c r="B218" s="296"/>
      <c r="C218" s="299"/>
      <c r="D218" s="298"/>
      <c r="E218" s="299"/>
      <c r="F218" s="299"/>
      <c r="G218" s="300"/>
      <c r="H218" s="303"/>
      <c r="I218" s="301">
        <f t="shared" si="54"/>
        <v>0</v>
      </c>
      <c r="J218" s="302">
        <f t="shared" si="64"/>
        <v>0</v>
      </c>
      <c r="K218" s="304">
        <f t="shared" si="55"/>
        <v>0</v>
      </c>
      <c r="L218" s="305">
        <f>IF(H218=0,0,IF(OR(E218=$AT$5,E218=$AT$6),AA218,IF(F218="MXN",1/HLOOKUP(YEAR(G218)+(MONTH(G218)/100),TC!$5:$37,DAY(G218)+2,FALSE),VLOOKUP(F218,Equivalencia!$5:$23,((MAX(Equivalencia!$3:$3)-YEAR(G218))*14)+MONTH(G218)+2,FALSE))))</f>
        <v>0</v>
      </c>
      <c r="M218" s="306">
        <f t="shared" si="56"/>
        <v>0</v>
      </c>
      <c r="N218" s="305">
        <f>IF(G218=0,0,(IF(OR(E218=$AT$5,E218=$AT$6),AC218,HLOOKUP(YEAR(G218)+(MONTH(G218)/100),TC!$5:$37,DAY(G218)+2,FALSE))))</f>
        <v>0</v>
      </c>
      <c r="O218" s="307">
        <f t="shared" si="65"/>
        <v>0</v>
      </c>
      <c r="P218" s="552">
        <f>IF(G218=0,0,VLOOKUP(YEAR(G218),INPC!$B$4:$P$30,MONTH(G218)+2))</f>
        <v>0</v>
      </c>
      <c r="Q218" s="552">
        <f>IF(X218=0,0,IF(OR(E218=$AT$10,E218=$AT$9),VLOOKUP(YEAR(X218),INPC!$B$4:$P$30,MONTH(X218)+1),VLOOKUP(YEAR(X218),INPC!$B$4:$P$30,MONTH(X218)+2,0)))</f>
        <v>0</v>
      </c>
      <c r="R218" s="309">
        <f t="shared" si="57"/>
        <v>0</v>
      </c>
      <c r="S218" s="310">
        <f t="shared" si="66"/>
        <v>0</v>
      </c>
      <c r="T218" s="547">
        <f t="shared" si="67"/>
        <v>0</v>
      </c>
      <c r="U218" s="311"/>
      <c r="V218" s="312"/>
      <c r="W218" s="299"/>
      <c r="X218" s="300"/>
      <c r="Y218" s="299"/>
      <c r="Z218" s="303"/>
      <c r="AA218" s="305">
        <f>IF(Z218=0,0,IF(Y218="MXN",1/HLOOKUP(YEAR(X218)+(MONTH(X218)/100),TC!$5:$37,DAY(X218)+2,FALSE),VLOOKUP(Y218,Equivalencia!$1:$23,((MAX(Equivalencia!$3:$3)-YEAR(X218))*14)+MONTH(X218)+2,FALSE)))</f>
        <v>0</v>
      </c>
      <c r="AB218" s="306">
        <f t="shared" si="68"/>
        <v>0</v>
      </c>
      <c r="AC218" s="305">
        <f>+IF(X218=0,0,HLOOKUP(YEAR(X218)+(MONTH(X218)/100),TC!$5:$37,DAY(X218)+2,FALSE))</f>
        <v>0</v>
      </c>
      <c r="AD218" s="307">
        <f t="shared" si="69"/>
        <v>0</v>
      </c>
      <c r="AE218" s="314">
        <f t="shared" si="58"/>
        <v>0</v>
      </c>
      <c r="AF218" s="315">
        <f t="shared" si="59"/>
        <v>0</v>
      </c>
      <c r="AG218" s="316">
        <f t="shared" si="60"/>
        <v>0</v>
      </c>
      <c r="AH218" s="314">
        <v>1</v>
      </c>
      <c r="AI218" s="314">
        <f t="shared" si="61"/>
        <v>0</v>
      </c>
      <c r="AJ218" s="314">
        <f t="shared" si="70"/>
        <v>0</v>
      </c>
      <c r="AK218" s="317"/>
      <c r="AL218" s="315">
        <f t="shared" si="62"/>
        <v>0</v>
      </c>
      <c r="AN218" s="546">
        <f t="shared" si="63"/>
        <v>0</v>
      </c>
      <c r="AO218" s="314"/>
      <c r="AP218" s="318"/>
    </row>
    <row r="219" spans="2:42">
      <c r="B219" s="296"/>
      <c r="C219" s="299"/>
      <c r="D219" s="298"/>
      <c r="E219" s="299"/>
      <c r="F219" s="299"/>
      <c r="G219" s="300"/>
      <c r="H219" s="303"/>
      <c r="I219" s="301">
        <f t="shared" si="54"/>
        <v>0</v>
      </c>
      <c r="J219" s="302">
        <f t="shared" si="64"/>
        <v>0</v>
      </c>
      <c r="K219" s="304">
        <f t="shared" si="55"/>
        <v>0</v>
      </c>
      <c r="L219" s="305">
        <f>IF(H219=0,0,IF(OR(E219=$AT$5,E219=$AT$6),AA219,IF(F219="MXN",1/HLOOKUP(YEAR(G219)+(MONTH(G219)/100),TC!$5:$37,DAY(G219)+2,FALSE),VLOOKUP(F219,Equivalencia!$5:$23,((MAX(Equivalencia!$3:$3)-YEAR(G219))*14)+MONTH(G219)+2,FALSE))))</f>
        <v>0</v>
      </c>
      <c r="M219" s="306">
        <f t="shared" si="56"/>
        <v>0</v>
      </c>
      <c r="N219" s="305">
        <f>IF(G219=0,0,(IF(OR(E219=$AT$5,E219=$AT$6),AC219,HLOOKUP(YEAR(G219)+(MONTH(G219)/100),TC!$5:$37,DAY(G219)+2,FALSE))))</f>
        <v>0</v>
      </c>
      <c r="O219" s="307">
        <f t="shared" si="65"/>
        <v>0</v>
      </c>
      <c r="P219" s="552">
        <f>IF(G219=0,0,VLOOKUP(YEAR(G219),INPC!$B$4:$P$30,MONTH(G219)+2))</f>
        <v>0</v>
      </c>
      <c r="Q219" s="552">
        <f>IF(X219=0,0,IF(OR(E219=$AT$10,E219=$AT$9),VLOOKUP(YEAR(X219),INPC!$B$4:$P$30,MONTH(X219)+1),VLOOKUP(YEAR(X219),INPC!$B$4:$P$30,MONTH(X219)+2,0)))</f>
        <v>0</v>
      </c>
      <c r="R219" s="309">
        <f t="shared" si="57"/>
        <v>0</v>
      </c>
      <c r="S219" s="310">
        <f t="shared" si="66"/>
        <v>0</v>
      </c>
      <c r="T219" s="547">
        <f t="shared" si="67"/>
        <v>0</v>
      </c>
      <c r="U219" s="311"/>
      <c r="V219" s="312"/>
      <c r="W219" s="299"/>
      <c r="X219" s="300"/>
      <c r="Y219" s="299"/>
      <c r="Z219" s="303"/>
      <c r="AA219" s="305">
        <f>IF(Z219=0,0,IF(Y219="MXN",1/HLOOKUP(YEAR(X219)+(MONTH(X219)/100),TC!$5:$37,DAY(X219)+2,FALSE),VLOOKUP(Y219,Equivalencia!$1:$23,((MAX(Equivalencia!$3:$3)-YEAR(X219))*14)+MONTH(X219)+2,FALSE)))</f>
        <v>0</v>
      </c>
      <c r="AB219" s="306">
        <f t="shared" si="68"/>
        <v>0</v>
      </c>
      <c r="AC219" s="305">
        <f>+IF(X219=0,0,HLOOKUP(YEAR(X219)+(MONTH(X219)/100),TC!$5:$37,DAY(X219)+2,FALSE))</f>
        <v>0</v>
      </c>
      <c r="AD219" s="307">
        <f t="shared" si="69"/>
        <v>0</v>
      </c>
      <c r="AE219" s="314">
        <f t="shared" si="58"/>
        <v>0</v>
      </c>
      <c r="AF219" s="315">
        <f t="shared" si="59"/>
        <v>0</v>
      </c>
      <c r="AG219" s="316">
        <f t="shared" si="60"/>
        <v>0</v>
      </c>
      <c r="AH219" s="314">
        <v>1</v>
      </c>
      <c r="AI219" s="314">
        <f t="shared" si="61"/>
        <v>0</v>
      </c>
      <c r="AJ219" s="314">
        <f t="shared" si="70"/>
        <v>0</v>
      </c>
      <c r="AK219" s="317"/>
      <c r="AL219" s="315">
        <f t="shared" si="62"/>
        <v>0</v>
      </c>
      <c r="AN219" s="546">
        <f t="shared" si="63"/>
        <v>0</v>
      </c>
      <c r="AO219" s="314"/>
      <c r="AP219" s="318"/>
    </row>
    <row r="220" spans="2:42">
      <c r="B220" s="296"/>
      <c r="C220" s="299"/>
      <c r="D220" s="298"/>
      <c r="E220" s="299"/>
      <c r="F220" s="299"/>
      <c r="G220" s="300"/>
      <c r="H220" s="303"/>
      <c r="I220" s="301">
        <f t="shared" si="54"/>
        <v>0</v>
      </c>
      <c r="J220" s="302">
        <f t="shared" si="64"/>
        <v>0</v>
      </c>
      <c r="K220" s="304">
        <f t="shared" si="55"/>
        <v>0</v>
      </c>
      <c r="L220" s="305">
        <f>IF(H220=0,0,IF(OR(E220=$AT$5,E220=$AT$6),AA220,IF(F220="MXN",1/HLOOKUP(YEAR(G220)+(MONTH(G220)/100),TC!$5:$37,DAY(G220)+2,FALSE),VLOOKUP(F220,Equivalencia!$5:$23,((MAX(Equivalencia!$3:$3)-YEAR(G220))*14)+MONTH(G220)+2,FALSE))))</f>
        <v>0</v>
      </c>
      <c r="M220" s="306">
        <f t="shared" si="56"/>
        <v>0</v>
      </c>
      <c r="N220" s="305">
        <f>IF(G220=0,0,(IF(OR(E220=$AT$5,E220=$AT$6),AC220,HLOOKUP(YEAR(G220)+(MONTH(G220)/100),TC!$5:$37,DAY(G220)+2,FALSE))))</f>
        <v>0</v>
      </c>
      <c r="O220" s="307">
        <f t="shared" si="65"/>
        <v>0</v>
      </c>
      <c r="P220" s="552">
        <f>IF(G220=0,0,VLOOKUP(YEAR(G220),INPC!$B$4:$P$30,MONTH(G220)+2))</f>
        <v>0</v>
      </c>
      <c r="Q220" s="552">
        <f>IF(X220=0,0,IF(OR(E220=$AT$10,E220=$AT$9),VLOOKUP(YEAR(X220),INPC!$B$4:$P$30,MONTH(X220)+1),VLOOKUP(YEAR(X220),INPC!$B$4:$P$30,MONTH(X220)+2,0)))</f>
        <v>0</v>
      </c>
      <c r="R220" s="309">
        <f t="shared" si="57"/>
        <v>0</v>
      </c>
      <c r="S220" s="310">
        <f t="shared" si="66"/>
        <v>0</v>
      </c>
      <c r="T220" s="547">
        <f t="shared" si="67"/>
        <v>0</v>
      </c>
      <c r="U220" s="311"/>
      <c r="V220" s="312"/>
      <c r="W220" s="299"/>
      <c r="X220" s="300"/>
      <c r="Y220" s="299"/>
      <c r="Z220" s="303"/>
      <c r="AA220" s="305">
        <f>IF(Z220=0,0,IF(Y220="MXN",1/HLOOKUP(YEAR(X220)+(MONTH(X220)/100),TC!$5:$37,DAY(X220)+2,FALSE),VLOOKUP(Y220,Equivalencia!$1:$23,((MAX(Equivalencia!$3:$3)-YEAR(X220))*14)+MONTH(X220)+2,FALSE)))</f>
        <v>0</v>
      </c>
      <c r="AB220" s="306">
        <f t="shared" si="68"/>
        <v>0</v>
      </c>
      <c r="AC220" s="305">
        <f>+IF(X220=0,0,HLOOKUP(YEAR(X220)+(MONTH(X220)/100),TC!$5:$37,DAY(X220)+2,FALSE))</f>
        <v>0</v>
      </c>
      <c r="AD220" s="307">
        <f t="shared" si="69"/>
        <v>0</v>
      </c>
      <c r="AE220" s="314">
        <f t="shared" si="58"/>
        <v>0</v>
      </c>
      <c r="AF220" s="315">
        <f t="shared" si="59"/>
        <v>0</v>
      </c>
      <c r="AG220" s="316">
        <f t="shared" si="60"/>
        <v>0</v>
      </c>
      <c r="AH220" s="314">
        <v>1</v>
      </c>
      <c r="AI220" s="314">
        <f t="shared" si="61"/>
        <v>0</v>
      </c>
      <c r="AJ220" s="314">
        <f t="shared" si="70"/>
        <v>0</v>
      </c>
      <c r="AK220" s="317"/>
      <c r="AL220" s="315">
        <f t="shared" si="62"/>
        <v>0</v>
      </c>
      <c r="AN220" s="546">
        <f t="shared" si="63"/>
        <v>0</v>
      </c>
      <c r="AO220" s="314"/>
      <c r="AP220" s="318"/>
    </row>
    <row r="221" spans="2:42">
      <c r="B221" s="296"/>
      <c r="C221" s="299"/>
      <c r="D221" s="298"/>
      <c r="E221" s="299"/>
      <c r="F221" s="299"/>
      <c r="G221" s="300"/>
      <c r="H221" s="303"/>
      <c r="I221" s="301">
        <f t="shared" si="54"/>
        <v>0</v>
      </c>
      <c r="J221" s="302">
        <f t="shared" si="64"/>
        <v>0</v>
      </c>
      <c r="K221" s="304">
        <f t="shared" si="55"/>
        <v>0</v>
      </c>
      <c r="L221" s="305">
        <f>IF(H221=0,0,IF(OR(E221=$AT$5,E221=$AT$6),AA221,IF(F221="MXN",1/HLOOKUP(YEAR(G221)+(MONTH(G221)/100),TC!$5:$37,DAY(G221)+2,FALSE),VLOOKUP(F221,Equivalencia!$5:$23,((MAX(Equivalencia!$3:$3)-YEAR(G221))*14)+MONTH(G221)+2,FALSE))))</f>
        <v>0</v>
      </c>
      <c r="M221" s="306">
        <f t="shared" si="56"/>
        <v>0</v>
      </c>
      <c r="N221" s="305">
        <f>IF(G221=0,0,(IF(OR(E221=$AT$5,E221=$AT$6),AC221,HLOOKUP(YEAR(G221)+(MONTH(G221)/100),TC!$5:$37,DAY(G221)+2,FALSE))))</f>
        <v>0</v>
      </c>
      <c r="O221" s="307">
        <f t="shared" si="65"/>
        <v>0</v>
      </c>
      <c r="P221" s="552">
        <f>IF(G221=0,0,VLOOKUP(YEAR(G221),INPC!$B$4:$P$30,MONTH(G221)+2))</f>
        <v>0</v>
      </c>
      <c r="Q221" s="552">
        <f>IF(X221=0,0,IF(OR(E221=$AT$10,E221=$AT$9),VLOOKUP(YEAR(X221),INPC!$B$4:$P$30,MONTH(X221)+1),VLOOKUP(YEAR(X221),INPC!$B$4:$P$30,MONTH(X221)+2,0)))</f>
        <v>0</v>
      </c>
      <c r="R221" s="309">
        <f t="shared" si="57"/>
        <v>0</v>
      </c>
      <c r="S221" s="310">
        <f t="shared" si="66"/>
        <v>0</v>
      </c>
      <c r="T221" s="547">
        <f t="shared" si="67"/>
        <v>0</v>
      </c>
      <c r="U221" s="311"/>
      <c r="V221" s="312"/>
      <c r="W221" s="299"/>
      <c r="X221" s="300"/>
      <c r="Y221" s="299"/>
      <c r="Z221" s="303"/>
      <c r="AA221" s="305">
        <f>IF(Z221=0,0,IF(Y221="MXN",1/HLOOKUP(YEAR(X221)+(MONTH(X221)/100),TC!$5:$37,DAY(X221)+2,FALSE),VLOOKUP(Y221,Equivalencia!$1:$23,((MAX(Equivalencia!$3:$3)-YEAR(X221))*14)+MONTH(X221)+2,FALSE)))</f>
        <v>0</v>
      </c>
      <c r="AB221" s="306">
        <f t="shared" si="68"/>
        <v>0</v>
      </c>
      <c r="AC221" s="305">
        <f>+IF(X221=0,0,HLOOKUP(YEAR(X221)+(MONTH(X221)/100),TC!$5:$37,DAY(X221)+2,FALSE))</f>
        <v>0</v>
      </c>
      <c r="AD221" s="307">
        <f t="shared" si="69"/>
        <v>0</v>
      </c>
      <c r="AE221" s="314">
        <f t="shared" si="58"/>
        <v>0</v>
      </c>
      <c r="AF221" s="315">
        <f t="shared" si="59"/>
        <v>0</v>
      </c>
      <c r="AG221" s="316">
        <f t="shared" si="60"/>
        <v>0</v>
      </c>
      <c r="AH221" s="314">
        <v>1</v>
      </c>
      <c r="AI221" s="314">
        <f t="shared" si="61"/>
        <v>0</v>
      </c>
      <c r="AJ221" s="314">
        <f t="shared" si="70"/>
        <v>0</v>
      </c>
      <c r="AK221" s="317"/>
      <c r="AL221" s="315">
        <f t="shared" si="62"/>
        <v>0</v>
      </c>
      <c r="AN221" s="546">
        <f t="shared" si="63"/>
        <v>0</v>
      </c>
      <c r="AO221" s="314"/>
      <c r="AP221" s="318"/>
    </row>
    <row r="222" spans="2:42">
      <c r="B222" s="296"/>
      <c r="C222" s="299"/>
      <c r="D222" s="298"/>
      <c r="E222" s="299"/>
      <c r="F222" s="299"/>
      <c r="G222" s="300"/>
      <c r="H222" s="303"/>
      <c r="I222" s="301">
        <f t="shared" si="54"/>
        <v>0</v>
      </c>
      <c r="J222" s="302">
        <f t="shared" si="64"/>
        <v>0</v>
      </c>
      <c r="K222" s="304">
        <f t="shared" si="55"/>
        <v>0</v>
      </c>
      <c r="L222" s="305">
        <f>IF(H222=0,0,IF(OR(E222=$AT$5,E222=$AT$6),AA222,IF(F222="MXN",1/HLOOKUP(YEAR(G222)+(MONTH(G222)/100),TC!$5:$37,DAY(G222)+2,FALSE),VLOOKUP(F222,Equivalencia!$5:$23,((MAX(Equivalencia!$3:$3)-YEAR(G222))*14)+MONTH(G222)+2,FALSE))))</f>
        <v>0</v>
      </c>
      <c r="M222" s="306">
        <f t="shared" si="56"/>
        <v>0</v>
      </c>
      <c r="N222" s="305">
        <f>IF(G222=0,0,(IF(OR(E222=$AT$5,E222=$AT$6),AC222,HLOOKUP(YEAR(G222)+(MONTH(G222)/100),TC!$5:$37,DAY(G222)+2,FALSE))))</f>
        <v>0</v>
      </c>
      <c r="O222" s="307">
        <f t="shared" si="65"/>
        <v>0</v>
      </c>
      <c r="P222" s="552">
        <f>IF(G222=0,0,VLOOKUP(YEAR(G222),INPC!$B$4:$P$30,MONTH(G222)+2))</f>
        <v>0</v>
      </c>
      <c r="Q222" s="552">
        <f>IF(X222=0,0,IF(OR(E222=$AT$10,E222=$AT$9),VLOOKUP(YEAR(X222),INPC!$B$4:$P$30,MONTH(X222)+1),VLOOKUP(YEAR(X222),INPC!$B$4:$P$30,MONTH(X222)+2,0)))</f>
        <v>0</v>
      </c>
      <c r="R222" s="309">
        <f t="shared" si="57"/>
        <v>0</v>
      </c>
      <c r="S222" s="310">
        <f t="shared" si="66"/>
        <v>0</v>
      </c>
      <c r="T222" s="547">
        <f t="shared" si="67"/>
        <v>0</v>
      </c>
      <c r="U222" s="311"/>
      <c r="V222" s="312"/>
      <c r="W222" s="299"/>
      <c r="X222" s="300"/>
      <c r="Y222" s="299"/>
      <c r="Z222" s="303"/>
      <c r="AA222" s="305">
        <f>IF(Z222=0,0,IF(Y222="MXN",1/HLOOKUP(YEAR(X222)+(MONTH(X222)/100),TC!$5:$37,DAY(X222)+2,FALSE),VLOOKUP(Y222,Equivalencia!$1:$23,((MAX(Equivalencia!$3:$3)-YEAR(X222))*14)+MONTH(X222)+2,FALSE)))</f>
        <v>0</v>
      </c>
      <c r="AB222" s="306">
        <f t="shared" si="68"/>
        <v>0</v>
      </c>
      <c r="AC222" s="305">
        <f>+IF(X222=0,0,HLOOKUP(YEAR(X222)+(MONTH(X222)/100),TC!$5:$37,DAY(X222)+2,FALSE))</f>
        <v>0</v>
      </c>
      <c r="AD222" s="307">
        <f t="shared" si="69"/>
        <v>0</v>
      </c>
      <c r="AE222" s="314">
        <f t="shared" si="58"/>
        <v>0</v>
      </c>
      <c r="AF222" s="315">
        <f t="shared" si="59"/>
        <v>0</v>
      </c>
      <c r="AG222" s="316">
        <f t="shared" si="60"/>
        <v>0</v>
      </c>
      <c r="AH222" s="314">
        <v>1</v>
      </c>
      <c r="AI222" s="314">
        <f t="shared" si="61"/>
        <v>0</v>
      </c>
      <c r="AJ222" s="314">
        <f t="shared" si="70"/>
        <v>0</v>
      </c>
      <c r="AK222" s="317"/>
      <c r="AL222" s="315">
        <f t="shared" si="62"/>
        <v>0</v>
      </c>
      <c r="AN222" s="546">
        <f t="shared" si="63"/>
        <v>0</v>
      </c>
      <c r="AO222" s="314"/>
      <c r="AP222" s="318"/>
    </row>
    <row r="223" spans="2:42">
      <c r="B223" s="296"/>
      <c r="C223" s="299"/>
      <c r="D223" s="298"/>
      <c r="E223" s="299"/>
      <c r="F223" s="299"/>
      <c r="G223" s="300"/>
      <c r="H223" s="303"/>
      <c r="I223" s="301">
        <f t="shared" si="54"/>
        <v>0</v>
      </c>
      <c r="J223" s="302">
        <f t="shared" si="64"/>
        <v>0</v>
      </c>
      <c r="K223" s="304">
        <f t="shared" si="55"/>
        <v>0</v>
      </c>
      <c r="L223" s="305">
        <f>IF(H223=0,0,IF(OR(E223=$AT$5,E223=$AT$6),AA223,IF(F223="MXN",1/HLOOKUP(YEAR(G223)+(MONTH(G223)/100),TC!$5:$37,DAY(G223)+2,FALSE),VLOOKUP(F223,Equivalencia!$5:$23,((MAX(Equivalencia!$3:$3)-YEAR(G223))*14)+MONTH(G223)+2,FALSE))))</f>
        <v>0</v>
      </c>
      <c r="M223" s="306">
        <f t="shared" si="56"/>
        <v>0</v>
      </c>
      <c r="N223" s="305">
        <f>IF(G223=0,0,(IF(OR(E223=$AT$5,E223=$AT$6),AC223,HLOOKUP(YEAR(G223)+(MONTH(G223)/100),TC!$5:$37,DAY(G223)+2,FALSE))))</f>
        <v>0</v>
      </c>
      <c r="O223" s="307">
        <f t="shared" si="65"/>
        <v>0</v>
      </c>
      <c r="P223" s="552">
        <f>IF(G223=0,0,VLOOKUP(YEAR(G223),INPC!$B$4:$P$30,MONTH(G223)+2))</f>
        <v>0</v>
      </c>
      <c r="Q223" s="552">
        <f>IF(X223=0,0,IF(OR(E223=$AT$10,E223=$AT$9),VLOOKUP(YEAR(X223),INPC!$B$4:$P$30,MONTH(X223)+1),VLOOKUP(YEAR(X223),INPC!$B$4:$P$30,MONTH(X223)+2,0)))</f>
        <v>0</v>
      </c>
      <c r="R223" s="309">
        <f t="shared" si="57"/>
        <v>0</v>
      </c>
      <c r="S223" s="310">
        <f t="shared" si="66"/>
        <v>0</v>
      </c>
      <c r="T223" s="547">
        <f t="shared" si="67"/>
        <v>0</v>
      </c>
      <c r="U223" s="311"/>
      <c r="V223" s="312"/>
      <c r="W223" s="299"/>
      <c r="X223" s="300"/>
      <c r="Y223" s="299"/>
      <c r="Z223" s="303"/>
      <c r="AA223" s="305">
        <f>IF(Z223=0,0,IF(Y223="MXN",1/HLOOKUP(YEAR(X223)+(MONTH(X223)/100),TC!$5:$37,DAY(X223)+2,FALSE),VLOOKUP(Y223,Equivalencia!$1:$23,((MAX(Equivalencia!$3:$3)-YEAR(X223))*14)+MONTH(X223)+2,FALSE)))</f>
        <v>0</v>
      </c>
      <c r="AB223" s="306">
        <f t="shared" si="68"/>
        <v>0</v>
      </c>
      <c r="AC223" s="305">
        <f>+IF(X223=0,0,HLOOKUP(YEAR(X223)+(MONTH(X223)/100),TC!$5:$37,DAY(X223)+2,FALSE))</f>
        <v>0</v>
      </c>
      <c r="AD223" s="307">
        <f t="shared" si="69"/>
        <v>0</v>
      </c>
      <c r="AE223" s="314">
        <f t="shared" si="58"/>
        <v>0</v>
      </c>
      <c r="AF223" s="315">
        <f t="shared" si="59"/>
        <v>0</v>
      </c>
      <c r="AG223" s="316">
        <f t="shared" si="60"/>
        <v>0</v>
      </c>
      <c r="AH223" s="314">
        <v>1</v>
      </c>
      <c r="AI223" s="314">
        <f t="shared" si="61"/>
        <v>0</v>
      </c>
      <c r="AJ223" s="314">
        <f t="shared" si="70"/>
        <v>0</v>
      </c>
      <c r="AK223" s="317"/>
      <c r="AL223" s="315">
        <f t="shared" si="62"/>
        <v>0</v>
      </c>
      <c r="AN223" s="546">
        <f t="shared" si="63"/>
        <v>0</v>
      </c>
      <c r="AO223" s="314"/>
      <c r="AP223" s="318"/>
    </row>
    <row r="224" spans="2:42">
      <c r="B224" s="296"/>
      <c r="C224" s="299"/>
      <c r="D224" s="298"/>
      <c r="E224" s="299"/>
      <c r="F224" s="299"/>
      <c r="G224" s="300"/>
      <c r="H224" s="303"/>
      <c r="I224" s="301">
        <f t="shared" si="54"/>
        <v>0</v>
      </c>
      <c r="J224" s="302">
        <f t="shared" si="64"/>
        <v>0</v>
      </c>
      <c r="K224" s="304">
        <f t="shared" si="55"/>
        <v>0</v>
      </c>
      <c r="L224" s="305">
        <f>IF(H224=0,0,IF(OR(E224=$AT$5,E224=$AT$6),AA224,IF(F224="MXN",1/HLOOKUP(YEAR(G224)+(MONTH(G224)/100),TC!$5:$37,DAY(G224)+2,FALSE),VLOOKUP(F224,Equivalencia!$5:$23,((MAX(Equivalencia!$3:$3)-YEAR(G224))*14)+MONTH(G224)+2,FALSE))))</f>
        <v>0</v>
      </c>
      <c r="M224" s="306">
        <f t="shared" si="56"/>
        <v>0</v>
      </c>
      <c r="N224" s="305">
        <f>IF(G224=0,0,(IF(OR(E224=$AT$5,E224=$AT$6),AC224,HLOOKUP(YEAR(G224)+(MONTH(G224)/100),TC!$5:$37,DAY(G224)+2,FALSE))))</f>
        <v>0</v>
      </c>
      <c r="O224" s="307">
        <f t="shared" si="65"/>
        <v>0</v>
      </c>
      <c r="P224" s="552">
        <f>IF(G224=0,0,VLOOKUP(YEAR(G224),INPC!$B$4:$P$30,MONTH(G224)+2))</f>
        <v>0</v>
      </c>
      <c r="Q224" s="552">
        <f>IF(X224=0,0,IF(OR(E224=$AT$10,E224=$AT$9),VLOOKUP(YEAR(X224),INPC!$B$4:$P$30,MONTH(X224)+1),VLOOKUP(YEAR(X224),INPC!$B$4:$P$30,MONTH(X224)+2,0)))</f>
        <v>0</v>
      </c>
      <c r="R224" s="309">
        <f t="shared" si="57"/>
        <v>0</v>
      </c>
      <c r="S224" s="310">
        <f t="shared" si="66"/>
        <v>0</v>
      </c>
      <c r="T224" s="547">
        <f t="shared" si="67"/>
        <v>0</v>
      </c>
      <c r="U224" s="311"/>
      <c r="V224" s="312"/>
      <c r="W224" s="299"/>
      <c r="X224" s="300"/>
      <c r="Y224" s="299"/>
      <c r="Z224" s="303"/>
      <c r="AA224" s="305">
        <f>IF(Z224=0,0,IF(Y224="MXN",1/HLOOKUP(YEAR(X224)+(MONTH(X224)/100),TC!$5:$37,DAY(X224)+2,FALSE),VLOOKUP(Y224,Equivalencia!$1:$23,((MAX(Equivalencia!$3:$3)-YEAR(X224))*14)+MONTH(X224)+2,FALSE)))</f>
        <v>0</v>
      </c>
      <c r="AB224" s="306">
        <f t="shared" si="68"/>
        <v>0</v>
      </c>
      <c r="AC224" s="305">
        <f>+IF(X224=0,0,HLOOKUP(YEAR(X224)+(MONTH(X224)/100),TC!$5:$37,DAY(X224)+2,FALSE))</f>
        <v>0</v>
      </c>
      <c r="AD224" s="307">
        <f t="shared" si="69"/>
        <v>0</v>
      </c>
      <c r="AE224" s="314">
        <f t="shared" si="58"/>
        <v>0</v>
      </c>
      <c r="AF224" s="315">
        <f t="shared" si="59"/>
        <v>0</v>
      </c>
      <c r="AG224" s="316">
        <f t="shared" si="60"/>
        <v>0</v>
      </c>
      <c r="AH224" s="314">
        <v>1</v>
      </c>
      <c r="AI224" s="314">
        <f t="shared" si="61"/>
        <v>0</v>
      </c>
      <c r="AJ224" s="314">
        <f t="shared" si="70"/>
        <v>0</v>
      </c>
      <c r="AK224" s="317"/>
      <c r="AL224" s="315">
        <f t="shared" si="62"/>
        <v>0</v>
      </c>
      <c r="AN224" s="546">
        <f t="shared" si="63"/>
        <v>0</v>
      </c>
      <c r="AO224" s="314"/>
      <c r="AP224" s="318"/>
    </row>
    <row r="225" spans="2:42">
      <c r="B225" s="296"/>
      <c r="C225" s="299"/>
      <c r="D225" s="298"/>
      <c r="E225" s="299"/>
      <c r="F225" s="299"/>
      <c r="G225" s="300"/>
      <c r="H225" s="303"/>
      <c r="I225" s="301">
        <f t="shared" si="54"/>
        <v>0</v>
      </c>
      <c r="J225" s="302">
        <f t="shared" si="64"/>
        <v>0</v>
      </c>
      <c r="K225" s="304">
        <f t="shared" si="55"/>
        <v>0</v>
      </c>
      <c r="L225" s="305">
        <f>IF(H225=0,0,IF(OR(E225=$AT$5,E225=$AT$6),AA225,IF(F225="MXN",1/HLOOKUP(YEAR(G225)+(MONTH(G225)/100),TC!$5:$37,DAY(G225)+2,FALSE),VLOOKUP(F225,Equivalencia!$5:$23,((MAX(Equivalencia!$3:$3)-YEAR(G225))*14)+MONTH(G225)+2,FALSE))))</f>
        <v>0</v>
      </c>
      <c r="M225" s="306">
        <f t="shared" si="56"/>
        <v>0</v>
      </c>
      <c r="N225" s="305">
        <f>IF(G225=0,0,(IF(OR(E225=$AT$5,E225=$AT$6),AC225,HLOOKUP(YEAR(G225)+(MONTH(G225)/100),TC!$5:$37,DAY(G225)+2,FALSE))))</f>
        <v>0</v>
      </c>
      <c r="O225" s="307">
        <f t="shared" si="65"/>
        <v>0</v>
      </c>
      <c r="P225" s="552">
        <f>IF(G225=0,0,VLOOKUP(YEAR(G225),INPC!$B$4:$P$30,MONTH(G225)+2))</f>
        <v>0</v>
      </c>
      <c r="Q225" s="552">
        <f>IF(X225=0,0,IF(OR(E225=$AT$10,E225=$AT$9),VLOOKUP(YEAR(X225),INPC!$B$4:$P$30,MONTH(X225)+1),VLOOKUP(YEAR(X225),INPC!$B$4:$P$30,MONTH(X225)+2,0)))</f>
        <v>0</v>
      </c>
      <c r="R225" s="309">
        <f t="shared" si="57"/>
        <v>0</v>
      </c>
      <c r="S225" s="310">
        <f t="shared" si="66"/>
        <v>0</v>
      </c>
      <c r="T225" s="547">
        <f t="shared" si="67"/>
        <v>0</v>
      </c>
      <c r="U225" s="311"/>
      <c r="V225" s="312"/>
      <c r="W225" s="299"/>
      <c r="X225" s="300"/>
      <c r="Y225" s="299"/>
      <c r="Z225" s="303"/>
      <c r="AA225" s="305">
        <f>IF(Z225=0,0,IF(Y225="MXN",1/HLOOKUP(YEAR(X225)+(MONTH(X225)/100),TC!$5:$37,DAY(X225)+2,FALSE),VLOOKUP(Y225,Equivalencia!$1:$23,((MAX(Equivalencia!$3:$3)-YEAR(X225))*14)+MONTH(X225)+2,FALSE)))</f>
        <v>0</v>
      </c>
      <c r="AB225" s="306">
        <f t="shared" si="68"/>
        <v>0</v>
      </c>
      <c r="AC225" s="305">
        <f>+IF(X225=0,0,HLOOKUP(YEAR(X225)+(MONTH(X225)/100),TC!$5:$37,DAY(X225)+2,FALSE))</f>
        <v>0</v>
      </c>
      <c r="AD225" s="307">
        <f t="shared" si="69"/>
        <v>0</v>
      </c>
      <c r="AE225" s="314">
        <f t="shared" si="58"/>
        <v>0</v>
      </c>
      <c r="AF225" s="315">
        <f t="shared" si="59"/>
        <v>0</v>
      </c>
      <c r="AG225" s="316">
        <f t="shared" si="60"/>
        <v>0</v>
      </c>
      <c r="AH225" s="314">
        <v>1</v>
      </c>
      <c r="AI225" s="314">
        <f t="shared" si="61"/>
        <v>0</v>
      </c>
      <c r="AJ225" s="314">
        <f t="shared" si="70"/>
        <v>0</v>
      </c>
      <c r="AK225" s="317"/>
      <c r="AL225" s="315">
        <f t="shared" si="62"/>
        <v>0</v>
      </c>
      <c r="AN225" s="546">
        <f t="shared" si="63"/>
        <v>0</v>
      </c>
      <c r="AO225" s="314"/>
      <c r="AP225" s="318"/>
    </row>
    <row r="226" spans="2:42">
      <c r="B226" s="296"/>
      <c r="C226" s="299"/>
      <c r="D226" s="298"/>
      <c r="E226" s="299"/>
      <c r="F226" s="299"/>
      <c r="G226" s="300"/>
      <c r="H226" s="303"/>
      <c r="I226" s="301">
        <f t="shared" si="54"/>
        <v>0</v>
      </c>
      <c r="J226" s="302">
        <f t="shared" si="64"/>
        <v>0</v>
      </c>
      <c r="K226" s="304">
        <f t="shared" si="55"/>
        <v>0</v>
      </c>
      <c r="L226" s="305">
        <f>IF(H226=0,0,IF(OR(E226=$AT$5,E226=$AT$6),AA226,IF(F226="MXN",1/HLOOKUP(YEAR(G226)+(MONTH(G226)/100),TC!$5:$37,DAY(G226)+2,FALSE),VLOOKUP(F226,Equivalencia!$5:$23,((MAX(Equivalencia!$3:$3)-YEAR(G226))*14)+MONTH(G226)+2,FALSE))))</f>
        <v>0</v>
      </c>
      <c r="M226" s="306">
        <f t="shared" si="56"/>
        <v>0</v>
      </c>
      <c r="N226" s="305">
        <f>IF(G226=0,0,(IF(OR(E226=$AT$5,E226=$AT$6),AC226,HLOOKUP(YEAR(G226)+(MONTH(G226)/100),TC!$5:$37,DAY(G226)+2,FALSE))))</f>
        <v>0</v>
      </c>
      <c r="O226" s="307">
        <f t="shared" si="65"/>
        <v>0</v>
      </c>
      <c r="P226" s="552">
        <f>IF(G226=0,0,VLOOKUP(YEAR(G226),INPC!$B$4:$P$30,MONTH(G226)+2))</f>
        <v>0</v>
      </c>
      <c r="Q226" s="552">
        <f>IF(X226=0,0,IF(OR(E226=$AT$10,E226=$AT$9),VLOOKUP(YEAR(X226),INPC!$B$4:$P$30,MONTH(X226)+1),VLOOKUP(YEAR(X226),INPC!$B$4:$P$30,MONTH(X226)+2,0)))</f>
        <v>0</v>
      </c>
      <c r="R226" s="309">
        <f t="shared" si="57"/>
        <v>0</v>
      </c>
      <c r="S226" s="310">
        <f t="shared" si="66"/>
        <v>0</v>
      </c>
      <c r="T226" s="547">
        <f t="shared" si="67"/>
        <v>0</v>
      </c>
      <c r="U226" s="311"/>
      <c r="V226" s="312"/>
      <c r="W226" s="299"/>
      <c r="X226" s="300"/>
      <c r="Y226" s="299"/>
      <c r="Z226" s="303"/>
      <c r="AA226" s="305">
        <f>IF(Z226=0,0,IF(Y226="MXN",1/HLOOKUP(YEAR(X226)+(MONTH(X226)/100),TC!$5:$37,DAY(X226)+2,FALSE),VLOOKUP(Y226,Equivalencia!$1:$23,((MAX(Equivalencia!$3:$3)-YEAR(X226))*14)+MONTH(X226)+2,FALSE)))</f>
        <v>0</v>
      </c>
      <c r="AB226" s="306">
        <f t="shared" si="68"/>
        <v>0</v>
      </c>
      <c r="AC226" s="305">
        <f>+IF(X226=0,0,HLOOKUP(YEAR(X226)+(MONTH(X226)/100),TC!$5:$37,DAY(X226)+2,FALSE))</f>
        <v>0</v>
      </c>
      <c r="AD226" s="307">
        <f t="shared" si="69"/>
        <v>0</v>
      </c>
      <c r="AE226" s="314">
        <f t="shared" si="58"/>
        <v>0</v>
      </c>
      <c r="AF226" s="315">
        <f t="shared" si="59"/>
        <v>0</v>
      </c>
      <c r="AG226" s="316">
        <f t="shared" si="60"/>
        <v>0</v>
      </c>
      <c r="AH226" s="314">
        <v>1</v>
      </c>
      <c r="AI226" s="314">
        <f t="shared" si="61"/>
        <v>0</v>
      </c>
      <c r="AJ226" s="314">
        <f t="shared" si="70"/>
        <v>0</v>
      </c>
      <c r="AK226" s="317"/>
      <c r="AL226" s="315">
        <f t="shared" si="62"/>
        <v>0</v>
      </c>
      <c r="AN226" s="546">
        <f t="shared" si="63"/>
        <v>0</v>
      </c>
      <c r="AO226" s="314"/>
      <c r="AP226" s="318"/>
    </row>
    <row r="227" spans="2:42">
      <c r="B227" s="296"/>
      <c r="C227" s="299"/>
      <c r="D227" s="298"/>
      <c r="E227" s="299"/>
      <c r="F227" s="299"/>
      <c r="G227" s="300"/>
      <c r="H227" s="303"/>
      <c r="I227" s="301">
        <f t="shared" si="54"/>
        <v>0</v>
      </c>
      <c r="J227" s="302">
        <f t="shared" si="64"/>
        <v>0</v>
      </c>
      <c r="K227" s="304">
        <f t="shared" si="55"/>
        <v>0</v>
      </c>
      <c r="L227" s="305">
        <f>IF(H227=0,0,IF(OR(E227=$AT$5,E227=$AT$6),AA227,IF(F227="MXN",1/HLOOKUP(YEAR(G227)+(MONTH(G227)/100),TC!$5:$37,DAY(G227)+2,FALSE),VLOOKUP(F227,Equivalencia!$5:$23,((MAX(Equivalencia!$3:$3)-YEAR(G227))*14)+MONTH(G227)+2,FALSE))))</f>
        <v>0</v>
      </c>
      <c r="M227" s="306">
        <f t="shared" si="56"/>
        <v>0</v>
      </c>
      <c r="N227" s="305">
        <f>IF(G227=0,0,(IF(OR(E227=$AT$5,E227=$AT$6),AC227,HLOOKUP(YEAR(G227)+(MONTH(G227)/100),TC!$5:$37,DAY(G227)+2,FALSE))))</f>
        <v>0</v>
      </c>
      <c r="O227" s="307">
        <f t="shared" si="65"/>
        <v>0</v>
      </c>
      <c r="P227" s="552">
        <f>IF(G227=0,0,VLOOKUP(YEAR(G227),INPC!$B$4:$P$30,MONTH(G227)+2))</f>
        <v>0</v>
      </c>
      <c r="Q227" s="552">
        <f>IF(X227=0,0,IF(OR(E227=$AT$10,E227=$AT$9),VLOOKUP(YEAR(X227),INPC!$B$4:$P$30,MONTH(X227)+1),VLOOKUP(YEAR(X227),INPC!$B$4:$P$30,MONTH(X227)+2,0)))</f>
        <v>0</v>
      </c>
      <c r="R227" s="309">
        <f t="shared" si="57"/>
        <v>0</v>
      </c>
      <c r="S227" s="310">
        <f t="shared" si="66"/>
        <v>0</v>
      </c>
      <c r="T227" s="547">
        <f t="shared" si="67"/>
        <v>0</v>
      </c>
      <c r="U227" s="311"/>
      <c r="V227" s="312"/>
      <c r="W227" s="299"/>
      <c r="X227" s="300"/>
      <c r="Y227" s="299"/>
      <c r="Z227" s="303"/>
      <c r="AA227" s="305">
        <f>IF(Z227=0,0,IF(Y227="MXN",1/HLOOKUP(YEAR(X227)+(MONTH(X227)/100),TC!$5:$37,DAY(X227)+2,FALSE),VLOOKUP(Y227,Equivalencia!$1:$23,((MAX(Equivalencia!$3:$3)-YEAR(X227))*14)+MONTH(X227)+2,FALSE)))</f>
        <v>0</v>
      </c>
      <c r="AB227" s="306">
        <f t="shared" si="68"/>
        <v>0</v>
      </c>
      <c r="AC227" s="305">
        <f>+IF(X227=0,0,HLOOKUP(YEAR(X227)+(MONTH(X227)/100),TC!$5:$37,DAY(X227)+2,FALSE))</f>
        <v>0</v>
      </c>
      <c r="AD227" s="307">
        <f t="shared" si="69"/>
        <v>0</v>
      </c>
      <c r="AE227" s="314">
        <f t="shared" si="58"/>
        <v>0</v>
      </c>
      <c r="AF227" s="315">
        <f t="shared" si="59"/>
        <v>0</v>
      </c>
      <c r="AG227" s="316">
        <f t="shared" si="60"/>
        <v>0</v>
      </c>
      <c r="AH227" s="314">
        <v>1</v>
      </c>
      <c r="AI227" s="314">
        <f t="shared" si="61"/>
        <v>0</v>
      </c>
      <c r="AJ227" s="314">
        <f t="shared" si="70"/>
        <v>0</v>
      </c>
      <c r="AK227" s="317"/>
      <c r="AL227" s="315">
        <f t="shared" si="62"/>
        <v>0</v>
      </c>
      <c r="AN227" s="546">
        <f t="shared" si="63"/>
        <v>0</v>
      </c>
      <c r="AO227" s="314"/>
      <c r="AP227" s="318"/>
    </row>
    <row r="228" spans="2:42">
      <c r="B228" s="296"/>
      <c r="C228" s="299"/>
      <c r="D228" s="298"/>
      <c r="E228" s="299"/>
      <c r="F228" s="299"/>
      <c r="G228" s="300"/>
      <c r="H228" s="303"/>
      <c r="I228" s="301">
        <f t="shared" si="54"/>
        <v>0</v>
      </c>
      <c r="J228" s="302">
        <f t="shared" si="64"/>
        <v>0</v>
      </c>
      <c r="K228" s="304">
        <f t="shared" si="55"/>
        <v>0</v>
      </c>
      <c r="L228" s="305">
        <f>IF(H228=0,0,IF(OR(E228=$AT$5,E228=$AT$6),AA228,IF(F228="MXN",1/HLOOKUP(YEAR(G228)+(MONTH(G228)/100),TC!$5:$37,DAY(G228)+2,FALSE),VLOOKUP(F228,Equivalencia!$5:$23,((MAX(Equivalencia!$3:$3)-YEAR(G228))*14)+MONTH(G228)+2,FALSE))))</f>
        <v>0</v>
      </c>
      <c r="M228" s="306">
        <f t="shared" si="56"/>
        <v>0</v>
      </c>
      <c r="N228" s="305">
        <f>IF(G228=0,0,(IF(OR(E228=$AT$5,E228=$AT$6),AC228,HLOOKUP(YEAR(G228)+(MONTH(G228)/100),TC!$5:$37,DAY(G228)+2,FALSE))))</f>
        <v>0</v>
      </c>
      <c r="O228" s="307">
        <f t="shared" si="65"/>
        <v>0</v>
      </c>
      <c r="P228" s="552">
        <f>IF(G228=0,0,VLOOKUP(YEAR(G228),INPC!$B$4:$P$30,MONTH(G228)+2))</f>
        <v>0</v>
      </c>
      <c r="Q228" s="552">
        <f>IF(X228=0,0,IF(OR(E228=$AT$10,E228=$AT$9),VLOOKUP(YEAR(X228),INPC!$B$4:$P$30,MONTH(X228)+1),VLOOKUP(YEAR(X228),INPC!$B$4:$P$30,MONTH(X228)+2,0)))</f>
        <v>0</v>
      </c>
      <c r="R228" s="309">
        <f t="shared" si="57"/>
        <v>0</v>
      </c>
      <c r="S228" s="310">
        <f t="shared" si="66"/>
        <v>0</v>
      </c>
      <c r="T228" s="547">
        <f t="shared" si="67"/>
        <v>0</v>
      </c>
      <c r="U228" s="311"/>
      <c r="V228" s="312"/>
      <c r="W228" s="299"/>
      <c r="X228" s="300"/>
      <c r="Y228" s="299"/>
      <c r="Z228" s="303"/>
      <c r="AA228" s="305">
        <f>IF(Z228=0,0,IF(Y228="MXN",1/HLOOKUP(YEAR(X228)+(MONTH(X228)/100),TC!$5:$37,DAY(X228)+2,FALSE),VLOOKUP(Y228,Equivalencia!$1:$23,((MAX(Equivalencia!$3:$3)-YEAR(X228))*14)+MONTH(X228)+2,FALSE)))</f>
        <v>0</v>
      </c>
      <c r="AB228" s="306">
        <f t="shared" si="68"/>
        <v>0</v>
      </c>
      <c r="AC228" s="305">
        <f>+IF(X228=0,0,HLOOKUP(YEAR(X228)+(MONTH(X228)/100),TC!$5:$37,DAY(X228)+2,FALSE))</f>
        <v>0</v>
      </c>
      <c r="AD228" s="307">
        <f t="shared" si="69"/>
        <v>0</v>
      </c>
      <c r="AE228" s="314">
        <f t="shared" si="58"/>
        <v>0</v>
      </c>
      <c r="AF228" s="315">
        <f t="shared" si="59"/>
        <v>0</v>
      </c>
      <c r="AG228" s="316">
        <f t="shared" si="60"/>
        <v>0</v>
      </c>
      <c r="AH228" s="314">
        <v>1</v>
      </c>
      <c r="AI228" s="314">
        <f t="shared" si="61"/>
        <v>0</v>
      </c>
      <c r="AJ228" s="314">
        <f t="shared" si="70"/>
        <v>0</v>
      </c>
      <c r="AK228" s="317"/>
      <c r="AL228" s="315">
        <f t="shared" si="62"/>
        <v>0</v>
      </c>
      <c r="AN228" s="546">
        <f t="shared" si="63"/>
        <v>0</v>
      </c>
      <c r="AO228" s="314"/>
      <c r="AP228" s="318"/>
    </row>
    <row r="229" spans="2:42">
      <c r="B229" s="296"/>
      <c r="C229" s="299"/>
      <c r="D229" s="298"/>
      <c r="E229" s="299"/>
      <c r="F229" s="299"/>
      <c r="G229" s="300"/>
      <c r="H229" s="303"/>
      <c r="I229" s="301">
        <f t="shared" si="54"/>
        <v>0</v>
      </c>
      <c r="J229" s="302">
        <f t="shared" si="64"/>
        <v>0</v>
      </c>
      <c r="K229" s="304">
        <f t="shared" si="55"/>
        <v>0</v>
      </c>
      <c r="L229" s="305">
        <f>IF(H229=0,0,IF(OR(E229=$AT$5,E229=$AT$6),AA229,IF(F229="MXN",1/HLOOKUP(YEAR(G229)+(MONTH(G229)/100),TC!$5:$37,DAY(G229)+2,FALSE),VLOOKUP(F229,Equivalencia!$5:$23,((MAX(Equivalencia!$3:$3)-YEAR(G229))*14)+MONTH(G229)+2,FALSE))))</f>
        <v>0</v>
      </c>
      <c r="M229" s="306">
        <f t="shared" si="56"/>
        <v>0</v>
      </c>
      <c r="N229" s="305">
        <f>IF(G229=0,0,(IF(OR(E229=$AT$5,E229=$AT$6),AC229,HLOOKUP(YEAR(G229)+(MONTH(G229)/100),TC!$5:$37,DAY(G229)+2,FALSE))))</f>
        <v>0</v>
      </c>
      <c r="O229" s="307">
        <f t="shared" si="65"/>
        <v>0</v>
      </c>
      <c r="P229" s="552">
        <f>IF(G229=0,0,VLOOKUP(YEAR(G229),INPC!$B$4:$P$30,MONTH(G229)+2))</f>
        <v>0</v>
      </c>
      <c r="Q229" s="552">
        <f>IF(X229=0,0,IF(OR(E229=$AT$10,E229=$AT$9),VLOOKUP(YEAR(X229),INPC!$B$4:$P$30,MONTH(X229)+1),VLOOKUP(YEAR(X229),INPC!$B$4:$P$30,MONTH(X229)+2,0)))</f>
        <v>0</v>
      </c>
      <c r="R229" s="309">
        <f t="shared" si="57"/>
        <v>0</v>
      </c>
      <c r="S229" s="310">
        <f t="shared" si="66"/>
        <v>0</v>
      </c>
      <c r="T229" s="547">
        <f t="shared" si="67"/>
        <v>0</v>
      </c>
      <c r="U229" s="311"/>
      <c r="V229" s="312"/>
      <c r="W229" s="299"/>
      <c r="X229" s="300"/>
      <c r="Y229" s="299"/>
      <c r="Z229" s="303"/>
      <c r="AA229" s="305">
        <f>IF(Z229=0,0,IF(Y229="MXN",1/HLOOKUP(YEAR(X229)+(MONTH(X229)/100),TC!$5:$37,DAY(X229)+2,FALSE),VLOOKUP(Y229,Equivalencia!$1:$23,((MAX(Equivalencia!$3:$3)-YEAR(X229))*14)+MONTH(X229)+2,FALSE)))</f>
        <v>0</v>
      </c>
      <c r="AB229" s="306">
        <f t="shared" si="68"/>
        <v>0</v>
      </c>
      <c r="AC229" s="305">
        <f>+IF(X229=0,0,HLOOKUP(YEAR(X229)+(MONTH(X229)/100),TC!$5:$37,DAY(X229)+2,FALSE))</f>
        <v>0</v>
      </c>
      <c r="AD229" s="307">
        <f t="shared" si="69"/>
        <v>0</v>
      </c>
      <c r="AE229" s="314">
        <f t="shared" si="58"/>
        <v>0</v>
      </c>
      <c r="AF229" s="315">
        <f t="shared" si="59"/>
        <v>0</v>
      </c>
      <c r="AG229" s="316">
        <f t="shared" si="60"/>
        <v>0</v>
      </c>
      <c r="AH229" s="314">
        <v>1</v>
      </c>
      <c r="AI229" s="314">
        <f t="shared" si="61"/>
        <v>0</v>
      </c>
      <c r="AJ229" s="314">
        <f t="shared" si="70"/>
        <v>0</v>
      </c>
      <c r="AK229" s="317"/>
      <c r="AL229" s="315">
        <f t="shared" si="62"/>
        <v>0</v>
      </c>
      <c r="AN229" s="546">
        <f t="shared" si="63"/>
        <v>0</v>
      </c>
      <c r="AO229" s="314"/>
      <c r="AP229" s="318"/>
    </row>
    <row r="230" spans="2:42">
      <c r="B230" s="296"/>
      <c r="C230" s="299"/>
      <c r="D230" s="298"/>
      <c r="E230" s="299"/>
      <c r="F230" s="299"/>
      <c r="G230" s="300"/>
      <c r="H230" s="303"/>
      <c r="I230" s="301">
        <f t="shared" si="54"/>
        <v>0</v>
      </c>
      <c r="J230" s="302">
        <f t="shared" si="64"/>
        <v>0</v>
      </c>
      <c r="K230" s="304">
        <f t="shared" si="55"/>
        <v>0</v>
      </c>
      <c r="L230" s="305">
        <f>IF(H230=0,0,IF(OR(E230=$AT$5,E230=$AT$6),AA230,IF(F230="MXN",1/HLOOKUP(YEAR(G230)+(MONTH(G230)/100),TC!$5:$37,DAY(G230)+2,FALSE),VLOOKUP(F230,Equivalencia!$5:$23,((MAX(Equivalencia!$3:$3)-YEAR(G230))*14)+MONTH(G230)+2,FALSE))))</f>
        <v>0</v>
      </c>
      <c r="M230" s="306">
        <f t="shared" si="56"/>
        <v>0</v>
      </c>
      <c r="N230" s="305">
        <f>IF(G230=0,0,(IF(OR(E230=$AT$5,E230=$AT$6),AC230,HLOOKUP(YEAR(G230)+(MONTH(G230)/100),TC!$5:$37,DAY(G230)+2,FALSE))))</f>
        <v>0</v>
      </c>
      <c r="O230" s="307">
        <f t="shared" si="65"/>
        <v>0</v>
      </c>
      <c r="P230" s="552">
        <f>IF(G230=0,0,VLOOKUP(YEAR(G230),INPC!$B$4:$P$30,MONTH(G230)+2))</f>
        <v>0</v>
      </c>
      <c r="Q230" s="552">
        <f>IF(X230=0,0,IF(OR(E230=$AT$10,E230=$AT$9),VLOOKUP(YEAR(X230),INPC!$B$4:$P$30,MONTH(X230)+1),VLOOKUP(YEAR(X230),INPC!$B$4:$P$30,MONTH(X230)+2,0)))</f>
        <v>0</v>
      </c>
      <c r="R230" s="309">
        <f t="shared" si="57"/>
        <v>0</v>
      </c>
      <c r="S230" s="310">
        <f t="shared" si="66"/>
        <v>0</v>
      </c>
      <c r="T230" s="547">
        <f t="shared" si="67"/>
        <v>0</v>
      </c>
      <c r="U230" s="311"/>
      <c r="V230" s="312"/>
      <c r="W230" s="299"/>
      <c r="X230" s="300"/>
      <c r="Y230" s="299"/>
      <c r="Z230" s="303"/>
      <c r="AA230" s="305">
        <f>IF(Z230=0,0,IF(Y230="MXN",1/HLOOKUP(YEAR(X230)+(MONTH(X230)/100),TC!$5:$37,DAY(X230)+2,FALSE),VLOOKUP(Y230,Equivalencia!$1:$23,((MAX(Equivalencia!$3:$3)-YEAR(X230))*14)+MONTH(X230)+2,FALSE)))</f>
        <v>0</v>
      </c>
      <c r="AB230" s="306">
        <f t="shared" si="68"/>
        <v>0</v>
      </c>
      <c r="AC230" s="305">
        <f>+IF(X230=0,0,HLOOKUP(YEAR(X230)+(MONTH(X230)/100),TC!$5:$37,DAY(X230)+2,FALSE))</f>
        <v>0</v>
      </c>
      <c r="AD230" s="307">
        <f t="shared" si="69"/>
        <v>0</v>
      </c>
      <c r="AE230" s="314">
        <f t="shared" si="58"/>
        <v>0</v>
      </c>
      <c r="AF230" s="315">
        <f t="shared" si="59"/>
        <v>0</v>
      </c>
      <c r="AG230" s="316">
        <f t="shared" si="60"/>
        <v>0</v>
      </c>
      <c r="AH230" s="314">
        <v>1</v>
      </c>
      <c r="AI230" s="314">
        <f t="shared" si="61"/>
        <v>0</v>
      </c>
      <c r="AJ230" s="314">
        <f t="shared" si="70"/>
        <v>0</v>
      </c>
      <c r="AK230" s="317"/>
      <c r="AL230" s="315">
        <f t="shared" si="62"/>
        <v>0</v>
      </c>
      <c r="AN230" s="546">
        <f t="shared" si="63"/>
        <v>0</v>
      </c>
      <c r="AO230" s="314"/>
      <c r="AP230" s="318"/>
    </row>
    <row r="231" spans="2:42">
      <c r="B231" s="296"/>
      <c r="C231" s="299"/>
      <c r="D231" s="298"/>
      <c r="E231" s="299"/>
      <c r="F231" s="299"/>
      <c r="G231" s="300"/>
      <c r="H231" s="303"/>
      <c r="I231" s="301">
        <f t="shared" si="54"/>
        <v>0</v>
      </c>
      <c r="J231" s="302">
        <f t="shared" si="64"/>
        <v>0</v>
      </c>
      <c r="K231" s="304">
        <f t="shared" si="55"/>
        <v>0</v>
      </c>
      <c r="L231" s="305">
        <f>IF(H231=0,0,IF(OR(E231=$AT$5,E231=$AT$6),AA231,IF(F231="MXN",1/HLOOKUP(YEAR(G231)+(MONTH(G231)/100),TC!$5:$37,DAY(G231)+2,FALSE),VLOOKUP(F231,Equivalencia!$5:$23,((MAX(Equivalencia!$3:$3)-YEAR(G231))*14)+MONTH(G231)+2,FALSE))))</f>
        <v>0</v>
      </c>
      <c r="M231" s="306">
        <f t="shared" si="56"/>
        <v>0</v>
      </c>
      <c r="N231" s="305">
        <f>IF(G231=0,0,(IF(OR(E231=$AT$5,E231=$AT$6),AC231,HLOOKUP(YEAR(G231)+(MONTH(G231)/100),TC!$5:$37,DAY(G231)+2,FALSE))))</f>
        <v>0</v>
      </c>
      <c r="O231" s="307">
        <f t="shared" si="65"/>
        <v>0</v>
      </c>
      <c r="P231" s="552">
        <f>IF(G231=0,0,VLOOKUP(YEAR(G231),INPC!$B$4:$P$30,MONTH(G231)+2))</f>
        <v>0</v>
      </c>
      <c r="Q231" s="552">
        <f>IF(X231=0,0,IF(OR(E231=$AT$10,E231=$AT$9),VLOOKUP(YEAR(X231),INPC!$B$4:$P$30,MONTH(X231)+1),VLOOKUP(YEAR(X231),INPC!$B$4:$P$30,MONTH(X231)+2,0)))</f>
        <v>0</v>
      </c>
      <c r="R231" s="309">
        <f t="shared" si="57"/>
        <v>0</v>
      </c>
      <c r="S231" s="310">
        <f t="shared" si="66"/>
        <v>0</v>
      </c>
      <c r="T231" s="547">
        <f t="shared" si="67"/>
        <v>0</v>
      </c>
      <c r="U231" s="311"/>
      <c r="V231" s="312"/>
      <c r="W231" s="299"/>
      <c r="X231" s="300"/>
      <c r="Y231" s="299"/>
      <c r="Z231" s="303"/>
      <c r="AA231" s="305">
        <f>IF(Z231=0,0,IF(Y231="MXN",1/HLOOKUP(YEAR(X231)+(MONTH(X231)/100),TC!$5:$37,DAY(X231)+2,FALSE),VLOOKUP(Y231,Equivalencia!$1:$23,((MAX(Equivalencia!$3:$3)-YEAR(X231))*14)+MONTH(X231)+2,FALSE)))</f>
        <v>0</v>
      </c>
      <c r="AB231" s="306">
        <f t="shared" si="68"/>
        <v>0</v>
      </c>
      <c r="AC231" s="305">
        <f>+IF(X231=0,0,HLOOKUP(YEAR(X231)+(MONTH(X231)/100),TC!$5:$37,DAY(X231)+2,FALSE))</f>
        <v>0</v>
      </c>
      <c r="AD231" s="307">
        <f t="shared" si="69"/>
        <v>0</v>
      </c>
      <c r="AE231" s="314">
        <f t="shared" si="58"/>
        <v>0</v>
      </c>
      <c r="AF231" s="315">
        <f t="shared" si="59"/>
        <v>0</v>
      </c>
      <c r="AG231" s="316">
        <f t="shared" si="60"/>
        <v>0</v>
      </c>
      <c r="AH231" s="314">
        <v>1</v>
      </c>
      <c r="AI231" s="314">
        <f t="shared" si="61"/>
        <v>0</v>
      </c>
      <c r="AJ231" s="314">
        <f t="shared" si="70"/>
        <v>0</v>
      </c>
      <c r="AK231" s="317"/>
      <c r="AL231" s="315">
        <f t="shared" si="62"/>
        <v>0</v>
      </c>
      <c r="AN231" s="546">
        <f t="shared" si="63"/>
        <v>0</v>
      </c>
      <c r="AO231" s="314"/>
      <c r="AP231" s="318"/>
    </row>
    <row r="232" spans="2:42">
      <c r="B232" s="296"/>
      <c r="C232" s="299"/>
      <c r="D232" s="298"/>
      <c r="E232" s="299"/>
      <c r="F232" s="299"/>
      <c r="G232" s="300"/>
      <c r="H232" s="303"/>
      <c r="I232" s="301">
        <f t="shared" si="54"/>
        <v>0</v>
      </c>
      <c r="J232" s="302">
        <f t="shared" si="64"/>
        <v>0</v>
      </c>
      <c r="K232" s="304">
        <f t="shared" si="55"/>
        <v>0</v>
      </c>
      <c r="L232" s="305">
        <f>IF(H232=0,0,IF(OR(E232=$AT$5,E232=$AT$6),AA232,IF(F232="MXN",1/HLOOKUP(YEAR(G232)+(MONTH(G232)/100),TC!$5:$37,DAY(G232)+2,FALSE),VLOOKUP(F232,Equivalencia!$5:$23,((MAX(Equivalencia!$3:$3)-YEAR(G232))*14)+MONTH(G232)+2,FALSE))))</f>
        <v>0</v>
      </c>
      <c r="M232" s="306">
        <f t="shared" si="56"/>
        <v>0</v>
      </c>
      <c r="N232" s="305">
        <f>IF(G232=0,0,(IF(OR(E232=$AT$5,E232=$AT$6),AC232,HLOOKUP(YEAR(G232)+(MONTH(G232)/100),TC!$5:$37,DAY(G232)+2,FALSE))))</f>
        <v>0</v>
      </c>
      <c r="O232" s="307">
        <f t="shared" si="65"/>
        <v>0</v>
      </c>
      <c r="P232" s="552">
        <f>IF(G232=0,0,VLOOKUP(YEAR(G232),INPC!$B$4:$P$30,MONTH(G232)+2))</f>
        <v>0</v>
      </c>
      <c r="Q232" s="552">
        <f>IF(X232=0,0,IF(OR(E232=$AT$10,E232=$AT$9),VLOOKUP(YEAR(X232),INPC!$B$4:$P$30,MONTH(X232)+1),VLOOKUP(YEAR(X232),INPC!$B$4:$P$30,MONTH(X232)+2,0)))</f>
        <v>0</v>
      </c>
      <c r="R232" s="309">
        <f t="shared" si="57"/>
        <v>0</v>
      </c>
      <c r="S232" s="310">
        <f t="shared" si="66"/>
        <v>0</v>
      </c>
      <c r="T232" s="547">
        <f t="shared" si="67"/>
        <v>0</v>
      </c>
      <c r="U232" s="311"/>
      <c r="V232" s="312"/>
      <c r="W232" s="299"/>
      <c r="X232" s="300"/>
      <c r="Y232" s="299"/>
      <c r="Z232" s="303"/>
      <c r="AA232" s="305">
        <f>IF(Z232=0,0,IF(Y232="MXN",1/HLOOKUP(YEAR(X232)+(MONTH(X232)/100),TC!$5:$37,DAY(X232)+2,FALSE),VLOOKUP(Y232,Equivalencia!$1:$23,((MAX(Equivalencia!$3:$3)-YEAR(X232))*14)+MONTH(X232)+2,FALSE)))</f>
        <v>0</v>
      </c>
      <c r="AB232" s="306">
        <f t="shared" si="68"/>
        <v>0</v>
      </c>
      <c r="AC232" s="305">
        <f>+IF(X232=0,0,HLOOKUP(YEAR(X232)+(MONTH(X232)/100),TC!$5:$37,DAY(X232)+2,FALSE))</f>
        <v>0</v>
      </c>
      <c r="AD232" s="307">
        <f t="shared" si="69"/>
        <v>0</v>
      </c>
      <c r="AE232" s="314">
        <f t="shared" si="58"/>
        <v>0</v>
      </c>
      <c r="AF232" s="315">
        <f t="shared" si="59"/>
        <v>0</v>
      </c>
      <c r="AG232" s="316">
        <f t="shared" si="60"/>
        <v>0</v>
      </c>
      <c r="AH232" s="314">
        <v>1</v>
      </c>
      <c r="AI232" s="314">
        <f t="shared" si="61"/>
        <v>0</v>
      </c>
      <c r="AJ232" s="314">
        <f t="shared" si="70"/>
        <v>0</v>
      </c>
      <c r="AK232" s="317"/>
      <c r="AL232" s="315">
        <f t="shared" si="62"/>
        <v>0</v>
      </c>
      <c r="AN232" s="546">
        <f t="shared" si="63"/>
        <v>0</v>
      </c>
      <c r="AO232" s="314"/>
      <c r="AP232" s="318"/>
    </row>
    <row r="233" spans="2:42">
      <c r="B233" s="296"/>
      <c r="C233" s="299"/>
      <c r="D233" s="298"/>
      <c r="E233" s="299"/>
      <c r="F233" s="299"/>
      <c r="G233" s="300"/>
      <c r="H233" s="303"/>
      <c r="I233" s="301">
        <f t="shared" si="54"/>
        <v>0</v>
      </c>
      <c r="J233" s="302">
        <f t="shared" si="64"/>
        <v>0</v>
      </c>
      <c r="K233" s="304">
        <f t="shared" si="55"/>
        <v>0</v>
      </c>
      <c r="L233" s="305">
        <f>IF(H233=0,0,IF(OR(E233=$AT$5,E233=$AT$6),AA233,IF(F233="MXN",1/HLOOKUP(YEAR(G233)+(MONTH(G233)/100),TC!$5:$37,DAY(G233)+2,FALSE),VLOOKUP(F233,Equivalencia!$5:$23,((MAX(Equivalencia!$3:$3)-YEAR(G233))*14)+MONTH(G233)+2,FALSE))))</f>
        <v>0</v>
      </c>
      <c r="M233" s="306">
        <f t="shared" si="56"/>
        <v>0</v>
      </c>
      <c r="N233" s="305">
        <f>IF(G233=0,0,(IF(OR(E233=$AT$5,E233=$AT$6),AC233,HLOOKUP(YEAR(G233)+(MONTH(G233)/100),TC!$5:$37,DAY(G233)+2,FALSE))))</f>
        <v>0</v>
      </c>
      <c r="O233" s="307">
        <f t="shared" si="65"/>
        <v>0</v>
      </c>
      <c r="P233" s="552">
        <f>IF(G233=0,0,VLOOKUP(YEAR(G233),INPC!$B$4:$P$30,MONTH(G233)+2))</f>
        <v>0</v>
      </c>
      <c r="Q233" s="552">
        <f>IF(X233=0,0,IF(OR(E233=$AT$10,E233=$AT$9),VLOOKUP(YEAR(X233),INPC!$B$4:$P$30,MONTH(X233)+1),VLOOKUP(YEAR(X233),INPC!$B$4:$P$30,MONTH(X233)+2,0)))</f>
        <v>0</v>
      </c>
      <c r="R233" s="309">
        <f t="shared" si="57"/>
        <v>0</v>
      </c>
      <c r="S233" s="310">
        <f t="shared" si="66"/>
        <v>0</v>
      </c>
      <c r="T233" s="547">
        <f t="shared" si="67"/>
        <v>0</v>
      </c>
      <c r="U233" s="311"/>
      <c r="V233" s="312"/>
      <c r="W233" s="299"/>
      <c r="X233" s="300"/>
      <c r="Y233" s="299"/>
      <c r="Z233" s="303"/>
      <c r="AA233" s="305">
        <f>IF(Z233=0,0,IF(Y233="MXN",1/HLOOKUP(YEAR(X233)+(MONTH(X233)/100),TC!$5:$37,DAY(X233)+2,FALSE),VLOOKUP(Y233,Equivalencia!$1:$23,((MAX(Equivalencia!$3:$3)-YEAR(X233))*14)+MONTH(X233)+2,FALSE)))</f>
        <v>0</v>
      </c>
      <c r="AB233" s="306">
        <f t="shared" si="68"/>
        <v>0</v>
      </c>
      <c r="AC233" s="305">
        <f>+IF(X233=0,0,HLOOKUP(YEAR(X233)+(MONTH(X233)/100),TC!$5:$37,DAY(X233)+2,FALSE))</f>
        <v>0</v>
      </c>
      <c r="AD233" s="307">
        <f t="shared" si="69"/>
        <v>0</v>
      </c>
      <c r="AE233" s="314">
        <f t="shared" si="58"/>
        <v>0</v>
      </c>
      <c r="AF233" s="315">
        <f t="shared" si="59"/>
        <v>0</v>
      </c>
      <c r="AG233" s="316">
        <f t="shared" si="60"/>
        <v>0</v>
      </c>
      <c r="AH233" s="314">
        <v>1</v>
      </c>
      <c r="AI233" s="314">
        <f t="shared" si="61"/>
        <v>0</v>
      </c>
      <c r="AJ233" s="314">
        <f t="shared" si="70"/>
        <v>0</v>
      </c>
      <c r="AK233" s="317"/>
      <c r="AL233" s="315">
        <f t="shared" si="62"/>
        <v>0</v>
      </c>
      <c r="AN233" s="546">
        <f t="shared" si="63"/>
        <v>0</v>
      </c>
      <c r="AO233" s="314"/>
      <c r="AP233" s="318"/>
    </row>
    <row r="234" spans="2:42">
      <c r="B234" s="296"/>
      <c r="C234" s="299"/>
      <c r="D234" s="298"/>
      <c r="E234" s="299"/>
      <c r="F234" s="299"/>
      <c r="G234" s="300"/>
      <c r="H234" s="303"/>
      <c r="I234" s="301">
        <f t="shared" si="54"/>
        <v>0</v>
      </c>
      <c r="J234" s="302">
        <f t="shared" si="64"/>
        <v>0</v>
      </c>
      <c r="K234" s="304">
        <f t="shared" si="55"/>
        <v>0</v>
      </c>
      <c r="L234" s="305">
        <f>IF(H234=0,0,IF(OR(E234=$AT$5,E234=$AT$6),AA234,IF(F234="MXN",1/HLOOKUP(YEAR(G234)+(MONTH(G234)/100),TC!$5:$37,DAY(G234)+2,FALSE),VLOOKUP(F234,Equivalencia!$5:$23,((MAX(Equivalencia!$3:$3)-YEAR(G234))*14)+MONTH(G234)+2,FALSE))))</f>
        <v>0</v>
      </c>
      <c r="M234" s="306">
        <f t="shared" si="56"/>
        <v>0</v>
      </c>
      <c r="N234" s="305">
        <f>IF(G234=0,0,(IF(OR(E234=$AT$5,E234=$AT$6),AC234,HLOOKUP(YEAR(G234)+(MONTH(G234)/100),TC!$5:$37,DAY(G234)+2,FALSE))))</f>
        <v>0</v>
      </c>
      <c r="O234" s="307">
        <f t="shared" si="65"/>
        <v>0</v>
      </c>
      <c r="P234" s="552">
        <f>IF(G234=0,0,VLOOKUP(YEAR(G234),INPC!$B$4:$P$30,MONTH(G234)+2))</f>
        <v>0</v>
      </c>
      <c r="Q234" s="552">
        <f>IF(X234=0,0,IF(OR(E234=$AT$10,E234=$AT$9),VLOOKUP(YEAR(X234),INPC!$B$4:$P$30,MONTH(X234)+1),VLOOKUP(YEAR(X234),INPC!$B$4:$P$30,MONTH(X234)+2,0)))</f>
        <v>0</v>
      </c>
      <c r="R234" s="309">
        <f t="shared" si="57"/>
        <v>0</v>
      </c>
      <c r="S234" s="310">
        <f t="shared" si="66"/>
        <v>0</v>
      </c>
      <c r="T234" s="547">
        <f t="shared" si="67"/>
        <v>0</v>
      </c>
      <c r="U234" s="311"/>
      <c r="V234" s="312"/>
      <c r="W234" s="299"/>
      <c r="X234" s="300"/>
      <c r="Y234" s="299"/>
      <c r="Z234" s="303"/>
      <c r="AA234" s="305">
        <f>IF(Z234=0,0,IF(Y234="MXN",1/HLOOKUP(YEAR(X234)+(MONTH(X234)/100),TC!$5:$37,DAY(X234)+2,FALSE),VLOOKUP(Y234,Equivalencia!$1:$23,((MAX(Equivalencia!$3:$3)-YEAR(X234))*14)+MONTH(X234)+2,FALSE)))</f>
        <v>0</v>
      </c>
      <c r="AB234" s="306">
        <f t="shared" si="68"/>
        <v>0</v>
      </c>
      <c r="AC234" s="305">
        <f>+IF(X234=0,0,HLOOKUP(YEAR(X234)+(MONTH(X234)/100),TC!$5:$37,DAY(X234)+2,FALSE))</f>
        <v>0</v>
      </c>
      <c r="AD234" s="307">
        <f t="shared" si="69"/>
        <v>0</v>
      </c>
      <c r="AE234" s="314">
        <f t="shared" si="58"/>
        <v>0</v>
      </c>
      <c r="AF234" s="315">
        <f t="shared" si="59"/>
        <v>0</v>
      </c>
      <c r="AG234" s="316">
        <f t="shared" si="60"/>
        <v>0</v>
      </c>
      <c r="AH234" s="314">
        <v>1</v>
      </c>
      <c r="AI234" s="314">
        <f t="shared" si="61"/>
        <v>0</v>
      </c>
      <c r="AJ234" s="314">
        <f t="shared" si="70"/>
        <v>0</v>
      </c>
      <c r="AK234" s="317"/>
      <c r="AL234" s="315">
        <f t="shared" si="62"/>
        <v>0</v>
      </c>
      <c r="AN234" s="546">
        <f t="shared" si="63"/>
        <v>0</v>
      </c>
      <c r="AO234" s="314"/>
      <c r="AP234" s="318"/>
    </row>
    <row r="235" spans="2:42">
      <c r="B235" s="296"/>
      <c r="C235" s="299"/>
      <c r="D235" s="298"/>
      <c r="E235" s="299"/>
      <c r="F235" s="299"/>
      <c r="G235" s="300"/>
      <c r="H235" s="303"/>
      <c r="I235" s="301">
        <f t="shared" si="54"/>
        <v>0</v>
      </c>
      <c r="J235" s="302">
        <f t="shared" si="64"/>
        <v>0</v>
      </c>
      <c r="K235" s="304">
        <f t="shared" si="55"/>
        <v>0</v>
      </c>
      <c r="L235" s="305">
        <f>IF(H235=0,0,IF(OR(E235=$AT$5,E235=$AT$6),AA235,IF(F235="MXN",1/HLOOKUP(YEAR(G235)+(MONTH(G235)/100),TC!$5:$37,DAY(G235)+2,FALSE),VLOOKUP(F235,Equivalencia!$5:$23,((MAX(Equivalencia!$3:$3)-YEAR(G235))*14)+MONTH(G235)+2,FALSE))))</f>
        <v>0</v>
      </c>
      <c r="M235" s="306">
        <f t="shared" si="56"/>
        <v>0</v>
      </c>
      <c r="N235" s="305">
        <f>IF(G235=0,0,(IF(OR(E235=$AT$5,E235=$AT$6),AC235,HLOOKUP(YEAR(G235)+(MONTH(G235)/100),TC!$5:$37,DAY(G235)+2,FALSE))))</f>
        <v>0</v>
      </c>
      <c r="O235" s="307">
        <f t="shared" si="65"/>
        <v>0</v>
      </c>
      <c r="P235" s="552">
        <f>IF(G235=0,0,VLOOKUP(YEAR(G235),INPC!$B$4:$P$30,MONTH(G235)+2))</f>
        <v>0</v>
      </c>
      <c r="Q235" s="552">
        <f>IF(X235=0,0,IF(OR(E235=$AT$10,E235=$AT$9),VLOOKUP(YEAR(X235),INPC!$B$4:$P$30,MONTH(X235)+1),VLOOKUP(YEAR(X235),INPC!$B$4:$P$30,MONTH(X235)+2,0)))</f>
        <v>0</v>
      </c>
      <c r="R235" s="309">
        <f t="shared" si="57"/>
        <v>0</v>
      </c>
      <c r="S235" s="310">
        <f t="shared" si="66"/>
        <v>0</v>
      </c>
      <c r="T235" s="547">
        <f t="shared" si="67"/>
        <v>0</v>
      </c>
      <c r="U235" s="311"/>
      <c r="V235" s="312"/>
      <c r="W235" s="299"/>
      <c r="X235" s="300"/>
      <c r="Y235" s="299"/>
      <c r="Z235" s="303"/>
      <c r="AA235" s="305">
        <f>IF(Z235=0,0,IF(Y235="MXN",1/HLOOKUP(YEAR(X235)+(MONTH(X235)/100),TC!$5:$37,DAY(X235)+2,FALSE),VLOOKUP(Y235,Equivalencia!$1:$23,((MAX(Equivalencia!$3:$3)-YEAR(X235))*14)+MONTH(X235)+2,FALSE)))</f>
        <v>0</v>
      </c>
      <c r="AB235" s="306">
        <f t="shared" si="68"/>
        <v>0</v>
      </c>
      <c r="AC235" s="305">
        <f>+IF(X235=0,0,HLOOKUP(YEAR(X235)+(MONTH(X235)/100),TC!$5:$37,DAY(X235)+2,FALSE))</f>
        <v>0</v>
      </c>
      <c r="AD235" s="307">
        <f t="shared" si="69"/>
        <v>0</v>
      </c>
      <c r="AE235" s="314">
        <f t="shared" si="58"/>
        <v>0</v>
      </c>
      <c r="AF235" s="315">
        <f t="shared" si="59"/>
        <v>0</v>
      </c>
      <c r="AG235" s="316">
        <f t="shared" si="60"/>
        <v>0</v>
      </c>
      <c r="AH235" s="314">
        <v>1</v>
      </c>
      <c r="AI235" s="314">
        <f t="shared" si="61"/>
        <v>0</v>
      </c>
      <c r="AJ235" s="314">
        <f t="shared" si="70"/>
        <v>0</v>
      </c>
      <c r="AK235" s="317"/>
      <c r="AL235" s="315">
        <f t="shared" si="62"/>
        <v>0</v>
      </c>
      <c r="AN235" s="546">
        <f t="shared" si="63"/>
        <v>0</v>
      </c>
      <c r="AO235" s="314"/>
      <c r="AP235" s="318"/>
    </row>
    <row r="236" spans="2:42">
      <c r="B236" s="296"/>
      <c r="C236" s="299"/>
      <c r="D236" s="298"/>
      <c r="E236" s="299"/>
      <c r="F236" s="299"/>
      <c r="G236" s="300"/>
      <c r="H236" s="303"/>
      <c r="I236" s="301">
        <f t="shared" si="54"/>
        <v>0</v>
      </c>
      <c r="J236" s="302">
        <f t="shared" si="64"/>
        <v>0</v>
      </c>
      <c r="K236" s="304">
        <f t="shared" si="55"/>
        <v>0</v>
      </c>
      <c r="L236" s="305">
        <f>IF(H236=0,0,IF(OR(E236=$AT$5,E236=$AT$6),AA236,IF(F236="MXN",1/HLOOKUP(YEAR(G236)+(MONTH(G236)/100),TC!$5:$37,DAY(G236)+2,FALSE),VLOOKUP(F236,Equivalencia!$5:$23,((MAX(Equivalencia!$3:$3)-YEAR(G236))*14)+MONTH(G236)+2,FALSE))))</f>
        <v>0</v>
      </c>
      <c r="M236" s="306">
        <f t="shared" si="56"/>
        <v>0</v>
      </c>
      <c r="N236" s="305">
        <f>IF(G236=0,0,(IF(OR(E236=$AT$5,E236=$AT$6),AC236,HLOOKUP(YEAR(G236)+(MONTH(G236)/100),TC!$5:$37,DAY(G236)+2,FALSE))))</f>
        <v>0</v>
      </c>
      <c r="O236" s="307">
        <f t="shared" si="65"/>
        <v>0</v>
      </c>
      <c r="P236" s="552">
        <f>IF(G236=0,0,VLOOKUP(YEAR(G236),INPC!$B$4:$P$30,MONTH(G236)+2))</f>
        <v>0</v>
      </c>
      <c r="Q236" s="552">
        <f>IF(X236=0,0,IF(OR(E236=$AT$10,E236=$AT$9),VLOOKUP(YEAR(X236),INPC!$B$4:$P$30,MONTH(X236)+1),VLOOKUP(YEAR(X236),INPC!$B$4:$P$30,MONTH(X236)+2,0)))</f>
        <v>0</v>
      </c>
      <c r="R236" s="309">
        <f t="shared" si="57"/>
        <v>0</v>
      </c>
      <c r="S236" s="310">
        <f t="shared" si="66"/>
        <v>0</v>
      </c>
      <c r="T236" s="547">
        <f t="shared" si="67"/>
        <v>0</v>
      </c>
      <c r="U236" s="311"/>
      <c r="V236" s="312"/>
      <c r="W236" s="299"/>
      <c r="X236" s="300"/>
      <c r="Y236" s="299"/>
      <c r="Z236" s="303"/>
      <c r="AA236" s="305">
        <f>IF(Z236=0,0,IF(Y236="MXN",1/HLOOKUP(YEAR(X236)+(MONTH(X236)/100),TC!$5:$37,DAY(X236)+2,FALSE),VLOOKUP(Y236,Equivalencia!$1:$23,((MAX(Equivalencia!$3:$3)-YEAR(X236))*14)+MONTH(X236)+2,FALSE)))</f>
        <v>0</v>
      </c>
      <c r="AB236" s="306">
        <f t="shared" si="68"/>
        <v>0</v>
      </c>
      <c r="AC236" s="305">
        <f>+IF(X236=0,0,HLOOKUP(YEAR(X236)+(MONTH(X236)/100),TC!$5:$37,DAY(X236)+2,FALSE))</f>
        <v>0</v>
      </c>
      <c r="AD236" s="307">
        <f t="shared" si="69"/>
        <v>0</v>
      </c>
      <c r="AE236" s="314">
        <f t="shared" si="58"/>
        <v>0</v>
      </c>
      <c r="AF236" s="315">
        <f t="shared" si="59"/>
        <v>0</v>
      </c>
      <c r="AG236" s="316">
        <f t="shared" si="60"/>
        <v>0</v>
      </c>
      <c r="AH236" s="314">
        <v>1</v>
      </c>
      <c r="AI236" s="314">
        <f t="shared" si="61"/>
        <v>0</v>
      </c>
      <c r="AJ236" s="314">
        <f t="shared" si="70"/>
        <v>0</v>
      </c>
      <c r="AK236" s="317"/>
      <c r="AL236" s="315">
        <f t="shared" si="62"/>
        <v>0</v>
      </c>
      <c r="AN236" s="546">
        <f t="shared" si="63"/>
        <v>0</v>
      </c>
      <c r="AO236" s="314"/>
      <c r="AP236" s="318"/>
    </row>
    <row r="237" spans="2:42">
      <c r="B237" s="296"/>
      <c r="C237" s="299"/>
      <c r="D237" s="298"/>
      <c r="E237" s="299"/>
      <c r="F237" s="299"/>
      <c r="G237" s="300"/>
      <c r="H237" s="303"/>
      <c r="I237" s="301">
        <f t="shared" si="54"/>
        <v>0</v>
      </c>
      <c r="J237" s="302">
        <f t="shared" si="64"/>
        <v>0</v>
      </c>
      <c r="K237" s="304">
        <f t="shared" si="55"/>
        <v>0</v>
      </c>
      <c r="L237" s="305">
        <f>IF(H237=0,0,IF(OR(E237=$AT$5,E237=$AT$6),AA237,IF(F237="MXN",1/HLOOKUP(YEAR(G237)+(MONTH(G237)/100),TC!$5:$37,DAY(G237)+2,FALSE),VLOOKUP(F237,Equivalencia!$5:$23,((MAX(Equivalencia!$3:$3)-YEAR(G237))*14)+MONTH(G237)+2,FALSE))))</f>
        <v>0</v>
      </c>
      <c r="M237" s="306">
        <f t="shared" si="56"/>
        <v>0</v>
      </c>
      <c r="N237" s="305">
        <f>IF(G237=0,0,(IF(OR(E237=$AT$5,E237=$AT$6),AC237,HLOOKUP(YEAR(G237)+(MONTH(G237)/100),TC!$5:$37,DAY(G237)+2,FALSE))))</f>
        <v>0</v>
      </c>
      <c r="O237" s="307">
        <f t="shared" si="65"/>
        <v>0</v>
      </c>
      <c r="P237" s="552">
        <f>IF(G237=0,0,VLOOKUP(YEAR(G237),INPC!$B$4:$P$30,MONTH(G237)+2))</f>
        <v>0</v>
      </c>
      <c r="Q237" s="552">
        <f>IF(X237=0,0,IF(OR(E237=$AT$10,E237=$AT$9),VLOOKUP(YEAR(X237),INPC!$B$4:$P$30,MONTH(X237)+1),VLOOKUP(YEAR(X237),INPC!$B$4:$P$30,MONTH(X237)+2,0)))</f>
        <v>0</v>
      </c>
      <c r="R237" s="309">
        <f t="shared" si="57"/>
        <v>0</v>
      </c>
      <c r="S237" s="310">
        <f t="shared" si="66"/>
        <v>0</v>
      </c>
      <c r="T237" s="547">
        <f t="shared" si="67"/>
        <v>0</v>
      </c>
      <c r="U237" s="311"/>
      <c r="V237" s="312"/>
      <c r="W237" s="299"/>
      <c r="X237" s="300"/>
      <c r="Y237" s="299"/>
      <c r="Z237" s="303"/>
      <c r="AA237" s="305">
        <f>IF(Z237=0,0,IF(Y237="MXN",1/HLOOKUP(YEAR(X237)+(MONTH(X237)/100),TC!$5:$37,DAY(X237)+2,FALSE),VLOOKUP(Y237,Equivalencia!$1:$23,((MAX(Equivalencia!$3:$3)-YEAR(X237))*14)+MONTH(X237)+2,FALSE)))</f>
        <v>0</v>
      </c>
      <c r="AB237" s="306">
        <f t="shared" si="68"/>
        <v>0</v>
      </c>
      <c r="AC237" s="305">
        <f>+IF(X237=0,0,HLOOKUP(YEAR(X237)+(MONTH(X237)/100),TC!$5:$37,DAY(X237)+2,FALSE))</f>
        <v>0</v>
      </c>
      <c r="AD237" s="307">
        <f t="shared" si="69"/>
        <v>0</v>
      </c>
      <c r="AE237" s="314">
        <f t="shared" si="58"/>
        <v>0</v>
      </c>
      <c r="AF237" s="315">
        <f t="shared" si="59"/>
        <v>0</v>
      </c>
      <c r="AG237" s="316">
        <f t="shared" si="60"/>
        <v>0</v>
      </c>
      <c r="AH237" s="314">
        <v>1</v>
      </c>
      <c r="AI237" s="314">
        <f t="shared" si="61"/>
        <v>0</v>
      </c>
      <c r="AJ237" s="314">
        <f t="shared" si="70"/>
        <v>0</v>
      </c>
      <c r="AK237" s="317"/>
      <c r="AL237" s="315">
        <f t="shared" si="62"/>
        <v>0</v>
      </c>
      <c r="AN237" s="546">
        <f t="shared" si="63"/>
        <v>0</v>
      </c>
      <c r="AO237" s="314"/>
      <c r="AP237" s="318"/>
    </row>
    <row r="238" spans="2:42">
      <c r="B238" s="296"/>
      <c r="C238" s="299"/>
      <c r="D238" s="298"/>
      <c r="E238" s="299"/>
      <c r="F238" s="299"/>
      <c r="G238" s="300"/>
      <c r="H238" s="303"/>
      <c r="I238" s="301">
        <f t="shared" si="54"/>
        <v>0</v>
      </c>
      <c r="J238" s="302">
        <f t="shared" si="64"/>
        <v>0</v>
      </c>
      <c r="K238" s="304">
        <f t="shared" si="55"/>
        <v>0</v>
      </c>
      <c r="L238" s="305">
        <f>IF(H238=0,0,IF(OR(E238=$AT$5,E238=$AT$6),AA238,IF(F238="MXN",1/HLOOKUP(YEAR(G238)+(MONTH(G238)/100),TC!$5:$37,DAY(G238)+2,FALSE),VLOOKUP(F238,Equivalencia!$5:$23,((MAX(Equivalencia!$3:$3)-YEAR(G238))*14)+MONTH(G238)+2,FALSE))))</f>
        <v>0</v>
      </c>
      <c r="M238" s="306">
        <f t="shared" si="56"/>
        <v>0</v>
      </c>
      <c r="N238" s="305">
        <f>IF(G238=0,0,(IF(OR(E238=$AT$5,E238=$AT$6),AC238,HLOOKUP(YEAR(G238)+(MONTH(G238)/100),TC!$5:$37,DAY(G238)+2,FALSE))))</f>
        <v>0</v>
      </c>
      <c r="O238" s="307">
        <f t="shared" si="65"/>
        <v>0</v>
      </c>
      <c r="P238" s="552">
        <f>IF(G238=0,0,VLOOKUP(YEAR(G238),INPC!$B$4:$P$30,MONTH(G238)+2))</f>
        <v>0</v>
      </c>
      <c r="Q238" s="552">
        <f>IF(X238=0,0,IF(OR(E238=$AT$10,E238=$AT$9),VLOOKUP(YEAR(X238),INPC!$B$4:$P$30,MONTH(X238)+1),VLOOKUP(YEAR(X238),INPC!$B$4:$P$30,MONTH(X238)+2,0)))</f>
        <v>0</v>
      </c>
      <c r="R238" s="309">
        <f t="shared" si="57"/>
        <v>0</v>
      </c>
      <c r="S238" s="310">
        <f t="shared" si="66"/>
        <v>0</v>
      </c>
      <c r="T238" s="547">
        <f t="shared" si="67"/>
        <v>0</v>
      </c>
      <c r="U238" s="311"/>
      <c r="V238" s="312"/>
      <c r="W238" s="299"/>
      <c r="X238" s="300"/>
      <c r="Y238" s="299"/>
      <c r="Z238" s="303"/>
      <c r="AA238" s="305">
        <f>IF(Z238=0,0,IF(Y238="MXN",1/HLOOKUP(YEAR(X238)+(MONTH(X238)/100),TC!$5:$37,DAY(X238)+2,FALSE),VLOOKUP(Y238,Equivalencia!$1:$23,((MAX(Equivalencia!$3:$3)-YEAR(X238))*14)+MONTH(X238)+2,FALSE)))</f>
        <v>0</v>
      </c>
      <c r="AB238" s="306">
        <f t="shared" si="68"/>
        <v>0</v>
      </c>
      <c r="AC238" s="305">
        <f>+IF(X238=0,0,HLOOKUP(YEAR(X238)+(MONTH(X238)/100),TC!$5:$37,DAY(X238)+2,FALSE))</f>
        <v>0</v>
      </c>
      <c r="AD238" s="307">
        <f t="shared" si="69"/>
        <v>0</v>
      </c>
      <c r="AE238" s="314">
        <f t="shared" si="58"/>
        <v>0</v>
      </c>
      <c r="AF238" s="315">
        <f t="shared" si="59"/>
        <v>0</v>
      </c>
      <c r="AG238" s="316">
        <f t="shared" si="60"/>
        <v>0</v>
      </c>
      <c r="AH238" s="314">
        <v>1</v>
      </c>
      <c r="AI238" s="314">
        <f t="shared" si="61"/>
        <v>0</v>
      </c>
      <c r="AJ238" s="314">
        <f t="shared" si="70"/>
        <v>0</v>
      </c>
      <c r="AK238" s="317"/>
      <c r="AL238" s="315">
        <f t="shared" si="62"/>
        <v>0</v>
      </c>
      <c r="AN238" s="546">
        <f t="shared" si="63"/>
        <v>0</v>
      </c>
      <c r="AO238" s="314"/>
      <c r="AP238" s="318"/>
    </row>
    <row r="239" spans="2:42">
      <c r="B239" s="296"/>
      <c r="C239" s="299"/>
      <c r="D239" s="298"/>
      <c r="E239" s="299"/>
      <c r="F239" s="299"/>
      <c r="G239" s="300"/>
      <c r="H239" s="303"/>
      <c r="I239" s="301">
        <f t="shared" si="54"/>
        <v>0</v>
      </c>
      <c r="J239" s="302">
        <f t="shared" si="64"/>
        <v>0</v>
      </c>
      <c r="K239" s="304">
        <f t="shared" si="55"/>
        <v>0</v>
      </c>
      <c r="L239" s="305">
        <f>IF(H239=0,0,IF(OR(E239=$AT$5,E239=$AT$6),AA239,IF(F239="MXN",1/HLOOKUP(YEAR(G239)+(MONTH(G239)/100),TC!$5:$37,DAY(G239)+2,FALSE),VLOOKUP(F239,Equivalencia!$5:$23,((MAX(Equivalencia!$3:$3)-YEAR(G239))*14)+MONTH(G239)+2,FALSE))))</f>
        <v>0</v>
      </c>
      <c r="M239" s="306">
        <f t="shared" si="56"/>
        <v>0</v>
      </c>
      <c r="N239" s="305">
        <f>IF(G239=0,0,(IF(OR(E239=$AT$5,E239=$AT$6),AC239,HLOOKUP(YEAR(G239)+(MONTH(G239)/100),TC!$5:$37,DAY(G239)+2,FALSE))))</f>
        <v>0</v>
      </c>
      <c r="O239" s="307">
        <f t="shared" si="65"/>
        <v>0</v>
      </c>
      <c r="P239" s="552">
        <f>IF(G239=0,0,VLOOKUP(YEAR(G239),INPC!$B$4:$P$30,MONTH(G239)+2))</f>
        <v>0</v>
      </c>
      <c r="Q239" s="552">
        <f>IF(X239=0,0,IF(OR(E239=$AT$10,E239=$AT$9),VLOOKUP(YEAR(X239),INPC!$B$4:$P$30,MONTH(X239)+1),VLOOKUP(YEAR(X239),INPC!$B$4:$P$30,MONTH(X239)+2,0)))</f>
        <v>0</v>
      </c>
      <c r="R239" s="309">
        <f t="shared" si="57"/>
        <v>0</v>
      </c>
      <c r="S239" s="310">
        <f t="shared" si="66"/>
        <v>0</v>
      </c>
      <c r="T239" s="547">
        <f t="shared" si="67"/>
        <v>0</v>
      </c>
      <c r="U239" s="311"/>
      <c r="V239" s="312"/>
      <c r="W239" s="299"/>
      <c r="X239" s="300"/>
      <c r="Y239" s="299"/>
      <c r="Z239" s="303"/>
      <c r="AA239" s="305">
        <f>IF(Z239=0,0,IF(Y239="MXN",1/HLOOKUP(YEAR(X239)+(MONTH(X239)/100),TC!$5:$37,DAY(X239)+2,FALSE),VLOOKUP(Y239,Equivalencia!$1:$23,((MAX(Equivalencia!$3:$3)-YEAR(X239))*14)+MONTH(X239)+2,FALSE)))</f>
        <v>0</v>
      </c>
      <c r="AB239" s="306">
        <f t="shared" si="68"/>
        <v>0</v>
      </c>
      <c r="AC239" s="305">
        <f>+IF(X239=0,0,HLOOKUP(YEAR(X239)+(MONTH(X239)/100),TC!$5:$37,DAY(X239)+2,FALSE))</f>
        <v>0</v>
      </c>
      <c r="AD239" s="307">
        <f t="shared" si="69"/>
        <v>0</v>
      </c>
      <c r="AE239" s="314">
        <f t="shared" si="58"/>
        <v>0</v>
      </c>
      <c r="AF239" s="315">
        <f t="shared" si="59"/>
        <v>0</v>
      </c>
      <c r="AG239" s="316">
        <f t="shared" si="60"/>
        <v>0</v>
      </c>
      <c r="AH239" s="314">
        <v>1</v>
      </c>
      <c r="AI239" s="314">
        <f t="shared" si="61"/>
        <v>0</v>
      </c>
      <c r="AJ239" s="314">
        <f t="shared" si="70"/>
        <v>0</v>
      </c>
      <c r="AK239" s="317"/>
      <c r="AL239" s="315">
        <f t="shared" si="62"/>
        <v>0</v>
      </c>
      <c r="AN239" s="546">
        <f t="shared" si="63"/>
        <v>0</v>
      </c>
      <c r="AO239" s="314"/>
      <c r="AP239" s="318"/>
    </row>
    <row r="240" spans="2:42">
      <c r="B240" s="296"/>
      <c r="C240" s="299"/>
      <c r="D240" s="298"/>
      <c r="E240" s="299"/>
      <c r="F240" s="299"/>
      <c r="G240" s="300"/>
      <c r="H240" s="303"/>
      <c r="I240" s="301">
        <f t="shared" si="54"/>
        <v>0</v>
      </c>
      <c r="J240" s="302">
        <f t="shared" si="64"/>
        <v>0</v>
      </c>
      <c r="K240" s="304">
        <f t="shared" si="55"/>
        <v>0</v>
      </c>
      <c r="L240" s="305">
        <f>IF(H240=0,0,IF(OR(E240=$AT$5,E240=$AT$6),AA240,IF(F240="MXN",1/HLOOKUP(YEAR(G240)+(MONTH(G240)/100),TC!$5:$37,DAY(G240)+2,FALSE),VLOOKUP(F240,Equivalencia!$5:$23,((MAX(Equivalencia!$3:$3)-YEAR(G240))*14)+MONTH(G240)+2,FALSE))))</f>
        <v>0</v>
      </c>
      <c r="M240" s="306">
        <f t="shared" si="56"/>
        <v>0</v>
      </c>
      <c r="N240" s="305">
        <f>IF(G240=0,0,(IF(OR(E240=$AT$5,E240=$AT$6),AC240,HLOOKUP(YEAR(G240)+(MONTH(G240)/100),TC!$5:$37,DAY(G240)+2,FALSE))))</f>
        <v>0</v>
      </c>
      <c r="O240" s="307">
        <f t="shared" si="65"/>
        <v>0</v>
      </c>
      <c r="P240" s="552">
        <f>IF(G240=0,0,VLOOKUP(YEAR(G240),INPC!$B$4:$P$30,MONTH(G240)+2))</f>
        <v>0</v>
      </c>
      <c r="Q240" s="552">
        <f>IF(X240=0,0,IF(OR(E240=$AT$10,E240=$AT$9),VLOOKUP(YEAR(X240),INPC!$B$4:$P$30,MONTH(X240)+1),VLOOKUP(YEAR(X240),INPC!$B$4:$P$30,MONTH(X240)+2,0)))</f>
        <v>0</v>
      </c>
      <c r="R240" s="309">
        <f t="shared" si="57"/>
        <v>0</v>
      </c>
      <c r="S240" s="310">
        <f t="shared" si="66"/>
        <v>0</v>
      </c>
      <c r="T240" s="547">
        <f t="shared" si="67"/>
        <v>0</v>
      </c>
      <c r="U240" s="311"/>
      <c r="V240" s="312"/>
      <c r="W240" s="299"/>
      <c r="X240" s="300"/>
      <c r="Y240" s="299"/>
      <c r="Z240" s="303"/>
      <c r="AA240" s="305">
        <f>IF(Z240=0,0,IF(Y240="MXN",1/HLOOKUP(YEAR(X240)+(MONTH(X240)/100),TC!$5:$37,DAY(X240)+2,FALSE),VLOOKUP(Y240,Equivalencia!$1:$23,((MAX(Equivalencia!$3:$3)-YEAR(X240))*14)+MONTH(X240)+2,FALSE)))</f>
        <v>0</v>
      </c>
      <c r="AB240" s="306">
        <f t="shared" si="68"/>
        <v>0</v>
      </c>
      <c r="AC240" s="305">
        <f>+IF(X240=0,0,HLOOKUP(YEAR(X240)+(MONTH(X240)/100),TC!$5:$37,DAY(X240)+2,FALSE))</f>
        <v>0</v>
      </c>
      <c r="AD240" s="307">
        <f t="shared" si="69"/>
        <v>0</v>
      </c>
      <c r="AE240" s="314">
        <f t="shared" si="58"/>
        <v>0</v>
      </c>
      <c r="AF240" s="315">
        <f t="shared" si="59"/>
        <v>0</v>
      </c>
      <c r="AG240" s="316">
        <f t="shared" si="60"/>
        <v>0</v>
      </c>
      <c r="AH240" s="314">
        <v>1</v>
      </c>
      <c r="AI240" s="314">
        <f t="shared" si="61"/>
        <v>0</v>
      </c>
      <c r="AJ240" s="314">
        <f t="shared" si="70"/>
        <v>0</v>
      </c>
      <c r="AK240" s="317"/>
      <c r="AL240" s="315">
        <f t="shared" si="62"/>
        <v>0</v>
      </c>
      <c r="AN240" s="546">
        <f t="shared" si="63"/>
        <v>0</v>
      </c>
      <c r="AO240" s="314"/>
      <c r="AP240" s="318"/>
    </row>
    <row r="241" spans="2:42">
      <c r="B241" s="296"/>
      <c r="C241" s="299"/>
      <c r="D241" s="298"/>
      <c r="E241" s="299"/>
      <c r="F241" s="299"/>
      <c r="G241" s="300"/>
      <c r="H241" s="303"/>
      <c r="I241" s="301">
        <f t="shared" si="54"/>
        <v>0</v>
      </c>
      <c r="J241" s="302">
        <f t="shared" si="64"/>
        <v>0</v>
      </c>
      <c r="K241" s="304">
        <f t="shared" si="55"/>
        <v>0</v>
      </c>
      <c r="L241" s="305">
        <f>IF(H241=0,0,IF(OR(E241=$AT$5,E241=$AT$6),AA241,IF(F241="MXN",1/HLOOKUP(YEAR(G241)+(MONTH(G241)/100),TC!$5:$37,DAY(G241)+2,FALSE),VLOOKUP(F241,Equivalencia!$5:$23,((MAX(Equivalencia!$3:$3)-YEAR(G241))*14)+MONTH(G241)+2,FALSE))))</f>
        <v>0</v>
      </c>
      <c r="M241" s="306">
        <f t="shared" si="56"/>
        <v>0</v>
      </c>
      <c r="N241" s="305">
        <f>IF(G241=0,0,(IF(OR(E241=$AT$5,E241=$AT$6),AC241,HLOOKUP(YEAR(G241)+(MONTH(G241)/100),TC!$5:$37,DAY(G241)+2,FALSE))))</f>
        <v>0</v>
      </c>
      <c r="O241" s="307">
        <f t="shared" si="65"/>
        <v>0</v>
      </c>
      <c r="P241" s="552">
        <f>IF(G241=0,0,VLOOKUP(YEAR(G241),INPC!$B$4:$P$30,MONTH(G241)+2))</f>
        <v>0</v>
      </c>
      <c r="Q241" s="552">
        <f>IF(X241=0,0,IF(OR(E241=$AT$10,E241=$AT$9),VLOOKUP(YEAR(X241),INPC!$B$4:$P$30,MONTH(X241)+1),VLOOKUP(YEAR(X241),INPC!$B$4:$P$30,MONTH(X241)+2,0)))</f>
        <v>0</v>
      </c>
      <c r="R241" s="309">
        <f t="shared" si="57"/>
        <v>0</v>
      </c>
      <c r="S241" s="310">
        <f t="shared" si="66"/>
        <v>0</v>
      </c>
      <c r="T241" s="547">
        <f t="shared" si="67"/>
        <v>0</v>
      </c>
      <c r="U241" s="311"/>
      <c r="V241" s="312"/>
      <c r="W241" s="299"/>
      <c r="X241" s="300"/>
      <c r="Y241" s="299"/>
      <c r="Z241" s="303"/>
      <c r="AA241" s="305">
        <f>IF(Z241=0,0,IF(Y241="MXN",1/HLOOKUP(YEAR(X241)+(MONTH(X241)/100),TC!$5:$37,DAY(X241)+2,FALSE),VLOOKUP(Y241,Equivalencia!$1:$23,((MAX(Equivalencia!$3:$3)-YEAR(X241))*14)+MONTH(X241)+2,FALSE)))</f>
        <v>0</v>
      </c>
      <c r="AB241" s="306">
        <f t="shared" si="68"/>
        <v>0</v>
      </c>
      <c r="AC241" s="305">
        <f>+IF(X241=0,0,HLOOKUP(YEAR(X241)+(MONTH(X241)/100),TC!$5:$37,DAY(X241)+2,FALSE))</f>
        <v>0</v>
      </c>
      <c r="AD241" s="307">
        <f t="shared" si="69"/>
        <v>0</v>
      </c>
      <c r="AE241" s="314">
        <f t="shared" si="58"/>
        <v>0</v>
      </c>
      <c r="AF241" s="315">
        <f t="shared" si="59"/>
        <v>0</v>
      </c>
      <c r="AG241" s="316">
        <f t="shared" si="60"/>
        <v>0</v>
      </c>
      <c r="AH241" s="314">
        <v>1</v>
      </c>
      <c r="AI241" s="314">
        <f t="shared" si="61"/>
        <v>0</v>
      </c>
      <c r="AJ241" s="314">
        <f t="shared" si="70"/>
        <v>0</v>
      </c>
      <c r="AK241" s="317"/>
      <c r="AL241" s="315">
        <f t="shared" si="62"/>
        <v>0</v>
      </c>
      <c r="AN241" s="546">
        <f t="shared" si="63"/>
        <v>0</v>
      </c>
      <c r="AO241" s="314"/>
      <c r="AP241" s="318"/>
    </row>
    <row r="242" spans="2:42">
      <c r="B242" s="296"/>
      <c r="C242" s="299"/>
      <c r="D242" s="298"/>
      <c r="E242" s="299"/>
      <c r="F242" s="299"/>
      <c r="G242" s="300"/>
      <c r="H242" s="303"/>
      <c r="I242" s="301">
        <f t="shared" si="54"/>
        <v>0</v>
      </c>
      <c r="J242" s="302">
        <f t="shared" si="64"/>
        <v>0</v>
      </c>
      <c r="K242" s="304">
        <f t="shared" si="55"/>
        <v>0</v>
      </c>
      <c r="L242" s="305">
        <f>IF(H242=0,0,IF(OR(E242=$AT$5,E242=$AT$6),AA242,IF(F242="MXN",1/HLOOKUP(YEAR(G242)+(MONTH(G242)/100),TC!$5:$37,DAY(G242)+2,FALSE),VLOOKUP(F242,Equivalencia!$5:$23,((MAX(Equivalencia!$3:$3)-YEAR(G242))*14)+MONTH(G242)+2,FALSE))))</f>
        <v>0</v>
      </c>
      <c r="M242" s="306">
        <f t="shared" si="56"/>
        <v>0</v>
      </c>
      <c r="N242" s="305">
        <f>IF(G242=0,0,(IF(OR(E242=$AT$5,E242=$AT$6),AC242,HLOOKUP(YEAR(G242)+(MONTH(G242)/100),TC!$5:$37,DAY(G242)+2,FALSE))))</f>
        <v>0</v>
      </c>
      <c r="O242" s="307">
        <f t="shared" si="65"/>
        <v>0</v>
      </c>
      <c r="P242" s="552">
        <f>IF(G242=0,0,VLOOKUP(YEAR(G242),INPC!$B$4:$P$30,MONTH(G242)+2))</f>
        <v>0</v>
      </c>
      <c r="Q242" s="552">
        <f>IF(X242=0,0,IF(OR(E242=$AT$10,E242=$AT$9),VLOOKUP(YEAR(X242),INPC!$B$4:$P$30,MONTH(X242)+1),VLOOKUP(YEAR(X242),INPC!$B$4:$P$30,MONTH(X242)+2,0)))</f>
        <v>0</v>
      </c>
      <c r="R242" s="309">
        <f t="shared" si="57"/>
        <v>0</v>
      </c>
      <c r="S242" s="310">
        <f t="shared" si="66"/>
        <v>0</v>
      </c>
      <c r="T242" s="547">
        <f t="shared" si="67"/>
        <v>0</v>
      </c>
      <c r="U242" s="311"/>
      <c r="V242" s="312"/>
      <c r="W242" s="299"/>
      <c r="X242" s="300"/>
      <c r="Y242" s="299"/>
      <c r="Z242" s="303"/>
      <c r="AA242" s="305">
        <f>IF(Z242=0,0,IF(Y242="MXN",1/HLOOKUP(YEAR(X242)+(MONTH(X242)/100),TC!$5:$37,DAY(X242)+2,FALSE),VLOOKUP(Y242,Equivalencia!$1:$23,((MAX(Equivalencia!$3:$3)-YEAR(X242))*14)+MONTH(X242)+2,FALSE)))</f>
        <v>0</v>
      </c>
      <c r="AB242" s="306">
        <f t="shared" si="68"/>
        <v>0</v>
      </c>
      <c r="AC242" s="305">
        <f>+IF(X242=0,0,HLOOKUP(YEAR(X242)+(MONTH(X242)/100),TC!$5:$37,DAY(X242)+2,FALSE))</f>
        <v>0</v>
      </c>
      <c r="AD242" s="307">
        <f t="shared" si="69"/>
        <v>0</v>
      </c>
      <c r="AE242" s="314">
        <f t="shared" si="58"/>
        <v>0</v>
      </c>
      <c r="AF242" s="315">
        <f t="shared" si="59"/>
        <v>0</v>
      </c>
      <c r="AG242" s="316">
        <f t="shared" si="60"/>
        <v>0</v>
      </c>
      <c r="AH242" s="314">
        <v>1</v>
      </c>
      <c r="AI242" s="314">
        <f t="shared" si="61"/>
        <v>0</v>
      </c>
      <c r="AJ242" s="314">
        <f t="shared" si="70"/>
        <v>0</v>
      </c>
      <c r="AK242" s="317"/>
      <c r="AL242" s="315">
        <f t="shared" si="62"/>
        <v>0</v>
      </c>
      <c r="AN242" s="546">
        <f t="shared" si="63"/>
        <v>0</v>
      </c>
      <c r="AO242" s="314"/>
      <c r="AP242" s="318"/>
    </row>
    <row r="243" spans="2:42">
      <c r="B243" s="296"/>
      <c r="C243" s="299"/>
      <c r="D243" s="298"/>
      <c r="E243" s="299"/>
      <c r="F243" s="299"/>
      <c r="G243" s="300"/>
      <c r="H243" s="303"/>
      <c r="I243" s="301">
        <f t="shared" si="54"/>
        <v>0</v>
      </c>
      <c r="J243" s="302">
        <f t="shared" si="64"/>
        <v>0</v>
      </c>
      <c r="K243" s="304">
        <f t="shared" si="55"/>
        <v>0</v>
      </c>
      <c r="L243" s="305">
        <f>IF(H243=0,0,IF(OR(E243=$AT$5,E243=$AT$6),AA243,IF(F243="MXN",1/HLOOKUP(YEAR(G243)+(MONTH(G243)/100),TC!$5:$37,DAY(G243)+2,FALSE),VLOOKUP(F243,Equivalencia!$5:$23,((MAX(Equivalencia!$3:$3)-YEAR(G243))*14)+MONTH(G243)+2,FALSE))))</f>
        <v>0</v>
      </c>
      <c r="M243" s="306">
        <f t="shared" si="56"/>
        <v>0</v>
      </c>
      <c r="N243" s="305">
        <f>IF(G243=0,0,(IF(OR(E243=$AT$5,E243=$AT$6),AC243,HLOOKUP(YEAR(G243)+(MONTH(G243)/100),TC!$5:$37,DAY(G243)+2,FALSE))))</f>
        <v>0</v>
      </c>
      <c r="O243" s="307">
        <f t="shared" si="65"/>
        <v>0</v>
      </c>
      <c r="P243" s="552">
        <f>IF(G243=0,0,VLOOKUP(YEAR(G243),INPC!$B$4:$P$30,MONTH(G243)+2))</f>
        <v>0</v>
      </c>
      <c r="Q243" s="552">
        <f>IF(X243=0,0,IF(OR(E243=$AT$10,E243=$AT$9),VLOOKUP(YEAR(X243),INPC!$B$4:$P$30,MONTH(X243)+1),VLOOKUP(YEAR(X243),INPC!$B$4:$P$30,MONTH(X243)+2,0)))</f>
        <v>0</v>
      </c>
      <c r="R243" s="309">
        <f t="shared" si="57"/>
        <v>0</v>
      </c>
      <c r="S243" s="310">
        <f t="shared" si="66"/>
        <v>0</v>
      </c>
      <c r="T243" s="547">
        <f t="shared" si="67"/>
        <v>0</v>
      </c>
      <c r="U243" s="311"/>
      <c r="V243" s="312"/>
      <c r="W243" s="299"/>
      <c r="X243" s="300"/>
      <c r="Y243" s="299"/>
      <c r="Z243" s="303"/>
      <c r="AA243" s="305">
        <f>IF(Z243=0,0,IF(Y243="MXN",1/HLOOKUP(YEAR(X243)+(MONTH(X243)/100),TC!$5:$37,DAY(X243)+2,FALSE),VLOOKUP(Y243,Equivalencia!$1:$23,((MAX(Equivalencia!$3:$3)-YEAR(X243))*14)+MONTH(X243)+2,FALSE)))</f>
        <v>0</v>
      </c>
      <c r="AB243" s="306">
        <f t="shared" si="68"/>
        <v>0</v>
      </c>
      <c r="AC243" s="305">
        <f>+IF(X243=0,0,HLOOKUP(YEAR(X243)+(MONTH(X243)/100),TC!$5:$37,DAY(X243)+2,FALSE))</f>
        <v>0</v>
      </c>
      <c r="AD243" s="307">
        <f t="shared" si="69"/>
        <v>0</v>
      </c>
      <c r="AE243" s="314">
        <f t="shared" si="58"/>
        <v>0</v>
      </c>
      <c r="AF243" s="315">
        <f t="shared" si="59"/>
        <v>0</v>
      </c>
      <c r="AG243" s="316">
        <f t="shared" si="60"/>
        <v>0</v>
      </c>
      <c r="AH243" s="314">
        <v>1</v>
      </c>
      <c r="AI243" s="314">
        <f t="shared" si="61"/>
        <v>0</v>
      </c>
      <c r="AJ243" s="314">
        <f t="shared" si="70"/>
        <v>0</v>
      </c>
      <c r="AK243" s="317"/>
      <c r="AL243" s="315">
        <f t="shared" si="62"/>
        <v>0</v>
      </c>
      <c r="AN243" s="546">
        <f t="shared" si="63"/>
        <v>0</v>
      </c>
      <c r="AO243" s="314"/>
      <c r="AP243" s="318"/>
    </row>
    <row r="244" spans="2:42">
      <c r="B244" s="296"/>
      <c r="C244" s="299"/>
      <c r="D244" s="298"/>
      <c r="E244" s="299"/>
      <c r="F244" s="299"/>
      <c r="G244" s="300"/>
      <c r="H244" s="303"/>
      <c r="I244" s="301">
        <f t="shared" si="54"/>
        <v>0</v>
      </c>
      <c r="J244" s="302">
        <f t="shared" si="64"/>
        <v>0</v>
      </c>
      <c r="K244" s="304">
        <f t="shared" si="55"/>
        <v>0</v>
      </c>
      <c r="L244" s="305">
        <f>IF(H244=0,0,IF(OR(E244=$AT$5,E244=$AT$6),AA244,IF(F244="MXN",1/HLOOKUP(YEAR(G244)+(MONTH(G244)/100),TC!$5:$37,DAY(G244)+2,FALSE),VLOOKUP(F244,Equivalencia!$5:$23,((MAX(Equivalencia!$3:$3)-YEAR(G244))*14)+MONTH(G244)+2,FALSE))))</f>
        <v>0</v>
      </c>
      <c r="M244" s="306">
        <f t="shared" si="56"/>
        <v>0</v>
      </c>
      <c r="N244" s="305">
        <f>IF(G244=0,0,(IF(OR(E244=$AT$5,E244=$AT$6),AC244,HLOOKUP(YEAR(G244)+(MONTH(G244)/100),TC!$5:$37,DAY(G244)+2,FALSE))))</f>
        <v>0</v>
      </c>
      <c r="O244" s="307">
        <f t="shared" si="65"/>
        <v>0</v>
      </c>
      <c r="P244" s="552">
        <f>IF(G244=0,0,VLOOKUP(YEAR(G244),INPC!$B$4:$P$30,MONTH(G244)+2))</f>
        <v>0</v>
      </c>
      <c r="Q244" s="552">
        <f>IF(X244=0,0,IF(OR(E244=$AT$10,E244=$AT$9),VLOOKUP(YEAR(X244),INPC!$B$4:$P$30,MONTH(X244)+1),VLOOKUP(YEAR(X244),INPC!$B$4:$P$30,MONTH(X244)+2,0)))</f>
        <v>0</v>
      </c>
      <c r="R244" s="309">
        <f t="shared" si="57"/>
        <v>0</v>
      </c>
      <c r="S244" s="310">
        <f t="shared" si="66"/>
        <v>0</v>
      </c>
      <c r="T244" s="547">
        <f t="shared" si="67"/>
        <v>0</v>
      </c>
      <c r="U244" s="311"/>
      <c r="V244" s="312"/>
      <c r="W244" s="299"/>
      <c r="X244" s="300"/>
      <c r="Y244" s="299"/>
      <c r="Z244" s="303"/>
      <c r="AA244" s="305">
        <f>IF(Z244=0,0,IF(Y244="MXN",1/HLOOKUP(YEAR(X244)+(MONTH(X244)/100),TC!$5:$37,DAY(X244)+2,FALSE),VLOOKUP(Y244,Equivalencia!$1:$23,((MAX(Equivalencia!$3:$3)-YEAR(X244))*14)+MONTH(X244)+2,FALSE)))</f>
        <v>0</v>
      </c>
      <c r="AB244" s="306">
        <f t="shared" si="68"/>
        <v>0</v>
      </c>
      <c r="AC244" s="305">
        <f>+IF(X244=0,0,HLOOKUP(YEAR(X244)+(MONTH(X244)/100),TC!$5:$37,DAY(X244)+2,FALSE))</f>
        <v>0</v>
      </c>
      <c r="AD244" s="307">
        <f t="shared" si="69"/>
        <v>0</v>
      </c>
      <c r="AE244" s="314">
        <f t="shared" si="58"/>
        <v>0</v>
      </c>
      <c r="AF244" s="315">
        <f t="shared" si="59"/>
        <v>0</v>
      </c>
      <c r="AG244" s="316">
        <f t="shared" si="60"/>
        <v>0</v>
      </c>
      <c r="AH244" s="314">
        <v>1</v>
      </c>
      <c r="AI244" s="314">
        <f t="shared" si="61"/>
        <v>0</v>
      </c>
      <c r="AJ244" s="314">
        <f t="shared" si="70"/>
        <v>0</v>
      </c>
      <c r="AK244" s="317"/>
      <c r="AL244" s="315">
        <f t="shared" si="62"/>
        <v>0</v>
      </c>
      <c r="AN244" s="546">
        <f t="shared" si="63"/>
        <v>0</v>
      </c>
      <c r="AO244" s="314"/>
      <c r="AP244" s="318"/>
    </row>
    <row r="245" spans="2:42">
      <c r="B245" s="296"/>
      <c r="C245" s="299"/>
      <c r="D245" s="298"/>
      <c r="E245" s="299"/>
      <c r="F245" s="299"/>
      <c r="G245" s="300"/>
      <c r="H245" s="303"/>
      <c r="I245" s="301">
        <f t="shared" si="54"/>
        <v>0</v>
      </c>
      <c r="J245" s="302">
        <f t="shared" si="64"/>
        <v>0</v>
      </c>
      <c r="K245" s="304">
        <f t="shared" si="55"/>
        <v>0</v>
      </c>
      <c r="L245" s="305">
        <f>IF(H245=0,0,IF(OR(E245=$AT$5,E245=$AT$6),AA245,IF(F245="MXN",1/HLOOKUP(YEAR(G245)+(MONTH(G245)/100),TC!$5:$37,DAY(G245)+2,FALSE),VLOOKUP(F245,Equivalencia!$5:$23,((MAX(Equivalencia!$3:$3)-YEAR(G245))*14)+MONTH(G245)+2,FALSE))))</f>
        <v>0</v>
      </c>
      <c r="M245" s="306">
        <f t="shared" si="56"/>
        <v>0</v>
      </c>
      <c r="N245" s="305">
        <f>IF(G245=0,0,(IF(OR(E245=$AT$5,E245=$AT$6),AC245,HLOOKUP(YEAR(G245)+(MONTH(G245)/100),TC!$5:$37,DAY(G245)+2,FALSE))))</f>
        <v>0</v>
      </c>
      <c r="O245" s="307">
        <f t="shared" si="65"/>
        <v>0</v>
      </c>
      <c r="P245" s="552">
        <f>IF(G245=0,0,VLOOKUP(YEAR(G245),INPC!$B$4:$P$30,MONTH(G245)+2))</f>
        <v>0</v>
      </c>
      <c r="Q245" s="552">
        <f>IF(X245=0,0,IF(OR(E245=$AT$10,E245=$AT$9),VLOOKUP(YEAR(X245),INPC!$B$4:$P$30,MONTH(X245)+1),VLOOKUP(YEAR(X245),INPC!$B$4:$P$30,MONTH(X245)+2,0)))</f>
        <v>0</v>
      </c>
      <c r="R245" s="309">
        <f t="shared" si="57"/>
        <v>0</v>
      </c>
      <c r="S245" s="310">
        <f t="shared" si="66"/>
        <v>0</v>
      </c>
      <c r="T245" s="547">
        <f t="shared" si="67"/>
        <v>0</v>
      </c>
      <c r="U245" s="311"/>
      <c r="V245" s="312"/>
      <c r="W245" s="299"/>
      <c r="X245" s="300"/>
      <c r="Y245" s="299"/>
      <c r="Z245" s="303"/>
      <c r="AA245" s="305">
        <f>IF(Z245=0,0,IF(Y245="MXN",1/HLOOKUP(YEAR(X245)+(MONTH(X245)/100),TC!$5:$37,DAY(X245)+2,FALSE),VLOOKUP(Y245,Equivalencia!$1:$23,((MAX(Equivalencia!$3:$3)-YEAR(X245))*14)+MONTH(X245)+2,FALSE)))</f>
        <v>0</v>
      </c>
      <c r="AB245" s="306">
        <f t="shared" si="68"/>
        <v>0</v>
      </c>
      <c r="AC245" s="305">
        <f>+IF(X245=0,0,HLOOKUP(YEAR(X245)+(MONTH(X245)/100),TC!$5:$37,DAY(X245)+2,FALSE))</f>
        <v>0</v>
      </c>
      <c r="AD245" s="307">
        <f t="shared" si="69"/>
        <v>0</v>
      </c>
      <c r="AE245" s="314">
        <f t="shared" si="58"/>
        <v>0</v>
      </c>
      <c r="AF245" s="315">
        <f t="shared" si="59"/>
        <v>0</v>
      </c>
      <c r="AG245" s="316">
        <f t="shared" si="60"/>
        <v>0</v>
      </c>
      <c r="AH245" s="314">
        <v>1</v>
      </c>
      <c r="AI245" s="314">
        <f t="shared" si="61"/>
        <v>0</v>
      </c>
      <c r="AJ245" s="314">
        <f t="shared" si="70"/>
        <v>0</v>
      </c>
      <c r="AK245" s="317"/>
      <c r="AL245" s="315">
        <f t="shared" si="62"/>
        <v>0</v>
      </c>
      <c r="AN245" s="546">
        <f t="shared" si="63"/>
        <v>0</v>
      </c>
      <c r="AO245" s="314"/>
      <c r="AP245" s="318"/>
    </row>
    <row r="246" spans="2:42">
      <c r="B246" s="296"/>
      <c r="C246" s="299"/>
      <c r="D246" s="298"/>
      <c r="E246" s="299"/>
      <c r="F246" s="299"/>
      <c r="G246" s="300"/>
      <c r="H246" s="303"/>
      <c r="I246" s="301">
        <f t="shared" si="54"/>
        <v>0</v>
      </c>
      <c r="J246" s="302">
        <f t="shared" si="64"/>
        <v>0</v>
      </c>
      <c r="K246" s="304">
        <f t="shared" si="55"/>
        <v>0</v>
      </c>
      <c r="L246" s="305">
        <f>IF(H246=0,0,IF(OR(E246=$AT$5,E246=$AT$6),AA246,IF(F246="MXN",1/HLOOKUP(YEAR(G246)+(MONTH(G246)/100),TC!$5:$37,DAY(G246)+2,FALSE),VLOOKUP(F246,Equivalencia!$5:$23,((MAX(Equivalencia!$3:$3)-YEAR(G246))*14)+MONTH(G246)+2,FALSE))))</f>
        <v>0</v>
      </c>
      <c r="M246" s="306">
        <f t="shared" si="56"/>
        <v>0</v>
      </c>
      <c r="N246" s="305">
        <f>IF(G246=0,0,(IF(OR(E246=$AT$5,E246=$AT$6),AC246,HLOOKUP(YEAR(G246)+(MONTH(G246)/100),TC!$5:$37,DAY(G246)+2,FALSE))))</f>
        <v>0</v>
      </c>
      <c r="O246" s="307">
        <f t="shared" si="65"/>
        <v>0</v>
      </c>
      <c r="P246" s="552">
        <f>IF(G246=0,0,VLOOKUP(YEAR(G246),INPC!$B$4:$P$30,MONTH(G246)+2))</f>
        <v>0</v>
      </c>
      <c r="Q246" s="552">
        <f>IF(X246=0,0,IF(OR(E246=$AT$10,E246=$AT$9),VLOOKUP(YEAR(X246),INPC!$B$4:$P$30,MONTH(X246)+1),VLOOKUP(YEAR(X246),INPC!$B$4:$P$30,MONTH(X246)+2,0)))</f>
        <v>0</v>
      </c>
      <c r="R246" s="309">
        <f t="shared" si="57"/>
        <v>0</v>
      </c>
      <c r="S246" s="310">
        <f t="shared" si="66"/>
        <v>0</v>
      </c>
      <c r="T246" s="547">
        <f t="shared" si="67"/>
        <v>0</v>
      </c>
      <c r="U246" s="311"/>
      <c r="V246" s="312"/>
      <c r="W246" s="299"/>
      <c r="X246" s="300"/>
      <c r="Y246" s="299"/>
      <c r="Z246" s="303"/>
      <c r="AA246" s="305">
        <f>IF(Z246=0,0,IF(Y246="MXN",1/HLOOKUP(YEAR(X246)+(MONTH(X246)/100),TC!$5:$37,DAY(X246)+2,FALSE),VLOOKUP(Y246,Equivalencia!$1:$23,((MAX(Equivalencia!$3:$3)-YEAR(X246))*14)+MONTH(X246)+2,FALSE)))</f>
        <v>0</v>
      </c>
      <c r="AB246" s="306">
        <f t="shared" si="68"/>
        <v>0</v>
      </c>
      <c r="AC246" s="305">
        <f>+IF(X246=0,0,HLOOKUP(YEAR(X246)+(MONTH(X246)/100),TC!$5:$37,DAY(X246)+2,FALSE))</f>
        <v>0</v>
      </c>
      <c r="AD246" s="307">
        <f t="shared" si="69"/>
        <v>0</v>
      </c>
      <c r="AE246" s="314">
        <f t="shared" si="58"/>
        <v>0</v>
      </c>
      <c r="AF246" s="315">
        <f t="shared" si="59"/>
        <v>0</v>
      </c>
      <c r="AG246" s="316">
        <f t="shared" si="60"/>
        <v>0</v>
      </c>
      <c r="AH246" s="314">
        <v>1</v>
      </c>
      <c r="AI246" s="314">
        <f t="shared" si="61"/>
        <v>0</v>
      </c>
      <c r="AJ246" s="314">
        <f t="shared" si="70"/>
        <v>0</v>
      </c>
      <c r="AK246" s="317"/>
      <c r="AL246" s="315">
        <f t="shared" si="62"/>
        <v>0</v>
      </c>
      <c r="AN246" s="546">
        <f t="shared" si="63"/>
        <v>0</v>
      </c>
      <c r="AO246" s="314"/>
      <c r="AP246" s="318"/>
    </row>
    <row r="247" spans="2:42">
      <c r="B247" s="296"/>
      <c r="C247" s="299"/>
      <c r="D247" s="298"/>
      <c r="E247" s="299"/>
      <c r="F247" s="299"/>
      <c r="G247" s="300"/>
      <c r="H247" s="303"/>
      <c r="I247" s="301">
        <f t="shared" si="54"/>
        <v>0</v>
      </c>
      <c r="J247" s="302">
        <f t="shared" si="64"/>
        <v>0</v>
      </c>
      <c r="K247" s="304">
        <f t="shared" si="55"/>
        <v>0</v>
      </c>
      <c r="L247" s="305">
        <f>IF(H247=0,0,IF(OR(E247=$AT$5,E247=$AT$6),AA247,IF(F247="MXN",1/HLOOKUP(YEAR(G247)+(MONTH(G247)/100),TC!$5:$37,DAY(G247)+2,FALSE),VLOOKUP(F247,Equivalencia!$5:$23,((MAX(Equivalencia!$3:$3)-YEAR(G247))*14)+MONTH(G247)+2,FALSE))))</f>
        <v>0</v>
      </c>
      <c r="M247" s="306">
        <f t="shared" si="56"/>
        <v>0</v>
      </c>
      <c r="N247" s="305">
        <f>IF(G247=0,0,(IF(OR(E247=$AT$5,E247=$AT$6),AC247,HLOOKUP(YEAR(G247)+(MONTH(G247)/100),TC!$5:$37,DAY(G247)+2,FALSE))))</f>
        <v>0</v>
      </c>
      <c r="O247" s="307">
        <f t="shared" si="65"/>
        <v>0</v>
      </c>
      <c r="P247" s="552">
        <f>IF(G247=0,0,VLOOKUP(YEAR(G247),INPC!$B$4:$P$30,MONTH(G247)+2))</f>
        <v>0</v>
      </c>
      <c r="Q247" s="552">
        <f>IF(X247=0,0,IF(OR(E247=$AT$10,E247=$AT$9),VLOOKUP(YEAR(X247),INPC!$B$4:$P$30,MONTH(X247)+1),VLOOKUP(YEAR(X247),INPC!$B$4:$P$30,MONTH(X247)+2,0)))</f>
        <v>0</v>
      </c>
      <c r="R247" s="309">
        <f t="shared" si="57"/>
        <v>0</v>
      </c>
      <c r="S247" s="310">
        <f t="shared" si="66"/>
        <v>0</v>
      </c>
      <c r="T247" s="547">
        <f t="shared" si="67"/>
        <v>0</v>
      </c>
      <c r="U247" s="311"/>
      <c r="V247" s="312"/>
      <c r="W247" s="299"/>
      <c r="X247" s="300"/>
      <c r="Y247" s="299"/>
      <c r="Z247" s="303"/>
      <c r="AA247" s="305">
        <f>IF(Z247=0,0,IF(Y247="MXN",1/HLOOKUP(YEAR(X247)+(MONTH(X247)/100),TC!$5:$37,DAY(X247)+2,FALSE),VLOOKUP(Y247,Equivalencia!$1:$23,((MAX(Equivalencia!$3:$3)-YEAR(X247))*14)+MONTH(X247)+2,FALSE)))</f>
        <v>0</v>
      </c>
      <c r="AB247" s="306">
        <f t="shared" si="68"/>
        <v>0</v>
      </c>
      <c r="AC247" s="305">
        <f>+IF(X247=0,0,HLOOKUP(YEAR(X247)+(MONTH(X247)/100),TC!$5:$37,DAY(X247)+2,FALSE))</f>
        <v>0</v>
      </c>
      <c r="AD247" s="307">
        <f t="shared" si="69"/>
        <v>0</v>
      </c>
      <c r="AE247" s="314">
        <f t="shared" si="58"/>
        <v>0</v>
      </c>
      <c r="AF247" s="315">
        <f t="shared" si="59"/>
        <v>0</v>
      </c>
      <c r="AG247" s="316">
        <f t="shared" si="60"/>
        <v>0</v>
      </c>
      <c r="AH247" s="314">
        <v>1</v>
      </c>
      <c r="AI247" s="314">
        <f t="shared" si="61"/>
        <v>0</v>
      </c>
      <c r="AJ247" s="314">
        <f t="shared" si="70"/>
        <v>0</v>
      </c>
      <c r="AK247" s="317"/>
      <c r="AL247" s="315">
        <f t="shared" si="62"/>
        <v>0</v>
      </c>
      <c r="AN247" s="546">
        <f t="shared" si="63"/>
        <v>0</v>
      </c>
      <c r="AO247" s="314"/>
      <c r="AP247" s="318"/>
    </row>
    <row r="248" spans="2:42">
      <c r="B248" s="296"/>
      <c r="C248" s="299"/>
      <c r="D248" s="298"/>
      <c r="E248" s="299"/>
      <c r="F248" s="299"/>
      <c r="G248" s="300"/>
      <c r="H248" s="303"/>
      <c r="I248" s="301">
        <f t="shared" si="54"/>
        <v>0</v>
      </c>
      <c r="J248" s="302">
        <f t="shared" si="64"/>
        <v>0</v>
      </c>
      <c r="K248" s="304">
        <f t="shared" si="55"/>
        <v>0</v>
      </c>
      <c r="L248" s="305">
        <f>IF(H248=0,0,IF(OR(E248=$AT$5,E248=$AT$6),AA248,IF(F248="MXN",1/HLOOKUP(YEAR(G248)+(MONTH(G248)/100),TC!$5:$37,DAY(G248)+2,FALSE),VLOOKUP(F248,Equivalencia!$5:$23,((MAX(Equivalencia!$3:$3)-YEAR(G248))*14)+MONTH(G248)+2,FALSE))))</f>
        <v>0</v>
      </c>
      <c r="M248" s="306">
        <f t="shared" si="56"/>
        <v>0</v>
      </c>
      <c r="N248" s="305">
        <f>IF(G248=0,0,(IF(OR(E248=$AT$5,E248=$AT$6),AC248,HLOOKUP(YEAR(G248)+(MONTH(G248)/100),TC!$5:$37,DAY(G248)+2,FALSE))))</f>
        <v>0</v>
      </c>
      <c r="O248" s="307">
        <f t="shared" si="65"/>
        <v>0</v>
      </c>
      <c r="P248" s="552">
        <f>IF(G248=0,0,VLOOKUP(YEAR(G248),INPC!$B$4:$P$30,MONTH(G248)+2))</f>
        <v>0</v>
      </c>
      <c r="Q248" s="552">
        <f>IF(X248=0,0,IF(OR(E248=$AT$10,E248=$AT$9),VLOOKUP(YEAR(X248),INPC!$B$4:$P$30,MONTH(X248)+1),VLOOKUP(YEAR(X248),INPC!$B$4:$P$30,MONTH(X248)+2,0)))</f>
        <v>0</v>
      </c>
      <c r="R248" s="309">
        <f t="shared" si="57"/>
        <v>0</v>
      </c>
      <c r="S248" s="310">
        <f t="shared" si="66"/>
        <v>0</v>
      </c>
      <c r="T248" s="547">
        <f t="shared" si="67"/>
        <v>0</v>
      </c>
      <c r="U248" s="311"/>
      <c r="V248" s="312"/>
      <c r="W248" s="299"/>
      <c r="X248" s="300"/>
      <c r="Y248" s="299"/>
      <c r="Z248" s="303"/>
      <c r="AA248" s="305">
        <f>IF(Z248=0,0,IF(Y248="MXN",1/HLOOKUP(YEAR(X248)+(MONTH(X248)/100),TC!$5:$37,DAY(X248)+2,FALSE),VLOOKUP(Y248,Equivalencia!$1:$23,((MAX(Equivalencia!$3:$3)-YEAR(X248))*14)+MONTH(X248)+2,FALSE)))</f>
        <v>0</v>
      </c>
      <c r="AB248" s="306">
        <f t="shared" si="68"/>
        <v>0</v>
      </c>
      <c r="AC248" s="305">
        <f>+IF(X248=0,0,HLOOKUP(YEAR(X248)+(MONTH(X248)/100),TC!$5:$37,DAY(X248)+2,FALSE))</f>
        <v>0</v>
      </c>
      <c r="AD248" s="307">
        <f t="shared" si="69"/>
        <v>0</v>
      </c>
      <c r="AE248" s="314">
        <f t="shared" si="58"/>
        <v>0</v>
      </c>
      <c r="AF248" s="315">
        <f t="shared" si="59"/>
        <v>0</v>
      </c>
      <c r="AG248" s="316">
        <f t="shared" si="60"/>
        <v>0</v>
      </c>
      <c r="AH248" s="314">
        <v>1</v>
      </c>
      <c r="AI248" s="314">
        <f t="shared" si="61"/>
        <v>0</v>
      </c>
      <c r="AJ248" s="314">
        <f t="shared" si="70"/>
        <v>0</v>
      </c>
      <c r="AK248" s="317"/>
      <c r="AL248" s="315">
        <f t="shared" si="62"/>
        <v>0</v>
      </c>
      <c r="AN248" s="546">
        <f t="shared" si="63"/>
        <v>0</v>
      </c>
      <c r="AO248" s="314"/>
      <c r="AP248" s="318"/>
    </row>
    <row r="249" spans="2:42">
      <c r="B249" s="296"/>
      <c r="C249" s="299"/>
      <c r="D249" s="298"/>
      <c r="E249" s="299"/>
      <c r="F249" s="299"/>
      <c r="G249" s="300"/>
      <c r="H249" s="303"/>
      <c r="I249" s="301">
        <f t="shared" si="54"/>
        <v>0</v>
      </c>
      <c r="J249" s="302">
        <f t="shared" si="64"/>
        <v>0</v>
      </c>
      <c r="K249" s="304">
        <f t="shared" si="55"/>
        <v>0</v>
      </c>
      <c r="L249" s="305">
        <f>IF(H249=0,0,IF(OR(E249=$AT$5,E249=$AT$6),AA249,IF(F249="MXN",1/HLOOKUP(YEAR(G249)+(MONTH(G249)/100),TC!$5:$37,DAY(G249)+2,FALSE),VLOOKUP(F249,Equivalencia!$5:$23,((MAX(Equivalencia!$3:$3)-YEAR(G249))*14)+MONTH(G249)+2,FALSE))))</f>
        <v>0</v>
      </c>
      <c r="M249" s="306">
        <f t="shared" si="56"/>
        <v>0</v>
      </c>
      <c r="N249" s="305">
        <f>IF(G249=0,0,(IF(OR(E249=$AT$5,E249=$AT$6),AC249,HLOOKUP(YEAR(G249)+(MONTH(G249)/100),TC!$5:$37,DAY(G249)+2,FALSE))))</f>
        <v>0</v>
      </c>
      <c r="O249" s="307">
        <f t="shared" si="65"/>
        <v>0</v>
      </c>
      <c r="P249" s="552">
        <f>IF(G249=0,0,VLOOKUP(YEAR(G249),INPC!$B$4:$P$30,MONTH(G249)+2))</f>
        <v>0</v>
      </c>
      <c r="Q249" s="552">
        <f>IF(X249=0,0,IF(OR(E249=$AT$10,E249=$AT$9),VLOOKUP(YEAR(X249),INPC!$B$4:$P$30,MONTH(X249)+1),VLOOKUP(YEAR(X249),INPC!$B$4:$P$30,MONTH(X249)+2,0)))</f>
        <v>0</v>
      </c>
      <c r="R249" s="309">
        <f t="shared" si="57"/>
        <v>0</v>
      </c>
      <c r="S249" s="310">
        <f t="shared" si="66"/>
        <v>0</v>
      </c>
      <c r="T249" s="547">
        <f t="shared" si="67"/>
        <v>0</v>
      </c>
      <c r="U249" s="311"/>
      <c r="V249" s="312"/>
      <c r="W249" s="299"/>
      <c r="X249" s="300"/>
      <c r="Y249" s="299"/>
      <c r="Z249" s="303"/>
      <c r="AA249" s="305">
        <f>IF(Z249=0,0,IF(Y249="MXN",1/HLOOKUP(YEAR(X249)+(MONTH(X249)/100),TC!$5:$37,DAY(X249)+2,FALSE),VLOOKUP(Y249,Equivalencia!$1:$23,((MAX(Equivalencia!$3:$3)-YEAR(X249))*14)+MONTH(X249)+2,FALSE)))</f>
        <v>0</v>
      </c>
      <c r="AB249" s="306">
        <f t="shared" si="68"/>
        <v>0</v>
      </c>
      <c r="AC249" s="305">
        <f>+IF(X249=0,0,HLOOKUP(YEAR(X249)+(MONTH(X249)/100),TC!$5:$37,DAY(X249)+2,FALSE))</f>
        <v>0</v>
      </c>
      <c r="AD249" s="307">
        <f t="shared" si="69"/>
        <v>0</v>
      </c>
      <c r="AE249" s="314">
        <f t="shared" si="58"/>
        <v>0</v>
      </c>
      <c r="AF249" s="315">
        <f t="shared" si="59"/>
        <v>0</v>
      </c>
      <c r="AG249" s="316">
        <f t="shared" si="60"/>
        <v>0</v>
      </c>
      <c r="AH249" s="314">
        <v>1</v>
      </c>
      <c r="AI249" s="314">
        <f t="shared" si="61"/>
        <v>0</v>
      </c>
      <c r="AJ249" s="314">
        <f t="shared" si="70"/>
        <v>0</v>
      </c>
      <c r="AK249" s="317"/>
      <c r="AL249" s="315">
        <f t="shared" si="62"/>
        <v>0</v>
      </c>
      <c r="AN249" s="546">
        <f t="shared" si="63"/>
        <v>0</v>
      </c>
      <c r="AO249" s="314"/>
      <c r="AP249" s="318"/>
    </row>
    <row r="250" spans="2:42">
      <c r="B250" s="296"/>
      <c r="C250" s="299"/>
      <c r="D250" s="298"/>
      <c r="E250" s="299"/>
      <c r="F250" s="299"/>
      <c r="G250" s="300"/>
      <c r="H250" s="303"/>
      <c r="I250" s="301">
        <f t="shared" si="54"/>
        <v>0</v>
      </c>
      <c r="J250" s="302">
        <f t="shared" si="64"/>
        <v>0</v>
      </c>
      <c r="K250" s="304">
        <f t="shared" si="55"/>
        <v>0</v>
      </c>
      <c r="L250" s="305">
        <f>IF(H250=0,0,IF(OR(E250=$AT$5,E250=$AT$6),AA250,IF(F250="MXN",1/HLOOKUP(YEAR(G250)+(MONTH(G250)/100),TC!$5:$37,DAY(G250)+2,FALSE),VLOOKUP(F250,Equivalencia!$5:$23,((MAX(Equivalencia!$3:$3)-YEAR(G250))*14)+MONTH(G250)+2,FALSE))))</f>
        <v>0</v>
      </c>
      <c r="M250" s="306">
        <f t="shared" si="56"/>
        <v>0</v>
      </c>
      <c r="N250" s="305">
        <f>IF(G250=0,0,(IF(OR(E250=$AT$5,E250=$AT$6),AC250,HLOOKUP(YEAR(G250)+(MONTH(G250)/100),TC!$5:$37,DAY(G250)+2,FALSE))))</f>
        <v>0</v>
      </c>
      <c r="O250" s="307">
        <f t="shared" si="65"/>
        <v>0</v>
      </c>
      <c r="P250" s="552">
        <f>IF(G250=0,0,VLOOKUP(YEAR(G250),INPC!$B$4:$P$30,MONTH(G250)+2))</f>
        <v>0</v>
      </c>
      <c r="Q250" s="552">
        <f>IF(X250=0,0,IF(OR(E250=$AT$10,E250=$AT$9),VLOOKUP(YEAR(X250),INPC!$B$4:$P$30,MONTH(X250)+1),VLOOKUP(YEAR(X250),INPC!$B$4:$P$30,MONTH(X250)+2,0)))</f>
        <v>0</v>
      </c>
      <c r="R250" s="309">
        <f t="shared" si="57"/>
        <v>0</v>
      </c>
      <c r="S250" s="310">
        <f t="shared" si="66"/>
        <v>0</v>
      </c>
      <c r="T250" s="547">
        <f t="shared" si="67"/>
        <v>0</v>
      </c>
      <c r="U250" s="311"/>
      <c r="V250" s="312"/>
      <c r="W250" s="299"/>
      <c r="X250" s="300"/>
      <c r="Y250" s="299"/>
      <c r="Z250" s="303"/>
      <c r="AA250" s="305">
        <f>IF(Z250=0,0,IF(Y250="MXN",1/HLOOKUP(YEAR(X250)+(MONTH(X250)/100),TC!$5:$37,DAY(X250)+2,FALSE),VLOOKUP(Y250,Equivalencia!$1:$23,((MAX(Equivalencia!$3:$3)-YEAR(X250))*14)+MONTH(X250)+2,FALSE)))</f>
        <v>0</v>
      </c>
      <c r="AB250" s="306">
        <f t="shared" si="68"/>
        <v>0</v>
      </c>
      <c r="AC250" s="305">
        <f>+IF(X250=0,0,HLOOKUP(YEAR(X250)+(MONTH(X250)/100),TC!$5:$37,DAY(X250)+2,FALSE))</f>
        <v>0</v>
      </c>
      <c r="AD250" s="307">
        <f t="shared" si="69"/>
        <v>0</v>
      </c>
      <c r="AE250" s="314">
        <f t="shared" si="58"/>
        <v>0</v>
      </c>
      <c r="AF250" s="315">
        <f t="shared" si="59"/>
        <v>0</v>
      </c>
      <c r="AG250" s="316">
        <f t="shared" si="60"/>
        <v>0</v>
      </c>
      <c r="AH250" s="314">
        <v>1</v>
      </c>
      <c r="AI250" s="314">
        <f t="shared" si="61"/>
        <v>0</v>
      </c>
      <c r="AJ250" s="314">
        <f t="shared" si="70"/>
        <v>0</v>
      </c>
      <c r="AK250" s="317"/>
      <c r="AL250" s="315">
        <f t="shared" si="62"/>
        <v>0</v>
      </c>
      <c r="AN250" s="546">
        <f t="shared" si="63"/>
        <v>0</v>
      </c>
      <c r="AO250" s="314"/>
      <c r="AP250" s="318"/>
    </row>
    <row r="251" spans="2:42">
      <c r="B251" s="296"/>
      <c r="C251" s="299"/>
      <c r="D251" s="298"/>
      <c r="E251" s="299"/>
      <c r="F251" s="299"/>
      <c r="G251" s="300"/>
      <c r="H251" s="303"/>
      <c r="I251" s="301">
        <f t="shared" si="54"/>
        <v>0</v>
      </c>
      <c r="J251" s="302">
        <f t="shared" si="64"/>
        <v>0</v>
      </c>
      <c r="K251" s="304">
        <f t="shared" si="55"/>
        <v>0</v>
      </c>
      <c r="L251" s="305">
        <f>IF(H251=0,0,IF(OR(E251=$AT$5,E251=$AT$6),AA251,IF(F251="MXN",1/HLOOKUP(YEAR(G251)+(MONTH(G251)/100),TC!$5:$37,DAY(G251)+2,FALSE),VLOOKUP(F251,Equivalencia!$5:$23,((MAX(Equivalencia!$3:$3)-YEAR(G251))*14)+MONTH(G251)+2,FALSE))))</f>
        <v>0</v>
      </c>
      <c r="M251" s="306">
        <f t="shared" si="56"/>
        <v>0</v>
      </c>
      <c r="N251" s="305">
        <f>IF(G251=0,0,(IF(OR(E251=$AT$5,E251=$AT$6),AC251,HLOOKUP(YEAR(G251)+(MONTH(G251)/100),TC!$5:$37,DAY(G251)+2,FALSE))))</f>
        <v>0</v>
      </c>
      <c r="O251" s="307">
        <f t="shared" si="65"/>
        <v>0</v>
      </c>
      <c r="P251" s="552">
        <f>IF(G251=0,0,VLOOKUP(YEAR(G251),INPC!$B$4:$P$30,MONTH(G251)+2))</f>
        <v>0</v>
      </c>
      <c r="Q251" s="552">
        <f>IF(X251=0,0,IF(OR(E251=$AT$10,E251=$AT$9),VLOOKUP(YEAR(X251),INPC!$B$4:$P$30,MONTH(X251)+1),VLOOKUP(YEAR(X251),INPC!$B$4:$P$30,MONTH(X251)+2,0)))</f>
        <v>0</v>
      </c>
      <c r="R251" s="309">
        <f t="shared" si="57"/>
        <v>0</v>
      </c>
      <c r="S251" s="310">
        <f t="shared" si="66"/>
        <v>0</v>
      </c>
      <c r="T251" s="547">
        <f t="shared" si="67"/>
        <v>0</v>
      </c>
      <c r="U251" s="311"/>
      <c r="V251" s="312"/>
      <c r="W251" s="299"/>
      <c r="X251" s="300"/>
      <c r="Y251" s="299"/>
      <c r="Z251" s="303"/>
      <c r="AA251" s="305">
        <f>IF(Z251=0,0,IF(Y251="MXN",1/HLOOKUP(YEAR(X251)+(MONTH(X251)/100),TC!$5:$37,DAY(X251)+2,FALSE),VLOOKUP(Y251,Equivalencia!$1:$23,((MAX(Equivalencia!$3:$3)-YEAR(X251))*14)+MONTH(X251)+2,FALSE)))</f>
        <v>0</v>
      </c>
      <c r="AB251" s="306">
        <f t="shared" si="68"/>
        <v>0</v>
      </c>
      <c r="AC251" s="305">
        <f>+IF(X251=0,0,HLOOKUP(YEAR(X251)+(MONTH(X251)/100),TC!$5:$37,DAY(X251)+2,FALSE))</f>
        <v>0</v>
      </c>
      <c r="AD251" s="307">
        <f t="shared" si="69"/>
        <v>0</v>
      </c>
      <c r="AE251" s="314">
        <f t="shared" si="58"/>
        <v>0</v>
      </c>
      <c r="AF251" s="315">
        <f t="shared" si="59"/>
        <v>0</v>
      </c>
      <c r="AG251" s="316">
        <f t="shared" si="60"/>
        <v>0</v>
      </c>
      <c r="AH251" s="314">
        <v>1</v>
      </c>
      <c r="AI251" s="314">
        <f t="shared" si="61"/>
        <v>0</v>
      </c>
      <c r="AJ251" s="314">
        <f t="shared" si="70"/>
        <v>0</v>
      </c>
      <c r="AK251" s="317"/>
      <c r="AL251" s="315">
        <f t="shared" si="62"/>
        <v>0</v>
      </c>
      <c r="AN251" s="546">
        <f t="shared" si="63"/>
        <v>0</v>
      </c>
      <c r="AO251" s="314"/>
      <c r="AP251" s="318"/>
    </row>
    <row r="252" spans="2:42">
      <c r="B252" s="296"/>
      <c r="C252" s="299"/>
      <c r="D252" s="298"/>
      <c r="E252" s="299"/>
      <c r="F252" s="299"/>
      <c r="G252" s="300"/>
      <c r="H252" s="303"/>
      <c r="I252" s="301">
        <f t="shared" si="54"/>
        <v>0</v>
      </c>
      <c r="J252" s="302">
        <f t="shared" si="64"/>
        <v>0</v>
      </c>
      <c r="K252" s="304">
        <f t="shared" si="55"/>
        <v>0</v>
      </c>
      <c r="L252" s="305">
        <f>IF(H252=0,0,IF(OR(E252=$AT$5,E252=$AT$6),AA252,IF(F252="MXN",1/HLOOKUP(YEAR(G252)+(MONTH(G252)/100),TC!$5:$37,DAY(G252)+2,FALSE),VLOOKUP(F252,Equivalencia!$5:$23,((MAX(Equivalencia!$3:$3)-YEAR(G252))*14)+MONTH(G252)+2,FALSE))))</f>
        <v>0</v>
      </c>
      <c r="M252" s="306">
        <f t="shared" si="56"/>
        <v>0</v>
      </c>
      <c r="N252" s="305">
        <f>IF(G252=0,0,(IF(OR(E252=$AT$5,E252=$AT$6),AC252,HLOOKUP(YEAR(G252)+(MONTH(G252)/100),TC!$5:$37,DAY(G252)+2,FALSE))))</f>
        <v>0</v>
      </c>
      <c r="O252" s="307">
        <f t="shared" si="65"/>
        <v>0</v>
      </c>
      <c r="P252" s="552">
        <f>IF(G252=0,0,VLOOKUP(YEAR(G252),INPC!$B$4:$P$30,MONTH(G252)+2))</f>
        <v>0</v>
      </c>
      <c r="Q252" s="552">
        <f>IF(X252=0,0,IF(OR(E252=$AT$10,E252=$AT$9),VLOOKUP(YEAR(X252),INPC!$B$4:$P$30,MONTH(X252)+1),VLOOKUP(YEAR(X252),INPC!$B$4:$P$30,MONTH(X252)+2,0)))</f>
        <v>0</v>
      </c>
      <c r="R252" s="309">
        <f t="shared" si="57"/>
        <v>0</v>
      </c>
      <c r="S252" s="310">
        <f t="shared" si="66"/>
        <v>0</v>
      </c>
      <c r="T252" s="547">
        <f t="shared" si="67"/>
        <v>0</v>
      </c>
      <c r="U252" s="311"/>
      <c r="V252" s="312"/>
      <c r="W252" s="299"/>
      <c r="X252" s="300"/>
      <c r="Y252" s="299"/>
      <c r="Z252" s="303"/>
      <c r="AA252" s="305">
        <f>IF(Z252=0,0,IF(Y252="MXN",1/HLOOKUP(YEAR(X252)+(MONTH(X252)/100),TC!$5:$37,DAY(X252)+2,FALSE),VLOOKUP(Y252,Equivalencia!$1:$23,((MAX(Equivalencia!$3:$3)-YEAR(X252))*14)+MONTH(X252)+2,FALSE)))</f>
        <v>0</v>
      </c>
      <c r="AB252" s="306">
        <f t="shared" si="68"/>
        <v>0</v>
      </c>
      <c r="AC252" s="305">
        <f>+IF(X252=0,0,HLOOKUP(YEAR(X252)+(MONTH(X252)/100),TC!$5:$37,DAY(X252)+2,FALSE))</f>
        <v>0</v>
      </c>
      <c r="AD252" s="307">
        <f t="shared" si="69"/>
        <v>0</v>
      </c>
      <c r="AE252" s="314">
        <f t="shared" si="58"/>
        <v>0</v>
      </c>
      <c r="AF252" s="315">
        <f t="shared" si="59"/>
        <v>0</v>
      </c>
      <c r="AG252" s="316">
        <f t="shared" si="60"/>
        <v>0</v>
      </c>
      <c r="AH252" s="314">
        <v>1</v>
      </c>
      <c r="AI252" s="314">
        <f t="shared" si="61"/>
        <v>0</v>
      </c>
      <c r="AJ252" s="314">
        <f t="shared" si="70"/>
        <v>0</v>
      </c>
      <c r="AK252" s="317"/>
      <c r="AL252" s="315">
        <f t="shared" si="62"/>
        <v>0</v>
      </c>
      <c r="AN252" s="546">
        <f t="shared" si="63"/>
        <v>0</v>
      </c>
      <c r="AO252" s="314"/>
      <c r="AP252" s="318"/>
    </row>
    <row r="253" spans="2:42">
      <c r="B253" s="296"/>
      <c r="C253" s="299"/>
      <c r="D253" s="298"/>
      <c r="E253" s="299"/>
      <c r="F253" s="299"/>
      <c r="G253" s="300"/>
      <c r="H253" s="303"/>
      <c r="I253" s="301">
        <f t="shared" si="54"/>
        <v>0</v>
      </c>
      <c r="J253" s="302">
        <f t="shared" si="64"/>
        <v>0</v>
      </c>
      <c r="K253" s="304">
        <f t="shared" si="55"/>
        <v>0</v>
      </c>
      <c r="L253" s="305">
        <f>IF(H253=0,0,IF(OR(E253=$AT$5,E253=$AT$6),AA253,IF(F253="MXN",1/HLOOKUP(YEAR(G253)+(MONTH(G253)/100),TC!$5:$37,DAY(G253)+2,FALSE),VLOOKUP(F253,Equivalencia!$5:$23,((MAX(Equivalencia!$3:$3)-YEAR(G253))*14)+MONTH(G253)+2,FALSE))))</f>
        <v>0</v>
      </c>
      <c r="M253" s="306">
        <f t="shared" si="56"/>
        <v>0</v>
      </c>
      <c r="N253" s="305">
        <f>IF(G253=0,0,(IF(OR(E253=$AT$5,E253=$AT$6),AC253,HLOOKUP(YEAR(G253)+(MONTH(G253)/100),TC!$5:$37,DAY(G253)+2,FALSE))))</f>
        <v>0</v>
      </c>
      <c r="O253" s="307">
        <f t="shared" si="65"/>
        <v>0</v>
      </c>
      <c r="P253" s="552">
        <f>IF(G253=0,0,VLOOKUP(YEAR(G253),INPC!$B$4:$P$30,MONTH(G253)+2))</f>
        <v>0</v>
      </c>
      <c r="Q253" s="552">
        <f>IF(X253=0,0,IF(OR(E253=$AT$10,E253=$AT$9),VLOOKUP(YEAR(X253),INPC!$B$4:$P$30,MONTH(X253)+1),VLOOKUP(YEAR(X253),INPC!$B$4:$P$30,MONTH(X253)+2,0)))</f>
        <v>0</v>
      </c>
      <c r="R253" s="309">
        <f t="shared" si="57"/>
        <v>0</v>
      </c>
      <c r="S253" s="310">
        <f t="shared" si="66"/>
        <v>0</v>
      </c>
      <c r="T253" s="547">
        <f t="shared" si="67"/>
        <v>0</v>
      </c>
      <c r="U253" s="311"/>
      <c r="V253" s="312"/>
      <c r="W253" s="299"/>
      <c r="X253" s="300"/>
      <c r="Y253" s="299"/>
      <c r="Z253" s="303"/>
      <c r="AA253" s="305">
        <f>IF(Z253=0,0,IF(Y253="MXN",1/HLOOKUP(YEAR(X253)+(MONTH(X253)/100),TC!$5:$37,DAY(X253)+2,FALSE),VLOOKUP(Y253,Equivalencia!$1:$23,((MAX(Equivalencia!$3:$3)-YEAR(X253))*14)+MONTH(X253)+2,FALSE)))</f>
        <v>0</v>
      </c>
      <c r="AB253" s="306">
        <f t="shared" si="68"/>
        <v>0</v>
      </c>
      <c r="AC253" s="305">
        <f>+IF(X253=0,0,HLOOKUP(YEAR(X253)+(MONTH(X253)/100),TC!$5:$37,DAY(X253)+2,FALSE))</f>
        <v>0</v>
      </c>
      <c r="AD253" s="307">
        <f t="shared" si="69"/>
        <v>0</v>
      </c>
      <c r="AE253" s="314">
        <f t="shared" si="58"/>
        <v>0</v>
      </c>
      <c r="AF253" s="315">
        <f t="shared" si="59"/>
        <v>0</v>
      </c>
      <c r="AG253" s="316">
        <f t="shared" si="60"/>
        <v>0</v>
      </c>
      <c r="AH253" s="314">
        <v>1</v>
      </c>
      <c r="AI253" s="314">
        <f t="shared" si="61"/>
        <v>0</v>
      </c>
      <c r="AJ253" s="314">
        <f t="shared" si="70"/>
        <v>0</v>
      </c>
      <c r="AK253" s="317"/>
      <c r="AL253" s="315">
        <f t="shared" si="62"/>
        <v>0</v>
      </c>
      <c r="AN253" s="546">
        <f t="shared" si="63"/>
        <v>0</v>
      </c>
      <c r="AO253" s="314"/>
      <c r="AP253" s="318"/>
    </row>
    <row r="254" spans="2:42">
      <c r="B254" s="296"/>
      <c r="C254" s="299"/>
      <c r="D254" s="298"/>
      <c r="E254" s="299"/>
      <c r="F254" s="299"/>
      <c r="G254" s="300"/>
      <c r="H254" s="303"/>
      <c r="I254" s="301">
        <f t="shared" si="54"/>
        <v>0</v>
      </c>
      <c r="J254" s="302">
        <f t="shared" si="64"/>
        <v>0</v>
      </c>
      <c r="K254" s="304">
        <f t="shared" si="55"/>
        <v>0</v>
      </c>
      <c r="L254" s="305">
        <f>IF(H254=0,0,IF(OR(E254=$AT$5,E254=$AT$6),AA254,IF(F254="MXN",1/HLOOKUP(YEAR(G254)+(MONTH(G254)/100),TC!$5:$37,DAY(G254)+2,FALSE),VLOOKUP(F254,Equivalencia!$5:$23,((MAX(Equivalencia!$3:$3)-YEAR(G254))*14)+MONTH(G254)+2,FALSE))))</f>
        <v>0</v>
      </c>
      <c r="M254" s="306">
        <f t="shared" si="56"/>
        <v>0</v>
      </c>
      <c r="N254" s="305">
        <f>IF(G254=0,0,(IF(OR(E254=$AT$5,E254=$AT$6),AC254,HLOOKUP(YEAR(G254)+(MONTH(G254)/100),TC!$5:$37,DAY(G254)+2,FALSE))))</f>
        <v>0</v>
      </c>
      <c r="O254" s="307">
        <f t="shared" si="65"/>
        <v>0</v>
      </c>
      <c r="P254" s="552">
        <f>IF(G254=0,0,VLOOKUP(YEAR(G254),INPC!$B$4:$P$30,MONTH(G254)+2))</f>
        <v>0</v>
      </c>
      <c r="Q254" s="552">
        <f>IF(X254=0,0,IF(OR(E254=$AT$10,E254=$AT$9),VLOOKUP(YEAR(X254),INPC!$B$4:$P$30,MONTH(X254)+1),VLOOKUP(YEAR(X254),INPC!$B$4:$P$30,MONTH(X254)+2,0)))</f>
        <v>0</v>
      </c>
      <c r="R254" s="309">
        <f t="shared" si="57"/>
        <v>0</v>
      </c>
      <c r="S254" s="310">
        <f t="shared" si="66"/>
        <v>0</v>
      </c>
      <c r="T254" s="547">
        <f t="shared" si="67"/>
        <v>0</v>
      </c>
      <c r="U254" s="311"/>
      <c r="V254" s="312"/>
      <c r="W254" s="299"/>
      <c r="X254" s="300"/>
      <c r="Y254" s="299"/>
      <c r="Z254" s="303"/>
      <c r="AA254" s="305">
        <f>IF(Z254=0,0,IF(Y254="MXN",1/HLOOKUP(YEAR(X254)+(MONTH(X254)/100),TC!$5:$37,DAY(X254)+2,FALSE),VLOOKUP(Y254,Equivalencia!$1:$23,((MAX(Equivalencia!$3:$3)-YEAR(X254))*14)+MONTH(X254)+2,FALSE)))</f>
        <v>0</v>
      </c>
      <c r="AB254" s="306">
        <f t="shared" si="68"/>
        <v>0</v>
      </c>
      <c r="AC254" s="305">
        <f>+IF(X254=0,0,HLOOKUP(YEAR(X254)+(MONTH(X254)/100),TC!$5:$37,DAY(X254)+2,FALSE))</f>
        <v>0</v>
      </c>
      <c r="AD254" s="307">
        <f t="shared" si="69"/>
        <v>0</v>
      </c>
      <c r="AE254" s="314">
        <f t="shared" si="58"/>
        <v>0</v>
      </c>
      <c r="AF254" s="315">
        <f t="shared" si="59"/>
        <v>0</v>
      </c>
      <c r="AG254" s="316">
        <f t="shared" si="60"/>
        <v>0</v>
      </c>
      <c r="AH254" s="314">
        <v>1</v>
      </c>
      <c r="AI254" s="314">
        <f t="shared" si="61"/>
        <v>0</v>
      </c>
      <c r="AJ254" s="314">
        <f t="shared" si="70"/>
        <v>0</v>
      </c>
      <c r="AK254" s="317"/>
      <c r="AL254" s="315">
        <f t="shared" si="62"/>
        <v>0</v>
      </c>
      <c r="AN254" s="546">
        <f t="shared" si="63"/>
        <v>0</v>
      </c>
      <c r="AO254" s="314"/>
      <c r="AP254" s="318"/>
    </row>
    <row r="255" spans="2:42">
      <c r="B255" s="296"/>
      <c r="C255" s="299"/>
      <c r="D255" s="298"/>
      <c r="E255" s="299"/>
      <c r="F255" s="299"/>
      <c r="G255" s="300"/>
      <c r="H255" s="303"/>
      <c r="I255" s="301">
        <f t="shared" si="54"/>
        <v>0</v>
      </c>
      <c r="J255" s="302">
        <f t="shared" si="64"/>
        <v>0</v>
      </c>
      <c r="K255" s="304">
        <f t="shared" si="55"/>
        <v>0</v>
      </c>
      <c r="L255" s="305">
        <f>IF(H255=0,0,IF(OR(E255=$AT$5,E255=$AT$6),AA255,IF(F255="MXN",1/HLOOKUP(YEAR(G255)+(MONTH(G255)/100),TC!$5:$37,DAY(G255)+2,FALSE),VLOOKUP(F255,Equivalencia!$5:$23,((MAX(Equivalencia!$3:$3)-YEAR(G255))*14)+MONTH(G255)+2,FALSE))))</f>
        <v>0</v>
      </c>
      <c r="M255" s="306">
        <f t="shared" si="56"/>
        <v>0</v>
      </c>
      <c r="N255" s="305">
        <f>IF(G255=0,0,(IF(OR(E255=$AT$5,E255=$AT$6),AC255,HLOOKUP(YEAR(G255)+(MONTH(G255)/100),TC!$5:$37,DAY(G255)+2,FALSE))))</f>
        <v>0</v>
      </c>
      <c r="O255" s="307">
        <f t="shared" si="65"/>
        <v>0</v>
      </c>
      <c r="P255" s="552">
        <f>IF(G255=0,0,VLOOKUP(YEAR(G255),INPC!$B$4:$P$30,MONTH(G255)+2))</f>
        <v>0</v>
      </c>
      <c r="Q255" s="552">
        <f>IF(X255=0,0,IF(OR(E255=$AT$10,E255=$AT$9),VLOOKUP(YEAR(X255),INPC!$B$4:$P$30,MONTH(X255)+1),VLOOKUP(YEAR(X255),INPC!$B$4:$P$30,MONTH(X255)+2,0)))</f>
        <v>0</v>
      </c>
      <c r="R255" s="309">
        <f t="shared" si="57"/>
        <v>0</v>
      </c>
      <c r="S255" s="310">
        <f t="shared" si="66"/>
        <v>0</v>
      </c>
      <c r="T255" s="547">
        <f t="shared" si="67"/>
        <v>0</v>
      </c>
      <c r="U255" s="311"/>
      <c r="V255" s="312"/>
      <c r="W255" s="299"/>
      <c r="X255" s="300"/>
      <c r="Y255" s="299"/>
      <c r="Z255" s="303"/>
      <c r="AA255" s="305">
        <f>IF(Z255=0,0,IF(Y255="MXN",1/HLOOKUP(YEAR(X255)+(MONTH(X255)/100),TC!$5:$37,DAY(X255)+2,FALSE),VLOOKUP(Y255,Equivalencia!$1:$23,((MAX(Equivalencia!$3:$3)-YEAR(X255))*14)+MONTH(X255)+2,FALSE)))</f>
        <v>0</v>
      </c>
      <c r="AB255" s="306">
        <f t="shared" si="68"/>
        <v>0</v>
      </c>
      <c r="AC255" s="305">
        <f>+IF(X255=0,0,HLOOKUP(YEAR(X255)+(MONTH(X255)/100),TC!$5:$37,DAY(X255)+2,FALSE))</f>
        <v>0</v>
      </c>
      <c r="AD255" s="307">
        <f t="shared" si="69"/>
        <v>0</v>
      </c>
      <c r="AE255" s="314">
        <f t="shared" si="58"/>
        <v>0</v>
      </c>
      <c r="AF255" s="315">
        <f t="shared" si="59"/>
        <v>0</v>
      </c>
      <c r="AG255" s="316">
        <f t="shared" si="60"/>
        <v>0</v>
      </c>
      <c r="AH255" s="314">
        <v>1</v>
      </c>
      <c r="AI255" s="314">
        <f t="shared" si="61"/>
        <v>0</v>
      </c>
      <c r="AJ255" s="314">
        <f t="shared" si="70"/>
        <v>0</v>
      </c>
      <c r="AK255" s="317"/>
      <c r="AL255" s="315">
        <f t="shared" si="62"/>
        <v>0</v>
      </c>
      <c r="AN255" s="546">
        <f t="shared" si="63"/>
        <v>0</v>
      </c>
      <c r="AO255" s="314"/>
      <c r="AP255" s="318"/>
    </row>
    <row r="256" spans="2:42">
      <c r="B256" s="296"/>
      <c r="C256" s="299"/>
      <c r="D256" s="298"/>
      <c r="E256" s="299"/>
      <c r="F256" s="299"/>
      <c r="G256" s="300"/>
      <c r="H256" s="303"/>
      <c r="I256" s="301">
        <f t="shared" si="54"/>
        <v>0</v>
      </c>
      <c r="J256" s="302">
        <f t="shared" si="64"/>
        <v>0</v>
      </c>
      <c r="K256" s="304">
        <f t="shared" si="55"/>
        <v>0</v>
      </c>
      <c r="L256" s="305">
        <f>IF(H256=0,0,IF(OR(E256=$AT$5,E256=$AT$6),AA256,IF(F256="MXN",1/HLOOKUP(YEAR(G256)+(MONTH(G256)/100),TC!$5:$37,DAY(G256)+2,FALSE),VLOOKUP(F256,Equivalencia!$5:$23,((MAX(Equivalencia!$3:$3)-YEAR(G256))*14)+MONTH(G256)+2,FALSE))))</f>
        <v>0</v>
      </c>
      <c r="M256" s="306">
        <f t="shared" si="56"/>
        <v>0</v>
      </c>
      <c r="N256" s="305">
        <f>IF(G256=0,0,(IF(OR(E256=$AT$5,E256=$AT$6),AC256,HLOOKUP(YEAR(G256)+(MONTH(G256)/100),TC!$5:$37,DAY(G256)+2,FALSE))))</f>
        <v>0</v>
      </c>
      <c r="O256" s="307">
        <f t="shared" si="65"/>
        <v>0</v>
      </c>
      <c r="P256" s="552">
        <f>IF(G256=0,0,VLOOKUP(YEAR(G256),INPC!$B$4:$P$30,MONTH(G256)+2))</f>
        <v>0</v>
      </c>
      <c r="Q256" s="552">
        <f>IF(X256=0,0,IF(OR(E256=$AT$10,E256=$AT$9),VLOOKUP(YEAR(X256),INPC!$B$4:$P$30,MONTH(X256)+1),VLOOKUP(YEAR(X256),INPC!$B$4:$P$30,MONTH(X256)+2,0)))</f>
        <v>0</v>
      </c>
      <c r="R256" s="309">
        <f t="shared" si="57"/>
        <v>0</v>
      </c>
      <c r="S256" s="310">
        <f t="shared" si="66"/>
        <v>0</v>
      </c>
      <c r="T256" s="547">
        <f t="shared" si="67"/>
        <v>0</v>
      </c>
      <c r="U256" s="311"/>
      <c r="V256" s="312"/>
      <c r="W256" s="299"/>
      <c r="X256" s="300"/>
      <c r="Y256" s="299"/>
      <c r="Z256" s="303"/>
      <c r="AA256" s="305">
        <f>IF(Z256=0,0,IF(Y256="MXN",1/HLOOKUP(YEAR(X256)+(MONTH(X256)/100),TC!$5:$37,DAY(X256)+2,FALSE),VLOOKUP(Y256,Equivalencia!$1:$23,((MAX(Equivalencia!$3:$3)-YEAR(X256))*14)+MONTH(X256)+2,FALSE)))</f>
        <v>0</v>
      </c>
      <c r="AB256" s="306">
        <f t="shared" si="68"/>
        <v>0</v>
      </c>
      <c r="AC256" s="305">
        <f>+IF(X256=0,0,HLOOKUP(YEAR(X256)+(MONTH(X256)/100),TC!$5:$37,DAY(X256)+2,FALSE))</f>
        <v>0</v>
      </c>
      <c r="AD256" s="307">
        <f t="shared" si="69"/>
        <v>0</v>
      </c>
      <c r="AE256" s="314">
        <f t="shared" si="58"/>
        <v>0</v>
      </c>
      <c r="AF256" s="315">
        <f t="shared" si="59"/>
        <v>0</v>
      </c>
      <c r="AG256" s="316">
        <f t="shared" si="60"/>
        <v>0</v>
      </c>
      <c r="AH256" s="314">
        <v>1</v>
      </c>
      <c r="AI256" s="314">
        <f t="shared" si="61"/>
        <v>0</v>
      </c>
      <c r="AJ256" s="314">
        <f t="shared" si="70"/>
        <v>0</v>
      </c>
      <c r="AK256" s="317"/>
      <c r="AL256" s="315">
        <f t="shared" si="62"/>
        <v>0</v>
      </c>
      <c r="AN256" s="546">
        <f t="shared" si="63"/>
        <v>0</v>
      </c>
      <c r="AO256" s="314"/>
      <c r="AP256" s="318"/>
    </row>
    <row r="257" spans="2:42">
      <c r="B257" s="296"/>
      <c r="C257" s="299"/>
      <c r="D257" s="298"/>
      <c r="E257" s="299"/>
      <c r="F257" s="299"/>
      <c r="G257" s="300"/>
      <c r="H257" s="303"/>
      <c r="I257" s="301">
        <f t="shared" si="54"/>
        <v>0</v>
      </c>
      <c r="J257" s="302">
        <f t="shared" si="64"/>
        <v>0</v>
      </c>
      <c r="K257" s="304">
        <f t="shared" si="55"/>
        <v>0</v>
      </c>
      <c r="L257" s="305">
        <f>IF(H257=0,0,IF(OR(E257=$AT$5,E257=$AT$6),AA257,IF(F257="MXN",1/HLOOKUP(YEAR(G257)+(MONTH(G257)/100),TC!$5:$37,DAY(G257)+2,FALSE),VLOOKUP(F257,Equivalencia!$5:$23,((MAX(Equivalencia!$3:$3)-YEAR(G257))*14)+MONTH(G257)+2,FALSE))))</f>
        <v>0</v>
      </c>
      <c r="M257" s="306">
        <f t="shared" si="56"/>
        <v>0</v>
      </c>
      <c r="N257" s="305">
        <f>IF(G257=0,0,(IF(OR(E257=$AT$5,E257=$AT$6),AC257,HLOOKUP(YEAR(G257)+(MONTH(G257)/100),TC!$5:$37,DAY(G257)+2,FALSE))))</f>
        <v>0</v>
      </c>
      <c r="O257" s="307">
        <f t="shared" si="65"/>
        <v>0</v>
      </c>
      <c r="P257" s="552">
        <f>IF(G257=0,0,VLOOKUP(YEAR(G257),INPC!$B$4:$P$30,MONTH(G257)+2))</f>
        <v>0</v>
      </c>
      <c r="Q257" s="552">
        <f>IF(X257=0,0,IF(OR(E257=$AT$10,E257=$AT$9),VLOOKUP(YEAR(X257),INPC!$B$4:$P$30,MONTH(X257)+1),VLOOKUP(YEAR(X257),INPC!$B$4:$P$30,MONTH(X257)+2,0)))</f>
        <v>0</v>
      </c>
      <c r="R257" s="309">
        <f t="shared" si="57"/>
        <v>0</v>
      </c>
      <c r="S257" s="310">
        <f t="shared" si="66"/>
        <v>0</v>
      </c>
      <c r="T257" s="547">
        <f t="shared" si="67"/>
        <v>0</v>
      </c>
      <c r="U257" s="311"/>
      <c r="V257" s="312"/>
      <c r="W257" s="299"/>
      <c r="X257" s="300"/>
      <c r="Y257" s="299"/>
      <c r="Z257" s="303"/>
      <c r="AA257" s="305">
        <f>IF(Z257=0,0,IF(Y257="MXN",1/HLOOKUP(YEAR(X257)+(MONTH(X257)/100),TC!$5:$37,DAY(X257)+2,FALSE),VLOOKUP(Y257,Equivalencia!$1:$23,((MAX(Equivalencia!$3:$3)-YEAR(X257))*14)+MONTH(X257)+2,FALSE)))</f>
        <v>0</v>
      </c>
      <c r="AB257" s="306">
        <f t="shared" si="68"/>
        <v>0</v>
      </c>
      <c r="AC257" s="305">
        <f>+IF(X257=0,0,HLOOKUP(YEAR(X257)+(MONTH(X257)/100),TC!$5:$37,DAY(X257)+2,FALSE))</f>
        <v>0</v>
      </c>
      <c r="AD257" s="307">
        <f t="shared" si="69"/>
        <v>0</v>
      </c>
      <c r="AE257" s="314">
        <f t="shared" si="58"/>
        <v>0</v>
      </c>
      <c r="AF257" s="315">
        <f t="shared" si="59"/>
        <v>0</v>
      </c>
      <c r="AG257" s="316">
        <f t="shared" si="60"/>
        <v>0</v>
      </c>
      <c r="AH257" s="314">
        <v>1</v>
      </c>
      <c r="AI257" s="314">
        <f t="shared" si="61"/>
        <v>0</v>
      </c>
      <c r="AJ257" s="314">
        <f t="shared" si="70"/>
        <v>0</v>
      </c>
      <c r="AK257" s="317"/>
      <c r="AL257" s="315">
        <f t="shared" si="62"/>
        <v>0</v>
      </c>
      <c r="AN257" s="546">
        <f t="shared" si="63"/>
        <v>0</v>
      </c>
      <c r="AO257" s="314"/>
      <c r="AP257" s="318"/>
    </row>
    <row r="258" spans="2:42">
      <c r="B258" s="296"/>
      <c r="C258" s="299"/>
      <c r="D258" s="298"/>
      <c r="E258" s="299"/>
      <c r="F258" s="299"/>
      <c r="G258" s="300"/>
      <c r="H258" s="303"/>
      <c r="I258" s="301">
        <f t="shared" ref="I258:I321" si="71">IF(D258=0,0,IF(OR(E258=$AT$9,E258=$AT$10),"Ingresos Sección II LISR (SIC &amp; BMV)","Ingresos Sección I LISR"))</f>
        <v>0</v>
      </c>
      <c r="J258" s="302">
        <f t="shared" si="64"/>
        <v>0</v>
      </c>
      <c r="K258" s="304">
        <f t="shared" ref="K258:K321" si="72">IF(H258=0,0,H258/J258)</f>
        <v>0</v>
      </c>
      <c r="L258" s="305">
        <f>IF(H258=0,0,IF(OR(E258=$AT$5,E258=$AT$6),AA258,IF(F258="MXN",1/HLOOKUP(YEAR(G258)+(MONTH(G258)/100),TC!$5:$37,DAY(G258)+2,FALSE),VLOOKUP(F258,Equivalencia!$5:$23,((MAX(Equivalencia!$3:$3)-YEAR(G258))*14)+MONTH(G258)+2,FALSE))))</f>
        <v>0</v>
      </c>
      <c r="M258" s="306">
        <f t="shared" ref="M258:M321" si="73">+H258*L258</f>
        <v>0</v>
      </c>
      <c r="N258" s="305">
        <f>IF(G258=0,0,(IF(OR(E258=$AT$5,E258=$AT$6),AC258,HLOOKUP(YEAR(G258)+(MONTH(G258)/100),TC!$5:$37,DAY(G258)+2,FALSE))))</f>
        <v>0</v>
      </c>
      <c r="O258" s="307">
        <f t="shared" si="65"/>
        <v>0</v>
      </c>
      <c r="P258" s="552">
        <f>IF(G258=0,0,VLOOKUP(YEAR(G258),INPC!$B$4:$P$30,MONTH(G258)+2))</f>
        <v>0</v>
      </c>
      <c r="Q258" s="552">
        <f>IF(X258=0,0,IF(OR(E258=$AT$10,E258=$AT$9),VLOOKUP(YEAR(X258),INPC!$B$4:$P$30,MONTH(X258)+1),VLOOKUP(YEAR(X258),INPC!$B$4:$P$30,MONTH(X258)+2,0)))</f>
        <v>0</v>
      </c>
      <c r="R258" s="309">
        <f t="shared" ref="R258:R321" si="74">IF(H258=0,0,IF(OR(E258=$AT$5,E258=$AT$6),1,IF(TRUNC(Q258/P258,4)&gt;=1,TRUNC(Q258/P258,4),1)))</f>
        <v>0</v>
      </c>
      <c r="S258" s="310">
        <f t="shared" si="66"/>
        <v>0</v>
      </c>
      <c r="T258" s="547">
        <f t="shared" si="67"/>
        <v>0</v>
      </c>
      <c r="U258" s="311"/>
      <c r="V258" s="312"/>
      <c r="W258" s="299"/>
      <c r="X258" s="300"/>
      <c r="Y258" s="299"/>
      <c r="Z258" s="303"/>
      <c r="AA258" s="305">
        <f>IF(Z258=0,0,IF(Y258="MXN",1/HLOOKUP(YEAR(X258)+(MONTH(X258)/100),TC!$5:$37,DAY(X258)+2,FALSE),VLOOKUP(Y258,Equivalencia!$1:$23,((MAX(Equivalencia!$3:$3)-YEAR(X258))*14)+MONTH(X258)+2,FALSE)))</f>
        <v>0</v>
      </c>
      <c r="AB258" s="306">
        <f t="shared" si="68"/>
        <v>0</v>
      </c>
      <c r="AC258" s="305">
        <f>+IF(X258=0,0,HLOOKUP(YEAR(X258)+(MONTH(X258)/100),TC!$5:$37,DAY(X258)+2,FALSE))</f>
        <v>0</v>
      </c>
      <c r="AD258" s="307">
        <f t="shared" si="69"/>
        <v>0</v>
      </c>
      <c r="AE258" s="314">
        <f t="shared" ref="AE258:AE321" si="75">+V258*T258</f>
        <v>0</v>
      </c>
      <c r="AF258" s="315">
        <f t="shared" ref="AF258:AF321" si="76">IF(E258=$AT$11,0,AD258-AE258)</f>
        <v>0</v>
      </c>
      <c r="AG258" s="316">
        <f t="shared" ref="AG258:AG321" si="77">+IF(AND(AF258&lt;0,OR(E258=$AT$5,E258=$AT$6)),1,((X258-G258)/365))</f>
        <v>0</v>
      </c>
      <c r="AH258" s="314">
        <v>1</v>
      </c>
      <c r="AI258" s="314">
        <f t="shared" ref="AI258:AI321" si="78">+IF(OR(E258=$AT$9,E258=$AT$10),AF258,+AF258/AH258)</f>
        <v>0</v>
      </c>
      <c r="AJ258" s="314">
        <f t="shared" si="70"/>
        <v>0</v>
      </c>
      <c r="AK258" s="317"/>
      <c r="AL258" s="315">
        <f t="shared" ref="AL258:AL321" si="79">+AB258-M258</f>
        <v>0</v>
      </c>
      <c r="AN258" s="546">
        <f t="shared" ref="AN258:AN321" si="80">IF(AL258=0,0,AL258/H258)</f>
        <v>0</v>
      </c>
      <c r="AO258" s="314"/>
      <c r="AP258" s="318"/>
    </row>
    <row r="259" spans="2:42">
      <c r="B259" s="296"/>
      <c r="C259" s="299"/>
      <c r="D259" s="298"/>
      <c r="E259" s="299"/>
      <c r="F259" s="299"/>
      <c r="G259" s="300"/>
      <c r="H259" s="303"/>
      <c r="I259" s="301">
        <f t="shared" si="71"/>
        <v>0</v>
      </c>
      <c r="J259" s="302">
        <f t="shared" ref="J259:J322" si="81">+V259</f>
        <v>0</v>
      </c>
      <c r="K259" s="304">
        <f t="shared" si="72"/>
        <v>0</v>
      </c>
      <c r="L259" s="305">
        <f>IF(H259=0,0,IF(OR(E259=$AT$5,E259=$AT$6),AA259,IF(F259="MXN",1/HLOOKUP(YEAR(G259)+(MONTH(G259)/100),TC!$5:$37,DAY(G259)+2,FALSE),VLOOKUP(F259,Equivalencia!$5:$23,((MAX(Equivalencia!$3:$3)-YEAR(G259))*14)+MONTH(G259)+2,FALSE))))</f>
        <v>0</v>
      </c>
      <c r="M259" s="306">
        <f t="shared" si="73"/>
        <v>0</v>
      </c>
      <c r="N259" s="305">
        <f>IF(G259=0,0,(IF(OR(E259=$AT$5,E259=$AT$6),AC259,HLOOKUP(YEAR(G259)+(MONTH(G259)/100),TC!$5:$37,DAY(G259)+2,FALSE))))</f>
        <v>0</v>
      </c>
      <c r="O259" s="307">
        <f t="shared" ref="O259:O322" si="82">+M259*N259</f>
        <v>0</v>
      </c>
      <c r="P259" s="552">
        <f>IF(G259=0,0,VLOOKUP(YEAR(G259),INPC!$B$4:$P$30,MONTH(G259)+2))</f>
        <v>0</v>
      </c>
      <c r="Q259" s="552">
        <f>IF(X259=0,0,IF(OR(E259=$AT$10,E259=$AT$9),VLOOKUP(YEAR(X259),INPC!$B$4:$P$30,MONTH(X259)+1),VLOOKUP(YEAR(X259),INPC!$B$4:$P$30,MONTH(X259)+2,0)))</f>
        <v>0</v>
      </c>
      <c r="R259" s="309">
        <f t="shared" si="74"/>
        <v>0</v>
      </c>
      <c r="S259" s="310">
        <f t="shared" ref="S259:S322" si="83">+R259*O259</f>
        <v>0</v>
      </c>
      <c r="T259" s="547">
        <f t="shared" ref="T259:T322" si="84">IF(V259=0,0,S259/V259)</f>
        <v>0</v>
      </c>
      <c r="U259" s="311"/>
      <c r="V259" s="312"/>
      <c r="W259" s="299"/>
      <c r="X259" s="300"/>
      <c r="Y259" s="299"/>
      <c r="Z259" s="303"/>
      <c r="AA259" s="305">
        <f>IF(Z259=0,0,IF(Y259="MXN",1/HLOOKUP(YEAR(X259)+(MONTH(X259)/100),TC!$5:$37,DAY(X259)+2,FALSE),VLOOKUP(Y259,Equivalencia!$1:$23,((MAX(Equivalencia!$3:$3)-YEAR(X259))*14)+MONTH(X259)+2,FALSE)))</f>
        <v>0</v>
      </c>
      <c r="AB259" s="306">
        <f t="shared" ref="AB259:AB322" si="85">+AA259*Z259</f>
        <v>0</v>
      </c>
      <c r="AC259" s="305">
        <f>+IF(X259=0,0,HLOOKUP(YEAR(X259)+(MONTH(X259)/100),TC!$5:$37,DAY(X259)+2,FALSE))</f>
        <v>0</v>
      </c>
      <c r="AD259" s="307">
        <f t="shared" ref="AD259:AD322" si="86">+AC259*AB259</f>
        <v>0</v>
      </c>
      <c r="AE259" s="314">
        <f t="shared" si="75"/>
        <v>0</v>
      </c>
      <c r="AF259" s="315">
        <f t="shared" si="76"/>
        <v>0</v>
      </c>
      <c r="AG259" s="316">
        <f t="shared" si="77"/>
        <v>0</v>
      </c>
      <c r="AH259" s="314">
        <v>1</v>
      </c>
      <c r="AI259" s="314">
        <f t="shared" si="78"/>
        <v>0</v>
      </c>
      <c r="AJ259" s="314">
        <f t="shared" ref="AJ259:AJ322" si="87">+AF259-AI259</f>
        <v>0</v>
      </c>
      <c r="AK259" s="317"/>
      <c r="AL259" s="315">
        <f t="shared" si="79"/>
        <v>0</v>
      </c>
      <c r="AN259" s="546">
        <f t="shared" si="80"/>
        <v>0</v>
      </c>
      <c r="AO259" s="314"/>
      <c r="AP259" s="318"/>
    </row>
    <row r="260" spans="2:42">
      <c r="B260" s="296"/>
      <c r="C260" s="299"/>
      <c r="D260" s="298"/>
      <c r="E260" s="299"/>
      <c r="F260" s="299"/>
      <c r="G260" s="300"/>
      <c r="H260" s="303"/>
      <c r="I260" s="301">
        <f t="shared" si="71"/>
        <v>0</v>
      </c>
      <c r="J260" s="302">
        <f t="shared" si="81"/>
        <v>0</v>
      </c>
      <c r="K260" s="304">
        <f t="shared" si="72"/>
        <v>0</v>
      </c>
      <c r="L260" s="305">
        <f>IF(H260=0,0,IF(OR(E260=$AT$5,E260=$AT$6),AA260,IF(F260="MXN",1/HLOOKUP(YEAR(G260)+(MONTH(G260)/100),TC!$5:$37,DAY(G260)+2,FALSE),VLOOKUP(F260,Equivalencia!$5:$23,((MAX(Equivalencia!$3:$3)-YEAR(G260))*14)+MONTH(G260)+2,FALSE))))</f>
        <v>0</v>
      </c>
      <c r="M260" s="306">
        <f t="shared" si="73"/>
        <v>0</v>
      </c>
      <c r="N260" s="305">
        <f>IF(G260=0,0,(IF(OR(E260=$AT$5,E260=$AT$6),AC260,HLOOKUP(YEAR(G260)+(MONTH(G260)/100),TC!$5:$37,DAY(G260)+2,FALSE))))</f>
        <v>0</v>
      </c>
      <c r="O260" s="307">
        <f t="shared" si="82"/>
        <v>0</v>
      </c>
      <c r="P260" s="552">
        <f>IF(G260=0,0,VLOOKUP(YEAR(G260),INPC!$B$4:$P$30,MONTH(G260)+2))</f>
        <v>0</v>
      </c>
      <c r="Q260" s="552">
        <f>IF(X260=0,0,IF(OR(E260=$AT$10,E260=$AT$9),VLOOKUP(YEAR(X260),INPC!$B$4:$P$30,MONTH(X260)+1),VLOOKUP(YEAR(X260),INPC!$B$4:$P$30,MONTH(X260)+2,0)))</f>
        <v>0</v>
      </c>
      <c r="R260" s="309">
        <f t="shared" si="74"/>
        <v>0</v>
      </c>
      <c r="S260" s="310">
        <f t="shared" si="83"/>
        <v>0</v>
      </c>
      <c r="T260" s="547">
        <f t="shared" si="84"/>
        <v>0</v>
      </c>
      <c r="U260" s="311"/>
      <c r="V260" s="312"/>
      <c r="W260" s="299"/>
      <c r="X260" s="300"/>
      <c r="Y260" s="299"/>
      <c r="Z260" s="303"/>
      <c r="AA260" s="305">
        <f>IF(Z260=0,0,IF(Y260="MXN",1/HLOOKUP(YEAR(X260)+(MONTH(X260)/100),TC!$5:$37,DAY(X260)+2,FALSE),VLOOKUP(Y260,Equivalencia!$1:$23,((MAX(Equivalencia!$3:$3)-YEAR(X260))*14)+MONTH(X260)+2,FALSE)))</f>
        <v>0</v>
      </c>
      <c r="AB260" s="306">
        <f t="shared" si="85"/>
        <v>0</v>
      </c>
      <c r="AC260" s="305">
        <f>+IF(X260=0,0,HLOOKUP(YEAR(X260)+(MONTH(X260)/100),TC!$5:$37,DAY(X260)+2,FALSE))</f>
        <v>0</v>
      </c>
      <c r="AD260" s="307">
        <f t="shared" si="86"/>
        <v>0</v>
      </c>
      <c r="AE260" s="314">
        <f t="shared" si="75"/>
        <v>0</v>
      </c>
      <c r="AF260" s="315">
        <f t="shared" si="76"/>
        <v>0</v>
      </c>
      <c r="AG260" s="316">
        <f t="shared" si="77"/>
        <v>0</v>
      </c>
      <c r="AH260" s="314">
        <v>1</v>
      </c>
      <c r="AI260" s="314">
        <f t="shared" si="78"/>
        <v>0</v>
      </c>
      <c r="AJ260" s="314">
        <f t="shared" si="87"/>
        <v>0</v>
      </c>
      <c r="AK260" s="317"/>
      <c r="AL260" s="315">
        <f t="shared" si="79"/>
        <v>0</v>
      </c>
      <c r="AN260" s="546">
        <f t="shared" si="80"/>
        <v>0</v>
      </c>
      <c r="AO260" s="314"/>
      <c r="AP260" s="318"/>
    </row>
    <row r="261" spans="2:42">
      <c r="B261" s="296"/>
      <c r="C261" s="299"/>
      <c r="D261" s="298"/>
      <c r="E261" s="299"/>
      <c r="F261" s="299"/>
      <c r="G261" s="300"/>
      <c r="H261" s="303"/>
      <c r="I261" s="301">
        <f t="shared" si="71"/>
        <v>0</v>
      </c>
      <c r="J261" s="302">
        <f t="shared" si="81"/>
        <v>0</v>
      </c>
      <c r="K261" s="304">
        <f t="shared" si="72"/>
        <v>0</v>
      </c>
      <c r="L261" s="305">
        <f>IF(H261=0,0,IF(OR(E261=$AT$5,E261=$AT$6),AA261,IF(F261="MXN",1/HLOOKUP(YEAR(G261)+(MONTH(G261)/100),TC!$5:$37,DAY(G261)+2,FALSE),VLOOKUP(F261,Equivalencia!$5:$23,((MAX(Equivalencia!$3:$3)-YEAR(G261))*14)+MONTH(G261)+2,FALSE))))</f>
        <v>0</v>
      </c>
      <c r="M261" s="306">
        <f t="shared" si="73"/>
        <v>0</v>
      </c>
      <c r="N261" s="305">
        <f>IF(G261=0,0,(IF(OR(E261=$AT$5,E261=$AT$6),AC261,HLOOKUP(YEAR(G261)+(MONTH(G261)/100),TC!$5:$37,DAY(G261)+2,FALSE))))</f>
        <v>0</v>
      </c>
      <c r="O261" s="307">
        <f t="shared" si="82"/>
        <v>0</v>
      </c>
      <c r="P261" s="552">
        <f>IF(G261=0,0,VLOOKUP(YEAR(G261),INPC!$B$4:$P$30,MONTH(G261)+2))</f>
        <v>0</v>
      </c>
      <c r="Q261" s="552">
        <f>IF(X261=0,0,IF(OR(E261=$AT$10,E261=$AT$9),VLOOKUP(YEAR(X261),INPC!$B$4:$P$30,MONTH(X261)+1),VLOOKUP(YEAR(X261),INPC!$B$4:$P$30,MONTH(X261)+2,0)))</f>
        <v>0</v>
      </c>
      <c r="R261" s="309">
        <f t="shared" si="74"/>
        <v>0</v>
      </c>
      <c r="S261" s="310">
        <f t="shared" si="83"/>
        <v>0</v>
      </c>
      <c r="T261" s="547">
        <f t="shared" si="84"/>
        <v>0</v>
      </c>
      <c r="U261" s="311"/>
      <c r="V261" s="312"/>
      <c r="W261" s="299"/>
      <c r="X261" s="300"/>
      <c r="Y261" s="299"/>
      <c r="Z261" s="303"/>
      <c r="AA261" s="305">
        <f>IF(Z261=0,0,IF(Y261="MXN",1/HLOOKUP(YEAR(X261)+(MONTH(X261)/100),TC!$5:$37,DAY(X261)+2,FALSE),VLOOKUP(Y261,Equivalencia!$1:$23,((MAX(Equivalencia!$3:$3)-YEAR(X261))*14)+MONTH(X261)+2,FALSE)))</f>
        <v>0</v>
      </c>
      <c r="AB261" s="306">
        <f t="shared" si="85"/>
        <v>0</v>
      </c>
      <c r="AC261" s="305">
        <f>+IF(X261=0,0,HLOOKUP(YEAR(X261)+(MONTH(X261)/100),TC!$5:$37,DAY(X261)+2,FALSE))</f>
        <v>0</v>
      </c>
      <c r="AD261" s="307">
        <f t="shared" si="86"/>
        <v>0</v>
      </c>
      <c r="AE261" s="314">
        <f t="shared" si="75"/>
        <v>0</v>
      </c>
      <c r="AF261" s="315">
        <f t="shared" si="76"/>
        <v>0</v>
      </c>
      <c r="AG261" s="316">
        <f t="shared" si="77"/>
        <v>0</v>
      </c>
      <c r="AH261" s="314">
        <v>1</v>
      </c>
      <c r="AI261" s="314">
        <f t="shared" si="78"/>
        <v>0</v>
      </c>
      <c r="AJ261" s="314">
        <f t="shared" si="87"/>
        <v>0</v>
      </c>
      <c r="AK261" s="317"/>
      <c r="AL261" s="315">
        <f t="shared" si="79"/>
        <v>0</v>
      </c>
      <c r="AN261" s="546">
        <f t="shared" si="80"/>
        <v>0</v>
      </c>
      <c r="AO261" s="314"/>
      <c r="AP261" s="318"/>
    </row>
    <row r="262" spans="2:42">
      <c r="B262" s="296"/>
      <c r="C262" s="299"/>
      <c r="D262" s="298"/>
      <c r="E262" s="299"/>
      <c r="F262" s="299"/>
      <c r="G262" s="300"/>
      <c r="H262" s="303"/>
      <c r="I262" s="301">
        <f t="shared" si="71"/>
        <v>0</v>
      </c>
      <c r="J262" s="302">
        <f t="shared" si="81"/>
        <v>0</v>
      </c>
      <c r="K262" s="304">
        <f t="shared" si="72"/>
        <v>0</v>
      </c>
      <c r="L262" s="305">
        <f>IF(H262=0,0,IF(OR(E262=$AT$5,E262=$AT$6),AA262,IF(F262="MXN",1/HLOOKUP(YEAR(G262)+(MONTH(G262)/100),TC!$5:$37,DAY(G262)+2,FALSE),VLOOKUP(F262,Equivalencia!$5:$23,((MAX(Equivalencia!$3:$3)-YEAR(G262))*14)+MONTH(G262)+2,FALSE))))</f>
        <v>0</v>
      </c>
      <c r="M262" s="306">
        <f t="shared" si="73"/>
        <v>0</v>
      </c>
      <c r="N262" s="305">
        <f>IF(G262=0,0,(IF(OR(E262=$AT$5,E262=$AT$6),AC262,HLOOKUP(YEAR(G262)+(MONTH(G262)/100),TC!$5:$37,DAY(G262)+2,FALSE))))</f>
        <v>0</v>
      </c>
      <c r="O262" s="307">
        <f t="shared" si="82"/>
        <v>0</v>
      </c>
      <c r="P262" s="552">
        <f>IF(G262=0,0,VLOOKUP(YEAR(G262),INPC!$B$4:$P$30,MONTH(G262)+2))</f>
        <v>0</v>
      </c>
      <c r="Q262" s="552">
        <f>IF(X262=0,0,IF(OR(E262=$AT$10,E262=$AT$9),VLOOKUP(YEAR(X262),INPC!$B$4:$P$30,MONTH(X262)+1),VLOOKUP(YEAR(X262),INPC!$B$4:$P$30,MONTH(X262)+2,0)))</f>
        <v>0</v>
      </c>
      <c r="R262" s="309">
        <f t="shared" si="74"/>
        <v>0</v>
      </c>
      <c r="S262" s="310">
        <f t="shared" si="83"/>
        <v>0</v>
      </c>
      <c r="T262" s="547">
        <f t="shared" si="84"/>
        <v>0</v>
      </c>
      <c r="U262" s="311"/>
      <c r="V262" s="312"/>
      <c r="W262" s="299"/>
      <c r="X262" s="300"/>
      <c r="Y262" s="299"/>
      <c r="Z262" s="303"/>
      <c r="AA262" s="305">
        <f>IF(Z262=0,0,IF(Y262="MXN",1/HLOOKUP(YEAR(X262)+(MONTH(X262)/100),TC!$5:$37,DAY(X262)+2,FALSE),VLOOKUP(Y262,Equivalencia!$1:$23,((MAX(Equivalencia!$3:$3)-YEAR(X262))*14)+MONTH(X262)+2,FALSE)))</f>
        <v>0</v>
      </c>
      <c r="AB262" s="306">
        <f t="shared" si="85"/>
        <v>0</v>
      </c>
      <c r="AC262" s="305">
        <f>+IF(X262=0,0,HLOOKUP(YEAR(X262)+(MONTH(X262)/100),TC!$5:$37,DAY(X262)+2,FALSE))</f>
        <v>0</v>
      </c>
      <c r="AD262" s="307">
        <f t="shared" si="86"/>
        <v>0</v>
      </c>
      <c r="AE262" s="314">
        <f t="shared" si="75"/>
        <v>0</v>
      </c>
      <c r="AF262" s="315">
        <f t="shared" si="76"/>
        <v>0</v>
      </c>
      <c r="AG262" s="316">
        <f t="shared" si="77"/>
        <v>0</v>
      </c>
      <c r="AH262" s="314">
        <v>1</v>
      </c>
      <c r="AI262" s="314">
        <f t="shared" si="78"/>
        <v>0</v>
      </c>
      <c r="AJ262" s="314">
        <f t="shared" si="87"/>
        <v>0</v>
      </c>
      <c r="AK262" s="317"/>
      <c r="AL262" s="315">
        <f t="shared" si="79"/>
        <v>0</v>
      </c>
      <c r="AN262" s="546">
        <f t="shared" si="80"/>
        <v>0</v>
      </c>
      <c r="AO262" s="314"/>
      <c r="AP262" s="318"/>
    </row>
    <row r="263" spans="2:42">
      <c r="B263" s="296"/>
      <c r="C263" s="299"/>
      <c r="D263" s="298"/>
      <c r="E263" s="299"/>
      <c r="F263" s="299"/>
      <c r="G263" s="300"/>
      <c r="H263" s="303"/>
      <c r="I263" s="301">
        <f t="shared" si="71"/>
        <v>0</v>
      </c>
      <c r="J263" s="302">
        <f t="shared" si="81"/>
        <v>0</v>
      </c>
      <c r="K263" s="304">
        <f t="shared" si="72"/>
        <v>0</v>
      </c>
      <c r="L263" s="305">
        <f>IF(H263=0,0,IF(OR(E263=$AT$5,E263=$AT$6),AA263,IF(F263="MXN",1/HLOOKUP(YEAR(G263)+(MONTH(G263)/100),TC!$5:$37,DAY(G263)+2,FALSE),VLOOKUP(F263,Equivalencia!$5:$23,((MAX(Equivalencia!$3:$3)-YEAR(G263))*14)+MONTH(G263)+2,FALSE))))</f>
        <v>0</v>
      </c>
      <c r="M263" s="306">
        <f t="shared" si="73"/>
        <v>0</v>
      </c>
      <c r="N263" s="305">
        <f>IF(G263=0,0,(IF(OR(E263=$AT$5,E263=$AT$6),AC263,HLOOKUP(YEAR(G263)+(MONTH(G263)/100),TC!$5:$37,DAY(G263)+2,FALSE))))</f>
        <v>0</v>
      </c>
      <c r="O263" s="307">
        <f t="shared" si="82"/>
        <v>0</v>
      </c>
      <c r="P263" s="552">
        <f>IF(G263=0,0,VLOOKUP(YEAR(G263),INPC!$B$4:$P$30,MONTH(G263)+2))</f>
        <v>0</v>
      </c>
      <c r="Q263" s="552">
        <f>IF(X263=0,0,IF(OR(E263=$AT$10,E263=$AT$9),VLOOKUP(YEAR(X263),INPC!$B$4:$P$30,MONTH(X263)+1),VLOOKUP(YEAR(X263),INPC!$B$4:$P$30,MONTH(X263)+2,0)))</f>
        <v>0</v>
      </c>
      <c r="R263" s="309">
        <f t="shared" si="74"/>
        <v>0</v>
      </c>
      <c r="S263" s="310">
        <f t="shared" si="83"/>
        <v>0</v>
      </c>
      <c r="T263" s="547">
        <f t="shared" si="84"/>
        <v>0</v>
      </c>
      <c r="U263" s="311"/>
      <c r="V263" s="312"/>
      <c r="W263" s="299"/>
      <c r="X263" s="300"/>
      <c r="Y263" s="299"/>
      <c r="Z263" s="303"/>
      <c r="AA263" s="305">
        <f>IF(Z263=0,0,IF(Y263="MXN",1/HLOOKUP(YEAR(X263)+(MONTH(X263)/100),TC!$5:$37,DAY(X263)+2,FALSE),VLOOKUP(Y263,Equivalencia!$1:$23,((MAX(Equivalencia!$3:$3)-YEAR(X263))*14)+MONTH(X263)+2,FALSE)))</f>
        <v>0</v>
      </c>
      <c r="AB263" s="306">
        <f t="shared" si="85"/>
        <v>0</v>
      </c>
      <c r="AC263" s="305">
        <f>+IF(X263=0,0,HLOOKUP(YEAR(X263)+(MONTH(X263)/100),TC!$5:$37,DAY(X263)+2,FALSE))</f>
        <v>0</v>
      </c>
      <c r="AD263" s="307">
        <f t="shared" si="86"/>
        <v>0</v>
      </c>
      <c r="AE263" s="314">
        <f t="shared" si="75"/>
        <v>0</v>
      </c>
      <c r="AF263" s="315">
        <f t="shared" si="76"/>
        <v>0</v>
      </c>
      <c r="AG263" s="316">
        <f t="shared" si="77"/>
        <v>0</v>
      </c>
      <c r="AH263" s="314">
        <v>1</v>
      </c>
      <c r="AI263" s="314">
        <f t="shared" si="78"/>
        <v>0</v>
      </c>
      <c r="AJ263" s="314">
        <f t="shared" si="87"/>
        <v>0</v>
      </c>
      <c r="AK263" s="317"/>
      <c r="AL263" s="315">
        <f t="shared" si="79"/>
        <v>0</v>
      </c>
      <c r="AN263" s="546">
        <f t="shared" si="80"/>
        <v>0</v>
      </c>
      <c r="AO263" s="314"/>
      <c r="AP263" s="318"/>
    </row>
    <row r="264" spans="2:42">
      <c r="B264" s="296"/>
      <c r="C264" s="299"/>
      <c r="D264" s="298"/>
      <c r="E264" s="299"/>
      <c r="F264" s="299"/>
      <c r="G264" s="300"/>
      <c r="H264" s="303"/>
      <c r="I264" s="301">
        <f t="shared" si="71"/>
        <v>0</v>
      </c>
      <c r="J264" s="302">
        <f t="shared" si="81"/>
        <v>0</v>
      </c>
      <c r="K264" s="304">
        <f t="shared" si="72"/>
        <v>0</v>
      </c>
      <c r="L264" s="305">
        <f>IF(H264=0,0,IF(OR(E264=$AT$5,E264=$AT$6),AA264,IF(F264="MXN",1/HLOOKUP(YEAR(G264)+(MONTH(G264)/100),TC!$5:$37,DAY(G264)+2,FALSE),VLOOKUP(F264,Equivalencia!$5:$23,((MAX(Equivalencia!$3:$3)-YEAR(G264))*14)+MONTH(G264)+2,FALSE))))</f>
        <v>0</v>
      </c>
      <c r="M264" s="306">
        <f t="shared" si="73"/>
        <v>0</v>
      </c>
      <c r="N264" s="305">
        <f>IF(G264=0,0,(IF(OR(E264=$AT$5,E264=$AT$6),AC264,HLOOKUP(YEAR(G264)+(MONTH(G264)/100),TC!$5:$37,DAY(G264)+2,FALSE))))</f>
        <v>0</v>
      </c>
      <c r="O264" s="307">
        <f t="shared" si="82"/>
        <v>0</v>
      </c>
      <c r="P264" s="552">
        <f>IF(G264=0,0,VLOOKUP(YEAR(G264),INPC!$B$4:$P$30,MONTH(G264)+2))</f>
        <v>0</v>
      </c>
      <c r="Q264" s="552">
        <f>IF(X264=0,0,IF(OR(E264=$AT$10,E264=$AT$9),VLOOKUP(YEAR(X264),INPC!$B$4:$P$30,MONTH(X264)+1),VLOOKUP(YEAR(X264),INPC!$B$4:$P$30,MONTH(X264)+2,0)))</f>
        <v>0</v>
      </c>
      <c r="R264" s="309">
        <f t="shared" si="74"/>
        <v>0</v>
      </c>
      <c r="S264" s="310">
        <f t="shared" si="83"/>
        <v>0</v>
      </c>
      <c r="T264" s="547">
        <f t="shared" si="84"/>
        <v>0</v>
      </c>
      <c r="U264" s="311"/>
      <c r="V264" s="312"/>
      <c r="W264" s="299"/>
      <c r="X264" s="300"/>
      <c r="Y264" s="299"/>
      <c r="Z264" s="303"/>
      <c r="AA264" s="305">
        <f>IF(Z264=0,0,IF(Y264="MXN",1/HLOOKUP(YEAR(X264)+(MONTH(X264)/100),TC!$5:$37,DAY(X264)+2,FALSE),VLOOKUP(Y264,Equivalencia!$1:$23,((MAX(Equivalencia!$3:$3)-YEAR(X264))*14)+MONTH(X264)+2,FALSE)))</f>
        <v>0</v>
      </c>
      <c r="AB264" s="306">
        <f t="shared" si="85"/>
        <v>0</v>
      </c>
      <c r="AC264" s="305">
        <f>+IF(X264=0,0,HLOOKUP(YEAR(X264)+(MONTH(X264)/100),TC!$5:$37,DAY(X264)+2,FALSE))</f>
        <v>0</v>
      </c>
      <c r="AD264" s="307">
        <f t="shared" si="86"/>
        <v>0</v>
      </c>
      <c r="AE264" s="314">
        <f t="shared" si="75"/>
        <v>0</v>
      </c>
      <c r="AF264" s="315">
        <f t="shared" si="76"/>
        <v>0</v>
      </c>
      <c r="AG264" s="316">
        <f t="shared" si="77"/>
        <v>0</v>
      </c>
      <c r="AH264" s="314">
        <v>1</v>
      </c>
      <c r="AI264" s="314">
        <f t="shared" si="78"/>
        <v>0</v>
      </c>
      <c r="AJ264" s="314">
        <f t="shared" si="87"/>
        <v>0</v>
      </c>
      <c r="AK264" s="317"/>
      <c r="AL264" s="315">
        <f t="shared" si="79"/>
        <v>0</v>
      </c>
      <c r="AN264" s="546">
        <f t="shared" si="80"/>
        <v>0</v>
      </c>
      <c r="AO264" s="314"/>
      <c r="AP264" s="318"/>
    </row>
    <row r="265" spans="2:42">
      <c r="B265" s="296"/>
      <c r="C265" s="299"/>
      <c r="D265" s="298"/>
      <c r="E265" s="299"/>
      <c r="F265" s="299"/>
      <c r="G265" s="300"/>
      <c r="H265" s="303"/>
      <c r="I265" s="301">
        <f t="shared" si="71"/>
        <v>0</v>
      </c>
      <c r="J265" s="302">
        <f t="shared" si="81"/>
        <v>0</v>
      </c>
      <c r="K265" s="304">
        <f t="shared" si="72"/>
        <v>0</v>
      </c>
      <c r="L265" s="305">
        <f>IF(H265=0,0,IF(OR(E265=$AT$5,E265=$AT$6),AA265,IF(F265="MXN",1/HLOOKUP(YEAR(G265)+(MONTH(G265)/100),TC!$5:$37,DAY(G265)+2,FALSE),VLOOKUP(F265,Equivalencia!$5:$23,((MAX(Equivalencia!$3:$3)-YEAR(G265))*14)+MONTH(G265)+2,FALSE))))</f>
        <v>0</v>
      </c>
      <c r="M265" s="306">
        <f t="shared" si="73"/>
        <v>0</v>
      </c>
      <c r="N265" s="305">
        <f>IF(G265=0,0,(IF(OR(E265=$AT$5,E265=$AT$6),AC265,HLOOKUP(YEAR(G265)+(MONTH(G265)/100),TC!$5:$37,DAY(G265)+2,FALSE))))</f>
        <v>0</v>
      </c>
      <c r="O265" s="307">
        <f t="shared" si="82"/>
        <v>0</v>
      </c>
      <c r="P265" s="552">
        <f>IF(G265=0,0,VLOOKUP(YEAR(G265),INPC!$B$4:$P$30,MONTH(G265)+2))</f>
        <v>0</v>
      </c>
      <c r="Q265" s="552">
        <f>IF(X265=0,0,IF(OR(E265=$AT$10,E265=$AT$9),VLOOKUP(YEAR(X265),INPC!$B$4:$P$30,MONTH(X265)+1),VLOOKUP(YEAR(X265),INPC!$B$4:$P$30,MONTH(X265)+2,0)))</f>
        <v>0</v>
      </c>
      <c r="R265" s="309">
        <f t="shared" si="74"/>
        <v>0</v>
      </c>
      <c r="S265" s="310">
        <f t="shared" si="83"/>
        <v>0</v>
      </c>
      <c r="T265" s="547">
        <f t="shared" si="84"/>
        <v>0</v>
      </c>
      <c r="U265" s="311"/>
      <c r="V265" s="312"/>
      <c r="W265" s="299"/>
      <c r="X265" s="300"/>
      <c r="Y265" s="299"/>
      <c r="Z265" s="303"/>
      <c r="AA265" s="305">
        <f>IF(Z265=0,0,IF(Y265="MXN",1/HLOOKUP(YEAR(X265)+(MONTH(X265)/100),TC!$5:$37,DAY(X265)+2,FALSE),VLOOKUP(Y265,Equivalencia!$1:$23,((MAX(Equivalencia!$3:$3)-YEAR(X265))*14)+MONTH(X265)+2,FALSE)))</f>
        <v>0</v>
      </c>
      <c r="AB265" s="306">
        <f t="shared" si="85"/>
        <v>0</v>
      </c>
      <c r="AC265" s="305">
        <f>+IF(X265=0,0,HLOOKUP(YEAR(X265)+(MONTH(X265)/100),TC!$5:$37,DAY(X265)+2,FALSE))</f>
        <v>0</v>
      </c>
      <c r="AD265" s="307">
        <f t="shared" si="86"/>
        <v>0</v>
      </c>
      <c r="AE265" s="314">
        <f t="shared" si="75"/>
        <v>0</v>
      </c>
      <c r="AF265" s="315">
        <f t="shared" si="76"/>
        <v>0</v>
      </c>
      <c r="AG265" s="316">
        <f t="shared" si="77"/>
        <v>0</v>
      </c>
      <c r="AH265" s="314">
        <v>1</v>
      </c>
      <c r="AI265" s="314">
        <f t="shared" si="78"/>
        <v>0</v>
      </c>
      <c r="AJ265" s="314">
        <f t="shared" si="87"/>
        <v>0</v>
      </c>
      <c r="AK265" s="317"/>
      <c r="AL265" s="315">
        <f t="shared" si="79"/>
        <v>0</v>
      </c>
      <c r="AN265" s="546">
        <f t="shared" si="80"/>
        <v>0</v>
      </c>
      <c r="AO265" s="314"/>
      <c r="AP265" s="318"/>
    </row>
    <row r="266" spans="2:42">
      <c r="B266" s="296"/>
      <c r="C266" s="299"/>
      <c r="D266" s="298"/>
      <c r="E266" s="299"/>
      <c r="F266" s="299"/>
      <c r="G266" s="300"/>
      <c r="H266" s="303"/>
      <c r="I266" s="301">
        <f t="shared" si="71"/>
        <v>0</v>
      </c>
      <c r="J266" s="302">
        <f t="shared" si="81"/>
        <v>0</v>
      </c>
      <c r="K266" s="304">
        <f t="shared" si="72"/>
        <v>0</v>
      </c>
      <c r="L266" s="305">
        <f>IF(H266=0,0,IF(OR(E266=$AT$5,E266=$AT$6),AA266,IF(F266="MXN",1/HLOOKUP(YEAR(G266)+(MONTH(G266)/100),TC!$5:$37,DAY(G266)+2,FALSE),VLOOKUP(F266,Equivalencia!$5:$23,((MAX(Equivalencia!$3:$3)-YEAR(G266))*14)+MONTH(G266)+2,FALSE))))</f>
        <v>0</v>
      </c>
      <c r="M266" s="306">
        <f t="shared" si="73"/>
        <v>0</v>
      </c>
      <c r="N266" s="305">
        <f>IF(G266=0,0,(IF(OR(E266=$AT$5,E266=$AT$6),AC266,HLOOKUP(YEAR(G266)+(MONTH(G266)/100),TC!$5:$37,DAY(G266)+2,FALSE))))</f>
        <v>0</v>
      </c>
      <c r="O266" s="307">
        <f t="shared" si="82"/>
        <v>0</v>
      </c>
      <c r="P266" s="552">
        <f>IF(G266=0,0,VLOOKUP(YEAR(G266),INPC!$B$4:$P$30,MONTH(G266)+2))</f>
        <v>0</v>
      </c>
      <c r="Q266" s="552">
        <f>IF(X266=0,0,IF(OR(E266=$AT$10,E266=$AT$9),VLOOKUP(YEAR(X266),INPC!$B$4:$P$30,MONTH(X266)+1),VLOOKUP(YEAR(X266),INPC!$B$4:$P$30,MONTH(X266)+2,0)))</f>
        <v>0</v>
      </c>
      <c r="R266" s="309">
        <f t="shared" si="74"/>
        <v>0</v>
      </c>
      <c r="S266" s="310">
        <f t="shared" si="83"/>
        <v>0</v>
      </c>
      <c r="T266" s="547">
        <f t="shared" si="84"/>
        <v>0</v>
      </c>
      <c r="U266" s="311"/>
      <c r="V266" s="312"/>
      <c r="W266" s="299"/>
      <c r="X266" s="300"/>
      <c r="Y266" s="299"/>
      <c r="Z266" s="303"/>
      <c r="AA266" s="305">
        <f>IF(Z266=0,0,IF(Y266="MXN",1/HLOOKUP(YEAR(X266)+(MONTH(X266)/100),TC!$5:$37,DAY(X266)+2,FALSE),VLOOKUP(Y266,Equivalencia!$1:$23,((MAX(Equivalencia!$3:$3)-YEAR(X266))*14)+MONTH(X266)+2,FALSE)))</f>
        <v>0</v>
      </c>
      <c r="AB266" s="306">
        <f t="shared" si="85"/>
        <v>0</v>
      </c>
      <c r="AC266" s="305">
        <f>+IF(X266=0,0,HLOOKUP(YEAR(X266)+(MONTH(X266)/100),TC!$5:$37,DAY(X266)+2,FALSE))</f>
        <v>0</v>
      </c>
      <c r="AD266" s="307">
        <f t="shared" si="86"/>
        <v>0</v>
      </c>
      <c r="AE266" s="314">
        <f t="shared" si="75"/>
        <v>0</v>
      </c>
      <c r="AF266" s="315">
        <f t="shared" si="76"/>
        <v>0</v>
      </c>
      <c r="AG266" s="316">
        <f t="shared" si="77"/>
        <v>0</v>
      </c>
      <c r="AH266" s="314">
        <v>1</v>
      </c>
      <c r="AI266" s="314">
        <f t="shared" si="78"/>
        <v>0</v>
      </c>
      <c r="AJ266" s="314">
        <f t="shared" si="87"/>
        <v>0</v>
      </c>
      <c r="AK266" s="317"/>
      <c r="AL266" s="315">
        <f t="shared" si="79"/>
        <v>0</v>
      </c>
      <c r="AN266" s="546">
        <f t="shared" si="80"/>
        <v>0</v>
      </c>
      <c r="AO266" s="314"/>
      <c r="AP266" s="318"/>
    </row>
    <row r="267" spans="2:42">
      <c r="B267" s="296"/>
      <c r="C267" s="299"/>
      <c r="D267" s="298"/>
      <c r="E267" s="299"/>
      <c r="F267" s="299"/>
      <c r="G267" s="300"/>
      <c r="H267" s="303"/>
      <c r="I267" s="301">
        <f t="shared" si="71"/>
        <v>0</v>
      </c>
      <c r="J267" s="302">
        <f t="shared" si="81"/>
        <v>0</v>
      </c>
      <c r="K267" s="304">
        <f t="shared" si="72"/>
        <v>0</v>
      </c>
      <c r="L267" s="305">
        <f>IF(H267=0,0,IF(OR(E267=$AT$5,E267=$AT$6),AA267,IF(F267="MXN",1/HLOOKUP(YEAR(G267)+(MONTH(G267)/100),TC!$5:$37,DAY(G267)+2,FALSE),VLOOKUP(F267,Equivalencia!$5:$23,((MAX(Equivalencia!$3:$3)-YEAR(G267))*14)+MONTH(G267)+2,FALSE))))</f>
        <v>0</v>
      </c>
      <c r="M267" s="306">
        <f t="shared" si="73"/>
        <v>0</v>
      </c>
      <c r="N267" s="305">
        <f>IF(G267=0,0,(IF(OR(E267=$AT$5,E267=$AT$6),AC267,HLOOKUP(YEAR(G267)+(MONTH(G267)/100),TC!$5:$37,DAY(G267)+2,FALSE))))</f>
        <v>0</v>
      </c>
      <c r="O267" s="307">
        <f t="shared" si="82"/>
        <v>0</v>
      </c>
      <c r="P267" s="552">
        <f>IF(G267=0,0,VLOOKUP(YEAR(G267),INPC!$B$4:$P$30,MONTH(G267)+2))</f>
        <v>0</v>
      </c>
      <c r="Q267" s="552">
        <f>IF(X267=0,0,IF(OR(E267=$AT$10,E267=$AT$9),VLOOKUP(YEAR(X267),INPC!$B$4:$P$30,MONTH(X267)+1),VLOOKUP(YEAR(X267),INPC!$B$4:$P$30,MONTH(X267)+2,0)))</f>
        <v>0</v>
      </c>
      <c r="R267" s="309">
        <f t="shared" si="74"/>
        <v>0</v>
      </c>
      <c r="S267" s="310">
        <f t="shared" si="83"/>
        <v>0</v>
      </c>
      <c r="T267" s="547">
        <f t="shared" si="84"/>
        <v>0</v>
      </c>
      <c r="U267" s="311"/>
      <c r="V267" s="312"/>
      <c r="W267" s="299"/>
      <c r="X267" s="300"/>
      <c r="Y267" s="299"/>
      <c r="Z267" s="303"/>
      <c r="AA267" s="305">
        <f>IF(Z267=0,0,IF(Y267="MXN",1/HLOOKUP(YEAR(X267)+(MONTH(X267)/100),TC!$5:$37,DAY(X267)+2,FALSE),VLOOKUP(Y267,Equivalencia!$1:$23,((MAX(Equivalencia!$3:$3)-YEAR(X267))*14)+MONTH(X267)+2,FALSE)))</f>
        <v>0</v>
      </c>
      <c r="AB267" s="306">
        <f t="shared" si="85"/>
        <v>0</v>
      </c>
      <c r="AC267" s="305">
        <f>+IF(X267=0,0,HLOOKUP(YEAR(X267)+(MONTH(X267)/100),TC!$5:$37,DAY(X267)+2,FALSE))</f>
        <v>0</v>
      </c>
      <c r="AD267" s="307">
        <f t="shared" si="86"/>
        <v>0</v>
      </c>
      <c r="AE267" s="314">
        <f t="shared" si="75"/>
        <v>0</v>
      </c>
      <c r="AF267" s="315">
        <f t="shared" si="76"/>
        <v>0</v>
      </c>
      <c r="AG267" s="316">
        <f t="shared" si="77"/>
        <v>0</v>
      </c>
      <c r="AH267" s="314">
        <v>1</v>
      </c>
      <c r="AI267" s="314">
        <f t="shared" si="78"/>
        <v>0</v>
      </c>
      <c r="AJ267" s="314">
        <f t="shared" si="87"/>
        <v>0</v>
      </c>
      <c r="AK267" s="317"/>
      <c r="AL267" s="315">
        <f t="shared" si="79"/>
        <v>0</v>
      </c>
      <c r="AN267" s="546">
        <f t="shared" si="80"/>
        <v>0</v>
      </c>
      <c r="AO267" s="314"/>
      <c r="AP267" s="318"/>
    </row>
    <row r="268" spans="2:42">
      <c r="B268" s="296"/>
      <c r="C268" s="299"/>
      <c r="D268" s="298"/>
      <c r="E268" s="299"/>
      <c r="F268" s="299"/>
      <c r="G268" s="300"/>
      <c r="H268" s="303"/>
      <c r="I268" s="301">
        <f t="shared" si="71"/>
        <v>0</v>
      </c>
      <c r="J268" s="302">
        <f t="shared" si="81"/>
        <v>0</v>
      </c>
      <c r="K268" s="304">
        <f t="shared" si="72"/>
        <v>0</v>
      </c>
      <c r="L268" s="305">
        <f>IF(H268=0,0,IF(OR(E268=$AT$5,E268=$AT$6),AA268,IF(F268="MXN",1/HLOOKUP(YEAR(G268)+(MONTH(G268)/100),TC!$5:$37,DAY(G268)+2,FALSE),VLOOKUP(F268,Equivalencia!$5:$23,((MAX(Equivalencia!$3:$3)-YEAR(G268))*14)+MONTH(G268)+2,FALSE))))</f>
        <v>0</v>
      </c>
      <c r="M268" s="306">
        <f t="shared" si="73"/>
        <v>0</v>
      </c>
      <c r="N268" s="305">
        <f>IF(G268=0,0,(IF(OR(E268=$AT$5,E268=$AT$6),AC268,HLOOKUP(YEAR(G268)+(MONTH(G268)/100),TC!$5:$37,DAY(G268)+2,FALSE))))</f>
        <v>0</v>
      </c>
      <c r="O268" s="307">
        <f t="shared" si="82"/>
        <v>0</v>
      </c>
      <c r="P268" s="552">
        <f>IF(G268=0,0,VLOOKUP(YEAR(G268),INPC!$B$4:$P$30,MONTH(G268)+2))</f>
        <v>0</v>
      </c>
      <c r="Q268" s="552">
        <f>IF(X268=0,0,IF(OR(E268=$AT$10,E268=$AT$9),VLOOKUP(YEAR(X268),INPC!$B$4:$P$30,MONTH(X268)+1),VLOOKUP(YEAR(X268),INPC!$B$4:$P$30,MONTH(X268)+2,0)))</f>
        <v>0</v>
      </c>
      <c r="R268" s="309">
        <f t="shared" si="74"/>
        <v>0</v>
      </c>
      <c r="S268" s="310">
        <f t="shared" si="83"/>
        <v>0</v>
      </c>
      <c r="T268" s="547">
        <f t="shared" si="84"/>
        <v>0</v>
      </c>
      <c r="U268" s="311"/>
      <c r="V268" s="312"/>
      <c r="W268" s="299"/>
      <c r="X268" s="300"/>
      <c r="Y268" s="299"/>
      <c r="Z268" s="303"/>
      <c r="AA268" s="305">
        <f>IF(Z268=0,0,IF(Y268="MXN",1/HLOOKUP(YEAR(X268)+(MONTH(X268)/100),TC!$5:$37,DAY(X268)+2,FALSE),VLOOKUP(Y268,Equivalencia!$1:$23,((MAX(Equivalencia!$3:$3)-YEAR(X268))*14)+MONTH(X268)+2,FALSE)))</f>
        <v>0</v>
      </c>
      <c r="AB268" s="306">
        <f t="shared" si="85"/>
        <v>0</v>
      </c>
      <c r="AC268" s="305">
        <f>+IF(X268=0,0,HLOOKUP(YEAR(X268)+(MONTH(X268)/100),TC!$5:$37,DAY(X268)+2,FALSE))</f>
        <v>0</v>
      </c>
      <c r="AD268" s="307">
        <f t="shared" si="86"/>
        <v>0</v>
      </c>
      <c r="AE268" s="314">
        <f t="shared" si="75"/>
        <v>0</v>
      </c>
      <c r="AF268" s="315">
        <f t="shared" si="76"/>
        <v>0</v>
      </c>
      <c r="AG268" s="316">
        <f t="shared" si="77"/>
        <v>0</v>
      </c>
      <c r="AH268" s="314">
        <v>1</v>
      </c>
      <c r="AI268" s="314">
        <f t="shared" si="78"/>
        <v>0</v>
      </c>
      <c r="AJ268" s="314">
        <f t="shared" si="87"/>
        <v>0</v>
      </c>
      <c r="AK268" s="317"/>
      <c r="AL268" s="315">
        <f t="shared" si="79"/>
        <v>0</v>
      </c>
      <c r="AN268" s="546">
        <f t="shared" si="80"/>
        <v>0</v>
      </c>
      <c r="AO268" s="314"/>
      <c r="AP268" s="318"/>
    </row>
    <row r="269" spans="2:42">
      <c r="B269" s="296"/>
      <c r="C269" s="299"/>
      <c r="D269" s="298"/>
      <c r="E269" s="299"/>
      <c r="F269" s="299"/>
      <c r="G269" s="300"/>
      <c r="H269" s="303"/>
      <c r="I269" s="301">
        <f t="shared" si="71"/>
        <v>0</v>
      </c>
      <c r="J269" s="302">
        <f t="shared" si="81"/>
        <v>0</v>
      </c>
      <c r="K269" s="304">
        <f t="shared" si="72"/>
        <v>0</v>
      </c>
      <c r="L269" s="305">
        <f>IF(H269=0,0,IF(OR(E269=$AT$5,E269=$AT$6),AA269,IF(F269="MXN",1/HLOOKUP(YEAR(G269)+(MONTH(G269)/100),TC!$5:$37,DAY(G269)+2,FALSE),VLOOKUP(F269,Equivalencia!$5:$23,((MAX(Equivalencia!$3:$3)-YEAR(G269))*14)+MONTH(G269)+2,FALSE))))</f>
        <v>0</v>
      </c>
      <c r="M269" s="306">
        <f t="shared" si="73"/>
        <v>0</v>
      </c>
      <c r="N269" s="305">
        <f>IF(G269=0,0,(IF(OR(E269=$AT$5,E269=$AT$6),AC269,HLOOKUP(YEAR(G269)+(MONTH(G269)/100),TC!$5:$37,DAY(G269)+2,FALSE))))</f>
        <v>0</v>
      </c>
      <c r="O269" s="307">
        <f t="shared" si="82"/>
        <v>0</v>
      </c>
      <c r="P269" s="552">
        <f>IF(G269=0,0,VLOOKUP(YEAR(G269),INPC!$B$4:$P$30,MONTH(G269)+2))</f>
        <v>0</v>
      </c>
      <c r="Q269" s="552">
        <f>IF(X269=0,0,IF(OR(E269=$AT$10,E269=$AT$9),VLOOKUP(YEAR(X269),INPC!$B$4:$P$30,MONTH(X269)+1),VLOOKUP(YEAR(X269),INPC!$B$4:$P$30,MONTH(X269)+2,0)))</f>
        <v>0</v>
      </c>
      <c r="R269" s="309">
        <f t="shared" si="74"/>
        <v>0</v>
      </c>
      <c r="S269" s="310">
        <f t="shared" si="83"/>
        <v>0</v>
      </c>
      <c r="T269" s="547">
        <f t="shared" si="84"/>
        <v>0</v>
      </c>
      <c r="U269" s="311"/>
      <c r="V269" s="312"/>
      <c r="W269" s="299"/>
      <c r="X269" s="300"/>
      <c r="Y269" s="299"/>
      <c r="Z269" s="303"/>
      <c r="AA269" s="305">
        <f>IF(Z269=0,0,IF(Y269="MXN",1/HLOOKUP(YEAR(X269)+(MONTH(X269)/100),TC!$5:$37,DAY(X269)+2,FALSE),VLOOKUP(Y269,Equivalencia!$1:$23,((MAX(Equivalencia!$3:$3)-YEAR(X269))*14)+MONTH(X269)+2,FALSE)))</f>
        <v>0</v>
      </c>
      <c r="AB269" s="306">
        <f t="shared" si="85"/>
        <v>0</v>
      </c>
      <c r="AC269" s="305">
        <f>+IF(X269=0,0,HLOOKUP(YEAR(X269)+(MONTH(X269)/100),TC!$5:$37,DAY(X269)+2,FALSE))</f>
        <v>0</v>
      </c>
      <c r="AD269" s="307">
        <f t="shared" si="86"/>
        <v>0</v>
      </c>
      <c r="AE269" s="314">
        <f t="shared" si="75"/>
        <v>0</v>
      </c>
      <c r="AF269" s="315">
        <f t="shared" si="76"/>
        <v>0</v>
      </c>
      <c r="AG269" s="316">
        <f t="shared" si="77"/>
        <v>0</v>
      </c>
      <c r="AH269" s="314">
        <v>1</v>
      </c>
      <c r="AI269" s="314">
        <f t="shared" si="78"/>
        <v>0</v>
      </c>
      <c r="AJ269" s="314">
        <f t="shared" si="87"/>
        <v>0</v>
      </c>
      <c r="AK269" s="317"/>
      <c r="AL269" s="315">
        <f t="shared" si="79"/>
        <v>0</v>
      </c>
      <c r="AN269" s="546">
        <f t="shared" si="80"/>
        <v>0</v>
      </c>
      <c r="AO269" s="314"/>
      <c r="AP269" s="318"/>
    </row>
    <row r="270" spans="2:42">
      <c r="B270" s="296"/>
      <c r="C270" s="299"/>
      <c r="D270" s="298"/>
      <c r="E270" s="299"/>
      <c r="F270" s="299"/>
      <c r="G270" s="300"/>
      <c r="H270" s="303"/>
      <c r="I270" s="301">
        <f t="shared" si="71"/>
        <v>0</v>
      </c>
      <c r="J270" s="302">
        <f t="shared" si="81"/>
        <v>0</v>
      </c>
      <c r="K270" s="304">
        <f t="shared" si="72"/>
        <v>0</v>
      </c>
      <c r="L270" s="305">
        <f>IF(H270=0,0,IF(OR(E270=$AT$5,E270=$AT$6),AA270,IF(F270="MXN",1/HLOOKUP(YEAR(G270)+(MONTH(G270)/100),TC!$5:$37,DAY(G270)+2,FALSE),VLOOKUP(F270,Equivalencia!$5:$23,((MAX(Equivalencia!$3:$3)-YEAR(G270))*14)+MONTH(G270)+2,FALSE))))</f>
        <v>0</v>
      </c>
      <c r="M270" s="306">
        <f t="shared" si="73"/>
        <v>0</v>
      </c>
      <c r="N270" s="305">
        <f>IF(G270=0,0,(IF(OR(E270=$AT$5,E270=$AT$6),AC270,HLOOKUP(YEAR(G270)+(MONTH(G270)/100),TC!$5:$37,DAY(G270)+2,FALSE))))</f>
        <v>0</v>
      </c>
      <c r="O270" s="307">
        <f t="shared" si="82"/>
        <v>0</v>
      </c>
      <c r="P270" s="552">
        <f>IF(G270=0,0,VLOOKUP(YEAR(G270),INPC!$B$4:$P$30,MONTH(G270)+2))</f>
        <v>0</v>
      </c>
      <c r="Q270" s="552">
        <f>IF(X270=0,0,IF(OR(E270=$AT$10,E270=$AT$9),VLOOKUP(YEAR(X270),INPC!$B$4:$P$30,MONTH(X270)+1),VLOOKUP(YEAR(X270),INPC!$B$4:$P$30,MONTH(X270)+2,0)))</f>
        <v>0</v>
      </c>
      <c r="R270" s="309">
        <f t="shared" si="74"/>
        <v>0</v>
      </c>
      <c r="S270" s="310">
        <f t="shared" si="83"/>
        <v>0</v>
      </c>
      <c r="T270" s="547">
        <f t="shared" si="84"/>
        <v>0</v>
      </c>
      <c r="U270" s="311"/>
      <c r="V270" s="312"/>
      <c r="W270" s="299"/>
      <c r="X270" s="300"/>
      <c r="Y270" s="299"/>
      <c r="Z270" s="303"/>
      <c r="AA270" s="305">
        <f>IF(Z270=0,0,IF(Y270="MXN",1/HLOOKUP(YEAR(X270)+(MONTH(X270)/100),TC!$5:$37,DAY(X270)+2,FALSE),VLOOKUP(Y270,Equivalencia!$1:$23,((MAX(Equivalencia!$3:$3)-YEAR(X270))*14)+MONTH(X270)+2,FALSE)))</f>
        <v>0</v>
      </c>
      <c r="AB270" s="306">
        <f t="shared" si="85"/>
        <v>0</v>
      </c>
      <c r="AC270" s="305">
        <f>+IF(X270=0,0,HLOOKUP(YEAR(X270)+(MONTH(X270)/100),TC!$5:$37,DAY(X270)+2,FALSE))</f>
        <v>0</v>
      </c>
      <c r="AD270" s="307">
        <f t="shared" si="86"/>
        <v>0</v>
      </c>
      <c r="AE270" s="314">
        <f t="shared" si="75"/>
        <v>0</v>
      </c>
      <c r="AF270" s="315">
        <f t="shared" si="76"/>
        <v>0</v>
      </c>
      <c r="AG270" s="316">
        <f t="shared" si="77"/>
        <v>0</v>
      </c>
      <c r="AH270" s="314">
        <v>1</v>
      </c>
      <c r="AI270" s="314">
        <f t="shared" si="78"/>
        <v>0</v>
      </c>
      <c r="AJ270" s="314">
        <f t="shared" si="87"/>
        <v>0</v>
      </c>
      <c r="AK270" s="317"/>
      <c r="AL270" s="315">
        <f t="shared" si="79"/>
        <v>0</v>
      </c>
      <c r="AN270" s="546">
        <f t="shared" si="80"/>
        <v>0</v>
      </c>
      <c r="AO270" s="314"/>
      <c r="AP270" s="318"/>
    </row>
    <row r="271" spans="2:42">
      <c r="B271" s="296"/>
      <c r="C271" s="299"/>
      <c r="D271" s="298"/>
      <c r="E271" s="299"/>
      <c r="F271" s="299"/>
      <c r="G271" s="300"/>
      <c r="H271" s="303"/>
      <c r="I271" s="301">
        <f t="shared" si="71"/>
        <v>0</v>
      </c>
      <c r="J271" s="302">
        <f t="shared" si="81"/>
        <v>0</v>
      </c>
      <c r="K271" s="304">
        <f t="shared" si="72"/>
        <v>0</v>
      </c>
      <c r="L271" s="305">
        <f>IF(H271=0,0,IF(OR(E271=$AT$5,E271=$AT$6),AA271,IF(F271="MXN",1/HLOOKUP(YEAR(G271)+(MONTH(G271)/100),TC!$5:$37,DAY(G271)+2,FALSE),VLOOKUP(F271,Equivalencia!$5:$23,((MAX(Equivalencia!$3:$3)-YEAR(G271))*14)+MONTH(G271)+2,FALSE))))</f>
        <v>0</v>
      </c>
      <c r="M271" s="306">
        <f t="shared" si="73"/>
        <v>0</v>
      </c>
      <c r="N271" s="305">
        <f>IF(G271=0,0,(IF(OR(E271=$AT$5,E271=$AT$6),AC271,HLOOKUP(YEAR(G271)+(MONTH(G271)/100),TC!$5:$37,DAY(G271)+2,FALSE))))</f>
        <v>0</v>
      </c>
      <c r="O271" s="307">
        <f t="shared" si="82"/>
        <v>0</v>
      </c>
      <c r="P271" s="552">
        <f>IF(G271=0,0,VLOOKUP(YEAR(G271),INPC!$B$4:$P$30,MONTH(G271)+2))</f>
        <v>0</v>
      </c>
      <c r="Q271" s="552">
        <f>IF(X271=0,0,IF(OR(E271=$AT$10,E271=$AT$9),VLOOKUP(YEAR(X271),INPC!$B$4:$P$30,MONTH(X271)+1),VLOOKUP(YEAR(X271),INPC!$B$4:$P$30,MONTH(X271)+2,0)))</f>
        <v>0</v>
      </c>
      <c r="R271" s="309">
        <f t="shared" si="74"/>
        <v>0</v>
      </c>
      <c r="S271" s="310">
        <f t="shared" si="83"/>
        <v>0</v>
      </c>
      <c r="T271" s="547">
        <f t="shared" si="84"/>
        <v>0</v>
      </c>
      <c r="U271" s="311"/>
      <c r="V271" s="312"/>
      <c r="W271" s="299"/>
      <c r="X271" s="300"/>
      <c r="Y271" s="299"/>
      <c r="Z271" s="303"/>
      <c r="AA271" s="305">
        <f>IF(Z271=0,0,IF(Y271="MXN",1/HLOOKUP(YEAR(X271)+(MONTH(X271)/100),TC!$5:$37,DAY(X271)+2,FALSE),VLOOKUP(Y271,Equivalencia!$1:$23,((MAX(Equivalencia!$3:$3)-YEAR(X271))*14)+MONTH(X271)+2,FALSE)))</f>
        <v>0</v>
      </c>
      <c r="AB271" s="306">
        <f t="shared" si="85"/>
        <v>0</v>
      </c>
      <c r="AC271" s="305">
        <f>+IF(X271=0,0,HLOOKUP(YEAR(X271)+(MONTH(X271)/100),TC!$5:$37,DAY(X271)+2,FALSE))</f>
        <v>0</v>
      </c>
      <c r="AD271" s="307">
        <f t="shared" si="86"/>
        <v>0</v>
      </c>
      <c r="AE271" s="314">
        <f t="shared" si="75"/>
        <v>0</v>
      </c>
      <c r="AF271" s="315">
        <f t="shared" si="76"/>
        <v>0</v>
      </c>
      <c r="AG271" s="316">
        <f t="shared" si="77"/>
        <v>0</v>
      </c>
      <c r="AH271" s="314">
        <v>1</v>
      </c>
      <c r="AI271" s="314">
        <f t="shared" si="78"/>
        <v>0</v>
      </c>
      <c r="AJ271" s="314">
        <f t="shared" si="87"/>
        <v>0</v>
      </c>
      <c r="AK271" s="317"/>
      <c r="AL271" s="315">
        <f t="shared" si="79"/>
        <v>0</v>
      </c>
      <c r="AN271" s="546">
        <f t="shared" si="80"/>
        <v>0</v>
      </c>
      <c r="AO271" s="314"/>
      <c r="AP271" s="318"/>
    </row>
    <row r="272" spans="2:42">
      <c r="B272" s="296"/>
      <c r="C272" s="299"/>
      <c r="D272" s="298"/>
      <c r="E272" s="299"/>
      <c r="F272" s="299"/>
      <c r="G272" s="300"/>
      <c r="H272" s="303"/>
      <c r="I272" s="301">
        <f t="shared" si="71"/>
        <v>0</v>
      </c>
      <c r="J272" s="302">
        <f t="shared" si="81"/>
        <v>0</v>
      </c>
      <c r="K272" s="304">
        <f t="shared" si="72"/>
        <v>0</v>
      </c>
      <c r="L272" s="305">
        <f>IF(H272=0,0,IF(OR(E272=$AT$5,E272=$AT$6),AA272,IF(F272="MXN",1/HLOOKUP(YEAR(G272)+(MONTH(G272)/100),TC!$5:$37,DAY(G272)+2,FALSE),VLOOKUP(F272,Equivalencia!$5:$23,((MAX(Equivalencia!$3:$3)-YEAR(G272))*14)+MONTH(G272)+2,FALSE))))</f>
        <v>0</v>
      </c>
      <c r="M272" s="306">
        <f t="shared" si="73"/>
        <v>0</v>
      </c>
      <c r="N272" s="305">
        <f>IF(G272=0,0,(IF(OR(E272=$AT$5,E272=$AT$6),AC272,HLOOKUP(YEAR(G272)+(MONTH(G272)/100),TC!$5:$37,DAY(G272)+2,FALSE))))</f>
        <v>0</v>
      </c>
      <c r="O272" s="307">
        <f t="shared" si="82"/>
        <v>0</v>
      </c>
      <c r="P272" s="552">
        <f>IF(G272=0,0,VLOOKUP(YEAR(G272),INPC!$B$4:$P$30,MONTH(G272)+2))</f>
        <v>0</v>
      </c>
      <c r="Q272" s="552">
        <f>IF(X272=0,0,IF(OR(E272=$AT$10,E272=$AT$9),VLOOKUP(YEAR(X272),INPC!$B$4:$P$30,MONTH(X272)+1),VLOOKUP(YEAR(X272),INPC!$B$4:$P$30,MONTH(X272)+2,0)))</f>
        <v>0</v>
      </c>
      <c r="R272" s="309">
        <f t="shared" si="74"/>
        <v>0</v>
      </c>
      <c r="S272" s="310">
        <f t="shared" si="83"/>
        <v>0</v>
      </c>
      <c r="T272" s="547">
        <f t="shared" si="84"/>
        <v>0</v>
      </c>
      <c r="U272" s="311"/>
      <c r="V272" s="312"/>
      <c r="W272" s="299"/>
      <c r="X272" s="300"/>
      <c r="Y272" s="299"/>
      <c r="Z272" s="303"/>
      <c r="AA272" s="305">
        <f>IF(Z272=0,0,IF(Y272="MXN",1/HLOOKUP(YEAR(X272)+(MONTH(X272)/100),TC!$5:$37,DAY(X272)+2,FALSE),VLOOKUP(Y272,Equivalencia!$1:$23,((MAX(Equivalencia!$3:$3)-YEAR(X272))*14)+MONTH(X272)+2,FALSE)))</f>
        <v>0</v>
      </c>
      <c r="AB272" s="306">
        <f t="shared" si="85"/>
        <v>0</v>
      </c>
      <c r="AC272" s="305">
        <f>+IF(X272=0,0,HLOOKUP(YEAR(X272)+(MONTH(X272)/100),TC!$5:$37,DAY(X272)+2,FALSE))</f>
        <v>0</v>
      </c>
      <c r="AD272" s="307">
        <f t="shared" si="86"/>
        <v>0</v>
      </c>
      <c r="AE272" s="314">
        <f t="shared" si="75"/>
        <v>0</v>
      </c>
      <c r="AF272" s="315">
        <f t="shared" si="76"/>
        <v>0</v>
      </c>
      <c r="AG272" s="316">
        <f t="shared" si="77"/>
        <v>0</v>
      </c>
      <c r="AH272" s="314">
        <v>1</v>
      </c>
      <c r="AI272" s="314">
        <f t="shared" si="78"/>
        <v>0</v>
      </c>
      <c r="AJ272" s="314">
        <f t="shared" si="87"/>
        <v>0</v>
      </c>
      <c r="AK272" s="317"/>
      <c r="AL272" s="315">
        <f t="shared" si="79"/>
        <v>0</v>
      </c>
      <c r="AN272" s="546">
        <f t="shared" si="80"/>
        <v>0</v>
      </c>
      <c r="AO272" s="314"/>
      <c r="AP272" s="318"/>
    </row>
    <row r="273" spans="2:42">
      <c r="B273" s="296"/>
      <c r="C273" s="299"/>
      <c r="D273" s="298"/>
      <c r="E273" s="299"/>
      <c r="F273" s="299"/>
      <c r="G273" s="300"/>
      <c r="H273" s="303"/>
      <c r="I273" s="301">
        <f t="shared" si="71"/>
        <v>0</v>
      </c>
      <c r="J273" s="302">
        <f t="shared" si="81"/>
        <v>0</v>
      </c>
      <c r="K273" s="304">
        <f t="shared" si="72"/>
        <v>0</v>
      </c>
      <c r="L273" s="305">
        <f>IF(H273=0,0,IF(OR(E273=$AT$5,E273=$AT$6),AA273,IF(F273="MXN",1/HLOOKUP(YEAR(G273)+(MONTH(G273)/100),TC!$5:$37,DAY(G273)+2,FALSE),VLOOKUP(F273,Equivalencia!$5:$23,((MAX(Equivalencia!$3:$3)-YEAR(G273))*14)+MONTH(G273)+2,FALSE))))</f>
        <v>0</v>
      </c>
      <c r="M273" s="306">
        <f t="shared" si="73"/>
        <v>0</v>
      </c>
      <c r="N273" s="305">
        <f>IF(G273=0,0,(IF(OR(E273=$AT$5,E273=$AT$6),AC273,HLOOKUP(YEAR(G273)+(MONTH(G273)/100),TC!$5:$37,DAY(G273)+2,FALSE))))</f>
        <v>0</v>
      </c>
      <c r="O273" s="307">
        <f t="shared" si="82"/>
        <v>0</v>
      </c>
      <c r="P273" s="552">
        <f>IF(G273=0,0,VLOOKUP(YEAR(G273),INPC!$B$4:$P$30,MONTH(G273)+2))</f>
        <v>0</v>
      </c>
      <c r="Q273" s="552">
        <f>IF(X273=0,0,IF(OR(E273=$AT$10,E273=$AT$9),VLOOKUP(YEAR(X273),INPC!$B$4:$P$30,MONTH(X273)+1),VLOOKUP(YEAR(X273),INPC!$B$4:$P$30,MONTH(X273)+2,0)))</f>
        <v>0</v>
      </c>
      <c r="R273" s="309">
        <f t="shared" si="74"/>
        <v>0</v>
      </c>
      <c r="S273" s="310">
        <f t="shared" si="83"/>
        <v>0</v>
      </c>
      <c r="T273" s="547">
        <f t="shared" si="84"/>
        <v>0</v>
      </c>
      <c r="U273" s="311"/>
      <c r="V273" s="312"/>
      <c r="W273" s="299"/>
      <c r="X273" s="300"/>
      <c r="Y273" s="299"/>
      <c r="Z273" s="303"/>
      <c r="AA273" s="305">
        <f>IF(Z273=0,0,IF(Y273="MXN",1/HLOOKUP(YEAR(X273)+(MONTH(X273)/100),TC!$5:$37,DAY(X273)+2,FALSE),VLOOKUP(Y273,Equivalencia!$1:$23,((MAX(Equivalencia!$3:$3)-YEAR(X273))*14)+MONTH(X273)+2,FALSE)))</f>
        <v>0</v>
      </c>
      <c r="AB273" s="306">
        <f t="shared" si="85"/>
        <v>0</v>
      </c>
      <c r="AC273" s="305">
        <f>+IF(X273=0,0,HLOOKUP(YEAR(X273)+(MONTH(X273)/100),TC!$5:$37,DAY(X273)+2,FALSE))</f>
        <v>0</v>
      </c>
      <c r="AD273" s="307">
        <f t="shared" si="86"/>
        <v>0</v>
      </c>
      <c r="AE273" s="314">
        <f t="shared" si="75"/>
        <v>0</v>
      </c>
      <c r="AF273" s="315">
        <f t="shared" si="76"/>
        <v>0</v>
      </c>
      <c r="AG273" s="316">
        <f t="shared" si="77"/>
        <v>0</v>
      </c>
      <c r="AH273" s="314">
        <v>1</v>
      </c>
      <c r="AI273" s="314">
        <f t="shared" si="78"/>
        <v>0</v>
      </c>
      <c r="AJ273" s="314">
        <f t="shared" si="87"/>
        <v>0</v>
      </c>
      <c r="AK273" s="317"/>
      <c r="AL273" s="315">
        <f t="shared" si="79"/>
        <v>0</v>
      </c>
      <c r="AN273" s="546">
        <f t="shared" si="80"/>
        <v>0</v>
      </c>
      <c r="AO273" s="314"/>
      <c r="AP273" s="318"/>
    </row>
    <row r="274" spans="2:42">
      <c r="B274" s="296"/>
      <c r="C274" s="299"/>
      <c r="D274" s="298"/>
      <c r="E274" s="299"/>
      <c r="F274" s="299"/>
      <c r="G274" s="300"/>
      <c r="H274" s="303"/>
      <c r="I274" s="301">
        <f t="shared" si="71"/>
        <v>0</v>
      </c>
      <c r="J274" s="302">
        <f t="shared" si="81"/>
        <v>0</v>
      </c>
      <c r="K274" s="304">
        <f t="shared" si="72"/>
        <v>0</v>
      </c>
      <c r="L274" s="305">
        <f>IF(H274=0,0,IF(OR(E274=$AT$5,E274=$AT$6),AA274,IF(F274="MXN",1/HLOOKUP(YEAR(G274)+(MONTH(G274)/100),TC!$5:$37,DAY(G274)+2,FALSE),VLOOKUP(F274,Equivalencia!$5:$23,((MAX(Equivalencia!$3:$3)-YEAR(G274))*14)+MONTH(G274)+2,FALSE))))</f>
        <v>0</v>
      </c>
      <c r="M274" s="306">
        <f t="shared" si="73"/>
        <v>0</v>
      </c>
      <c r="N274" s="305">
        <f>IF(G274=0,0,(IF(OR(E274=$AT$5,E274=$AT$6),AC274,HLOOKUP(YEAR(G274)+(MONTH(G274)/100),TC!$5:$37,DAY(G274)+2,FALSE))))</f>
        <v>0</v>
      </c>
      <c r="O274" s="307">
        <f t="shared" si="82"/>
        <v>0</v>
      </c>
      <c r="P274" s="552">
        <f>IF(G274=0,0,VLOOKUP(YEAR(G274),INPC!$B$4:$P$30,MONTH(G274)+2))</f>
        <v>0</v>
      </c>
      <c r="Q274" s="552">
        <f>IF(X274=0,0,IF(OR(E274=$AT$10,E274=$AT$9),VLOOKUP(YEAR(X274),INPC!$B$4:$P$30,MONTH(X274)+1),VLOOKUP(YEAR(X274),INPC!$B$4:$P$30,MONTH(X274)+2,0)))</f>
        <v>0</v>
      </c>
      <c r="R274" s="309">
        <f t="shared" si="74"/>
        <v>0</v>
      </c>
      <c r="S274" s="310">
        <f t="shared" si="83"/>
        <v>0</v>
      </c>
      <c r="T274" s="547">
        <f t="shared" si="84"/>
        <v>0</v>
      </c>
      <c r="U274" s="311"/>
      <c r="V274" s="312"/>
      <c r="W274" s="299"/>
      <c r="X274" s="300"/>
      <c r="Y274" s="299"/>
      <c r="Z274" s="303"/>
      <c r="AA274" s="305">
        <f>IF(Z274=0,0,IF(Y274="MXN",1/HLOOKUP(YEAR(X274)+(MONTH(X274)/100),TC!$5:$37,DAY(X274)+2,FALSE),VLOOKUP(Y274,Equivalencia!$1:$23,((MAX(Equivalencia!$3:$3)-YEAR(X274))*14)+MONTH(X274)+2,FALSE)))</f>
        <v>0</v>
      </c>
      <c r="AB274" s="306">
        <f t="shared" si="85"/>
        <v>0</v>
      </c>
      <c r="AC274" s="305">
        <f>+IF(X274=0,0,HLOOKUP(YEAR(X274)+(MONTH(X274)/100),TC!$5:$37,DAY(X274)+2,FALSE))</f>
        <v>0</v>
      </c>
      <c r="AD274" s="307">
        <f t="shared" si="86"/>
        <v>0</v>
      </c>
      <c r="AE274" s="314">
        <f t="shared" si="75"/>
        <v>0</v>
      </c>
      <c r="AF274" s="315">
        <f t="shared" si="76"/>
        <v>0</v>
      </c>
      <c r="AG274" s="316">
        <f t="shared" si="77"/>
        <v>0</v>
      </c>
      <c r="AH274" s="314">
        <v>1</v>
      </c>
      <c r="AI274" s="314">
        <f t="shared" si="78"/>
        <v>0</v>
      </c>
      <c r="AJ274" s="314">
        <f t="shared" si="87"/>
        <v>0</v>
      </c>
      <c r="AK274" s="317"/>
      <c r="AL274" s="315">
        <f t="shared" si="79"/>
        <v>0</v>
      </c>
      <c r="AN274" s="546">
        <f t="shared" si="80"/>
        <v>0</v>
      </c>
      <c r="AO274" s="314"/>
      <c r="AP274" s="318"/>
    </row>
    <row r="275" spans="2:42">
      <c r="B275" s="296"/>
      <c r="C275" s="299"/>
      <c r="D275" s="298"/>
      <c r="E275" s="299"/>
      <c r="F275" s="299"/>
      <c r="G275" s="300"/>
      <c r="H275" s="303"/>
      <c r="I275" s="301">
        <f t="shared" si="71"/>
        <v>0</v>
      </c>
      <c r="J275" s="302">
        <f t="shared" si="81"/>
        <v>0</v>
      </c>
      <c r="K275" s="304">
        <f t="shared" si="72"/>
        <v>0</v>
      </c>
      <c r="L275" s="305">
        <f>IF(H275=0,0,IF(OR(E275=$AT$5,E275=$AT$6),AA275,IF(F275="MXN",1/HLOOKUP(YEAR(G275)+(MONTH(G275)/100),TC!$5:$37,DAY(G275)+2,FALSE),VLOOKUP(F275,Equivalencia!$5:$23,((MAX(Equivalencia!$3:$3)-YEAR(G275))*14)+MONTH(G275)+2,FALSE))))</f>
        <v>0</v>
      </c>
      <c r="M275" s="306">
        <f t="shared" si="73"/>
        <v>0</v>
      </c>
      <c r="N275" s="305">
        <f>IF(G275=0,0,(IF(OR(E275=$AT$5,E275=$AT$6),AC275,HLOOKUP(YEAR(G275)+(MONTH(G275)/100),TC!$5:$37,DAY(G275)+2,FALSE))))</f>
        <v>0</v>
      </c>
      <c r="O275" s="307">
        <f t="shared" si="82"/>
        <v>0</v>
      </c>
      <c r="P275" s="552">
        <f>IF(G275=0,0,VLOOKUP(YEAR(G275),INPC!$B$4:$P$30,MONTH(G275)+2))</f>
        <v>0</v>
      </c>
      <c r="Q275" s="552">
        <f>IF(X275=0,0,IF(OR(E275=$AT$10,E275=$AT$9),VLOOKUP(YEAR(X275),INPC!$B$4:$P$30,MONTH(X275)+1),VLOOKUP(YEAR(X275),INPC!$B$4:$P$30,MONTH(X275)+2,0)))</f>
        <v>0</v>
      </c>
      <c r="R275" s="309">
        <f t="shared" si="74"/>
        <v>0</v>
      </c>
      <c r="S275" s="310">
        <f t="shared" si="83"/>
        <v>0</v>
      </c>
      <c r="T275" s="547">
        <f t="shared" si="84"/>
        <v>0</v>
      </c>
      <c r="U275" s="311"/>
      <c r="V275" s="312"/>
      <c r="W275" s="299"/>
      <c r="X275" s="300"/>
      <c r="Y275" s="299"/>
      <c r="Z275" s="303"/>
      <c r="AA275" s="305">
        <f>IF(Z275=0,0,IF(Y275="MXN",1/HLOOKUP(YEAR(X275)+(MONTH(X275)/100),TC!$5:$37,DAY(X275)+2,FALSE),VLOOKUP(Y275,Equivalencia!$1:$23,((MAX(Equivalencia!$3:$3)-YEAR(X275))*14)+MONTH(X275)+2,FALSE)))</f>
        <v>0</v>
      </c>
      <c r="AB275" s="306">
        <f t="shared" si="85"/>
        <v>0</v>
      </c>
      <c r="AC275" s="305">
        <f>+IF(X275=0,0,HLOOKUP(YEAR(X275)+(MONTH(X275)/100),TC!$5:$37,DAY(X275)+2,FALSE))</f>
        <v>0</v>
      </c>
      <c r="AD275" s="307">
        <f t="shared" si="86"/>
        <v>0</v>
      </c>
      <c r="AE275" s="314">
        <f t="shared" si="75"/>
        <v>0</v>
      </c>
      <c r="AF275" s="315">
        <f t="shared" si="76"/>
        <v>0</v>
      </c>
      <c r="AG275" s="316">
        <f t="shared" si="77"/>
        <v>0</v>
      </c>
      <c r="AH275" s="314">
        <v>1</v>
      </c>
      <c r="AI275" s="314">
        <f t="shared" si="78"/>
        <v>0</v>
      </c>
      <c r="AJ275" s="314">
        <f t="shared" si="87"/>
        <v>0</v>
      </c>
      <c r="AK275" s="317"/>
      <c r="AL275" s="315">
        <f t="shared" si="79"/>
        <v>0</v>
      </c>
      <c r="AN275" s="546">
        <f t="shared" si="80"/>
        <v>0</v>
      </c>
      <c r="AO275" s="314"/>
      <c r="AP275" s="318"/>
    </row>
    <row r="276" spans="2:42">
      <c r="B276" s="296"/>
      <c r="C276" s="299"/>
      <c r="D276" s="298"/>
      <c r="E276" s="299"/>
      <c r="F276" s="299"/>
      <c r="G276" s="300"/>
      <c r="H276" s="303"/>
      <c r="I276" s="301">
        <f t="shared" si="71"/>
        <v>0</v>
      </c>
      <c r="J276" s="302">
        <f t="shared" si="81"/>
        <v>0</v>
      </c>
      <c r="K276" s="304">
        <f t="shared" si="72"/>
        <v>0</v>
      </c>
      <c r="L276" s="305">
        <f>IF(H276=0,0,IF(OR(E276=$AT$5,E276=$AT$6),AA276,IF(F276="MXN",1/HLOOKUP(YEAR(G276)+(MONTH(G276)/100),TC!$5:$37,DAY(G276)+2,FALSE),VLOOKUP(F276,Equivalencia!$5:$23,((MAX(Equivalencia!$3:$3)-YEAR(G276))*14)+MONTH(G276)+2,FALSE))))</f>
        <v>0</v>
      </c>
      <c r="M276" s="306">
        <f t="shared" si="73"/>
        <v>0</v>
      </c>
      <c r="N276" s="305">
        <f>IF(G276=0,0,(IF(OR(E276=$AT$5,E276=$AT$6),AC276,HLOOKUP(YEAR(G276)+(MONTH(G276)/100),TC!$5:$37,DAY(G276)+2,FALSE))))</f>
        <v>0</v>
      </c>
      <c r="O276" s="307">
        <f t="shared" si="82"/>
        <v>0</v>
      </c>
      <c r="P276" s="552">
        <f>IF(G276=0,0,VLOOKUP(YEAR(G276),INPC!$B$4:$P$30,MONTH(G276)+2))</f>
        <v>0</v>
      </c>
      <c r="Q276" s="552">
        <f>IF(X276=0,0,IF(OR(E276=$AT$10,E276=$AT$9),VLOOKUP(YEAR(X276),INPC!$B$4:$P$30,MONTH(X276)+1),VLOOKUP(YEAR(X276),INPC!$B$4:$P$30,MONTH(X276)+2,0)))</f>
        <v>0</v>
      </c>
      <c r="R276" s="309">
        <f t="shared" si="74"/>
        <v>0</v>
      </c>
      <c r="S276" s="310">
        <f t="shared" si="83"/>
        <v>0</v>
      </c>
      <c r="T276" s="547">
        <f t="shared" si="84"/>
        <v>0</v>
      </c>
      <c r="U276" s="311"/>
      <c r="V276" s="312"/>
      <c r="W276" s="299"/>
      <c r="X276" s="300"/>
      <c r="Y276" s="299"/>
      <c r="Z276" s="303"/>
      <c r="AA276" s="305">
        <f>IF(Z276=0,0,IF(Y276="MXN",1/HLOOKUP(YEAR(X276)+(MONTH(X276)/100),TC!$5:$37,DAY(X276)+2,FALSE),VLOOKUP(Y276,Equivalencia!$1:$23,((MAX(Equivalencia!$3:$3)-YEAR(X276))*14)+MONTH(X276)+2,FALSE)))</f>
        <v>0</v>
      </c>
      <c r="AB276" s="306">
        <f t="shared" si="85"/>
        <v>0</v>
      </c>
      <c r="AC276" s="305">
        <f>+IF(X276=0,0,HLOOKUP(YEAR(X276)+(MONTH(X276)/100),TC!$5:$37,DAY(X276)+2,FALSE))</f>
        <v>0</v>
      </c>
      <c r="AD276" s="307">
        <f t="shared" si="86"/>
        <v>0</v>
      </c>
      <c r="AE276" s="314">
        <f t="shared" si="75"/>
        <v>0</v>
      </c>
      <c r="AF276" s="315">
        <f t="shared" si="76"/>
        <v>0</v>
      </c>
      <c r="AG276" s="316">
        <f t="shared" si="77"/>
        <v>0</v>
      </c>
      <c r="AH276" s="314">
        <v>1</v>
      </c>
      <c r="AI276" s="314">
        <f t="shared" si="78"/>
        <v>0</v>
      </c>
      <c r="AJ276" s="314">
        <f t="shared" si="87"/>
        <v>0</v>
      </c>
      <c r="AK276" s="317"/>
      <c r="AL276" s="315">
        <f t="shared" si="79"/>
        <v>0</v>
      </c>
      <c r="AN276" s="546">
        <f t="shared" si="80"/>
        <v>0</v>
      </c>
      <c r="AO276" s="314"/>
      <c r="AP276" s="318"/>
    </row>
    <row r="277" spans="2:42">
      <c r="B277" s="296"/>
      <c r="C277" s="299"/>
      <c r="D277" s="298"/>
      <c r="E277" s="299"/>
      <c r="F277" s="299"/>
      <c r="G277" s="300"/>
      <c r="H277" s="303"/>
      <c r="I277" s="301">
        <f t="shared" si="71"/>
        <v>0</v>
      </c>
      <c r="J277" s="302">
        <f t="shared" si="81"/>
        <v>0</v>
      </c>
      <c r="K277" s="304">
        <f t="shared" si="72"/>
        <v>0</v>
      </c>
      <c r="L277" s="305">
        <f>IF(H277=0,0,IF(OR(E277=$AT$5,E277=$AT$6),AA277,IF(F277="MXN",1/HLOOKUP(YEAR(G277)+(MONTH(G277)/100),TC!$5:$37,DAY(G277)+2,FALSE),VLOOKUP(F277,Equivalencia!$5:$23,((MAX(Equivalencia!$3:$3)-YEAR(G277))*14)+MONTH(G277)+2,FALSE))))</f>
        <v>0</v>
      </c>
      <c r="M277" s="306">
        <f t="shared" si="73"/>
        <v>0</v>
      </c>
      <c r="N277" s="305">
        <f>IF(G277=0,0,(IF(OR(E277=$AT$5,E277=$AT$6),AC277,HLOOKUP(YEAR(G277)+(MONTH(G277)/100),TC!$5:$37,DAY(G277)+2,FALSE))))</f>
        <v>0</v>
      </c>
      <c r="O277" s="307">
        <f t="shared" si="82"/>
        <v>0</v>
      </c>
      <c r="P277" s="552">
        <f>IF(G277=0,0,VLOOKUP(YEAR(G277),INPC!$B$4:$P$30,MONTH(G277)+2))</f>
        <v>0</v>
      </c>
      <c r="Q277" s="552">
        <f>IF(X277=0,0,IF(OR(E277=$AT$10,E277=$AT$9),VLOOKUP(YEAR(X277),INPC!$B$4:$P$30,MONTH(X277)+1),VLOOKUP(YEAR(X277),INPC!$B$4:$P$30,MONTH(X277)+2,0)))</f>
        <v>0</v>
      </c>
      <c r="R277" s="309">
        <f t="shared" si="74"/>
        <v>0</v>
      </c>
      <c r="S277" s="310">
        <f t="shared" si="83"/>
        <v>0</v>
      </c>
      <c r="T277" s="547">
        <f t="shared" si="84"/>
        <v>0</v>
      </c>
      <c r="U277" s="311"/>
      <c r="V277" s="312"/>
      <c r="W277" s="299"/>
      <c r="X277" s="300"/>
      <c r="Y277" s="299"/>
      <c r="Z277" s="303"/>
      <c r="AA277" s="305">
        <f>IF(Z277=0,0,IF(Y277="MXN",1/HLOOKUP(YEAR(X277)+(MONTH(X277)/100),TC!$5:$37,DAY(X277)+2,FALSE),VLOOKUP(Y277,Equivalencia!$1:$23,((MAX(Equivalencia!$3:$3)-YEAR(X277))*14)+MONTH(X277)+2,FALSE)))</f>
        <v>0</v>
      </c>
      <c r="AB277" s="306">
        <f t="shared" si="85"/>
        <v>0</v>
      </c>
      <c r="AC277" s="305">
        <f>+IF(X277=0,0,HLOOKUP(YEAR(X277)+(MONTH(X277)/100),TC!$5:$37,DAY(X277)+2,FALSE))</f>
        <v>0</v>
      </c>
      <c r="AD277" s="307">
        <f t="shared" si="86"/>
        <v>0</v>
      </c>
      <c r="AE277" s="314">
        <f t="shared" si="75"/>
        <v>0</v>
      </c>
      <c r="AF277" s="315">
        <f t="shared" si="76"/>
        <v>0</v>
      </c>
      <c r="AG277" s="316">
        <f t="shared" si="77"/>
        <v>0</v>
      </c>
      <c r="AH277" s="314">
        <v>1</v>
      </c>
      <c r="AI277" s="314">
        <f t="shared" si="78"/>
        <v>0</v>
      </c>
      <c r="AJ277" s="314">
        <f t="shared" si="87"/>
        <v>0</v>
      </c>
      <c r="AK277" s="317"/>
      <c r="AL277" s="315">
        <f t="shared" si="79"/>
        <v>0</v>
      </c>
      <c r="AN277" s="546">
        <f t="shared" si="80"/>
        <v>0</v>
      </c>
      <c r="AO277" s="314"/>
      <c r="AP277" s="318"/>
    </row>
    <row r="278" spans="2:42">
      <c r="B278" s="296"/>
      <c r="C278" s="299"/>
      <c r="D278" s="298"/>
      <c r="E278" s="299"/>
      <c r="F278" s="299"/>
      <c r="G278" s="300"/>
      <c r="H278" s="303"/>
      <c r="I278" s="301">
        <f t="shared" si="71"/>
        <v>0</v>
      </c>
      <c r="J278" s="302">
        <f t="shared" si="81"/>
        <v>0</v>
      </c>
      <c r="K278" s="304">
        <f t="shared" si="72"/>
        <v>0</v>
      </c>
      <c r="L278" s="305">
        <f>IF(H278=0,0,IF(OR(E278=$AT$5,E278=$AT$6),AA278,IF(F278="MXN",1/HLOOKUP(YEAR(G278)+(MONTH(G278)/100),TC!$5:$37,DAY(G278)+2,FALSE),VLOOKUP(F278,Equivalencia!$5:$23,((MAX(Equivalencia!$3:$3)-YEAR(G278))*14)+MONTH(G278)+2,FALSE))))</f>
        <v>0</v>
      </c>
      <c r="M278" s="306">
        <f t="shared" si="73"/>
        <v>0</v>
      </c>
      <c r="N278" s="305">
        <f>IF(G278=0,0,(IF(OR(E278=$AT$5,E278=$AT$6),AC278,HLOOKUP(YEAR(G278)+(MONTH(G278)/100),TC!$5:$37,DAY(G278)+2,FALSE))))</f>
        <v>0</v>
      </c>
      <c r="O278" s="307">
        <f t="shared" si="82"/>
        <v>0</v>
      </c>
      <c r="P278" s="552">
        <f>IF(G278=0,0,VLOOKUP(YEAR(G278),INPC!$B$4:$P$30,MONTH(G278)+2))</f>
        <v>0</v>
      </c>
      <c r="Q278" s="552">
        <f>IF(X278=0,0,IF(OR(E278=$AT$10,E278=$AT$9),VLOOKUP(YEAR(X278),INPC!$B$4:$P$30,MONTH(X278)+1),VLOOKUP(YEAR(X278),INPC!$B$4:$P$30,MONTH(X278)+2,0)))</f>
        <v>0</v>
      </c>
      <c r="R278" s="309">
        <f t="shared" si="74"/>
        <v>0</v>
      </c>
      <c r="S278" s="310">
        <f t="shared" si="83"/>
        <v>0</v>
      </c>
      <c r="T278" s="547">
        <f t="shared" si="84"/>
        <v>0</v>
      </c>
      <c r="U278" s="311"/>
      <c r="V278" s="312"/>
      <c r="W278" s="299"/>
      <c r="X278" s="300"/>
      <c r="Y278" s="299"/>
      <c r="Z278" s="303"/>
      <c r="AA278" s="305">
        <f>IF(Z278=0,0,IF(Y278="MXN",1/HLOOKUP(YEAR(X278)+(MONTH(X278)/100),TC!$5:$37,DAY(X278)+2,FALSE),VLOOKUP(Y278,Equivalencia!$1:$23,((MAX(Equivalencia!$3:$3)-YEAR(X278))*14)+MONTH(X278)+2,FALSE)))</f>
        <v>0</v>
      </c>
      <c r="AB278" s="306">
        <f t="shared" si="85"/>
        <v>0</v>
      </c>
      <c r="AC278" s="305">
        <f>+IF(X278=0,0,HLOOKUP(YEAR(X278)+(MONTH(X278)/100),TC!$5:$37,DAY(X278)+2,FALSE))</f>
        <v>0</v>
      </c>
      <c r="AD278" s="307">
        <f t="shared" si="86"/>
        <v>0</v>
      </c>
      <c r="AE278" s="314">
        <f t="shared" si="75"/>
        <v>0</v>
      </c>
      <c r="AF278" s="315">
        <f t="shared" si="76"/>
        <v>0</v>
      </c>
      <c r="AG278" s="316">
        <f t="shared" si="77"/>
        <v>0</v>
      </c>
      <c r="AH278" s="314">
        <v>1</v>
      </c>
      <c r="AI278" s="314">
        <f t="shared" si="78"/>
        <v>0</v>
      </c>
      <c r="AJ278" s="314">
        <f t="shared" si="87"/>
        <v>0</v>
      </c>
      <c r="AK278" s="317"/>
      <c r="AL278" s="315">
        <f t="shared" si="79"/>
        <v>0</v>
      </c>
      <c r="AN278" s="546">
        <f t="shared" si="80"/>
        <v>0</v>
      </c>
      <c r="AO278" s="314"/>
      <c r="AP278" s="318"/>
    </row>
    <row r="279" spans="2:42">
      <c r="B279" s="296"/>
      <c r="C279" s="299"/>
      <c r="D279" s="298"/>
      <c r="E279" s="299"/>
      <c r="F279" s="299"/>
      <c r="G279" s="300"/>
      <c r="H279" s="303"/>
      <c r="I279" s="301">
        <f t="shared" si="71"/>
        <v>0</v>
      </c>
      <c r="J279" s="302">
        <f t="shared" si="81"/>
        <v>0</v>
      </c>
      <c r="K279" s="304">
        <f t="shared" si="72"/>
        <v>0</v>
      </c>
      <c r="L279" s="305">
        <f>IF(H279=0,0,IF(OR(E279=$AT$5,E279=$AT$6),AA279,IF(F279="MXN",1/HLOOKUP(YEAR(G279)+(MONTH(G279)/100),TC!$5:$37,DAY(G279)+2,FALSE),VLOOKUP(F279,Equivalencia!$5:$23,((MAX(Equivalencia!$3:$3)-YEAR(G279))*14)+MONTH(G279)+2,FALSE))))</f>
        <v>0</v>
      </c>
      <c r="M279" s="306">
        <f t="shared" si="73"/>
        <v>0</v>
      </c>
      <c r="N279" s="305">
        <f>IF(G279=0,0,(IF(OR(E279=$AT$5,E279=$AT$6),AC279,HLOOKUP(YEAR(G279)+(MONTH(G279)/100),TC!$5:$37,DAY(G279)+2,FALSE))))</f>
        <v>0</v>
      </c>
      <c r="O279" s="307">
        <f t="shared" si="82"/>
        <v>0</v>
      </c>
      <c r="P279" s="552">
        <f>IF(G279=0,0,VLOOKUP(YEAR(G279),INPC!$B$4:$P$30,MONTH(G279)+2))</f>
        <v>0</v>
      </c>
      <c r="Q279" s="552">
        <f>IF(X279=0,0,IF(OR(E279=$AT$10,E279=$AT$9),VLOOKUP(YEAR(X279),INPC!$B$4:$P$30,MONTH(X279)+1),VLOOKUP(YEAR(X279),INPC!$B$4:$P$30,MONTH(X279)+2,0)))</f>
        <v>0</v>
      </c>
      <c r="R279" s="309">
        <f t="shared" si="74"/>
        <v>0</v>
      </c>
      <c r="S279" s="310">
        <f t="shared" si="83"/>
        <v>0</v>
      </c>
      <c r="T279" s="547">
        <f t="shared" si="84"/>
        <v>0</v>
      </c>
      <c r="U279" s="311"/>
      <c r="V279" s="312"/>
      <c r="W279" s="299"/>
      <c r="X279" s="300"/>
      <c r="Y279" s="299"/>
      <c r="Z279" s="303"/>
      <c r="AA279" s="305">
        <f>IF(Z279=0,0,IF(Y279="MXN",1/HLOOKUP(YEAR(X279)+(MONTH(X279)/100),TC!$5:$37,DAY(X279)+2,FALSE),VLOOKUP(Y279,Equivalencia!$1:$23,((MAX(Equivalencia!$3:$3)-YEAR(X279))*14)+MONTH(X279)+2,FALSE)))</f>
        <v>0</v>
      </c>
      <c r="AB279" s="306">
        <f t="shared" si="85"/>
        <v>0</v>
      </c>
      <c r="AC279" s="305">
        <f>+IF(X279=0,0,HLOOKUP(YEAR(X279)+(MONTH(X279)/100),TC!$5:$37,DAY(X279)+2,FALSE))</f>
        <v>0</v>
      </c>
      <c r="AD279" s="307">
        <f t="shared" si="86"/>
        <v>0</v>
      </c>
      <c r="AE279" s="314">
        <f t="shared" si="75"/>
        <v>0</v>
      </c>
      <c r="AF279" s="315">
        <f t="shared" si="76"/>
        <v>0</v>
      </c>
      <c r="AG279" s="316">
        <f t="shared" si="77"/>
        <v>0</v>
      </c>
      <c r="AH279" s="314">
        <v>1</v>
      </c>
      <c r="AI279" s="314">
        <f t="shared" si="78"/>
        <v>0</v>
      </c>
      <c r="AJ279" s="314">
        <f t="shared" si="87"/>
        <v>0</v>
      </c>
      <c r="AK279" s="317"/>
      <c r="AL279" s="315">
        <f t="shared" si="79"/>
        <v>0</v>
      </c>
      <c r="AN279" s="546">
        <f t="shared" si="80"/>
        <v>0</v>
      </c>
      <c r="AO279" s="314"/>
      <c r="AP279" s="318"/>
    </row>
    <row r="280" spans="2:42">
      <c r="B280" s="296"/>
      <c r="C280" s="299"/>
      <c r="D280" s="298"/>
      <c r="E280" s="299"/>
      <c r="F280" s="299"/>
      <c r="G280" s="300"/>
      <c r="H280" s="303"/>
      <c r="I280" s="301">
        <f t="shared" si="71"/>
        <v>0</v>
      </c>
      <c r="J280" s="302">
        <f t="shared" si="81"/>
        <v>0</v>
      </c>
      <c r="K280" s="304">
        <f t="shared" si="72"/>
        <v>0</v>
      </c>
      <c r="L280" s="305">
        <f>IF(H280=0,0,IF(OR(E280=$AT$5,E280=$AT$6),AA280,IF(F280="MXN",1/HLOOKUP(YEAR(G280)+(MONTH(G280)/100),TC!$5:$37,DAY(G280)+2,FALSE),VLOOKUP(F280,Equivalencia!$5:$23,((MAX(Equivalencia!$3:$3)-YEAR(G280))*14)+MONTH(G280)+2,FALSE))))</f>
        <v>0</v>
      </c>
      <c r="M280" s="306">
        <f t="shared" si="73"/>
        <v>0</v>
      </c>
      <c r="N280" s="305">
        <f>IF(G280=0,0,(IF(OR(E280=$AT$5,E280=$AT$6),AC280,HLOOKUP(YEAR(G280)+(MONTH(G280)/100),TC!$5:$37,DAY(G280)+2,FALSE))))</f>
        <v>0</v>
      </c>
      <c r="O280" s="307">
        <f t="shared" si="82"/>
        <v>0</v>
      </c>
      <c r="P280" s="552">
        <f>IF(G280=0,0,VLOOKUP(YEAR(G280),INPC!$B$4:$P$30,MONTH(G280)+2))</f>
        <v>0</v>
      </c>
      <c r="Q280" s="552">
        <f>IF(X280=0,0,IF(OR(E280=$AT$10,E280=$AT$9),VLOOKUP(YEAR(X280),INPC!$B$4:$P$30,MONTH(X280)+1),VLOOKUP(YEAR(X280),INPC!$B$4:$P$30,MONTH(X280)+2,0)))</f>
        <v>0</v>
      </c>
      <c r="R280" s="309">
        <f t="shared" si="74"/>
        <v>0</v>
      </c>
      <c r="S280" s="310">
        <f t="shared" si="83"/>
        <v>0</v>
      </c>
      <c r="T280" s="547">
        <f t="shared" si="84"/>
        <v>0</v>
      </c>
      <c r="U280" s="311"/>
      <c r="V280" s="312"/>
      <c r="W280" s="299"/>
      <c r="X280" s="300"/>
      <c r="Y280" s="299"/>
      <c r="Z280" s="303"/>
      <c r="AA280" s="305">
        <f>IF(Z280=0,0,IF(Y280="MXN",1/HLOOKUP(YEAR(X280)+(MONTH(X280)/100),TC!$5:$37,DAY(X280)+2,FALSE),VLOOKUP(Y280,Equivalencia!$1:$23,((MAX(Equivalencia!$3:$3)-YEAR(X280))*14)+MONTH(X280)+2,FALSE)))</f>
        <v>0</v>
      </c>
      <c r="AB280" s="306">
        <f t="shared" si="85"/>
        <v>0</v>
      </c>
      <c r="AC280" s="305">
        <f>+IF(X280=0,0,HLOOKUP(YEAR(X280)+(MONTH(X280)/100),TC!$5:$37,DAY(X280)+2,FALSE))</f>
        <v>0</v>
      </c>
      <c r="AD280" s="307">
        <f t="shared" si="86"/>
        <v>0</v>
      </c>
      <c r="AE280" s="314">
        <f t="shared" si="75"/>
        <v>0</v>
      </c>
      <c r="AF280" s="315">
        <f t="shared" si="76"/>
        <v>0</v>
      </c>
      <c r="AG280" s="316">
        <f t="shared" si="77"/>
        <v>0</v>
      </c>
      <c r="AH280" s="314">
        <v>1</v>
      </c>
      <c r="AI280" s="314">
        <f t="shared" si="78"/>
        <v>0</v>
      </c>
      <c r="AJ280" s="314">
        <f t="shared" si="87"/>
        <v>0</v>
      </c>
      <c r="AK280" s="317"/>
      <c r="AL280" s="315">
        <f t="shared" si="79"/>
        <v>0</v>
      </c>
      <c r="AN280" s="546">
        <f t="shared" si="80"/>
        <v>0</v>
      </c>
      <c r="AO280" s="314"/>
      <c r="AP280" s="318"/>
    </row>
    <row r="281" spans="2:42">
      <c r="B281" s="296"/>
      <c r="C281" s="299"/>
      <c r="D281" s="298"/>
      <c r="E281" s="299"/>
      <c r="F281" s="299"/>
      <c r="G281" s="300"/>
      <c r="H281" s="303"/>
      <c r="I281" s="301">
        <f t="shared" si="71"/>
        <v>0</v>
      </c>
      <c r="J281" s="302">
        <f t="shared" si="81"/>
        <v>0</v>
      </c>
      <c r="K281" s="304">
        <f t="shared" si="72"/>
        <v>0</v>
      </c>
      <c r="L281" s="305">
        <f>IF(H281=0,0,IF(OR(E281=$AT$5,E281=$AT$6),AA281,IF(F281="MXN",1/HLOOKUP(YEAR(G281)+(MONTH(G281)/100),TC!$5:$37,DAY(G281)+2,FALSE),VLOOKUP(F281,Equivalencia!$5:$23,((MAX(Equivalencia!$3:$3)-YEAR(G281))*14)+MONTH(G281)+2,FALSE))))</f>
        <v>0</v>
      </c>
      <c r="M281" s="306">
        <f t="shared" si="73"/>
        <v>0</v>
      </c>
      <c r="N281" s="305">
        <f>IF(G281=0,0,(IF(OR(E281=$AT$5,E281=$AT$6),AC281,HLOOKUP(YEAR(G281)+(MONTH(G281)/100),TC!$5:$37,DAY(G281)+2,FALSE))))</f>
        <v>0</v>
      </c>
      <c r="O281" s="307">
        <f t="shared" si="82"/>
        <v>0</v>
      </c>
      <c r="P281" s="552">
        <f>IF(G281=0,0,VLOOKUP(YEAR(G281),INPC!$B$4:$P$30,MONTH(G281)+2))</f>
        <v>0</v>
      </c>
      <c r="Q281" s="552">
        <f>IF(X281=0,0,IF(OR(E281=$AT$10,E281=$AT$9),VLOOKUP(YEAR(X281),INPC!$B$4:$P$30,MONTH(X281)+1),VLOOKUP(YEAR(X281),INPC!$B$4:$P$30,MONTH(X281)+2,0)))</f>
        <v>0</v>
      </c>
      <c r="R281" s="309">
        <f t="shared" si="74"/>
        <v>0</v>
      </c>
      <c r="S281" s="310">
        <f t="shared" si="83"/>
        <v>0</v>
      </c>
      <c r="T281" s="547">
        <f t="shared" si="84"/>
        <v>0</v>
      </c>
      <c r="U281" s="311"/>
      <c r="V281" s="312"/>
      <c r="W281" s="299"/>
      <c r="X281" s="300"/>
      <c r="Y281" s="299"/>
      <c r="Z281" s="303"/>
      <c r="AA281" s="305">
        <f>IF(Z281=0,0,IF(Y281="MXN",1/HLOOKUP(YEAR(X281)+(MONTH(X281)/100),TC!$5:$37,DAY(X281)+2,FALSE),VLOOKUP(Y281,Equivalencia!$1:$23,((MAX(Equivalencia!$3:$3)-YEAR(X281))*14)+MONTH(X281)+2,FALSE)))</f>
        <v>0</v>
      </c>
      <c r="AB281" s="306">
        <f t="shared" si="85"/>
        <v>0</v>
      </c>
      <c r="AC281" s="305">
        <f>+IF(X281=0,0,HLOOKUP(YEAR(X281)+(MONTH(X281)/100),TC!$5:$37,DAY(X281)+2,FALSE))</f>
        <v>0</v>
      </c>
      <c r="AD281" s="307">
        <f t="shared" si="86"/>
        <v>0</v>
      </c>
      <c r="AE281" s="314">
        <f t="shared" si="75"/>
        <v>0</v>
      </c>
      <c r="AF281" s="315">
        <f t="shared" si="76"/>
        <v>0</v>
      </c>
      <c r="AG281" s="316">
        <f t="shared" si="77"/>
        <v>0</v>
      </c>
      <c r="AH281" s="314">
        <v>1</v>
      </c>
      <c r="AI281" s="314">
        <f t="shared" si="78"/>
        <v>0</v>
      </c>
      <c r="AJ281" s="314">
        <f t="shared" si="87"/>
        <v>0</v>
      </c>
      <c r="AK281" s="317"/>
      <c r="AL281" s="315">
        <f t="shared" si="79"/>
        <v>0</v>
      </c>
      <c r="AN281" s="546">
        <f t="shared" si="80"/>
        <v>0</v>
      </c>
      <c r="AO281" s="314"/>
      <c r="AP281" s="318"/>
    </row>
    <row r="282" spans="2:42">
      <c r="B282" s="296"/>
      <c r="C282" s="299"/>
      <c r="D282" s="298"/>
      <c r="E282" s="299"/>
      <c r="F282" s="299"/>
      <c r="G282" s="300"/>
      <c r="H282" s="303"/>
      <c r="I282" s="301">
        <f t="shared" si="71"/>
        <v>0</v>
      </c>
      <c r="J282" s="302">
        <f t="shared" si="81"/>
        <v>0</v>
      </c>
      <c r="K282" s="304">
        <f t="shared" si="72"/>
        <v>0</v>
      </c>
      <c r="L282" s="305">
        <f>IF(H282=0,0,IF(OR(E282=$AT$5,E282=$AT$6),AA282,IF(F282="MXN",1/HLOOKUP(YEAR(G282)+(MONTH(G282)/100),TC!$5:$37,DAY(G282)+2,FALSE),VLOOKUP(F282,Equivalencia!$5:$23,((MAX(Equivalencia!$3:$3)-YEAR(G282))*14)+MONTH(G282)+2,FALSE))))</f>
        <v>0</v>
      </c>
      <c r="M282" s="306">
        <f t="shared" si="73"/>
        <v>0</v>
      </c>
      <c r="N282" s="305">
        <f>IF(G282=0,0,(IF(OR(E282=$AT$5,E282=$AT$6),AC282,HLOOKUP(YEAR(G282)+(MONTH(G282)/100),TC!$5:$37,DAY(G282)+2,FALSE))))</f>
        <v>0</v>
      </c>
      <c r="O282" s="307">
        <f t="shared" si="82"/>
        <v>0</v>
      </c>
      <c r="P282" s="552">
        <f>IF(G282=0,0,VLOOKUP(YEAR(G282),INPC!$B$4:$P$30,MONTH(G282)+2))</f>
        <v>0</v>
      </c>
      <c r="Q282" s="552">
        <f>IF(X282=0,0,IF(OR(E282=$AT$10,E282=$AT$9),VLOOKUP(YEAR(X282),INPC!$B$4:$P$30,MONTH(X282)+1),VLOOKUP(YEAR(X282),INPC!$B$4:$P$30,MONTH(X282)+2,0)))</f>
        <v>0</v>
      </c>
      <c r="R282" s="309">
        <f t="shared" si="74"/>
        <v>0</v>
      </c>
      <c r="S282" s="310">
        <f t="shared" si="83"/>
        <v>0</v>
      </c>
      <c r="T282" s="547">
        <f t="shared" si="84"/>
        <v>0</v>
      </c>
      <c r="U282" s="311"/>
      <c r="V282" s="312"/>
      <c r="W282" s="299"/>
      <c r="X282" s="300"/>
      <c r="Y282" s="299"/>
      <c r="Z282" s="303"/>
      <c r="AA282" s="305">
        <f>IF(Z282=0,0,IF(Y282="MXN",1/HLOOKUP(YEAR(X282)+(MONTH(X282)/100),TC!$5:$37,DAY(X282)+2,FALSE),VLOOKUP(Y282,Equivalencia!$1:$23,((MAX(Equivalencia!$3:$3)-YEAR(X282))*14)+MONTH(X282)+2,FALSE)))</f>
        <v>0</v>
      </c>
      <c r="AB282" s="306">
        <f t="shared" si="85"/>
        <v>0</v>
      </c>
      <c r="AC282" s="305">
        <f>+IF(X282=0,0,HLOOKUP(YEAR(X282)+(MONTH(X282)/100),TC!$5:$37,DAY(X282)+2,FALSE))</f>
        <v>0</v>
      </c>
      <c r="AD282" s="307">
        <f t="shared" si="86"/>
        <v>0</v>
      </c>
      <c r="AE282" s="314">
        <f t="shared" si="75"/>
        <v>0</v>
      </c>
      <c r="AF282" s="315">
        <f t="shared" si="76"/>
        <v>0</v>
      </c>
      <c r="AG282" s="316">
        <f t="shared" si="77"/>
        <v>0</v>
      </c>
      <c r="AH282" s="314">
        <v>1</v>
      </c>
      <c r="AI282" s="314">
        <f t="shared" si="78"/>
        <v>0</v>
      </c>
      <c r="AJ282" s="314">
        <f t="shared" si="87"/>
        <v>0</v>
      </c>
      <c r="AK282" s="317"/>
      <c r="AL282" s="315">
        <f t="shared" si="79"/>
        <v>0</v>
      </c>
      <c r="AN282" s="546">
        <f t="shared" si="80"/>
        <v>0</v>
      </c>
      <c r="AO282" s="314"/>
      <c r="AP282" s="318"/>
    </row>
    <row r="283" spans="2:42">
      <c r="B283" s="296"/>
      <c r="C283" s="299"/>
      <c r="D283" s="298"/>
      <c r="E283" s="299"/>
      <c r="F283" s="299"/>
      <c r="G283" s="300"/>
      <c r="H283" s="303"/>
      <c r="I283" s="301">
        <f t="shared" si="71"/>
        <v>0</v>
      </c>
      <c r="J283" s="302">
        <f t="shared" si="81"/>
        <v>0</v>
      </c>
      <c r="K283" s="304">
        <f t="shared" si="72"/>
        <v>0</v>
      </c>
      <c r="L283" s="305">
        <f>IF(H283=0,0,IF(OR(E283=$AT$5,E283=$AT$6),AA283,IF(F283="MXN",1/HLOOKUP(YEAR(G283)+(MONTH(G283)/100),TC!$5:$37,DAY(G283)+2,FALSE),VLOOKUP(F283,Equivalencia!$5:$23,((MAX(Equivalencia!$3:$3)-YEAR(G283))*14)+MONTH(G283)+2,FALSE))))</f>
        <v>0</v>
      </c>
      <c r="M283" s="306">
        <f t="shared" si="73"/>
        <v>0</v>
      </c>
      <c r="N283" s="305">
        <f>IF(G283=0,0,(IF(OR(E283=$AT$5,E283=$AT$6),AC283,HLOOKUP(YEAR(G283)+(MONTH(G283)/100),TC!$5:$37,DAY(G283)+2,FALSE))))</f>
        <v>0</v>
      </c>
      <c r="O283" s="307">
        <f t="shared" si="82"/>
        <v>0</v>
      </c>
      <c r="P283" s="552">
        <f>IF(G283=0,0,VLOOKUP(YEAR(G283),INPC!$B$4:$P$30,MONTH(G283)+2))</f>
        <v>0</v>
      </c>
      <c r="Q283" s="552">
        <f>IF(X283=0,0,IF(OR(E283=$AT$10,E283=$AT$9),VLOOKUP(YEAR(X283),INPC!$B$4:$P$30,MONTH(X283)+1),VLOOKUP(YEAR(X283),INPC!$B$4:$P$30,MONTH(X283)+2,0)))</f>
        <v>0</v>
      </c>
      <c r="R283" s="309">
        <f t="shared" si="74"/>
        <v>0</v>
      </c>
      <c r="S283" s="310">
        <f t="shared" si="83"/>
        <v>0</v>
      </c>
      <c r="T283" s="547">
        <f t="shared" si="84"/>
        <v>0</v>
      </c>
      <c r="U283" s="311"/>
      <c r="V283" s="312"/>
      <c r="W283" s="299"/>
      <c r="X283" s="300"/>
      <c r="Y283" s="299"/>
      <c r="Z283" s="303"/>
      <c r="AA283" s="305">
        <f>IF(Z283=0,0,IF(Y283="MXN",1/HLOOKUP(YEAR(X283)+(MONTH(X283)/100),TC!$5:$37,DAY(X283)+2,FALSE),VLOOKUP(Y283,Equivalencia!$1:$23,((MAX(Equivalencia!$3:$3)-YEAR(X283))*14)+MONTH(X283)+2,FALSE)))</f>
        <v>0</v>
      </c>
      <c r="AB283" s="306">
        <f t="shared" si="85"/>
        <v>0</v>
      </c>
      <c r="AC283" s="305">
        <f>+IF(X283=0,0,HLOOKUP(YEAR(X283)+(MONTH(X283)/100),TC!$5:$37,DAY(X283)+2,FALSE))</f>
        <v>0</v>
      </c>
      <c r="AD283" s="307">
        <f t="shared" si="86"/>
        <v>0</v>
      </c>
      <c r="AE283" s="314">
        <f t="shared" si="75"/>
        <v>0</v>
      </c>
      <c r="AF283" s="315">
        <f t="shared" si="76"/>
        <v>0</v>
      </c>
      <c r="AG283" s="316">
        <f t="shared" si="77"/>
        <v>0</v>
      </c>
      <c r="AH283" s="314">
        <v>1</v>
      </c>
      <c r="AI283" s="314">
        <f t="shared" si="78"/>
        <v>0</v>
      </c>
      <c r="AJ283" s="314">
        <f t="shared" si="87"/>
        <v>0</v>
      </c>
      <c r="AK283" s="317"/>
      <c r="AL283" s="315">
        <f t="shared" si="79"/>
        <v>0</v>
      </c>
      <c r="AN283" s="546">
        <f t="shared" si="80"/>
        <v>0</v>
      </c>
      <c r="AO283" s="314"/>
      <c r="AP283" s="318"/>
    </row>
    <row r="284" spans="2:42">
      <c r="B284" s="296"/>
      <c r="C284" s="299"/>
      <c r="D284" s="298"/>
      <c r="E284" s="299"/>
      <c r="F284" s="299"/>
      <c r="G284" s="300"/>
      <c r="H284" s="303"/>
      <c r="I284" s="301">
        <f t="shared" si="71"/>
        <v>0</v>
      </c>
      <c r="J284" s="302">
        <f t="shared" si="81"/>
        <v>0</v>
      </c>
      <c r="K284" s="304">
        <f t="shared" si="72"/>
        <v>0</v>
      </c>
      <c r="L284" s="305">
        <f>IF(H284=0,0,IF(OR(E284=$AT$5,E284=$AT$6),AA284,IF(F284="MXN",1/HLOOKUP(YEAR(G284)+(MONTH(G284)/100),TC!$5:$37,DAY(G284)+2,FALSE),VLOOKUP(F284,Equivalencia!$5:$23,((MAX(Equivalencia!$3:$3)-YEAR(G284))*14)+MONTH(G284)+2,FALSE))))</f>
        <v>0</v>
      </c>
      <c r="M284" s="306">
        <f t="shared" si="73"/>
        <v>0</v>
      </c>
      <c r="N284" s="305">
        <f>IF(G284=0,0,(IF(OR(E284=$AT$5,E284=$AT$6),AC284,HLOOKUP(YEAR(G284)+(MONTH(G284)/100),TC!$5:$37,DAY(G284)+2,FALSE))))</f>
        <v>0</v>
      </c>
      <c r="O284" s="307">
        <f t="shared" si="82"/>
        <v>0</v>
      </c>
      <c r="P284" s="552">
        <f>IF(G284=0,0,VLOOKUP(YEAR(G284),INPC!$B$4:$P$30,MONTH(G284)+2))</f>
        <v>0</v>
      </c>
      <c r="Q284" s="552">
        <f>IF(X284=0,0,IF(OR(E284=$AT$10,E284=$AT$9),VLOOKUP(YEAR(X284),INPC!$B$4:$P$30,MONTH(X284)+1),VLOOKUP(YEAR(X284),INPC!$B$4:$P$30,MONTH(X284)+2,0)))</f>
        <v>0</v>
      </c>
      <c r="R284" s="309">
        <f t="shared" si="74"/>
        <v>0</v>
      </c>
      <c r="S284" s="310">
        <f t="shared" si="83"/>
        <v>0</v>
      </c>
      <c r="T284" s="547">
        <f t="shared" si="84"/>
        <v>0</v>
      </c>
      <c r="U284" s="311"/>
      <c r="V284" s="312"/>
      <c r="W284" s="299"/>
      <c r="X284" s="300"/>
      <c r="Y284" s="299"/>
      <c r="Z284" s="303"/>
      <c r="AA284" s="305">
        <f>IF(Z284=0,0,IF(Y284="MXN",1/HLOOKUP(YEAR(X284)+(MONTH(X284)/100),TC!$5:$37,DAY(X284)+2,FALSE),VLOOKUP(Y284,Equivalencia!$1:$23,((MAX(Equivalencia!$3:$3)-YEAR(X284))*14)+MONTH(X284)+2,FALSE)))</f>
        <v>0</v>
      </c>
      <c r="AB284" s="306">
        <f t="shared" si="85"/>
        <v>0</v>
      </c>
      <c r="AC284" s="305">
        <f>+IF(X284=0,0,HLOOKUP(YEAR(X284)+(MONTH(X284)/100),TC!$5:$37,DAY(X284)+2,FALSE))</f>
        <v>0</v>
      </c>
      <c r="AD284" s="307">
        <f t="shared" si="86"/>
        <v>0</v>
      </c>
      <c r="AE284" s="314">
        <f t="shared" si="75"/>
        <v>0</v>
      </c>
      <c r="AF284" s="315">
        <f t="shared" si="76"/>
        <v>0</v>
      </c>
      <c r="AG284" s="316">
        <f t="shared" si="77"/>
        <v>0</v>
      </c>
      <c r="AH284" s="314">
        <v>1</v>
      </c>
      <c r="AI284" s="314">
        <f t="shared" si="78"/>
        <v>0</v>
      </c>
      <c r="AJ284" s="314">
        <f t="shared" si="87"/>
        <v>0</v>
      </c>
      <c r="AK284" s="317"/>
      <c r="AL284" s="315">
        <f t="shared" si="79"/>
        <v>0</v>
      </c>
      <c r="AN284" s="546">
        <f t="shared" si="80"/>
        <v>0</v>
      </c>
      <c r="AO284" s="314"/>
      <c r="AP284" s="318"/>
    </row>
    <row r="285" spans="2:42">
      <c r="B285" s="296"/>
      <c r="C285" s="299"/>
      <c r="D285" s="298"/>
      <c r="E285" s="299"/>
      <c r="F285" s="299"/>
      <c r="G285" s="300"/>
      <c r="H285" s="303"/>
      <c r="I285" s="301">
        <f t="shared" si="71"/>
        <v>0</v>
      </c>
      <c r="J285" s="302">
        <f t="shared" si="81"/>
        <v>0</v>
      </c>
      <c r="K285" s="304">
        <f t="shared" si="72"/>
        <v>0</v>
      </c>
      <c r="L285" s="305">
        <f>IF(H285=0,0,IF(OR(E285=$AT$5,E285=$AT$6),AA285,IF(F285="MXN",1/HLOOKUP(YEAR(G285)+(MONTH(G285)/100),TC!$5:$37,DAY(G285)+2,FALSE),VLOOKUP(F285,Equivalencia!$5:$23,((MAX(Equivalencia!$3:$3)-YEAR(G285))*14)+MONTH(G285)+2,FALSE))))</f>
        <v>0</v>
      </c>
      <c r="M285" s="306">
        <f t="shared" si="73"/>
        <v>0</v>
      </c>
      <c r="N285" s="305">
        <f>IF(G285=0,0,(IF(OR(E285=$AT$5,E285=$AT$6),AC285,HLOOKUP(YEAR(G285)+(MONTH(G285)/100),TC!$5:$37,DAY(G285)+2,FALSE))))</f>
        <v>0</v>
      </c>
      <c r="O285" s="307">
        <f t="shared" si="82"/>
        <v>0</v>
      </c>
      <c r="P285" s="552">
        <f>IF(G285=0,0,VLOOKUP(YEAR(G285),INPC!$B$4:$P$30,MONTH(G285)+2))</f>
        <v>0</v>
      </c>
      <c r="Q285" s="552">
        <f>IF(X285=0,0,IF(OR(E285=$AT$10,E285=$AT$9),VLOOKUP(YEAR(X285),INPC!$B$4:$P$30,MONTH(X285)+1),VLOOKUP(YEAR(X285),INPC!$B$4:$P$30,MONTH(X285)+2,0)))</f>
        <v>0</v>
      </c>
      <c r="R285" s="309">
        <f t="shared" si="74"/>
        <v>0</v>
      </c>
      <c r="S285" s="310">
        <f t="shared" si="83"/>
        <v>0</v>
      </c>
      <c r="T285" s="547">
        <f t="shared" si="84"/>
        <v>0</v>
      </c>
      <c r="U285" s="311"/>
      <c r="V285" s="312"/>
      <c r="W285" s="299"/>
      <c r="X285" s="300"/>
      <c r="Y285" s="299"/>
      <c r="Z285" s="303"/>
      <c r="AA285" s="305">
        <f>IF(Z285=0,0,IF(Y285="MXN",1/HLOOKUP(YEAR(X285)+(MONTH(X285)/100),TC!$5:$37,DAY(X285)+2,FALSE),VLOOKUP(Y285,Equivalencia!$1:$23,((MAX(Equivalencia!$3:$3)-YEAR(X285))*14)+MONTH(X285)+2,FALSE)))</f>
        <v>0</v>
      </c>
      <c r="AB285" s="306">
        <f t="shared" si="85"/>
        <v>0</v>
      </c>
      <c r="AC285" s="305">
        <f>+IF(X285=0,0,HLOOKUP(YEAR(X285)+(MONTH(X285)/100),TC!$5:$37,DAY(X285)+2,FALSE))</f>
        <v>0</v>
      </c>
      <c r="AD285" s="307">
        <f t="shared" si="86"/>
        <v>0</v>
      </c>
      <c r="AE285" s="314">
        <f t="shared" si="75"/>
        <v>0</v>
      </c>
      <c r="AF285" s="315">
        <f t="shared" si="76"/>
        <v>0</v>
      </c>
      <c r="AG285" s="316">
        <f t="shared" si="77"/>
        <v>0</v>
      </c>
      <c r="AH285" s="314">
        <v>1</v>
      </c>
      <c r="AI285" s="314">
        <f t="shared" si="78"/>
        <v>0</v>
      </c>
      <c r="AJ285" s="314">
        <f t="shared" si="87"/>
        <v>0</v>
      </c>
      <c r="AK285" s="317"/>
      <c r="AL285" s="315">
        <f t="shared" si="79"/>
        <v>0</v>
      </c>
      <c r="AN285" s="546">
        <f t="shared" si="80"/>
        <v>0</v>
      </c>
      <c r="AO285" s="314"/>
      <c r="AP285" s="318"/>
    </row>
    <row r="286" spans="2:42">
      <c r="B286" s="296"/>
      <c r="C286" s="299"/>
      <c r="D286" s="298"/>
      <c r="E286" s="299"/>
      <c r="F286" s="299"/>
      <c r="G286" s="300"/>
      <c r="H286" s="303"/>
      <c r="I286" s="301">
        <f t="shared" si="71"/>
        <v>0</v>
      </c>
      <c r="J286" s="302">
        <f t="shared" si="81"/>
        <v>0</v>
      </c>
      <c r="K286" s="304">
        <f t="shared" si="72"/>
        <v>0</v>
      </c>
      <c r="L286" s="305">
        <f>IF(H286=0,0,IF(OR(E286=$AT$5,E286=$AT$6),AA286,IF(F286="MXN",1/HLOOKUP(YEAR(G286)+(MONTH(G286)/100),TC!$5:$37,DAY(G286)+2,FALSE),VLOOKUP(F286,Equivalencia!$5:$23,((MAX(Equivalencia!$3:$3)-YEAR(G286))*14)+MONTH(G286)+2,FALSE))))</f>
        <v>0</v>
      </c>
      <c r="M286" s="306">
        <f t="shared" si="73"/>
        <v>0</v>
      </c>
      <c r="N286" s="305">
        <f>IF(G286=0,0,(IF(OR(E286=$AT$5,E286=$AT$6),AC286,HLOOKUP(YEAR(G286)+(MONTH(G286)/100),TC!$5:$37,DAY(G286)+2,FALSE))))</f>
        <v>0</v>
      </c>
      <c r="O286" s="307">
        <f t="shared" si="82"/>
        <v>0</v>
      </c>
      <c r="P286" s="552">
        <f>IF(G286=0,0,VLOOKUP(YEAR(G286),INPC!$B$4:$P$30,MONTH(G286)+2))</f>
        <v>0</v>
      </c>
      <c r="Q286" s="552">
        <f>IF(X286=0,0,IF(OR(E286=$AT$10,E286=$AT$9),VLOOKUP(YEAR(X286),INPC!$B$4:$P$30,MONTH(X286)+1),VLOOKUP(YEAR(X286),INPC!$B$4:$P$30,MONTH(X286)+2,0)))</f>
        <v>0</v>
      </c>
      <c r="R286" s="309">
        <f t="shared" si="74"/>
        <v>0</v>
      </c>
      <c r="S286" s="310">
        <f t="shared" si="83"/>
        <v>0</v>
      </c>
      <c r="T286" s="547">
        <f t="shared" si="84"/>
        <v>0</v>
      </c>
      <c r="U286" s="311"/>
      <c r="V286" s="312"/>
      <c r="W286" s="299"/>
      <c r="X286" s="300"/>
      <c r="Y286" s="299"/>
      <c r="Z286" s="303"/>
      <c r="AA286" s="305">
        <f>IF(Z286=0,0,IF(Y286="MXN",1/HLOOKUP(YEAR(X286)+(MONTH(X286)/100),TC!$5:$37,DAY(X286)+2,FALSE),VLOOKUP(Y286,Equivalencia!$1:$23,((MAX(Equivalencia!$3:$3)-YEAR(X286))*14)+MONTH(X286)+2,FALSE)))</f>
        <v>0</v>
      </c>
      <c r="AB286" s="306">
        <f t="shared" si="85"/>
        <v>0</v>
      </c>
      <c r="AC286" s="305">
        <f>+IF(X286=0,0,HLOOKUP(YEAR(X286)+(MONTH(X286)/100),TC!$5:$37,DAY(X286)+2,FALSE))</f>
        <v>0</v>
      </c>
      <c r="AD286" s="307">
        <f t="shared" si="86"/>
        <v>0</v>
      </c>
      <c r="AE286" s="314">
        <f t="shared" si="75"/>
        <v>0</v>
      </c>
      <c r="AF286" s="315">
        <f t="shared" si="76"/>
        <v>0</v>
      </c>
      <c r="AG286" s="316">
        <f t="shared" si="77"/>
        <v>0</v>
      </c>
      <c r="AH286" s="314">
        <v>1</v>
      </c>
      <c r="AI286" s="314">
        <f t="shared" si="78"/>
        <v>0</v>
      </c>
      <c r="AJ286" s="314">
        <f t="shared" si="87"/>
        <v>0</v>
      </c>
      <c r="AK286" s="317"/>
      <c r="AL286" s="315">
        <f t="shared" si="79"/>
        <v>0</v>
      </c>
      <c r="AN286" s="546">
        <f t="shared" si="80"/>
        <v>0</v>
      </c>
      <c r="AO286" s="314"/>
      <c r="AP286" s="318"/>
    </row>
    <row r="287" spans="2:42">
      <c r="B287" s="296"/>
      <c r="C287" s="299"/>
      <c r="D287" s="298"/>
      <c r="E287" s="299"/>
      <c r="F287" s="299"/>
      <c r="G287" s="300"/>
      <c r="H287" s="303"/>
      <c r="I287" s="301">
        <f t="shared" si="71"/>
        <v>0</v>
      </c>
      <c r="J287" s="302">
        <f t="shared" si="81"/>
        <v>0</v>
      </c>
      <c r="K287" s="304">
        <f t="shared" si="72"/>
        <v>0</v>
      </c>
      <c r="L287" s="305">
        <f>IF(H287=0,0,IF(OR(E287=$AT$5,E287=$AT$6),AA287,IF(F287="MXN",1/HLOOKUP(YEAR(G287)+(MONTH(G287)/100),TC!$5:$37,DAY(G287)+2,FALSE),VLOOKUP(F287,Equivalencia!$5:$23,((MAX(Equivalencia!$3:$3)-YEAR(G287))*14)+MONTH(G287)+2,FALSE))))</f>
        <v>0</v>
      </c>
      <c r="M287" s="306">
        <f t="shared" si="73"/>
        <v>0</v>
      </c>
      <c r="N287" s="305">
        <f>IF(G287=0,0,(IF(OR(E287=$AT$5,E287=$AT$6),AC287,HLOOKUP(YEAR(G287)+(MONTH(G287)/100),TC!$5:$37,DAY(G287)+2,FALSE))))</f>
        <v>0</v>
      </c>
      <c r="O287" s="307">
        <f t="shared" si="82"/>
        <v>0</v>
      </c>
      <c r="P287" s="552">
        <f>IF(G287=0,0,VLOOKUP(YEAR(G287),INPC!$B$4:$P$30,MONTH(G287)+2))</f>
        <v>0</v>
      </c>
      <c r="Q287" s="552">
        <f>IF(X287=0,0,IF(OR(E287=$AT$10,E287=$AT$9),VLOOKUP(YEAR(X287),INPC!$B$4:$P$30,MONTH(X287)+1),VLOOKUP(YEAR(X287),INPC!$B$4:$P$30,MONTH(X287)+2,0)))</f>
        <v>0</v>
      </c>
      <c r="R287" s="309">
        <f t="shared" si="74"/>
        <v>0</v>
      </c>
      <c r="S287" s="310">
        <f t="shared" si="83"/>
        <v>0</v>
      </c>
      <c r="T287" s="547">
        <f t="shared" si="84"/>
        <v>0</v>
      </c>
      <c r="U287" s="311"/>
      <c r="V287" s="312"/>
      <c r="W287" s="299"/>
      <c r="X287" s="300"/>
      <c r="Y287" s="299"/>
      <c r="Z287" s="303"/>
      <c r="AA287" s="305">
        <f>IF(Z287=0,0,IF(Y287="MXN",1/HLOOKUP(YEAR(X287)+(MONTH(X287)/100),TC!$5:$37,DAY(X287)+2,FALSE),VLOOKUP(Y287,Equivalencia!$1:$23,((MAX(Equivalencia!$3:$3)-YEAR(X287))*14)+MONTH(X287)+2,FALSE)))</f>
        <v>0</v>
      </c>
      <c r="AB287" s="306">
        <f t="shared" si="85"/>
        <v>0</v>
      </c>
      <c r="AC287" s="305">
        <f>+IF(X287=0,0,HLOOKUP(YEAR(X287)+(MONTH(X287)/100),TC!$5:$37,DAY(X287)+2,FALSE))</f>
        <v>0</v>
      </c>
      <c r="AD287" s="307">
        <f t="shared" si="86"/>
        <v>0</v>
      </c>
      <c r="AE287" s="314">
        <f t="shared" si="75"/>
        <v>0</v>
      </c>
      <c r="AF287" s="315">
        <f t="shared" si="76"/>
        <v>0</v>
      </c>
      <c r="AG287" s="316">
        <f t="shared" si="77"/>
        <v>0</v>
      </c>
      <c r="AH287" s="314">
        <v>1</v>
      </c>
      <c r="AI287" s="314">
        <f t="shared" si="78"/>
        <v>0</v>
      </c>
      <c r="AJ287" s="314">
        <f t="shared" si="87"/>
        <v>0</v>
      </c>
      <c r="AK287" s="317"/>
      <c r="AL287" s="315">
        <f t="shared" si="79"/>
        <v>0</v>
      </c>
      <c r="AN287" s="546">
        <f t="shared" si="80"/>
        <v>0</v>
      </c>
      <c r="AO287" s="314"/>
      <c r="AP287" s="318"/>
    </row>
    <row r="288" spans="2:42">
      <c r="B288" s="296"/>
      <c r="C288" s="299"/>
      <c r="D288" s="298"/>
      <c r="E288" s="299"/>
      <c r="F288" s="299"/>
      <c r="G288" s="300"/>
      <c r="H288" s="303"/>
      <c r="I288" s="301">
        <f t="shared" si="71"/>
        <v>0</v>
      </c>
      <c r="J288" s="302">
        <f t="shared" si="81"/>
        <v>0</v>
      </c>
      <c r="K288" s="304">
        <f t="shared" si="72"/>
        <v>0</v>
      </c>
      <c r="L288" s="305">
        <f>IF(H288=0,0,IF(OR(E288=$AT$5,E288=$AT$6),AA288,IF(F288="MXN",1/HLOOKUP(YEAR(G288)+(MONTH(G288)/100),TC!$5:$37,DAY(G288)+2,FALSE),VLOOKUP(F288,Equivalencia!$5:$23,((MAX(Equivalencia!$3:$3)-YEAR(G288))*14)+MONTH(G288)+2,FALSE))))</f>
        <v>0</v>
      </c>
      <c r="M288" s="306">
        <f t="shared" si="73"/>
        <v>0</v>
      </c>
      <c r="N288" s="305">
        <f>IF(G288=0,0,(IF(OR(E288=$AT$5,E288=$AT$6),AC288,HLOOKUP(YEAR(G288)+(MONTH(G288)/100),TC!$5:$37,DAY(G288)+2,FALSE))))</f>
        <v>0</v>
      </c>
      <c r="O288" s="307">
        <f t="shared" si="82"/>
        <v>0</v>
      </c>
      <c r="P288" s="552">
        <f>IF(G288=0,0,VLOOKUP(YEAR(G288),INPC!$B$4:$P$30,MONTH(G288)+2))</f>
        <v>0</v>
      </c>
      <c r="Q288" s="552">
        <f>IF(X288=0,0,IF(OR(E288=$AT$10,E288=$AT$9),VLOOKUP(YEAR(X288),INPC!$B$4:$P$30,MONTH(X288)+1),VLOOKUP(YEAR(X288),INPC!$B$4:$P$30,MONTH(X288)+2,0)))</f>
        <v>0</v>
      </c>
      <c r="R288" s="309">
        <f t="shared" si="74"/>
        <v>0</v>
      </c>
      <c r="S288" s="310">
        <f t="shared" si="83"/>
        <v>0</v>
      </c>
      <c r="T288" s="547">
        <f t="shared" si="84"/>
        <v>0</v>
      </c>
      <c r="U288" s="311"/>
      <c r="V288" s="312"/>
      <c r="W288" s="299"/>
      <c r="X288" s="300"/>
      <c r="Y288" s="299"/>
      <c r="Z288" s="303"/>
      <c r="AA288" s="305">
        <f>IF(Z288=0,0,IF(Y288="MXN",1/HLOOKUP(YEAR(X288)+(MONTH(X288)/100),TC!$5:$37,DAY(X288)+2,FALSE),VLOOKUP(Y288,Equivalencia!$1:$23,((MAX(Equivalencia!$3:$3)-YEAR(X288))*14)+MONTH(X288)+2,FALSE)))</f>
        <v>0</v>
      </c>
      <c r="AB288" s="306">
        <f t="shared" si="85"/>
        <v>0</v>
      </c>
      <c r="AC288" s="305">
        <f>+IF(X288=0,0,HLOOKUP(YEAR(X288)+(MONTH(X288)/100),TC!$5:$37,DAY(X288)+2,FALSE))</f>
        <v>0</v>
      </c>
      <c r="AD288" s="307">
        <f t="shared" si="86"/>
        <v>0</v>
      </c>
      <c r="AE288" s="314">
        <f t="shared" si="75"/>
        <v>0</v>
      </c>
      <c r="AF288" s="315">
        <f t="shared" si="76"/>
        <v>0</v>
      </c>
      <c r="AG288" s="316">
        <f t="shared" si="77"/>
        <v>0</v>
      </c>
      <c r="AH288" s="314">
        <v>1</v>
      </c>
      <c r="AI288" s="314">
        <f t="shared" si="78"/>
        <v>0</v>
      </c>
      <c r="AJ288" s="314">
        <f t="shared" si="87"/>
        <v>0</v>
      </c>
      <c r="AK288" s="317"/>
      <c r="AL288" s="315">
        <f t="shared" si="79"/>
        <v>0</v>
      </c>
      <c r="AN288" s="546">
        <f t="shared" si="80"/>
        <v>0</v>
      </c>
      <c r="AO288" s="314"/>
      <c r="AP288" s="318"/>
    </row>
    <row r="289" spans="2:42">
      <c r="B289" s="296"/>
      <c r="C289" s="299"/>
      <c r="D289" s="298"/>
      <c r="E289" s="299"/>
      <c r="F289" s="299"/>
      <c r="G289" s="300"/>
      <c r="H289" s="303"/>
      <c r="I289" s="301">
        <f t="shared" si="71"/>
        <v>0</v>
      </c>
      <c r="J289" s="302">
        <f t="shared" si="81"/>
        <v>0</v>
      </c>
      <c r="K289" s="304">
        <f t="shared" si="72"/>
        <v>0</v>
      </c>
      <c r="L289" s="305">
        <f>IF(H289=0,0,IF(OR(E289=$AT$5,E289=$AT$6),AA289,IF(F289="MXN",1/HLOOKUP(YEAR(G289)+(MONTH(G289)/100),TC!$5:$37,DAY(G289)+2,FALSE),VLOOKUP(F289,Equivalencia!$5:$23,((MAX(Equivalencia!$3:$3)-YEAR(G289))*14)+MONTH(G289)+2,FALSE))))</f>
        <v>0</v>
      </c>
      <c r="M289" s="306">
        <f t="shared" si="73"/>
        <v>0</v>
      </c>
      <c r="N289" s="305">
        <f>IF(G289=0,0,(IF(OR(E289=$AT$5,E289=$AT$6),AC289,HLOOKUP(YEAR(G289)+(MONTH(G289)/100),TC!$5:$37,DAY(G289)+2,FALSE))))</f>
        <v>0</v>
      </c>
      <c r="O289" s="307">
        <f t="shared" si="82"/>
        <v>0</v>
      </c>
      <c r="P289" s="552">
        <f>IF(G289=0,0,VLOOKUP(YEAR(G289),INPC!$B$4:$P$30,MONTH(G289)+2))</f>
        <v>0</v>
      </c>
      <c r="Q289" s="552">
        <f>IF(X289=0,0,IF(OR(E289=$AT$10,E289=$AT$9),VLOOKUP(YEAR(X289),INPC!$B$4:$P$30,MONTH(X289)+1),VLOOKUP(YEAR(X289),INPC!$B$4:$P$30,MONTH(X289)+2,0)))</f>
        <v>0</v>
      </c>
      <c r="R289" s="309">
        <f t="shared" si="74"/>
        <v>0</v>
      </c>
      <c r="S289" s="310">
        <f t="shared" si="83"/>
        <v>0</v>
      </c>
      <c r="T289" s="547">
        <f t="shared" si="84"/>
        <v>0</v>
      </c>
      <c r="U289" s="311"/>
      <c r="V289" s="312"/>
      <c r="W289" s="299"/>
      <c r="X289" s="300"/>
      <c r="Y289" s="299"/>
      <c r="Z289" s="303"/>
      <c r="AA289" s="305">
        <f>IF(Z289=0,0,IF(Y289="MXN",1/HLOOKUP(YEAR(X289)+(MONTH(X289)/100),TC!$5:$37,DAY(X289)+2,FALSE),VLOOKUP(Y289,Equivalencia!$1:$23,((MAX(Equivalencia!$3:$3)-YEAR(X289))*14)+MONTH(X289)+2,FALSE)))</f>
        <v>0</v>
      </c>
      <c r="AB289" s="306">
        <f t="shared" si="85"/>
        <v>0</v>
      </c>
      <c r="AC289" s="305">
        <f>+IF(X289=0,0,HLOOKUP(YEAR(X289)+(MONTH(X289)/100),TC!$5:$37,DAY(X289)+2,FALSE))</f>
        <v>0</v>
      </c>
      <c r="AD289" s="307">
        <f t="shared" si="86"/>
        <v>0</v>
      </c>
      <c r="AE289" s="314">
        <f t="shared" si="75"/>
        <v>0</v>
      </c>
      <c r="AF289" s="315">
        <f t="shared" si="76"/>
        <v>0</v>
      </c>
      <c r="AG289" s="316">
        <f t="shared" si="77"/>
        <v>0</v>
      </c>
      <c r="AH289" s="314">
        <v>1</v>
      </c>
      <c r="AI289" s="314">
        <f t="shared" si="78"/>
        <v>0</v>
      </c>
      <c r="AJ289" s="314">
        <f t="shared" si="87"/>
        <v>0</v>
      </c>
      <c r="AK289" s="317"/>
      <c r="AL289" s="315">
        <f t="shared" si="79"/>
        <v>0</v>
      </c>
      <c r="AN289" s="546">
        <f t="shared" si="80"/>
        <v>0</v>
      </c>
      <c r="AO289" s="314"/>
      <c r="AP289" s="318"/>
    </row>
    <row r="290" spans="2:42">
      <c r="B290" s="296"/>
      <c r="C290" s="299"/>
      <c r="D290" s="298"/>
      <c r="E290" s="299"/>
      <c r="F290" s="299"/>
      <c r="G290" s="300"/>
      <c r="H290" s="303"/>
      <c r="I290" s="301">
        <f t="shared" si="71"/>
        <v>0</v>
      </c>
      <c r="J290" s="302">
        <f t="shared" si="81"/>
        <v>0</v>
      </c>
      <c r="K290" s="304">
        <f t="shared" si="72"/>
        <v>0</v>
      </c>
      <c r="L290" s="305">
        <f>IF(H290=0,0,IF(OR(E290=$AT$5,E290=$AT$6),AA290,IF(F290="MXN",1/HLOOKUP(YEAR(G290)+(MONTH(G290)/100),TC!$5:$37,DAY(G290)+2,FALSE),VLOOKUP(F290,Equivalencia!$5:$23,((MAX(Equivalencia!$3:$3)-YEAR(G290))*14)+MONTH(G290)+2,FALSE))))</f>
        <v>0</v>
      </c>
      <c r="M290" s="306">
        <f t="shared" si="73"/>
        <v>0</v>
      </c>
      <c r="N290" s="305">
        <f>IF(G290=0,0,(IF(OR(E290=$AT$5,E290=$AT$6),AC290,HLOOKUP(YEAR(G290)+(MONTH(G290)/100),TC!$5:$37,DAY(G290)+2,FALSE))))</f>
        <v>0</v>
      </c>
      <c r="O290" s="307">
        <f t="shared" si="82"/>
        <v>0</v>
      </c>
      <c r="P290" s="552">
        <f>IF(G290=0,0,VLOOKUP(YEAR(G290),INPC!$B$4:$P$30,MONTH(G290)+2))</f>
        <v>0</v>
      </c>
      <c r="Q290" s="552">
        <f>IF(X290=0,0,IF(OR(E290=$AT$10,E290=$AT$9),VLOOKUP(YEAR(X290),INPC!$B$4:$P$30,MONTH(X290)+1),VLOOKUP(YEAR(X290),INPC!$B$4:$P$30,MONTH(X290)+2,0)))</f>
        <v>0</v>
      </c>
      <c r="R290" s="309">
        <f t="shared" si="74"/>
        <v>0</v>
      </c>
      <c r="S290" s="310">
        <f t="shared" si="83"/>
        <v>0</v>
      </c>
      <c r="T290" s="547">
        <f t="shared" si="84"/>
        <v>0</v>
      </c>
      <c r="U290" s="311"/>
      <c r="V290" s="312"/>
      <c r="W290" s="299"/>
      <c r="X290" s="300"/>
      <c r="Y290" s="299"/>
      <c r="Z290" s="303"/>
      <c r="AA290" s="305">
        <f>IF(Z290=0,0,IF(Y290="MXN",1/HLOOKUP(YEAR(X290)+(MONTH(X290)/100),TC!$5:$37,DAY(X290)+2,FALSE),VLOOKUP(Y290,Equivalencia!$1:$23,((MAX(Equivalencia!$3:$3)-YEAR(X290))*14)+MONTH(X290)+2,FALSE)))</f>
        <v>0</v>
      </c>
      <c r="AB290" s="306">
        <f t="shared" si="85"/>
        <v>0</v>
      </c>
      <c r="AC290" s="305">
        <f>+IF(X290=0,0,HLOOKUP(YEAR(X290)+(MONTH(X290)/100),TC!$5:$37,DAY(X290)+2,FALSE))</f>
        <v>0</v>
      </c>
      <c r="AD290" s="307">
        <f t="shared" si="86"/>
        <v>0</v>
      </c>
      <c r="AE290" s="314">
        <f t="shared" si="75"/>
        <v>0</v>
      </c>
      <c r="AF290" s="315">
        <f t="shared" si="76"/>
        <v>0</v>
      </c>
      <c r="AG290" s="316">
        <f t="shared" si="77"/>
        <v>0</v>
      </c>
      <c r="AH290" s="314">
        <v>1</v>
      </c>
      <c r="AI290" s="314">
        <f t="shared" si="78"/>
        <v>0</v>
      </c>
      <c r="AJ290" s="314">
        <f t="shared" si="87"/>
        <v>0</v>
      </c>
      <c r="AK290" s="317"/>
      <c r="AL290" s="315">
        <f t="shared" si="79"/>
        <v>0</v>
      </c>
      <c r="AN290" s="546">
        <f t="shared" si="80"/>
        <v>0</v>
      </c>
      <c r="AO290" s="314"/>
      <c r="AP290" s="318"/>
    </row>
    <row r="291" spans="2:42">
      <c r="B291" s="296"/>
      <c r="C291" s="299"/>
      <c r="D291" s="298"/>
      <c r="E291" s="299"/>
      <c r="F291" s="299"/>
      <c r="G291" s="300"/>
      <c r="H291" s="303"/>
      <c r="I291" s="301">
        <f t="shared" si="71"/>
        <v>0</v>
      </c>
      <c r="J291" s="302">
        <f t="shared" si="81"/>
        <v>0</v>
      </c>
      <c r="K291" s="304">
        <f t="shared" si="72"/>
        <v>0</v>
      </c>
      <c r="L291" s="305">
        <f>IF(H291=0,0,IF(OR(E291=$AT$5,E291=$AT$6),AA291,IF(F291="MXN",1/HLOOKUP(YEAR(G291)+(MONTH(G291)/100),TC!$5:$37,DAY(G291)+2,FALSE),VLOOKUP(F291,Equivalencia!$5:$23,((MAX(Equivalencia!$3:$3)-YEAR(G291))*14)+MONTH(G291)+2,FALSE))))</f>
        <v>0</v>
      </c>
      <c r="M291" s="306">
        <f t="shared" si="73"/>
        <v>0</v>
      </c>
      <c r="N291" s="305">
        <f>IF(G291=0,0,(IF(OR(E291=$AT$5,E291=$AT$6),AC291,HLOOKUP(YEAR(G291)+(MONTH(G291)/100),TC!$5:$37,DAY(G291)+2,FALSE))))</f>
        <v>0</v>
      </c>
      <c r="O291" s="307">
        <f t="shared" si="82"/>
        <v>0</v>
      </c>
      <c r="P291" s="552">
        <f>IF(G291=0,0,VLOOKUP(YEAR(G291),INPC!$B$4:$P$30,MONTH(G291)+2))</f>
        <v>0</v>
      </c>
      <c r="Q291" s="552">
        <f>IF(X291=0,0,IF(OR(E291=$AT$10,E291=$AT$9),VLOOKUP(YEAR(X291),INPC!$B$4:$P$30,MONTH(X291)+1),VLOOKUP(YEAR(X291),INPC!$B$4:$P$30,MONTH(X291)+2,0)))</f>
        <v>0</v>
      </c>
      <c r="R291" s="309">
        <f t="shared" si="74"/>
        <v>0</v>
      </c>
      <c r="S291" s="310">
        <f t="shared" si="83"/>
        <v>0</v>
      </c>
      <c r="T291" s="547">
        <f t="shared" si="84"/>
        <v>0</v>
      </c>
      <c r="U291" s="311"/>
      <c r="V291" s="312"/>
      <c r="W291" s="299"/>
      <c r="X291" s="300"/>
      <c r="Y291" s="299"/>
      <c r="Z291" s="303"/>
      <c r="AA291" s="305">
        <f>IF(Z291=0,0,IF(Y291="MXN",1/HLOOKUP(YEAR(X291)+(MONTH(X291)/100),TC!$5:$37,DAY(X291)+2,FALSE),VLOOKUP(Y291,Equivalencia!$1:$23,((MAX(Equivalencia!$3:$3)-YEAR(X291))*14)+MONTH(X291)+2,FALSE)))</f>
        <v>0</v>
      </c>
      <c r="AB291" s="306">
        <f t="shared" si="85"/>
        <v>0</v>
      </c>
      <c r="AC291" s="305">
        <f>+IF(X291=0,0,HLOOKUP(YEAR(X291)+(MONTH(X291)/100),TC!$5:$37,DAY(X291)+2,FALSE))</f>
        <v>0</v>
      </c>
      <c r="AD291" s="307">
        <f t="shared" si="86"/>
        <v>0</v>
      </c>
      <c r="AE291" s="314">
        <f t="shared" si="75"/>
        <v>0</v>
      </c>
      <c r="AF291" s="315">
        <f t="shared" si="76"/>
        <v>0</v>
      </c>
      <c r="AG291" s="316">
        <f t="shared" si="77"/>
        <v>0</v>
      </c>
      <c r="AH291" s="314">
        <v>1</v>
      </c>
      <c r="AI291" s="314">
        <f t="shared" si="78"/>
        <v>0</v>
      </c>
      <c r="AJ291" s="314">
        <f t="shared" si="87"/>
        <v>0</v>
      </c>
      <c r="AK291" s="317"/>
      <c r="AL291" s="315">
        <f t="shared" si="79"/>
        <v>0</v>
      </c>
      <c r="AN291" s="546">
        <f t="shared" si="80"/>
        <v>0</v>
      </c>
      <c r="AO291" s="314"/>
      <c r="AP291" s="318"/>
    </row>
    <row r="292" spans="2:42">
      <c r="B292" s="296"/>
      <c r="C292" s="299"/>
      <c r="D292" s="298"/>
      <c r="E292" s="299"/>
      <c r="F292" s="299"/>
      <c r="G292" s="300"/>
      <c r="H292" s="303"/>
      <c r="I292" s="301">
        <f t="shared" si="71"/>
        <v>0</v>
      </c>
      <c r="J292" s="302">
        <f t="shared" si="81"/>
        <v>0</v>
      </c>
      <c r="K292" s="304">
        <f t="shared" si="72"/>
        <v>0</v>
      </c>
      <c r="L292" s="305">
        <f>IF(H292=0,0,IF(OR(E292=$AT$5,E292=$AT$6),AA292,IF(F292="MXN",1/HLOOKUP(YEAR(G292)+(MONTH(G292)/100),TC!$5:$37,DAY(G292)+2,FALSE),VLOOKUP(F292,Equivalencia!$5:$23,((MAX(Equivalencia!$3:$3)-YEAR(G292))*14)+MONTH(G292)+2,FALSE))))</f>
        <v>0</v>
      </c>
      <c r="M292" s="306">
        <f t="shared" si="73"/>
        <v>0</v>
      </c>
      <c r="N292" s="305">
        <f>IF(G292=0,0,(IF(OR(E292=$AT$5,E292=$AT$6),AC292,HLOOKUP(YEAR(G292)+(MONTH(G292)/100),TC!$5:$37,DAY(G292)+2,FALSE))))</f>
        <v>0</v>
      </c>
      <c r="O292" s="307">
        <f t="shared" si="82"/>
        <v>0</v>
      </c>
      <c r="P292" s="552">
        <f>IF(G292=0,0,VLOOKUP(YEAR(G292),INPC!$B$4:$P$30,MONTH(G292)+2))</f>
        <v>0</v>
      </c>
      <c r="Q292" s="552">
        <f>IF(X292=0,0,IF(OR(E292=$AT$10,E292=$AT$9),VLOOKUP(YEAR(X292),INPC!$B$4:$P$30,MONTH(X292)+1),VLOOKUP(YEAR(X292),INPC!$B$4:$P$30,MONTH(X292)+2,0)))</f>
        <v>0</v>
      </c>
      <c r="R292" s="309">
        <f t="shared" si="74"/>
        <v>0</v>
      </c>
      <c r="S292" s="310">
        <f t="shared" si="83"/>
        <v>0</v>
      </c>
      <c r="T292" s="547">
        <f t="shared" si="84"/>
        <v>0</v>
      </c>
      <c r="U292" s="311"/>
      <c r="V292" s="312"/>
      <c r="W292" s="299"/>
      <c r="X292" s="300"/>
      <c r="Y292" s="299"/>
      <c r="Z292" s="303"/>
      <c r="AA292" s="305">
        <f>IF(Z292=0,0,IF(Y292="MXN",1/HLOOKUP(YEAR(X292)+(MONTH(X292)/100),TC!$5:$37,DAY(X292)+2,FALSE),VLOOKUP(Y292,Equivalencia!$1:$23,((MAX(Equivalencia!$3:$3)-YEAR(X292))*14)+MONTH(X292)+2,FALSE)))</f>
        <v>0</v>
      </c>
      <c r="AB292" s="306">
        <f t="shared" si="85"/>
        <v>0</v>
      </c>
      <c r="AC292" s="305">
        <f>+IF(X292=0,0,HLOOKUP(YEAR(X292)+(MONTH(X292)/100),TC!$5:$37,DAY(X292)+2,FALSE))</f>
        <v>0</v>
      </c>
      <c r="AD292" s="307">
        <f t="shared" si="86"/>
        <v>0</v>
      </c>
      <c r="AE292" s="314">
        <f t="shared" si="75"/>
        <v>0</v>
      </c>
      <c r="AF292" s="315">
        <f t="shared" si="76"/>
        <v>0</v>
      </c>
      <c r="AG292" s="316">
        <f t="shared" si="77"/>
        <v>0</v>
      </c>
      <c r="AH292" s="314">
        <v>1</v>
      </c>
      <c r="AI292" s="314">
        <f t="shared" si="78"/>
        <v>0</v>
      </c>
      <c r="AJ292" s="314">
        <f t="shared" si="87"/>
        <v>0</v>
      </c>
      <c r="AK292" s="317"/>
      <c r="AL292" s="315">
        <f t="shared" si="79"/>
        <v>0</v>
      </c>
      <c r="AN292" s="546">
        <f t="shared" si="80"/>
        <v>0</v>
      </c>
      <c r="AO292" s="314"/>
      <c r="AP292" s="318"/>
    </row>
    <row r="293" spans="2:42">
      <c r="B293" s="296"/>
      <c r="C293" s="299"/>
      <c r="D293" s="298"/>
      <c r="E293" s="299"/>
      <c r="F293" s="299"/>
      <c r="G293" s="300"/>
      <c r="H293" s="303"/>
      <c r="I293" s="301">
        <f t="shared" si="71"/>
        <v>0</v>
      </c>
      <c r="J293" s="302">
        <f t="shared" si="81"/>
        <v>0</v>
      </c>
      <c r="K293" s="304">
        <f t="shared" si="72"/>
        <v>0</v>
      </c>
      <c r="L293" s="305">
        <f>IF(H293=0,0,IF(OR(E293=$AT$5,E293=$AT$6),AA293,IF(F293="MXN",1/HLOOKUP(YEAR(G293)+(MONTH(G293)/100),TC!$5:$37,DAY(G293)+2,FALSE),VLOOKUP(F293,Equivalencia!$5:$23,((MAX(Equivalencia!$3:$3)-YEAR(G293))*14)+MONTH(G293)+2,FALSE))))</f>
        <v>0</v>
      </c>
      <c r="M293" s="306">
        <f t="shared" si="73"/>
        <v>0</v>
      </c>
      <c r="N293" s="305">
        <f>IF(G293=0,0,(IF(OR(E293=$AT$5,E293=$AT$6),AC293,HLOOKUP(YEAR(G293)+(MONTH(G293)/100),TC!$5:$37,DAY(G293)+2,FALSE))))</f>
        <v>0</v>
      </c>
      <c r="O293" s="307">
        <f t="shared" si="82"/>
        <v>0</v>
      </c>
      <c r="P293" s="552">
        <f>IF(G293=0,0,VLOOKUP(YEAR(G293),INPC!$B$4:$P$30,MONTH(G293)+2))</f>
        <v>0</v>
      </c>
      <c r="Q293" s="552">
        <f>IF(X293=0,0,IF(OR(E293=$AT$10,E293=$AT$9),VLOOKUP(YEAR(X293),INPC!$B$4:$P$30,MONTH(X293)+1),VLOOKUP(YEAR(X293),INPC!$B$4:$P$30,MONTH(X293)+2,0)))</f>
        <v>0</v>
      </c>
      <c r="R293" s="309">
        <f t="shared" si="74"/>
        <v>0</v>
      </c>
      <c r="S293" s="310">
        <f t="shared" si="83"/>
        <v>0</v>
      </c>
      <c r="T293" s="547">
        <f t="shared" si="84"/>
        <v>0</v>
      </c>
      <c r="U293" s="311"/>
      <c r="V293" s="312"/>
      <c r="W293" s="299"/>
      <c r="X293" s="300"/>
      <c r="Y293" s="299"/>
      <c r="Z293" s="303"/>
      <c r="AA293" s="305">
        <f>IF(Z293=0,0,IF(Y293="MXN",1/HLOOKUP(YEAR(X293)+(MONTH(X293)/100),TC!$5:$37,DAY(X293)+2,FALSE),VLOOKUP(Y293,Equivalencia!$1:$23,((MAX(Equivalencia!$3:$3)-YEAR(X293))*14)+MONTH(X293)+2,FALSE)))</f>
        <v>0</v>
      </c>
      <c r="AB293" s="306">
        <f t="shared" si="85"/>
        <v>0</v>
      </c>
      <c r="AC293" s="305">
        <f>+IF(X293=0,0,HLOOKUP(YEAR(X293)+(MONTH(X293)/100),TC!$5:$37,DAY(X293)+2,FALSE))</f>
        <v>0</v>
      </c>
      <c r="AD293" s="307">
        <f t="shared" si="86"/>
        <v>0</v>
      </c>
      <c r="AE293" s="314">
        <f t="shared" si="75"/>
        <v>0</v>
      </c>
      <c r="AF293" s="315">
        <f t="shared" si="76"/>
        <v>0</v>
      </c>
      <c r="AG293" s="316">
        <f t="shared" si="77"/>
        <v>0</v>
      </c>
      <c r="AH293" s="314">
        <v>1</v>
      </c>
      <c r="AI293" s="314">
        <f t="shared" si="78"/>
        <v>0</v>
      </c>
      <c r="AJ293" s="314">
        <f t="shared" si="87"/>
        <v>0</v>
      </c>
      <c r="AK293" s="317"/>
      <c r="AL293" s="315">
        <f t="shared" si="79"/>
        <v>0</v>
      </c>
      <c r="AN293" s="546">
        <f t="shared" si="80"/>
        <v>0</v>
      </c>
      <c r="AO293" s="314"/>
      <c r="AP293" s="318"/>
    </row>
    <row r="294" spans="2:42">
      <c r="B294" s="296"/>
      <c r="C294" s="299"/>
      <c r="D294" s="298"/>
      <c r="E294" s="299"/>
      <c r="F294" s="299"/>
      <c r="G294" s="300"/>
      <c r="H294" s="303"/>
      <c r="I294" s="301">
        <f t="shared" si="71"/>
        <v>0</v>
      </c>
      <c r="J294" s="302">
        <f t="shared" si="81"/>
        <v>0</v>
      </c>
      <c r="K294" s="304">
        <f t="shared" si="72"/>
        <v>0</v>
      </c>
      <c r="L294" s="305">
        <f>IF(H294=0,0,IF(OR(E294=$AT$5,E294=$AT$6),AA294,IF(F294="MXN",1/HLOOKUP(YEAR(G294)+(MONTH(G294)/100),TC!$5:$37,DAY(G294)+2,FALSE),VLOOKUP(F294,Equivalencia!$5:$23,((MAX(Equivalencia!$3:$3)-YEAR(G294))*14)+MONTH(G294)+2,FALSE))))</f>
        <v>0</v>
      </c>
      <c r="M294" s="306">
        <f t="shared" si="73"/>
        <v>0</v>
      </c>
      <c r="N294" s="305">
        <f>IF(G294=0,0,(IF(OR(E294=$AT$5,E294=$AT$6),AC294,HLOOKUP(YEAR(G294)+(MONTH(G294)/100),TC!$5:$37,DAY(G294)+2,FALSE))))</f>
        <v>0</v>
      </c>
      <c r="O294" s="307">
        <f t="shared" si="82"/>
        <v>0</v>
      </c>
      <c r="P294" s="552">
        <f>IF(G294=0,0,VLOOKUP(YEAR(G294),INPC!$B$4:$P$30,MONTH(G294)+2))</f>
        <v>0</v>
      </c>
      <c r="Q294" s="552">
        <f>IF(X294=0,0,IF(OR(E294=$AT$10,E294=$AT$9),VLOOKUP(YEAR(X294),INPC!$B$4:$P$30,MONTH(X294)+1),VLOOKUP(YEAR(X294),INPC!$B$4:$P$30,MONTH(X294)+2,0)))</f>
        <v>0</v>
      </c>
      <c r="R294" s="309">
        <f t="shared" si="74"/>
        <v>0</v>
      </c>
      <c r="S294" s="310">
        <f t="shared" si="83"/>
        <v>0</v>
      </c>
      <c r="T294" s="547">
        <f t="shared" si="84"/>
        <v>0</v>
      </c>
      <c r="U294" s="311"/>
      <c r="V294" s="312"/>
      <c r="W294" s="299"/>
      <c r="X294" s="300"/>
      <c r="Y294" s="299"/>
      <c r="Z294" s="303"/>
      <c r="AA294" s="305">
        <f>IF(Z294=0,0,IF(Y294="MXN",1/HLOOKUP(YEAR(X294)+(MONTH(X294)/100),TC!$5:$37,DAY(X294)+2,FALSE),VLOOKUP(Y294,Equivalencia!$1:$23,((MAX(Equivalencia!$3:$3)-YEAR(X294))*14)+MONTH(X294)+2,FALSE)))</f>
        <v>0</v>
      </c>
      <c r="AB294" s="306">
        <f t="shared" si="85"/>
        <v>0</v>
      </c>
      <c r="AC294" s="305">
        <f>+IF(X294=0,0,HLOOKUP(YEAR(X294)+(MONTH(X294)/100),TC!$5:$37,DAY(X294)+2,FALSE))</f>
        <v>0</v>
      </c>
      <c r="AD294" s="307">
        <f t="shared" si="86"/>
        <v>0</v>
      </c>
      <c r="AE294" s="314">
        <f t="shared" si="75"/>
        <v>0</v>
      </c>
      <c r="AF294" s="315">
        <f t="shared" si="76"/>
        <v>0</v>
      </c>
      <c r="AG294" s="316">
        <f t="shared" si="77"/>
        <v>0</v>
      </c>
      <c r="AH294" s="314">
        <v>1</v>
      </c>
      <c r="AI294" s="314">
        <f t="shared" si="78"/>
        <v>0</v>
      </c>
      <c r="AJ294" s="314">
        <f t="shared" si="87"/>
        <v>0</v>
      </c>
      <c r="AK294" s="317"/>
      <c r="AL294" s="315">
        <f t="shared" si="79"/>
        <v>0</v>
      </c>
      <c r="AN294" s="546">
        <f t="shared" si="80"/>
        <v>0</v>
      </c>
      <c r="AO294" s="314"/>
      <c r="AP294" s="318"/>
    </row>
    <row r="295" spans="2:42">
      <c r="B295" s="296"/>
      <c r="C295" s="299"/>
      <c r="D295" s="298"/>
      <c r="E295" s="299"/>
      <c r="F295" s="299"/>
      <c r="G295" s="300"/>
      <c r="H295" s="303"/>
      <c r="I295" s="301">
        <f t="shared" si="71"/>
        <v>0</v>
      </c>
      <c r="J295" s="302">
        <f t="shared" si="81"/>
        <v>0</v>
      </c>
      <c r="K295" s="304">
        <f t="shared" si="72"/>
        <v>0</v>
      </c>
      <c r="L295" s="305">
        <f>IF(H295=0,0,IF(OR(E295=$AT$5,E295=$AT$6),AA295,IF(F295="MXN",1/HLOOKUP(YEAR(G295)+(MONTH(G295)/100),TC!$5:$37,DAY(G295)+2,FALSE),VLOOKUP(F295,Equivalencia!$5:$23,((MAX(Equivalencia!$3:$3)-YEAR(G295))*14)+MONTH(G295)+2,FALSE))))</f>
        <v>0</v>
      </c>
      <c r="M295" s="306">
        <f t="shared" si="73"/>
        <v>0</v>
      </c>
      <c r="N295" s="305">
        <f>IF(G295=0,0,(IF(OR(E295=$AT$5,E295=$AT$6),AC295,HLOOKUP(YEAR(G295)+(MONTH(G295)/100),TC!$5:$37,DAY(G295)+2,FALSE))))</f>
        <v>0</v>
      </c>
      <c r="O295" s="307">
        <f t="shared" si="82"/>
        <v>0</v>
      </c>
      <c r="P295" s="552">
        <f>IF(G295=0,0,VLOOKUP(YEAR(G295),INPC!$B$4:$P$30,MONTH(G295)+2))</f>
        <v>0</v>
      </c>
      <c r="Q295" s="552">
        <f>IF(X295=0,0,IF(OR(E295=$AT$10,E295=$AT$9),VLOOKUP(YEAR(X295),INPC!$B$4:$P$30,MONTH(X295)+1),VLOOKUP(YEAR(X295),INPC!$B$4:$P$30,MONTH(X295)+2,0)))</f>
        <v>0</v>
      </c>
      <c r="R295" s="309">
        <f t="shared" si="74"/>
        <v>0</v>
      </c>
      <c r="S295" s="310">
        <f t="shared" si="83"/>
        <v>0</v>
      </c>
      <c r="T295" s="547">
        <f t="shared" si="84"/>
        <v>0</v>
      </c>
      <c r="U295" s="311"/>
      <c r="V295" s="312"/>
      <c r="W295" s="299"/>
      <c r="X295" s="300"/>
      <c r="Y295" s="299"/>
      <c r="Z295" s="303"/>
      <c r="AA295" s="305">
        <f>IF(Z295=0,0,IF(Y295="MXN",1/HLOOKUP(YEAR(X295)+(MONTH(X295)/100),TC!$5:$37,DAY(X295)+2,FALSE),VLOOKUP(Y295,Equivalencia!$1:$23,((MAX(Equivalencia!$3:$3)-YEAR(X295))*14)+MONTH(X295)+2,FALSE)))</f>
        <v>0</v>
      </c>
      <c r="AB295" s="306">
        <f t="shared" si="85"/>
        <v>0</v>
      </c>
      <c r="AC295" s="305">
        <f>+IF(X295=0,0,HLOOKUP(YEAR(X295)+(MONTH(X295)/100),TC!$5:$37,DAY(X295)+2,FALSE))</f>
        <v>0</v>
      </c>
      <c r="AD295" s="307">
        <f t="shared" si="86"/>
        <v>0</v>
      </c>
      <c r="AE295" s="314">
        <f t="shared" si="75"/>
        <v>0</v>
      </c>
      <c r="AF295" s="315">
        <f t="shared" si="76"/>
        <v>0</v>
      </c>
      <c r="AG295" s="316">
        <f t="shared" si="77"/>
        <v>0</v>
      </c>
      <c r="AH295" s="314">
        <v>1</v>
      </c>
      <c r="AI295" s="314">
        <f t="shared" si="78"/>
        <v>0</v>
      </c>
      <c r="AJ295" s="314">
        <f t="shared" si="87"/>
        <v>0</v>
      </c>
      <c r="AK295" s="317"/>
      <c r="AL295" s="315">
        <f t="shared" si="79"/>
        <v>0</v>
      </c>
      <c r="AN295" s="546">
        <f t="shared" si="80"/>
        <v>0</v>
      </c>
      <c r="AO295" s="314"/>
      <c r="AP295" s="318"/>
    </row>
    <row r="296" spans="2:42">
      <c r="B296" s="296"/>
      <c r="C296" s="299"/>
      <c r="D296" s="298"/>
      <c r="E296" s="299"/>
      <c r="F296" s="299"/>
      <c r="G296" s="300"/>
      <c r="H296" s="303"/>
      <c r="I296" s="301">
        <f t="shared" si="71"/>
        <v>0</v>
      </c>
      <c r="J296" s="302">
        <f t="shared" si="81"/>
        <v>0</v>
      </c>
      <c r="K296" s="304">
        <f t="shared" si="72"/>
        <v>0</v>
      </c>
      <c r="L296" s="305">
        <f>IF(H296=0,0,IF(OR(E296=$AT$5,E296=$AT$6),AA296,IF(F296="MXN",1/HLOOKUP(YEAR(G296)+(MONTH(G296)/100),TC!$5:$37,DAY(G296)+2,FALSE),VLOOKUP(F296,Equivalencia!$5:$23,((MAX(Equivalencia!$3:$3)-YEAR(G296))*14)+MONTH(G296)+2,FALSE))))</f>
        <v>0</v>
      </c>
      <c r="M296" s="306">
        <f t="shared" si="73"/>
        <v>0</v>
      </c>
      <c r="N296" s="305">
        <f>IF(G296=0,0,(IF(OR(E296=$AT$5,E296=$AT$6),AC296,HLOOKUP(YEAR(G296)+(MONTH(G296)/100),TC!$5:$37,DAY(G296)+2,FALSE))))</f>
        <v>0</v>
      </c>
      <c r="O296" s="307">
        <f t="shared" si="82"/>
        <v>0</v>
      </c>
      <c r="P296" s="552">
        <f>IF(G296=0,0,VLOOKUP(YEAR(G296),INPC!$B$4:$P$30,MONTH(G296)+2))</f>
        <v>0</v>
      </c>
      <c r="Q296" s="552">
        <f>IF(X296=0,0,IF(OR(E296=$AT$10,E296=$AT$9),VLOOKUP(YEAR(X296),INPC!$B$4:$P$30,MONTH(X296)+1),VLOOKUP(YEAR(X296),INPC!$B$4:$P$30,MONTH(X296)+2,0)))</f>
        <v>0</v>
      </c>
      <c r="R296" s="309">
        <f t="shared" si="74"/>
        <v>0</v>
      </c>
      <c r="S296" s="310">
        <f t="shared" si="83"/>
        <v>0</v>
      </c>
      <c r="T296" s="547">
        <f t="shared" si="84"/>
        <v>0</v>
      </c>
      <c r="U296" s="311"/>
      <c r="V296" s="312"/>
      <c r="W296" s="299"/>
      <c r="X296" s="300"/>
      <c r="Y296" s="299"/>
      <c r="Z296" s="303"/>
      <c r="AA296" s="305">
        <f>IF(Z296=0,0,IF(Y296="MXN",1/HLOOKUP(YEAR(X296)+(MONTH(X296)/100),TC!$5:$37,DAY(X296)+2,FALSE),VLOOKUP(Y296,Equivalencia!$1:$23,((MAX(Equivalencia!$3:$3)-YEAR(X296))*14)+MONTH(X296)+2,FALSE)))</f>
        <v>0</v>
      </c>
      <c r="AB296" s="306">
        <f t="shared" si="85"/>
        <v>0</v>
      </c>
      <c r="AC296" s="305">
        <f>+IF(X296=0,0,HLOOKUP(YEAR(X296)+(MONTH(X296)/100),TC!$5:$37,DAY(X296)+2,FALSE))</f>
        <v>0</v>
      </c>
      <c r="AD296" s="307">
        <f t="shared" si="86"/>
        <v>0</v>
      </c>
      <c r="AE296" s="314">
        <f t="shared" si="75"/>
        <v>0</v>
      </c>
      <c r="AF296" s="315">
        <f t="shared" si="76"/>
        <v>0</v>
      </c>
      <c r="AG296" s="316">
        <f t="shared" si="77"/>
        <v>0</v>
      </c>
      <c r="AH296" s="314">
        <v>1</v>
      </c>
      <c r="AI296" s="314">
        <f t="shared" si="78"/>
        <v>0</v>
      </c>
      <c r="AJ296" s="314">
        <f t="shared" si="87"/>
        <v>0</v>
      </c>
      <c r="AK296" s="317"/>
      <c r="AL296" s="315">
        <f t="shared" si="79"/>
        <v>0</v>
      </c>
      <c r="AN296" s="546">
        <f t="shared" si="80"/>
        <v>0</v>
      </c>
      <c r="AO296" s="314"/>
      <c r="AP296" s="318"/>
    </row>
    <row r="297" spans="2:42">
      <c r="B297" s="296"/>
      <c r="C297" s="299"/>
      <c r="D297" s="298"/>
      <c r="E297" s="299"/>
      <c r="F297" s="299"/>
      <c r="G297" s="300"/>
      <c r="H297" s="303"/>
      <c r="I297" s="301">
        <f t="shared" si="71"/>
        <v>0</v>
      </c>
      <c r="J297" s="302">
        <f t="shared" si="81"/>
        <v>0</v>
      </c>
      <c r="K297" s="304">
        <f t="shared" si="72"/>
        <v>0</v>
      </c>
      <c r="L297" s="305">
        <f>IF(H297=0,0,IF(OR(E297=$AT$5,E297=$AT$6),AA297,IF(F297="MXN",1/HLOOKUP(YEAR(G297)+(MONTH(G297)/100),TC!$5:$37,DAY(G297)+2,FALSE),VLOOKUP(F297,Equivalencia!$5:$23,((MAX(Equivalencia!$3:$3)-YEAR(G297))*14)+MONTH(G297)+2,FALSE))))</f>
        <v>0</v>
      </c>
      <c r="M297" s="306">
        <f t="shared" si="73"/>
        <v>0</v>
      </c>
      <c r="N297" s="305">
        <f>IF(G297=0,0,(IF(OR(E297=$AT$5,E297=$AT$6),AC297,HLOOKUP(YEAR(G297)+(MONTH(G297)/100),TC!$5:$37,DAY(G297)+2,FALSE))))</f>
        <v>0</v>
      </c>
      <c r="O297" s="307">
        <f t="shared" si="82"/>
        <v>0</v>
      </c>
      <c r="P297" s="552">
        <f>IF(G297=0,0,VLOOKUP(YEAR(G297),INPC!$B$4:$P$30,MONTH(G297)+2))</f>
        <v>0</v>
      </c>
      <c r="Q297" s="552">
        <f>IF(X297=0,0,IF(OR(E297=$AT$10,E297=$AT$9),VLOOKUP(YEAR(X297),INPC!$B$4:$P$30,MONTH(X297)+1),VLOOKUP(YEAR(X297),INPC!$B$4:$P$30,MONTH(X297)+2,0)))</f>
        <v>0</v>
      </c>
      <c r="R297" s="309">
        <f t="shared" si="74"/>
        <v>0</v>
      </c>
      <c r="S297" s="310">
        <f t="shared" si="83"/>
        <v>0</v>
      </c>
      <c r="T297" s="547">
        <f t="shared" si="84"/>
        <v>0</v>
      </c>
      <c r="U297" s="311"/>
      <c r="V297" s="312"/>
      <c r="W297" s="299"/>
      <c r="X297" s="300"/>
      <c r="Y297" s="299"/>
      <c r="Z297" s="303"/>
      <c r="AA297" s="305">
        <f>IF(Z297=0,0,IF(Y297="MXN",1/HLOOKUP(YEAR(X297)+(MONTH(X297)/100),TC!$5:$37,DAY(X297)+2,FALSE),VLOOKUP(Y297,Equivalencia!$1:$23,((MAX(Equivalencia!$3:$3)-YEAR(X297))*14)+MONTH(X297)+2,FALSE)))</f>
        <v>0</v>
      </c>
      <c r="AB297" s="306">
        <f t="shared" si="85"/>
        <v>0</v>
      </c>
      <c r="AC297" s="305">
        <f>+IF(X297=0,0,HLOOKUP(YEAR(X297)+(MONTH(X297)/100),TC!$5:$37,DAY(X297)+2,FALSE))</f>
        <v>0</v>
      </c>
      <c r="AD297" s="307">
        <f t="shared" si="86"/>
        <v>0</v>
      </c>
      <c r="AE297" s="314">
        <f t="shared" si="75"/>
        <v>0</v>
      </c>
      <c r="AF297" s="315">
        <f t="shared" si="76"/>
        <v>0</v>
      </c>
      <c r="AG297" s="316">
        <f t="shared" si="77"/>
        <v>0</v>
      </c>
      <c r="AH297" s="314">
        <v>1</v>
      </c>
      <c r="AI297" s="314">
        <f t="shared" si="78"/>
        <v>0</v>
      </c>
      <c r="AJ297" s="314">
        <f t="shared" si="87"/>
        <v>0</v>
      </c>
      <c r="AK297" s="317"/>
      <c r="AL297" s="315">
        <f t="shared" si="79"/>
        <v>0</v>
      </c>
      <c r="AN297" s="546">
        <f t="shared" si="80"/>
        <v>0</v>
      </c>
      <c r="AO297" s="314"/>
      <c r="AP297" s="318"/>
    </row>
    <row r="298" spans="2:42">
      <c r="B298" s="296"/>
      <c r="C298" s="299"/>
      <c r="D298" s="298"/>
      <c r="E298" s="299"/>
      <c r="F298" s="299"/>
      <c r="G298" s="300"/>
      <c r="H298" s="303"/>
      <c r="I298" s="301">
        <f t="shared" si="71"/>
        <v>0</v>
      </c>
      <c r="J298" s="302">
        <f t="shared" si="81"/>
        <v>0</v>
      </c>
      <c r="K298" s="304">
        <f t="shared" si="72"/>
        <v>0</v>
      </c>
      <c r="L298" s="305">
        <f>IF(H298=0,0,IF(OR(E298=$AT$5,E298=$AT$6),AA298,IF(F298="MXN",1/HLOOKUP(YEAR(G298)+(MONTH(G298)/100),TC!$5:$37,DAY(G298)+2,FALSE),VLOOKUP(F298,Equivalencia!$5:$23,((MAX(Equivalencia!$3:$3)-YEAR(G298))*14)+MONTH(G298)+2,FALSE))))</f>
        <v>0</v>
      </c>
      <c r="M298" s="306">
        <f t="shared" si="73"/>
        <v>0</v>
      </c>
      <c r="N298" s="305">
        <f>IF(G298=0,0,(IF(OR(E298=$AT$5,E298=$AT$6),AC298,HLOOKUP(YEAR(G298)+(MONTH(G298)/100),TC!$5:$37,DAY(G298)+2,FALSE))))</f>
        <v>0</v>
      </c>
      <c r="O298" s="307">
        <f t="shared" si="82"/>
        <v>0</v>
      </c>
      <c r="P298" s="552">
        <f>IF(G298=0,0,VLOOKUP(YEAR(G298),INPC!$B$4:$P$30,MONTH(G298)+2))</f>
        <v>0</v>
      </c>
      <c r="Q298" s="552">
        <f>IF(X298=0,0,IF(OR(E298=$AT$10,E298=$AT$9),VLOOKUP(YEAR(X298),INPC!$B$4:$P$30,MONTH(X298)+1),VLOOKUP(YEAR(X298),INPC!$B$4:$P$30,MONTH(X298)+2,0)))</f>
        <v>0</v>
      </c>
      <c r="R298" s="309">
        <f t="shared" si="74"/>
        <v>0</v>
      </c>
      <c r="S298" s="310">
        <f t="shared" si="83"/>
        <v>0</v>
      </c>
      <c r="T298" s="547">
        <f t="shared" si="84"/>
        <v>0</v>
      </c>
      <c r="U298" s="311"/>
      <c r="V298" s="312"/>
      <c r="W298" s="299"/>
      <c r="X298" s="300"/>
      <c r="Y298" s="299"/>
      <c r="Z298" s="303"/>
      <c r="AA298" s="305">
        <f>IF(Z298=0,0,IF(Y298="MXN",1/HLOOKUP(YEAR(X298)+(MONTH(X298)/100),TC!$5:$37,DAY(X298)+2,FALSE),VLOOKUP(Y298,Equivalencia!$1:$23,((MAX(Equivalencia!$3:$3)-YEAR(X298))*14)+MONTH(X298)+2,FALSE)))</f>
        <v>0</v>
      </c>
      <c r="AB298" s="306">
        <f t="shared" si="85"/>
        <v>0</v>
      </c>
      <c r="AC298" s="305">
        <f>+IF(X298=0,0,HLOOKUP(YEAR(X298)+(MONTH(X298)/100),TC!$5:$37,DAY(X298)+2,FALSE))</f>
        <v>0</v>
      </c>
      <c r="AD298" s="307">
        <f t="shared" si="86"/>
        <v>0</v>
      </c>
      <c r="AE298" s="314">
        <f t="shared" si="75"/>
        <v>0</v>
      </c>
      <c r="AF298" s="315">
        <f t="shared" si="76"/>
        <v>0</v>
      </c>
      <c r="AG298" s="316">
        <f t="shared" si="77"/>
        <v>0</v>
      </c>
      <c r="AH298" s="314">
        <v>1</v>
      </c>
      <c r="AI298" s="314">
        <f t="shared" si="78"/>
        <v>0</v>
      </c>
      <c r="AJ298" s="314">
        <f t="shared" si="87"/>
        <v>0</v>
      </c>
      <c r="AK298" s="317"/>
      <c r="AL298" s="315">
        <f t="shared" si="79"/>
        <v>0</v>
      </c>
      <c r="AN298" s="546">
        <f t="shared" si="80"/>
        <v>0</v>
      </c>
      <c r="AO298" s="314"/>
      <c r="AP298" s="318"/>
    </row>
    <row r="299" spans="2:42">
      <c r="B299" s="296"/>
      <c r="C299" s="299"/>
      <c r="D299" s="298"/>
      <c r="E299" s="299"/>
      <c r="F299" s="299"/>
      <c r="G299" s="300"/>
      <c r="H299" s="303"/>
      <c r="I299" s="301">
        <f t="shared" si="71"/>
        <v>0</v>
      </c>
      <c r="J299" s="302">
        <f t="shared" si="81"/>
        <v>0</v>
      </c>
      <c r="K299" s="304">
        <f t="shared" si="72"/>
        <v>0</v>
      </c>
      <c r="L299" s="305">
        <f>IF(H299=0,0,IF(OR(E299=$AT$5,E299=$AT$6),AA299,IF(F299="MXN",1/HLOOKUP(YEAR(G299)+(MONTH(G299)/100),TC!$5:$37,DAY(G299)+2,FALSE),VLOOKUP(F299,Equivalencia!$5:$23,((MAX(Equivalencia!$3:$3)-YEAR(G299))*14)+MONTH(G299)+2,FALSE))))</f>
        <v>0</v>
      </c>
      <c r="M299" s="306">
        <f t="shared" si="73"/>
        <v>0</v>
      </c>
      <c r="N299" s="305">
        <f>IF(G299=0,0,(IF(OR(E299=$AT$5,E299=$AT$6),AC299,HLOOKUP(YEAR(G299)+(MONTH(G299)/100),TC!$5:$37,DAY(G299)+2,FALSE))))</f>
        <v>0</v>
      </c>
      <c r="O299" s="307">
        <f t="shared" si="82"/>
        <v>0</v>
      </c>
      <c r="P299" s="552">
        <f>IF(G299=0,0,VLOOKUP(YEAR(G299),INPC!$B$4:$P$30,MONTH(G299)+2))</f>
        <v>0</v>
      </c>
      <c r="Q299" s="552">
        <f>IF(X299=0,0,IF(OR(E299=$AT$10,E299=$AT$9),VLOOKUP(YEAR(X299),INPC!$B$4:$P$30,MONTH(X299)+1),VLOOKUP(YEAR(X299),INPC!$B$4:$P$30,MONTH(X299)+2,0)))</f>
        <v>0</v>
      </c>
      <c r="R299" s="309">
        <f t="shared" si="74"/>
        <v>0</v>
      </c>
      <c r="S299" s="310">
        <f t="shared" si="83"/>
        <v>0</v>
      </c>
      <c r="T299" s="547">
        <f t="shared" si="84"/>
        <v>0</v>
      </c>
      <c r="U299" s="311"/>
      <c r="V299" s="312"/>
      <c r="W299" s="299"/>
      <c r="X299" s="300"/>
      <c r="Y299" s="299"/>
      <c r="Z299" s="303"/>
      <c r="AA299" s="305">
        <f>IF(Z299=0,0,IF(Y299="MXN",1/HLOOKUP(YEAR(X299)+(MONTH(X299)/100),TC!$5:$37,DAY(X299)+2,FALSE),VLOOKUP(Y299,Equivalencia!$1:$23,((MAX(Equivalencia!$3:$3)-YEAR(X299))*14)+MONTH(X299)+2,FALSE)))</f>
        <v>0</v>
      </c>
      <c r="AB299" s="306">
        <f t="shared" si="85"/>
        <v>0</v>
      </c>
      <c r="AC299" s="305">
        <f>+IF(X299=0,0,HLOOKUP(YEAR(X299)+(MONTH(X299)/100),TC!$5:$37,DAY(X299)+2,FALSE))</f>
        <v>0</v>
      </c>
      <c r="AD299" s="307">
        <f t="shared" si="86"/>
        <v>0</v>
      </c>
      <c r="AE299" s="314">
        <f t="shared" si="75"/>
        <v>0</v>
      </c>
      <c r="AF299" s="315">
        <f t="shared" si="76"/>
        <v>0</v>
      </c>
      <c r="AG299" s="316">
        <f t="shared" si="77"/>
        <v>0</v>
      </c>
      <c r="AH299" s="314">
        <v>1</v>
      </c>
      <c r="AI299" s="314">
        <f t="shared" si="78"/>
        <v>0</v>
      </c>
      <c r="AJ299" s="314">
        <f t="shared" si="87"/>
        <v>0</v>
      </c>
      <c r="AK299" s="317"/>
      <c r="AL299" s="315">
        <f t="shared" si="79"/>
        <v>0</v>
      </c>
      <c r="AN299" s="546">
        <f t="shared" si="80"/>
        <v>0</v>
      </c>
      <c r="AO299" s="314"/>
      <c r="AP299" s="318"/>
    </row>
    <row r="300" spans="2:42">
      <c r="B300" s="296"/>
      <c r="C300" s="299"/>
      <c r="D300" s="298"/>
      <c r="E300" s="299"/>
      <c r="F300" s="299"/>
      <c r="G300" s="300"/>
      <c r="H300" s="303"/>
      <c r="I300" s="301">
        <f t="shared" si="71"/>
        <v>0</v>
      </c>
      <c r="J300" s="302">
        <f t="shared" si="81"/>
        <v>0</v>
      </c>
      <c r="K300" s="304">
        <f t="shared" si="72"/>
        <v>0</v>
      </c>
      <c r="L300" s="305">
        <f>IF(H300=0,0,IF(OR(E300=$AT$5,E300=$AT$6),AA300,IF(F300="MXN",1/HLOOKUP(YEAR(G300)+(MONTH(G300)/100),TC!$5:$37,DAY(G300)+2,FALSE),VLOOKUP(F300,Equivalencia!$5:$23,((MAX(Equivalencia!$3:$3)-YEAR(G300))*14)+MONTH(G300)+2,FALSE))))</f>
        <v>0</v>
      </c>
      <c r="M300" s="306">
        <f t="shared" si="73"/>
        <v>0</v>
      </c>
      <c r="N300" s="305">
        <f>IF(G300=0,0,(IF(OR(E300=$AT$5,E300=$AT$6),AC300,HLOOKUP(YEAR(G300)+(MONTH(G300)/100),TC!$5:$37,DAY(G300)+2,FALSE))))</f>
        <v>0</v>
      </c>
      <c r="O300" s="307">
        <f t="shared" si="82"/>
        <v>0</v>
      </c>
      <c r="P300" s="552">
        <f>IF(G300=0,0,VLOOKUP(YEAR(G300),INPC!$B$4:$P$30,MONTH(G300)+2))</f>
        <v>0</v>
      </c>
      <c r="Q300" s="552">
        <f>IF(X300=0,0,IF(OR(E300=$AT$10,E300=$AT$9),VLOOKUP(YEAR(X300),INPC!$B$4:$P$30,MONTH(X300)+1),VLOOKUP(YEAR(X300),INPC!$B$4:$P$30,MONTH(X300)+2,0)))</f>
        <v>0</v>
      </c>
      <c r="R300" s="309">
        <f t="shared" si="74"/>
        <v>0</v>
      </c>
      <c r="S300" s="310">
        <f t="shared" si="83"/>
        <v>0</v>
      </c>
      <c r="T300" s="547">
        <f t="shared" si="84"/>
        <v>0</v>
      </c>
      <c r="U300" s="311"/>
      <c r="V300" s="312"/>
      <c r="W300" s="299"/>
      <c r="X300" s="300"/>
      <c r="Y300" s="299"/>
      <c r="Z300" s="303"/>
      <c r="AA300" s="305">
        <f>IF(Z300=0,0,IF(Y300="MXN",1/HLOOKUP(YEAR(X300)+(MONTH(X300)/100),TC!$5:$37,DAY(X300)+2,FALSE),VLOOKUP(Y300,Equivalencia!$1:$23,((MAX(Equivalencia!$3:$3)-YEAR(X300))*14)+MONTH(X300)+2,FALSE)))</f>
        <v>0</v>
      </c>
      <c r="AB300" s="306">
        <f t="shared" si="85"/>
        <v>0</v>
      </c>
      <c r="AC300" s="305">
        <f>+IF(X300=0,0,HLOOKUP(YEAR(X300)+(MONTH(X300)/100),TC!$5:$37,DAY(X300)+2,FALSE))</f>
        <v>0</v>
      </c>
      <c r="AD300" s="307">
        <f t="shared" si="86"/>
        <v>0</v>
      </c>
      <c r="AE300" s="314">
        <f t="shared" si="75"/>
        <v>0</v>
      </c>
      <c r="AF300" s="315">
        <f t="shared" si="76"/>
        <v>0</v>
      </c>
      <c r="AG300" s="316">
        <f t="shared" si="77"/>
        <v>0</v>
      </c>
      <c r="AH300" s="314">
        <v>1</v>
      </c>
      <c r="AI300" s="314">
        <f t="shared" si="78"/>
        <v>0</v>
      </c>
      <c r="AJ300" s="314">
        <f t="shared" si="87"/>
        <v>0</v>
      </c>
      <c r="AK300" s="317"/>
      <c r="AL300" s="315">
        <f t="shared" si="79"/>
        <v>0</v>
      </c>
      <c r="AN300" s="546">
        <f t="shared" si="80"/>
        <v>0</v>
      </c>
      <c r="AO300" s="314"/>
      <c r="AP300" s="318"/>
    </row>
    <row r="301" spans="2:42">
      <c r="B301" s="296"/>
      <c r="C301" s="299"/>
      <c r="D301" s="298"/>
      <c r="E301" s="299"/>
      <c r="F301" s="299"/>
      <c r="G301" s="300"/>
      <c r="H301" s="303"/>
      <c r="I301" s="301">
        <f t="shared" si="71"/>
        <v>0</v>
      </c>
      <c r="J301" s="302">
        <f t="shared" si="81"/>
        <v>0</v>
      </c>
      <c r="K301" s="304">
        <f t="shared" si="72"/>
        <v>0</v>
      </c>
      <c r="L301" s="305">
        <f>IF(H301=0,0,IF(OR(E301=$AT$5,E301=$AT$6),AA301,IF(F301="MXN",1/HLOOKUP(YEAR(G301)+(MONTH(G301)/100),TC!$5:$37,DAY(G301)+2,FALSE),VLOOKUP(F301,Equivalencia!$5:$23,((MAX(Equivalencia!$3:$3)-YEAR(G301))*14)+MONTH(G301)+2,FALSE))))</f>
        <v>0</v>
      </c>
      <c r="M301" s="306">
        <f t="shared" si="73"/>
        <v>0</v>
      </c>
      <c r="N301" s="305">
        <f>IF(G301=0,0,(IF(OR(E301=$AT$5,E301=$AT$6),AC301,HLOOKUP(YEAR(G301)+(MONTH(G301)/100),TC!$5:$37,DAY(G301)+2,FALSE))))</f>
        <v>0</v>
      </c>
      <c r="O301" s="307">
        <f t="shared" si="82"/>
        <v>0</v>
      </c>
      <c r="P301" s="552">
        <f>IF(G301=0,0,VLOOKUP(YEAR(G301),INPC!$B$4:$P$30,MONTH(G301)+2))</f>
        <v>0</v>
      </c>
      <c r="Q301" s="552">
        <f>IF(X301=0,0,IF(OR(E301=$AT$10,E301=$AT$9),VLOOKUP(YEAR(X301),INPC!$B$4:$P$30,MONTH(X301)+1),VLOOKUP(YEAR(X301),INPC!$B$4:$P$30,MONTH(X301)+2,0)))</f>
        <v>0</v>
      </c>
      <c r="R301" s="309">
        <f t="shared" si="74"/>
        <v>0</v>
      </c>
      <c r="S301" s="310">
        <f t="shared" si="83"/>
        <v>0</v>
      </c>
      <c r="T301" s="547">
        <f t="shared" si="84"/>
        <v>0</v>
      </c>
      <c r="U301" s="311"/>
      <c r="V301" s="312"/>
      <c r="W301" s="299"/>
      <c r="X301" s="300"/>
      <c r="Y301" s="299"/>
      <c r="Z301" s="303"/>
      <c r="AA301" s="305">
        <f>IF(Z301=0,0,IF(Y301="MXN",1/HLOOKUP(YEAR(X301)+(MONTH(X301)/100),TC!$5:$37,DAY(X301)+2,FALSE),VLOOKUP(Y301,Equivalencia!$1:$23,((MAX(Equivalencia!$3:$3)-YEAR(X301))*14)+MONTH(X301)+2,FALSE)))</f>
        <v>0</v>
      </c>
      <c r="AB301" s="306">
        <f t="shared" si="85"/>
        <v>0</v>
      </c>
      <c r="AC301" s="305">
        <f>+IF(X301=0,0,HLOOKUP(YEAR(X301)+(MONTH(X301)/100),TC!$5:$37,DAY(X301)+2,FALSE))</f>
        <v>0</v>
      </c>
      <c r="AD301" s="307">
        <f t="shared" si="86"/>
        <v>0</v>
      </c>
      <c r="AE301" s="314">
        <f t="shared" si="75"/>
        <v>0</v>
      </c>
      <c r="AF301" s="315">
        <f t="shared" si="76"/>
        <v>0</v>
      </c>
      <c r="AG301" s="316">
        <f t="shared" si="77"/>
        <v>0</v>
      </c>
      <c r="AH301" s="314">
        <v>1</v>
      </c>
      <c r="AI301" s="314">
        <f t="shared" si="78"/>
        <v>0</v>
      </c>
      <c r="AJ301" s="314">
        <f t="shared" si="87"/>
        <v>0</v>
      </c>
      <c r="AK301" s="317"/>
      <c r="AL301" s="315">
        <f t="shared" si="79"/>
        <v>0</v>
      </c>
      <c r="AN301" s="546">
        <f t="shared" si="80"/>
        <v>0</v>
      </c>
      <c r="AO301" s="314"/>
      <c r="AP301" s="318"/>
    </row>
    <row r="302" spans="2:42">
      <c r="B302" s="296"/>
      <c r="C302" s="299"/>
      <c r="D302" s="298"/>
      <c r="E302" s="299"/>
      <c r="F302" s="299"/>
      <c r="G302" s="300"/>
      <c r="H302" s="303"/>
      <c r="I302" s="301">
        <f t="shared" si="71"/>
        <v>0</v>
      </c>
      <c r="J302" s="302">
        <f t="shared" si="81"/>
        <v>0</v>
      </c>
      <c r="K302" s="304">
        <f t="shared" si="72"/>
        <v>0</v>
      </c>
      <c r="L302" s="305">
        <f>IF(H302=0,0,IF(OR(E302=$AT$5,E302=$AT$6),AA302,IF(F302="MXN",1/HLOOKUP(YEAR(G302)+(MONTH(G302)/100),TC!$5:$37,DAY(G302)+2,FALSE),VLOOKUP(F302,Equivalencia!$5:$23,((MAX(Equivalencia!$3:$3)-YEAR(G302))*14)+MONTH(G302)+2,FALSE))))</f>
        <v>0</v>
      </c>
      <c r="M302" s="306">
        <f t="shared" si="73"/>
        <v>0</v>
      </c>
      <c r="N302" s="305">
        <f>IF(G302=0,0,(IF(OR(E302=$AT$5,E302=$AT$6),AC302,HLOOKUP(YEAR(G302)+(MONTH(G302)/100),TC!$5:$37,DAY(G302)+2,FALSE))))</f>
        <v>0</v>
      </c>
      <c r="O302" s="307">
        <f t="shared" si="82"/>
        <v>0</v>
      </c>
      <c r="P302" s="552">
        <f>IF(G302=0,0,VLOOKUP(YEAR(G302),INPC!$B$4:$P$30,MONTH(G302)+2))</f>
        <v>0</v>
      </c>
      <c r="Q302" s="552">
        <f>IF(X302=0,0,IF(OR(E302=$AT$10,E302=$AT$9),VLOOKUP(YEAR(X302),INPC!$B$4:$P$30,MONTH(X302)+1),VLOOKUP(YEAR(X302),INPC!$B$4:$P$30,MONTH(X302)+2,0)))</f>
        <v>0</v>
      </c>
      <c r="R302" s="309">
        <f t="shared" si="74"/>
        <v>0</v>
      </c>
      <c r="S302" s="310">
        <f t="shared" si="83"/>
        <v>0</v>
      </c>
      <c r="T302" s="547">
        <f t="shared" si="84"/>
        <v>0</v>
      </c>
      <c r="U302" s="311"/>
      <c r="V302" s="312"/>
      <c r="W302" s="299"/>
      <c r="X302" s="300"/>
      <c r="Y302" s="299"/>
      <c r="Z302" s="303"/>
      <c r="AA302" s="305">
        <f>IF(Z302=0,0,IF(Y302="MXN",1/HLOOKUP(YEAR(X302)+(MONTH(X302)/100),TC!$5:$37,DAY(X302)+2,FALSE),VLOOKUP(Y302,Equivalencia!$1:$23,((MAX(Equivalencia!$3:$3)-YEAR(X302))*14)+MONTH(X302)+2,FALSE)))</f>
        <v>0</v>
      </c>
      <c r="AB302" s="306">
        <f t="shared" si="85"/>
        <v>0</v>
      </c>
      <c r="AC302" s="305">
        <f>+IF(X302=0,0,HLOOKUP(YEAR(X302)+(MONTH(X302)/100),TC!$5:$37,DAY(X302)+2,FALSE))</f>
        <v>0</v>
      </c>
      <c r="AD302" s="307">
        <f t="shared" si="86"/>
        <v>0</v>
      </c>
      <c r="AE302" s="314">
        <f t="shared" si="75"/>
        <v>0</v>
      </c>
      <c r="AF302" s="315">
        <f t="shared" si="76"/>
        <v>0</v>
      </c>
      <c r="AG302" s="316">
        <f t="shared" si="77"/>
        <v>0</v>
      </c>
      <c r="AH302" s="314">
        <v>1</v>
      </c>
      <c r="AI302" s="314">
        <f t="shared" si="78"/>
        <v>0</v>
      </c>
      <c r="AJ302" s="314">
        <f t="shared" si="87"/>
        <v>0</v>
      </c>
      <c r="AK302" s="317"/>
      <c r="AL302" s="315">
        <f t="shared" si="79"/>
        <v>0</v>
      </c>
      <c r="AN302" s="546">
        <f t="shared" si="80"/>
        <v>0</v>
      </c>
      <c r="AO302" s="314"/>
      <c r="AP302" s="318"/>
    </row>
    <row r="303" spans="2:42">
      <c r="B303" s="296"/>
      <c r="C303" s="299"/>
      <c r="D303" s="298"/>
      <c r="E303" s="299"/>
      <c r="F303" s="299"/>
      <c r="G303" s="300"/>
      <c r="H303" s="303"/>
      <c r="I303" s="301">
        <f t="shared" si="71"/>
        <v>0</v>
      </c>
      <c r="J303" s="302">
        <f t="shared" si="81"/>
        <v>0</v>
      </c>
      <c r="K303" s="304">
        <f t="shared" si="72"/>
        <v>0</v>
      </c>
      <c r="L303" s="305">
        <f>IF(H303=0,0,IF(OR(E303=$AT$5,E303=$AT$6),AA303,IF(F303="MXN",1/HLOOKUP(YEAR(G303)+(MONTH(G303)/100),TC!$5:$37,DAY(G303)+2,FALSE),VLOOKUP(F303,Equivalencia!$5:$23,((MAX(Equivalencia!$3:$3)-YEAR(G303))*14)+MONTH(G303)+2,FALSE))))</f>
        <v>0</v>
      </c>
      <c r="M303" s="306">
        <f t="shared" si="73"/>
        <v>0</v>
      </c>
      <c r="N303" s="305">
        <f>IF(G303=0,0,(IF(OR(E303=$AT$5,E303=$AT$6),AC303,HLOOKUP(YEAR(G303)+(MONTH(G303)/100),TC!$5:$37,DAY(G303)+2,FALSE))))</f>
        <v>0</v>
      </c>
      <c r="O303" s="307">
        <f t="shared" si="82"/>
        <v>0</v>
      </c>
      <c r="P303" s="552">
        <f>IF(G303=0,0,VLOOKUP(YEAR(G303),INPC!$B$4:$P$30,MONTH(G303)+2))</f>
        <v>0</v>
      </c>
      <c r="Q303" s="552">
        <f>IF(X303=0,0,IF(OR(E303=$AT$10,E303=$AT$9),VLOOKUP(YEAR(X303),INPC!$B$4:$P$30,MONTH(X303)+1),VLOOKUP(YEAR(X303),INPC!$B$4:$P$30,MONTH(X303)+2,0)))</f>
        <v>0</v>
      </c>
      <c r="R303" s="309">
        <f t="shared" si="74"/>
        <v>0</v>
      </c>
      <c r="S303" s="310">
        <f t="shared" si="83"/>
        <v>0</v>
      </c>
      <c r="T303" s="547">
        <f t="shared" si="84"/>
        <v>0</v>
      </c>
      <c r="U303" s="311"/>
      <c r="V303" s="312"/>
      <c r="W303" s="299"/>
      <c r="X303" s="300"/>
      <c r="Y303" s="299"/>
      <c r="Z303" s="303"/>
      <c r="AA303" s="305">
        <f>IF(Z303=0,0,IF(Y303="MXN",1/HLOOKUP(YEAR(X303)+(MONTH(X303)/100),TC!$5:$37,DAY(X303)+2,FALSE),VLOOKUP(Y303,Equivalencia!$1:$23,((MAX(Equivalencia!$3:$3)-YEAR(X303))*14)+MONTH(X303)+2,FALSE)))</f>
        <v>0</v>
      </c>
      <c r="AB303" s="306">
        <f t="shared" si="85"/>
        <v>0</v>
      </c>
      <c r="AC303" s="305">
        <f>+IF(X303=0,0,HLOOKUP(YEAR(X303)+(MONTH(X303)/100),TC!$5:$37,DAY(X303)+2,FALSE))</f>
        <v>0</v>
      </c>
      <c r="AD303" s="307">
        <f t="shared" si="86"/>
        <v>0</v>
      </c>
      <c r="AE303" s="314">
        <f t="shared" si="75"/>
        <v>0</v>
      </c>
      <c r="AF303" s="315">
        <f t="shared" si="76"/>
        <v>0</v>
      </c>
      <c r="AG303" s="316">
        <f t="shared" si="77"/>
        <v>0</v>
      </c>
      <c r="AH303" s="314">
        <v>1</v>
      </c>
      <c r="AI303" s="314">
        <f t="shared" si="78"/>
        <v>0</v>
      </c>
      <c r="AJ303" s="314">
        <f t="shared" si="87"/>
        <v>0</v>
      </c>
      <c r="AK303" s="317"/>
      <c r="AL303" s="315">
        <f t="shared" si="79"/>
        <v>0</v>
      </c>
      <c r="AN303" s="546">
        <f t="shared" si="80"/>
        <v>0</v>
      </c>
      <c r="AO303" s="314"/>
      <c r="AP303" s="318"/>
    </row>
    <row r="304" spans="2:42">
      <c r="B304" s="296"/>
      <c r="C304" s="299"/>
      <c r="D304" s="298"/>
      <c r="E304" s="299"/>
      <c r="F304" s="299"/>
      <c r="G304" s="300"/>
      <c r="H304" s="303"/>
      <c r="I304" s="301">
        <f t="shared" si="71"/>
        <v>0</v>
      </c>
      <c r="J304" s="302">
        <f t="shared" si="81"/>
        <v>0</v>
      </c>
      <c r="K304" s="304">
        <f t="shared" si="72"/>
        <v>0</v>
      </c>
      <c r="L304" s="305">
        <f>IF(H304=0,0,IF(OR(E304=$AT$5,E304=$AT$6),AA304,IF(F304="MXN",1/HLOOKUP(YEAR(G304)+(MONTH(G304)/100),TC!$5:$37,DAY(G304)+2,FALSE),VLOOKUP(F304,Equivalencia!$5:$23,((MAX(Equivalencia!$3:$3)-YEAR(G304))*14)+MONTH(G304)+2,FALSE))))</f>
        <v>0</v>
      </c>
      <c r="M304" s="306">
        <f t="shared" si="73"/>
        <v>0</v>
      </c>
      <c r="N304" s="305">
        <f>IF(G304=0,0,(IF(OR(E304=$AT$5,E304=$AT$6),AC304,HLOOKUP(YEAR(G304)+(MONTH(G304)/100),TC!$5:$37,DAY(G304)+2,FALSE))))</f>
        <v>0</v>
      </c>
      <c r="O304" s="307">
        <f t="shared" si="82"/>
        <v>0</v>
      </c>
      <c r="P304" s="552">
        <f>IF(G304=0,0,VLOOKUP(YEAR(G304),INPC!$B$4:$P$30,MONTH(G304)+2))</f>
        <v>0</v>
      </c>
      <c r="Q304" s="552">
        <f>IF(X304=0,0,IF(OR(E304=$AT$10,E304=$AT$9),VLOOKUP(YEAR(X304),INPC!$B$4:$P$30,MONTH(X304)+1),VLOOKUP(YEAR(X304),INPC!$B$4:$P$30,MONTH(X304)+2,0)))</f>
        <v>0</v>
      </c>
      <c r="R304" s="309">
        <f t="shared" si="74"/>
        <v>0</v>
      </c>
      <c r="S304" s="310">
        <f t="shared" si="83"/>
        <v>0</v>
      </c>
      <c r="T304" s="547">
        <f t="shared" si="84"/>
        <v>0</v>
      </c>
      <c r="U304" s="311"/>
      <c r="V304" s="312"/>
      <c r="W304" s="299"/>
      <c r="X304" s="300"/>
      <c r="Y304" s="299"/>
      <c r="Z304" s="303"/>
      <c r="AA304" s="305">
        <f>IF(Z304=0,0,IF(Y304="MXN",1/HLOOKUP(YEAR(X304)+(MONTH(X304)/100),TC!$5:$37,DAY(X304)+2,FALSE),VLOOKUP(Y304,Equivalencia!$1:$23,((MAX(Equivalencia!$3:$3)-YEAR(X304))*14)+MONTH(X304)+2,FALSE)))</f>
        <v>0</v>
      </c>
      <c r="AB304" s="306">
        <f t="shared" si="85"/>
        <v>0</v>
      </c>
      <c r="AC304" s="305">
        <f>+IF(X304=0,0,HLOOKUP(YEAR(X304)+(MONTH(X304)/100),TC!$5:$37,DAY(X304)+2,FALSE))</f>
        <v>0</v>
      </c>
      <c r="AD304" s="307">
        <f t="shared" si="86"/>
        <v>0</v>
      </c>
      <c r="AE304" s="314">
        <f t="shared" si="75"/>
        <v>0</v>
      </c>
      <c r="AF304" s="315">
        <f t="shared" si="76"/>
        <v>0</v>
      </c>
      <c r="AG304" s="316">
        <f t="shared" si="77"/>
        <v>0</v>
      </c>
      <c r="AH304" s="314">
        <v>1</v>
      </c>
      <c r="AI304" s="314">
        <f t="shared" si="78"/>
        <v>0</v>
      </c>
      <c r="AJ304" s="314">
        <f t="shared" si="87"/>
        <v>0</v>
      </c>
      <c r="AK304" s="317"/>
      <c r="AL304" s="315">
        <f t="shared" si="79"/>
        <v>0</v>
      </c>
      <c r="AN304" s="546">
        <f t="shared" si="80"/>
        <v>0</v>
      </c>
      <c r="AO304" s="314"/>
      <c r="AP304" s="318"/>
    </row>
    <row r="305" spans="2:42">
      <c r="B305" s="296"/>
      <c r="C305" s="299"/>
      <c r="D305" s="298"/>
      <c r="E305" s="299"/>
      <c r="F305" s="299"/>
      <c r="G305" s="300"/>
      <c r="H305" s="303"/>
      <c r="I305" s="301">
        <f t="shared" si="71"/>
        <v>0</v>
      </c>
      <c r="J305" s="302">
        <f t="shared" si="81"/>
        <v>0</v>
      </c>
      <c r="K305" s="304">
        <f t="shared" si="72"/>
        <v>0</v>
      </c>
      <c r="L305" s="305">
        <f>IF(H305=0,0,IF(OR(E305=$AT$5,E305=$AT$6),AA305,IF(F305="MXN",1/HLOOKUP(YEAR(G305)+(MONTH(G305)/100),TC!$5:$37,DAY(G305)+2,FALSE),VLOOKUP(F305,Equivalencia!$5:$23,((MAX(Equivalencia!$3:$3)-YEAR(G305))*14)+MONTH(G305)+2,FALSE))))</f>
        <v>0</v>
      </c>
      <c r="M305" s="306">
        <f t="shared" si="73"/>
        <v>0</v>
      </c>
      <c r="N305" s="305">
        <f>IF(G305=0,0,(IF(OR(E305=$AT$5,E305=$AT$6),AC305,HLOOKUP(YEAR(G305)+(MONTH(G305)/100),TC!$5:$37,DAY(G305)+2,FALSE))))</f>
        <v>0</v>
      </c>
      <c r="O305" s="307">
        <f t="shared" si="82"/>
        <v>0</v>
      </c>
      <c r="P305" s="552">
        <f>IF(G305=0,0,VLOOKUP(YEAR(G305),INPC!$B$4:$P$30,MONTH(G305)+2))</f>
        <v>0</v>
      </c>
      <c r="Q305" s="552">
        <f>IF(X305=0,0,IF(OR(E305=$AT$10,E305=$AT$9),VLOOKUP(YEAR(X305),INPC!$B$4:$P$30,MONTH(X305)+1),VLOOKUP(YEAR(X305),INPC!$B$4:$P$30,MONTH(X305)+2,0)))</f>
        <v>0</v>
      </c>
      <c r="R305" s="309">
        <f t="shared" si="74"/>
        <v>0</v>
      </c>
      <c r="S305" s="310">
        <f t="shared" si="83"/>
        <v>0</v>
      </c>
      <c r="T305" s="547">
        <f t="shared" si="84"/>
        <v>0</v>
      </c>
      <c r="U305" s="311"/>
      <c r="V305" s="312"/>
      <c r="W305" s="299"/>
      <c r="X305" s="300"/>
      <c r="Y305" s="299"/>
      <c r="Z305" s="303"/>
      <c r="AA305" s="305">
        <f>IF(Z305=0,0,IF(Y305="MXN",1/HLOOKUP(YEAR(X305)+(MONTH(X305)/100),TC!$5:$37,DAY(X305)+2,FALSE),VLOOKUP(Y305,Equivalencia!$1:$23,((MAX(Equivalencia!$3:$3)-YEAR(X305))*14)+MONTH(X305)+2,FALSE)))</f>
        <v>0</v>
      </c>
      <c r="AB305" s="306">
        <f t="shared" si="85"/>
        <v>0</v>
      </c>
      <c r="AC305" s="305">
        <f>+IF(X305=0,0,HLOOKUP(YEAR(X305)+(MONTH(X305)/100),TC!$5:$37,DAY(X305)+2,FALSE))</f>
        <v>0</v>
      </c>
      <c r="AD305" s="307">
        <f t="shared" si="86"/>
        <v>0</v>
      </c>
      <c r="AE305" s="314">
        <f t="shared" si="75"/>
        <v>0</v>
      </c>
      <c r="AF305" s="315">
        <f t="shared" si="76"/>
        <v>0</v>
      </c>
      <c r="AG305" s="316">
        <f t="shared" si="77"/>
        <v>0</v>
      </c>
      <c r="AH305" s="314">
        <v>1</v>
      </c>
      <c r="AI305" s="314">
        <f t="shared" si="78"/>
        <v>0</v>
      </c>
      <c r="AJ305" s="314">
        <f t="shared" si="87"/>
        <v>0</v>
      </c>
      <c r="AK305" s="317"/>
      <c r="AL305" s="315">
        <f t="shared" si="79"/>
        <v>0</v>
      </c>
      <c r="AN305" s="546">
        <f t="shared" si="80"/>
        <v>0</v>
      </c>
      <c r="AO305" s="314"/>
      <c r="AP305" s="318"/>
    </row>
    <row r="306" spans="2:42">
      <c r="B306" s="296"/>
      <c r="C306" s="299"/>
      <c r="D306" s="298"/>
      <c r="E306" s="299"/>
      <c r="F306" s="299"/>
      <c r="G306" s="300"/>
      <c r="H306" s="303"/>
      <c r="I306" s="301">
        <f t="shared" si="71"/>
        <v>0</v>
      </c>
      <c r="J306" s="302">
        <f t="shared" si="81"/>
        <v>0</v>
      </c>
      <c r="K306" s="304">
        <f t="shared" si="72"/>
        <v>0</v>
      </c>
      <c r="L306" s="305">
        <f>IF(H306=0,0,IF(OR(E306=$AT$5,E306=$AT$6),AA306,IF(F306="MXN",1/HLOOKUP(YEAR(G306)+(MONTH(G306)/100),TC!$5:$37,DAY(G306)+2,FALSE),VLOOKUP(F306,Equivalencia!$5:$23,((MAX(Equivalencia!$3:$3)-YEAR(G306))*14)+MONTH(G306)+2,FALSE))))</f>
        <v>0</v>
      </c>
      <c r="M306" s="306">
        <f t="shared" si="73"/>
        <v>0</v>
      </c>
      <c r="N306" s="305">
        <f>IF(G306=0,0,(IF(OR(E306=$AT$5,E306=$AT$6),AC306,HLOOKUP(YEAR(G306)+(MONTH(G306)/100),TC!$5:$37,DAY(G306)+2,FALSE))))</f>
        <v>0</v>
      </c>
      <c r="O306" s="307">
        <f t="shared" si="82"/>
        <v>0</v>
      </c>
      <c r="P306" s="552">
        <f>IF(G306=0,0,VLOOKUP(YEAR(G306),INPC!$B$4:$P$30,MONTH(G306)+2))</f>
        <v>0</v>
      </c>
      <c r="Q306" s="552">
        <f>IF(X306=0,0,IF(OR(E306=$AT$10,E306=$AT$9),VLOOKUP(YEAR(X306),INPC!$B$4:$P$30,MONTH(X306)+1),VLOOKUP(YEAR(X306),INPC!$B$4:$P$30,MONTH(X306)+2,0)))</f>
        <v>0</v>
      </c>
      <c r="R306" s="309">
        <f t="shared" si="74"/>
        <v>0</v>
      </c>
      <c r="S306" s="310">
        <f t="shared" si="83"/>
        <v>0</v>
      </c>
      <c r="T306" s="547">
        <f t="shared" si="84"/>
        <v>0</v>
      </c>
      <c r="U306" s="311"/>
      <c r="V306" s="312"/>
      <c r="W306" s="299"/>
      <c r="X306" s="300"/>
      <c r="Y306" s="299"/>
      <c r="Z306" s="303"/>
      <c r="AA306" s="305">
        <f>IF(Z306=0,0,IF(Y306="MXN",1/HLOOKUP(YEAR(X306)+(MONTH(X306)/100),TC!$5:$37,DAY(X306)+2,FALSE),VLOOKUP(Y306,Equivalencia!$1:$23,((MAX(Equivalencia!$3:$3)-YEAR(X306))*14)+MONTH(X306)+2,FALSE)))</f>
        <v>0</v>
      </c>
      <c r="AB306" s="306">
        <f t="shared" si="85"/>
        <v>0</v>
      </c>
      <c r="AC306" s="305">
        <f>+IF(X306=0,0,HLOOKUP(YEAR(X306)+(MONTH(X306)/100),TC!$5:$37,DAY(X306)+2,FALSE))</f>
        <v>0</v>
      </c>
      <c r="AD306" s="307">
        <f t="shared" si="86"/>
        <v>0</v>
      </c>
      <c r="AE306" s="314">
        <f t="shared" si="75"/>
        <v>0</v>
      </c>
      <c r="AF306" s="315">
        <f t="shared" si="76"/>
        <v>0</v>
      </c>
      <c r="AG306" s="316">
        <f t="shared" si="77"/>
        <v>0</v>
      </c>
      <c r="AH306" s="314">
        <v>1</v>
      </c>
      <c r="AI306" s="314">
        <f t="shared" si="78"/>
        <v>0</v>
      </c>
      <c r="AJ306" s="314">
        <f t="shared" si="87"/>
        <v>0</v>
      </c>
      <c r="AK306" s="317"/>
      <c r="AL306" s="315">
        <f t="shared" si="79"/>
        <v>0</v>
      </c>
      <c r="AN306" s="546">
        <f t="shared" si="80"/>
        <v>0</v>
      </c>
      <c r="AO306" s="314"/>
      <c r="AP306" s="318"/>
    </row>
    <row r="307" spans="2:42">
      <c r="B307" s="296"/>
      <c r="C307" s="299"/>
      <c r="D307" s="298"/>
      <c r="E307" s="299"/>
      <c r="F307" s="299"/>
      <c r="G307" s="300"/>
      <c r="H307" s="303"/>
      <c r="I307" s="301">
        <f t="shared" si="71"/>
        <v>0</v>
      </c>
      <c r="J307" s="302">
        <f t="shared" si="81"/>
        <v>0</v>
      </c>
      <c r="K307" s="304">
        <f t="shared" si="72"/>
        <v>0</v>
      </c>
      <c r="L307" s="305">
        <f>IF(H307=0,0,IF(OR(E307=$AT$5,E307=$AT$6),AA307,IF(F307="MXN",1/HLOOKUP(YEAR(G307)+(MONTH(G307)/100),TC!$5:$37,DAY(G307)+2,FALSE),VLOOKUP(F307,Equivalencia!$5:$23,((MAX(Equivalencia!$3:$3)-YEAR(G307))*14)+MONTH(G307)+2,FALSE))))</f>
        <v>0</v>
      </c>
      <c r="M307" s="306">
        <f t="shared" si="73"/>
        <v>0</v>
      </c>
      <c r="N307" s="305">
        <f>IF(G307=0,0,(IF(OR(E307=$AT$5,E307=$AT$6),AC307,HLOOKUP(YEAR(G307)+(MONTH(G307)/100),TC!$5:$37,DAY(G307)+2,FALSE))))</f>
        <v>0</v>
      </c>
      <c r="O307" s="307">
        <f t="shared" si="82"/>
        <v>0</v>
      </c>
      <c r="P307" s="552">
        <f>IF(G307=0,0,VLOOKUP(YEAR(G307),INPC!$B$4:$P$30,MONTH(G307)+2))</f>
        <v>0</v>
      </c>
      <c r="Q307" s="552">
        <f>IF(X307=0,0,IF(OR(E307=$AT$10,E307=$AT$9),VLOOKUP(YEAR(X307),INPC!$B$4:$P$30,MONTH(X307)+1),VLOOKUP(YEAR(X307),INPC!$B$4:$P$30,MONTH(X307)+2,0)))</f>
        <v>0</v>
      </c>
      <c r="R307" s="309">
        <f t="shared" si="74"/>
        <v>0</v>
      </c>
      <c r="S307" s="310">
        <f t="shared" si="83"/>
        <v>0</v>
      </c>
      <c r="T307" s="547">
        <f t="shared" si="84"/>
        <v>0</v>
      </c>
      <c r="U307" s="311"/>
      <c r="V307" s="312"/>
      <c r="W307" s="299"/>
      <c r="X307" s="300"/>
      <c r="Y307" s="299"/>
      <c r="Z307" s="303"/>
      <c r="AA307" s="305">
        <f>IF(Z307=0,0,IF(Y307="MXN",1/HLOOKUP(YEAR(X307)+(MONTH(X307)/100),TC!$5:$37,DAY(X307)+2,FALSE),VLOOKUP(Y307,Equivalencia!$1:$23,((MAX(Equivalencia!$3:$3)-YEAR(X307))*14)+MONTH(X307)+2,FALSE)))</f>
        <v>0</v>
      </c>
      <c r="AB307" s="306">
        <f t="shared" si="85"/>
        <v>0</v>
      </c>
      <c r="AC307" s="305">
        <f>+IF(X307=0,0,HLOOKUP(YEAR(X307)+(MONTH(X307)/100),TC!$5:$37,DAY(X307)+2,FALSE))</f>
        <v>0</v>
      </c>
      <c r="AD307" s="307">
        <f t="shared" si="86"/>
        <v>0</v>
      </c>
      <c r="AE307" s="314">
        <f t="shared" si="75"/>
        <v>0</v>
      </c>
      <c r="AF307" s="315">
        <f t="shared" si="76"/>
        <v>0</v>
      </c>
      <c r="AG307" s="316">
        <f t="shared" si="77"/>
        <v>0</v>
      </c>
      <c r="AH307" s="314">
        <v>1</v>
      </c>
      <c r="AI307" s="314">
        <f t="shared" si="78"/>
        <v>0</v>
      </c>
      <c r="AJ307" s="314">
        <f t="shared" si="87"/>
        <v>0</v>
      </c>
      <c r="AK307" s="317"/>
      <c r="AL307" s="315">
        <f t="shared" si="79"/>
        <v>0</v>
      </c>
      <c r="AN307" s="546">
        <f t="shared" si="80"/>
        <v>0</v>
      </c>
      <c r="AO307" s="314"/>
      <c r="AP307" s="318"/>
    </row>
    <row r="308" spans="2:42">
      <c r="B308" s="296"/>
      <c r="C308" s="299"/>
      <c r="D308" s="298"/>
      <c r="E308" s="299"/>
      <c r="F308" s="299"/>
      <c r="G308" s="300"/>
      <c r="H308" s="303"/>
      <c r="I308" s="301">
        <f t="shared" si="71"/>
        <v>0</v>
      </c>
      <c r="J308" s="302">
        <f t="shared" si="81"/>
        <v>0</v>
      </c>
      <c r="K308" s="304">
        <f t="shared" si="72"/>
        <v>0</v>
      </c>
      <c r="L308" s="305">
        <f>IF(H308=0,0,IF(OR(E308=$AT$5,E308=$AT$6),AA308,IF(F308="MXN",1/HLOOKUP(YEAR(G308)+(MONTH(G308)/100),TC!$5:$37,DAY(G308)+2,FALSE),VLOOKUP(F308,Equivalencia!$5:$23,((MAX(Equivalencia!$3:$3)-YEAR(G308))*14)+MONTH(G308)+2,FALSE))))</f>
        <v>0</v>
      </c>
      <c r="M308" s="306">
        <f t="shared" si="73"/>
        <v>0</v>
      </c>
      <c r="N308" s="305">
        <f>IF(G308=0,0,(IF(OR(E308=$AT$5,E308=$AT$6),AC308,HLOOKUP(YEAR(G308)+(MONTH(G308)/100),TC!$5:$37,DAY(G308)+2,FALSE))))</f>
        <v>0</v>
      </c>
      <c r="O308" s="307">
        <f t="shared" si="82"/>
        <v>0</v>
      </c>
      <c r="P308" s="552">
        <f>IF(G308=0,0,VLOOKUP(YEAR(G308),INPC!$B$4:$P$30,MONTH(G308)+2))</f>
        <v>0</v>
      </c>
      <c r="Q308" s="552">
        <f>IF(X308=0,0,IF(OR(E308=$AT$10,E308=$AT$9),VLOOKUP(YEAR(X308),INPC!$B$4:$P$30,MONTH(X308)+1),VLOOKUP(YEAR(X308),INPC!$B$4:$P$30,MONTH(X308)+2,0)))</f>
        <v>0</v>
      </c>
      <c r="R308" s="309">
        <f t="shared" si="74"/>
        <v>0</v>
      </c>
      <c r="S308" s="310">
        <f t="shared" si="83"/>
        <v>0</v>
      </c>
      <c r="T308" s="547">
        <f t="shared" si="84"/>
        <v>0</v>
      </c>
      <c r="U308" s="311"/>
      <c r="V308" s="312"/>
      <c r="W308" s="299"/>
      <c r="X308" s="300"/>
      <c r="Y308" s="299"/>
      <c r="Z308" s="303"/>
      <c r="AA308" s="305">
        <f>IF(Z308=0,0,IF(Y308="MXN",1/HLOOKUP(YEAR(X308)+(MONTH(X308)/100),TC!$5:$37,DAY(X308)+2,FALSE),VLOOKUP(Y308,Equivalencia!$1:$23,((MAX(Equivalencia!$3:$3)-YEAR(X308))*14)+MONTH(X308)+2,FALSE)))</f>
        <v>0</v>
      </c>
      <c r="AB308" s="306">
        <f t="shared" si="85"/>
        <v>0</v>
      </c>
      <c r="AC308" s="305">
        <f>+IF(X308=0,0,HLOOKUP(YEAR(X308)+(MONTH(X308)/100),TC!$5:$37,DAY(X308)+2,FALSE))</f>
        <v>0</v>
      </c>
      <c r="AD308" s="307">
        <f t="shared" si="86"/>
        <v>0</v>
      </c>
      <c r="AE308" s="314">
        <f t="shared" si="75"/>
        <v>0</v>
      </c>
      <c r="AF308" s="315">
        <f t="shared" si="76"/>
        <v>0</v>
      </c>
      <c r="AG308" s="316">
        <f t="shared" si="77"/>
        <v>0</v>
      </c>
      <c r="AH308" s="314">
        <v>1</v>
      </c>
      <c r="AI308" s="314">
        <f t="shared" si="78"/>
        <v>0</v>
      </c>
      <c r="AJ308" s="314">
        <f t="shared" si="87"/>
        <v>0</v>
      </c>
      <c r="AK308" s="317"/>
      <c r="AL308" s="315">
        <f t="shared" si="79"/>
        <v>0</v>
      </c>
      <c r="AN308" s="546">
        <f t="shared" si="80"/>
        <v>0</v>
      </c>
      <c r="AO308" s="314"/>
      <c r="AP308" s="318"/>
    </row>
    <row r="309" spans="2:42">
      <c r="B309" s="296"/>
      <c r="C309" s="299"/>
      <c r="D309" s="298"/>
      <c r="E309" s="299"/>
      <c r="F309" s="299"/>
      <c r="G309" s="300"/>
      <c r="H309" s="303"/>
      <c r="I309" s="301">
        <f t="shared" si="71"/>
        <v>0</v>
      </c>
      <c r="J309" s="302">
        <f t="shared" si="81"/>
        <v>0</v>
      </c>
      <c r="K309" s="304">
        <f t="shared" si="72"/>
        <v>0</v>
      </c>
      <c r="L309" s="305">
        <f>IF(H309=0,0,IF(OR(E309=$AT$5,E309=$AT$6),AA309,IF(F309="MXN",1/HLOOKUP(YEAR(G309)+(MONTH(G309)/100),TC!$5:$37,DAY(G309)+2,FALSE),VLOOKUP(F309,Equivalencia!$5:$23,((MAX(Equivalencia!$3:$3)-YEAR(G309))*14)+MONTH(G309)+2,FALSE))))</f>
        <v>0</v>
      </c>
      <c r="M309" s="306">
        <f t="shared" si="73"/>
        <v>0</v>
      </c>
      <c r="N309" s="305">
        <f>IF(G309=0,0,(IF(OR(E309=$AT$5,E309=$AT$6),AC309,HLOOKUP(YEAR(G309)+(MONTH(G309)/100),TC!$5:$37,DAY(G309)+2,FALSE))))</f>
        <v>0</v>
      </c>
      <c r="O309" s="307">
        <f t="shared" si="82"/>
        <v>0</v>
      </c>
      <c r="P309" s="552">
        <f>IF(G309=0,0,VLOOKUP(YEAR(G309),INPC!$B$4:$P$30,MONTH(G309)+2))</f>
        <v>0</v>
      </c>
      <c r="Q309" s="552">
        <f>IF(X309=0,0,IF(OR(E309=$AT$10,E309=$AT$9),VLOOKUP(YEAR(X309),INPC!$B$4:$P$30,MONTH(X309)+1),VLOOKUP(YEAR(X309),INPC!$B$4:$P$30,MONTH(X309)+2,0)))</f>
        <v>0</v>
      </c>
      <c r="R309" s="309">
        <f t="shared" si="74"/>
        <v>0</v>
      </c>
      <c r="S309" s="310">
        <f t="shared" si="83"/>
        <v>0</v>
      </c>
      <c r="T309" s="547">
        <f t="shared" si="84"/>
        <v>0</v>
      </c>
      <c r="U309" s="311"/>
      <c r="V309" s="312"/>
      <c r="W309" s="299"/>
      <c r="X309" s="300"/>
      <c r="Y309" s="299"/>
      <c r="Z309" s="303"/>
      <c r="AA309" s="305">
        <f>IF(Z309=0,0,IF(Y309="MXN",1/HLOOKUP(YEAR(X309)+(MONTH(X309)/100),TC!$5:$37,DAY(X309)+2,FALSE),VLOOKUP(Y309,Equivalencia!$1:$23,((MAX(Equivalencia!$3:$3)-YEAR(X309))*14)+MONTH(X309)+2,FALSE)))</f>
        <v>0</v>
      </c>
      <c r="AB309" s="306">
        <f t="shared" si="85"/>
        <v>0</v>
      </c>
      <c r="AC309" s="305">
        <f>+IF(X309=0,0,HLOOKUP(YEAR(X309)+(MONTH(X309)/100),TC!$5:$37,DAY(X309)+2,FALSE))</f>
        <v>0</v>
      </c>
      <c r="AD309" s="307">
        <f t="shared" si="86"/>
        <v>0</v>
      </c>
      <c r="AE309" s="314">
        <f t="shared" si="75"/>
        <v>0</v>
      </c>
      <c r="AF309" s="315">
        <f t="shared" si="76"/>
        <v>0</v>
      </c>
      <c r="AG309" s="316">
        <f t="shared" si="77"/>
        <v>0</v>
      </c>
      <c r="AH309" s="314">
        <v>1</v>
      </c>
      <c r="AI309" s="314">
        <f t="shared" si="78"/>
        <v>0</v>
      </c>
      <c r="AJ309" s="314">
        <f t="shared" si="87"/>
        <v>0</v>
      </c>
      <c r="AK309" s="317"/>
      <c r="AL309" s="315">
        <f t="shared" si="79"/>
        <v>0</v>
      </c>
      <c r="AN309" s="546">
        <f t="shared" si="80"/>
        <v>0</v>
      </c>
      <c r="AO309" s="314"/>
      <c r="AP309" s="318"/>
    </row>
    <row r="310" spans="2:42">
      <c r="B310" s="296"/>
      <c r="C310" s="299"/>
      <c r="D310" s="298"/>
      <c r="E310" s="299"/>
      <c r="F310" s="299"/>
      <c r="G310" s="300"/>
      <c r="H310" s="303"/>
      <c r="I310" s="301">
        <f t="shared" si="71"/>
        <v>0</v>
      </c>
      <c r="J310" s="302">
        <f t="shared" si="81"/>
        <v>0</v>
      </c>
      <c r="K310" s="304">
        <f t="shared" si="72"/>
        <v>0</v>
      </c>
      <c r="L310" s="305">
        <f>IF(H310=0,0,IF(OR(E310=$AT$5,E310=$AT$6),AA310,IF(F310="MXN",1/HLOOKUP(YEAR(G310)+(MONTH(G310)/100),TC!$5:$37,DAY(G310)+2,FALSE),VLOOKUP(F310,Equivalencia!$5:$23,((MAX(Equivalencia!$3:$3)-YEAR(G310))*14)+MONTH(G310)+2,FALSE))))</f>
        <v>0</v>
      </c>
      <c r="M310" s="306">
        <f t="shared" si="73"/>
        <v>0</v>
      </c>
      <c r="N310" s="305">
        <f>IF(G310=0,0,(IF(OR(E310=$AT$5,E310=$AT$6),AC310,HLOOKUP(YEAR(G310)+(MONTH(G310)/100),TC!$5:$37,DAY(G310)+2,FALSE))))</f>
        <v>0</v>
      </c>
      <c r="O310" s="307">
        <f t="shared" si="82"/>
        <v>0</v>
      </c>
      <c r="P310" s="552">
        <f>IF(G310=0,0,VLOOKUP(YEAR(G310),INPC!$B$4:$P$30,MONTH(G310)+2))</f>
        <v>0</v>
      </c>
      <c r="Q310" s="552">
        <f>IF(X310=0,0,IF(OR(E310=$AT$10,E310=$AT$9),VLOOKUP(YEAR(X310),INPC!$B$4:$P$30,MONTH(X310)+1),VLOOKUP(YEAR(X310),INPC!$B$4:$P$30,MONTH(X310)+2,0)))</f>
        <v>0</v>
      </c>
      <c r="R310" s="309">
        <f t="shared" si="74"/>
        <v>0</v>
      </c>
      <c r="S310" s="310">
        <f t="shared" si="83"/>
        <v>0</v>
      </c>
      <c r="T310" s="547">
        <f t="shared" si="84"/>
        <v>0</v>
      </c>
      <c r="U310" s="311"/>
      <c r="V310" s="312"/>
      <c r="W310" s="299"/>
      <c r="X310" s="300"/>
      <c r="Y310" s="299"/>
      <c r="Z310" s="303"/>
      <c r="AA310" s="305">
        <f>IF(Z310=0,0,IF(Y310="MXN",1/HLOOKUP(YEAR(X310)+(MONTH(X310)/100),TC!$5:$37,DAY(X310)+2,FALSE),VLOOKUP(Y310,Equivalencia!$1:$23,((MAX(Equivalencia!$3:$3)-YEAR(X310))*14)+MONTH(X310)+2,FALSE)))</f>
        <v>0</v>
      </c>
      <c r="AB310" s="306">
        <f t="shared" si="85"/>
        <v>0</v>
      </c>
      <c r="AC310" s="305">
        <f>+IF(X310=0,0,HLOOKUP(YEAR(X310)+(MONTH(X310)/100),TC!$5:$37,DAY(X310)+2,FALSE))</f>
        <v>0</v>
      </c>
      <c r="AD310" s="307">
        <f t="shared" si="86"/>
        <v>0</v>
      </c>
      <c r="AE310" s="314">
        <f t="shared" si="75"/>
        <v>0</v>
      </c>
      <c r="AF310" s="315">
        <f t="shared" si="76"/>
        <v>0</v>
      </c>
      <c r="AG310" s="316">
        <f t="shared" si="77"/>
        <v>0</v>
      </c>
      <c r="AH310" s="314">
        <v>1</v>
      </c>
      <c r="AI310" s="314">
        <f t="shared" si="78"/>
        <v>0</v>
      </c>
      <c r="AJ310" s="314">
        <f t="shared" si="87"/>
        <v>0</v>
      </c>
      <c r="AK310" s="317"/>
      <c r="AL310" s="315">
        <f t="shared" si="79"/>
        <v>0</v>
      </c>
      <c r="AN310" s="546">
        <f t="shared" si="80"/>
        <v>0</v>
      </c>
      <c r="AO310" s="314"/>
      <c r="AP310" s="318"/>
    </row>
    <row r="311" spans="2:42">
      <c r="B311" s="296"/>
      <c r="C311" s="299"/>
      <c r="D311" s="298"/>
      <c r="E311" s="299"/>
      <c r="F311" s="299"/>
      <c r="G311" s="300"/>
      <c r="H311" s="303"/>
      <c r="I311" s="301">
        <f t="shared" si="71"/>
        <v>0</v>
      </c>
      <c r="J311" s="302">
        <f t="shared" si="81"/>
        <v>0</v>
      </c>
      <c r="K311" s="304">
        <f t="shared" si="72"/>
        <v>0</v>
      </c>
      <c r="L311" s="305">
        <f>IF(H311=0,0,IF(OR(E311=$AT$5,E311=$AT$6),AA311,IF(F311="MXN",1/HLOOKUP(YEAR(G311)+(MONTH(G311)/100),TC!$5:$37,DAY(G311)+2,FALSE),VLOOKUP(F311,Equivalencia!$5:$23,((MAX(Equivalencia!$3:$3)-YEAR(G311))*14)+MONTH(G311)+2,FALSE))))</f>
        <v>0</v>
      </c>
      <c r="M311" s="306">
        <f t="shared" si="73"/>
        <v>0</v>
      </c>
      <c r="N311" s="305">
        <f>IF(G311=0,0,(IF(OR(E311=$AT$5,E311=$AT$6),AC311,HLOOKUP(YEAR(G311)+(MONTH(G311)/100),TC!$5:$37,DAY(G311)+2,FALSE))))</f>
        <v>0</v>
      </c>
      <c r="O311" s="307">
        <f t="shared" si="82"/>
        <v>0</v>
      </c>
      <c r="P311" s="552">
        <f>IF(G311=0,0,VLOOKUP(YEAR(G311),INPC!$B$4:$P$30,MONTH(G311)+2))</f>
        <v>0</v>
      </c>
      <c r="Q311" s="552">
        <f>IF(X311=0,0,IF(OR(E311=$AT$10,E311=$AT$9),VLOOKUP(YEAR(X311),INPC!$B$4:$P$30,MONTH(X311)+1),VLOOKUP(YEAR(X311),INPC!$B$4:$P$30,MONTH(X311)+2,0)))</f>
        <v>0</v>
      </c>
      <c r="R311" s="309">
        <f t="shared" si="74"/>
        <v>0</v>
      </c>
      <c r="S311" s="310">
        <f t="shared" si="83"/>
        <v>0</v>
      </c>
      <c r="T311" s="547">
        <f t="shared" si="84"/>
        <v>0</v>
      </c>
      <c r="U311" s="311"/>
      <c r="V311" s="312"/>
      <c r="W311" s="299"/>
      <c r="X311" s="300"/>
      <c r="Y311" s="299"/>
      <c r="Z311" s="303"/>
      <c r="AA311" s="305">
        <f>IF(Z311=0,0,IF(Y311="MXN",1/HLOOKUP(YEAR(X311)+(MONTH(X311)/100),TC!$5:$37,DAY(X311)+2,FALSE),VLOOKUP(Y311,Equivalencia!$1:$23,((MAX(Equivalencia!$3:$3)-YEAR(X311))*14)+MONTH(X311)+2,FALSE)))</f>
        <v>0</v>
      </c>
      <c r="AB311" s="306">
        <f t="shared" si="85"/>
        <v>0</v>
      </c>
      <c r="AC311" s="305">
        <f>+IF(X311=0,0,HLOOKUP(YEAR(X311)+(MONTH(X311)/100),TC!$5:$37,DAY(X311)+2,FALSE))</f>
        <v>0</v>
      </c>
      <c r="AD311" s="307">
        <f t="shared" si="86"/>
        <v>0</v>
      </c>
      <c r="AE311" s="314">
        <f t="shared" si="75"/>
        <v>0</v>
      </c>
      <c r="AF311" s="315">
        <f t="shared" si="76"/>
        <v>0</v>
      </c>
      <c r="AG311" s="316">
        <f t="shared" si="77"/>
        <v>0</v>
      </c>
      <c r="AH311" s="314">
        <v>1</v>
      </c>
      <c r="AI311" s="314">
        <f t="shared" si="78"/>
        <v>0</v>
      </c>
      <c r="AJ311" s="314">
        <f t="shared" si="87"/>
        <v>0</v>
      </c>
      <c r="AK311" s="317"/>
      <c r="AL311" s="315">
        <f t="shared" si="79"/>
        <v>0</v>
      </c>
      <c r="AN311" s="546">
        <f t="shared" si="80"/>
        <v>0</v>
      </c>
      <c r="AO311" s="314"/>
      <c r="AP311" s="318"/>
    </row>
    <row r="312" spans="2:42">
      <c r="B312" s="296"/>
      <c r="C312" s="299"/>
      <c r="D312" s="298"/>
      <c r="E312" s="299"/>
      <c r="F312" s="299"/>
      <c r="G312" s="300"/>
      <c r="H312" s="303"/>
      <c r="I312" s="301">
        <f t="shared" si="71"/>
        <v>0</v>
      </c>
      <c r="J312" s="302">
        <f t="shared" si="81"/>
        <v>0</v>
      </c>
      <c r="K312" s="304">
        <f t="shared" si="72"/>
        <v>0</v>
      </c>
      <c r="L312" s="305">
        <f>IF(H312=0,0,IF(OR(E312=$AT$5,E312=$AT$6),AA312,IF(F312="MXN",1/HLOOKUP(YEAR(G312)+(MONTH(G312)/100),TC!$5:$37,DAY(G312)+2,FALSE),VLOOKUP(F312,Equivalencia!$5:$23,((MAX(Equivalencia!$3:$3)-YEAR(G312))*14)+MONTH(G312)+2,FALSE))))</f>
        <v>0</v>
      </c>
      <c r="M312" s="306">
        <f t="shared" si="73"/>
        <v>0</v>
      </c>
      <c r="N312" s="305">
        <f>IF(G312=0,0,(IF(OR(E312=$AT$5,E312=$AT$6),AC312,HLOOKUP(YEAR(G312)+(MONTH(G312)/100),TC!$5:$37,DAY(G312)+2,FALSE))))</f>
        <v>0</v>
      </c>
      <c r="O312" s="307">
        <f t="shared" si="82"/>
        <v>0</v>
      </c>
      <c r="P312" s="552">
        <f>IF(G312=0,0,VLOOKUP(YEAR(G312),INPC!$B$4:$P$30,MONTH(G312)+2))</f>
        <v>0</v>
      </c>
      <c r="Q312" s="552">
        <f>IF(X312=0,0,IF(OR(E312=$AT$10,E312=$AT$9),VLOOKUP(YEAR(X312),INPC!$B$4:$P$30,MONTH(X312)+1),VLOOKUP(YEAR(X312),INPC!$B$4:$P$30,MONTH(X312)+2,0)))</f>
        <v>0</v>
      </c>
      <c r="R312" s="309">
        <f t="shared" si="74"/>
        <v>0</v>
      </c>
      <c r="S312" s="310">
        <f t="shared" si="83"/>
        <v>0</v>
      </c>
      <c r="T312" s="547">
        <f t="shared" si="84"/>
        <v>0</v>
      </c>
      <c r="U312" s="311"/>
      <c r="V312" s="312"/>
      <c r="W312" s="299"/>
      <c r="X312" s="300"/>
      <c r="Y312" s="299"/>
      <c r="Z312" s="303"/>
      <c r="AA312" s="305">
        <f>IF(Z312=0,0,IF(Y312="MXN",1/HLOOKUP(YEAR(X312)+(MONTH(X312)/100),TC!$5:$37,DAY(X312)+2,FALSE),VLOOKUP(Y312,Equivalencia!$1:$23,((MAX(Equivalencia!$3:$3)-YEAR(X312))*14)+MONTH(X312)+2,FALSE)))</f>
        <v>0</v>
      </c>
      <c r="AB312" s="306">
        <f t="shared" si="85"/>
        <v>0</v>
      </c>
      <c r="AC312" s="305">
        <f>+IF(X312=0,0,HLOOKUP(YEAR(X312)+(MONTH(X312)/100),TC!$5:$37,DAY(X312)+2,FALSE))</f>
        <v>0</v>
      </c>
      <c r="AD312" s="307">
        <f t="shared" si="86"/>
        <v>0</v>
      </c>
      <c r="AE312" s="314">
        <f t="shared" si="75"/>
        <v>0</v>
      </c>
      <c r="AF312" s="315">
        <f t="shared" si="76"/>
        <v>0</v>
      </c>
      <c r="AG312" s="316">
        <f t="shared" si="77"/>
        <v>0</v>
      </c>
      <c r="AH312" s="314">
        <v>1</v>
      </c>
      <c r="AI312" s="314">
        <f t="shared" si="78"/>
        <v>0</v>
      </c>
      <c r="AJ312" s="314">
        <f t="shared" si="87"/>
        <v>0</v>
      </c>
      <c r="AK312" s="317"/>
      <c r="AL312" s="315">
        <f t="shared" si="79"/>
        <v>0</v>
      </c>
      <c r="AN312" s="546">
        <f t="shared" si="80"/>
        <v>0</v>
      </c>
      <c r="AO312" s="314"/>
      <c r="AP312" s="318"/>
    </row>
    <row r="313" spans="2:42">
      <c r="B313" s="296"/>
      <c r="C313" s="299"/>
      <c r="D313" s="298"/>
      <c r="E313" s="299"/>
      <c r="F313" s="299"/>
      <c r="G313" s="300"/>
      <c r="H313" s="303"/>
      <c r="I313" s="301">
        <f t="shared" si="71"/>
        <v>0</v>
      </c>
      <c r="J313" s="302">
        <f t="shared" si="81"/>
        <v>0</v>
      </c>
      <c r="K313" s="304">
        <f t="shared" si="72"/>
        <v>0</v>
      </c>
      <c r="L313" s="305">
        <f>IF(H313=0,0,IF(OR(E313=$AT$5,E313=$AT$6),AA313,IF(F313="MXN",1/HLOOKUP(YEAR(G313)+(MONTH(G313)/100),TC!$5:$37,DAY(G313)+2,FALSE),VLOOKUP(F313,Equivalencia!$5:$23,((MAX(Equivalencia!$3:$3)-YEAR(G313))*14)+MONTH(G313)+2,FALSE))))</f>
        <v>0</v>
      </c>
      <c r="M313" s="306">
        <f t="shared" si="73"/>
        <v>0</v>
      </c>
      <c r="N313" s="305">
        <f>IF(G313=0,0,(IF(OR(E313=$AT$5,E313=$AT$6),AC313,HLOOKUP(YEAR(G313)+(MONTH(G313)/100),TC!$5:$37,DAY(G313)+2,FALSE))))</f>
        <v>0</v>
      </c>
      <c r="O313" s="307">
        <f t="shared" si="82"/>
        <v>0</v>
      </c>
      <c r="P313" s="552">
        <f>IF(G313=0,0,VLOOKUP(YEAR(G313),INPC!$B$4:$P$30,MONTH(G313)+2))</f>
        <v>0</v>
      </c>
      <c r="Q313" s="552">
        <f>IF(X313=0,0,IF(OR(E313=$AT$10,E313=$AT$9),VLOOKUP(YEAR(X313),INPC!$B$4:$P$30,MONTH(X313)+1),VLOOKUP(YEAR(X313),INPC!$B$4:$P$30,MONTH(X313)+2,0)))</f>
        <v>0</v>
      </c>
      <c r="R313" s="309">
        <f t="shared" si="74"/>
        <v>0</v>
      </c>
      <c r="S313" s="310">
        <f t="shared" si="83"/>
        <v>0</v>
      </c>
      <c r="T313" s="547">
        <f t="shared" si="84"/>
        <v>0</v>
      </c>
      <c r="U313" s="311"/>
      <c r="V313" s="312"/>
      <c r="W313" s="299"/>
      <c r="X313" s="300"/>
      <c r="Y313" s="299"/>
      <c r="Z313" s="303"/>
      <c r="AA313" s="305">
        <f>IF(Z313=0,0,IF(Y313="MXN",1/HLOOKUP(YEAR(X313)+(MONTH(X313)/100),TC!$5:$37,DAY(X313)+2,FALSE),VLOOKUP(Y313,Equivalencia!$1:$23,((MAX(Equivalencia!$3:$3)-YEAR(X313))*14)+MONTH(X313)+2,FALSE)))</f>
        <v>0</v>
      </c>
      <c r="AB313" s="306">
        <f t="shared" si="85"/>
        <v>0</v>
      </c>
      <c r="AC313" s="305">
        <f>+IF(X313=0,0,HLOOKUP(YEAR(X313)+(MONTH(X313)/100),TC!$5:$37,DAY(X313)+2,FALSE))</f>
        <v>0</v>
      </c>
      <c r="AD313" s="307">
        <f t="shared" si="86"/>
        <v>0</v>
      </c>
      <c r="AE313" s="314">
        <f t="shared" si="75"/>
        <v>0</v>
      </c>
      <c r="AF313" s="315">
        <f t="shared" si="76"/>
        <v>0</v>
      </c>
      <c r="AG313" s="316">
        <f t="shared" si="77"/>
        <v>0</v>
      </c>
      <c r="AH313" s="314">
        <v>1</v>
      </c>
      <c r="AI313" s="314">
        <f t="shared" si="78"/>
        <v>0</v>
      </c>
      <c r="AJ313" s="314">
        <f t="shared" si="87"/>
        <v>0</v>
      </c>
      <c r="AK313" s="317"/>
      <c r="AL313" s="315">
        <f t="shared" si="79"/>
        <v>0</v>
      </c>
      <c r="AN313" s="546">
        <f t="shared" si="80"/>
        <v>0</v>
      </c>
      <c r="AO313" s="314"/>
      <c r="AP313" s="318"/>
    </row>
    <row r="314" spans="2:42">
      <c r="B314" s="296"/>
      <c r="C314" s="299"/>
      <c r="D314" s="298"/>
      <c r="E314" s="299"/>
      <c r="F314" s="299"/>
      <c r="G314" s="300"/>
      <c r="H314" s="303"/>
      <c r="I314" s="301">
        <f t="shared" si="71"/>
        <v>0</v>
      </c>
      <c r="J314" s="302">
        <f t="shared" si="81"/>
        <v>0</v>
      </c>
      <c r="K314" s="304">
        <f t="shared" si="72"/>
        <v>0</v>
      </c>
      <c r="L314" s="305">
        <f>IF(H314=0,0,IF(OR(E314=$AT$5,E314=$AT$6),AA314,IF(F314="MXN",1/HLOOKUP(YEAR(G314)+(MONTH(G314)/100),TC!$5:$37,DAY(G314)+2,FALSE),VLOOKUP(F314,Equivalencia!$5:$23,((MAX(Equivalencia!$3:$3)-YEAR(G314))*14)+MONTH(G314)+2,FALSE))))</f>
        <v>0</v>
      </c>
      <c r="M314" s="306">
        <f t="shared" si="73"/>
        <v>0</v>
      </c>
      <c r="N314" s="305">
        <f>IF(G314=0,0,(IF(OR(E314=$AT$5,E314=$AT$6),AC314,HLOOKUP(YEAR(G314)+(MONTH(G314)/100),TC!$5:$37,DAY(G314)+2,FALSE))))</f>
        <v>0</v>
      </c>
      <c r="O314" s="307">
        <f t="shared" si="82"/>
        <v>0</v>
      </c>
      <c r="P314" s="552">
        <f>IF(G314=0,0,VLOOKUP(YEAR(G314),INPC!$B$4:$P$30,MONTH(G314)+2))</f>
        <v>0</v>
      </c>
      <c r="Q314" s="552">
        <f>IF(X314=0,0,IF(OR(E314=$AT$10,E314=$AT$9),VLOOKUP(YEAR(X314),INPC!$B$4:$P$30,MONTH(X314)+1),VLOOKUP(YEAR(X314),INPC!$B$4:$P$30,MONTH(X314)+2,0)))</f>
        <v>0</v>
      </c>
      <c r="R314" s="309">
        <f t="shared" si="74"/>
        <v>0</v>
      </c>
      <c r="S314" s="310">
        <f t="shared" si="83"/>
        <v>0</v>
      </c>
      <c r="T314" s="547">
        <f t="shared" si="84"/>
        <v>0</v>
      </c>
      <c r="U314" s="311"/>
      <c r="V314" s="312"/>
      <c r="W314" s="299"/>
      <c r="X314" s="300"/>
      <c r="Y314" s="299"/>
      <c r="Z314" s="303"/>
      <c r="AA314" s="305">
        <f>IF(Z314=0,0,IF(Y314="MXN",1/HLOOKUP(YEAR(X314)+(MONTH(X314)/100),TC!$5:$37,DAY(X314)+2,FALSE),VLOOKUP(Y314,Equivalencia!$1:$23,((MAX(Equivalencia!$3:$3)-YEAR(X314))*14)+MONTH(X314)+2,FALSE)))</f>
        <v>0</v>
      </c>
      <c r="AB314" s="306">
        <f t="shared" si="85"/>
        <v>0</v>
      </c>
      <c r="AC314" s="305">
        <f>+IF(X314=0,0,HLOOKUP(YEAR(X314)+(MONTH(X314)/100),TC!$5:$37,DAY(X314)+2,FALSE))</f>
        <v>0</v>
      </c>
      <c r="AD314" s="307">
        <f t="shared" si="86"/>
        <v>0</v>
      </c>
      <c r="AE314" s="314">
        <f t="shared" si="75"/>
        <v>0</v>
      </c>
      <c r="AF314" s="315">
        <f t="shared" si="76"/>
        <v>0</v>
      </c>
      <c r="AG314" s="316">
        <f t="shared" si="77"/>
        <v>0</v>
      </c>
      <c r="AH314" s="314">
        <v>1</v>
      </c>
      <c r="AI314" s="314">
        <f t="shared" si="78"/>
        <v>0</v>
      </c>
      <c r="AJ314" s="314">
        <f t="shared" si="87"/>
        <v>0</v>
      </c>
      <c r="AK314" s="317"/>
      <c r="AL314" s="315">
        <f t="shared" si="79"/>
        <v>0</v>
      </c>
      <c r="AN314" s="546">
        <f t="shared" si="80"/>
        <v>0</v>
      </c>
      <c r="AO314" s="314"/>
      <c r="AP314" s="318"/>
    </row>
    <row r="315" spans="2:42">
      <c r="B315" s="296"/>
      <c r="C315" s="299"/>
      <c r="D315" s="298"/>
      <c r="E315" s="299"/>
      <c r="F315" s="299"/>
      <c r="G315" s="300"/>
      <c r="H315" s="303"/>
      <c r="I315" s="301">
        <f t="shared" si="71"/>
        <v>0</v>
      </c>
      <c r="J315" s="302">
        <f t="shared" si="81"/>
        <v>0</v>
      </c>
      <c r="K315" s="304">
        <f t="shared" si="72"/>
        <v>0</v>
      </c>
      <c r="L315" s="305">
        <f>IF(H315=0,0,IF(OR(E315=$AT$5,E315=$AT$6),AA315,IF(F315="MXN",1/HLOOKUP(YEAR(G315)+(MONTH(G315)/100),TC!$5:$37,DAY(G315)+2,FALSE),VLOOKUP(F315,Equivalencia!$5:$23,((MAX(Equivalencia!$3:$3)-YEAR(G315))*14)+MONTH(G315)+2,FALSE))))</f>
        <v>0</v>
      </c>
      <c r="M315" s="306">
        <f t="shared" si="73"/>
        <v>0</v>
      </c>
      <c r="N315" s="305">
        <f>IF(G315=0,0,(IF(OR(E315=$AT$5,E315=$AT$6),AC315,HLOOKUP(YEAR(G315)+(MONTH(G315)/100),TC!$5:$37,DAY(G315)+2,FALSE))))</f>
        <v>0</v>
      </c>
      <c r="O315" s="307">
        <f t="shared" si="82"/>
        <v>0</v>
      </c>
      <c r="P315" s="552">
        <f>IF(G315=0,0,VLOOKUP(YEAR(G315),INPC!$B$4:$P$30,MONTH(G315)+2))</f>
        <v>0</v>
      </c>
      <c r="Q315" s="552">
        <f>IF(X315=0,0,IF(OR(E315=$AT$10,E315=$AT$9),VLOOKUP(YEAR(X315),INPC!$B$4:$P$30,MONTH(X315)+1),VLOOKUP(YEAR(X315),INPC!$B$4:$P$30,MONTH(X315)+2,0)))</f>
        <v>0</v>
      </c>
      <c r="R315" s="309">
        <f t="shared" si="74"/>
        <v>0</v>
      </c>
      <c r="S315" s="310">
        <f t="shared" si="83"/>
        <v>0</v>
      </c>
      <c r="T315" s="547">
        <f t="shared" si="84"/>
        <v>0</v>
      </c>
      <c r="U315" s="311"/>
      <c r="V315" s="312"/>
      <c r="W315" s="299"/>
      <c r="X315" s="300"/>
      <c r="Y315" s="299"/>
      <c r="Z315" s="303"/>
      <c r="AA315" s="305">
        <f>IF(Z315=0,0,IF(Y315="MXN",1/HLOOKUP(YEAR(X315)+(MONTH(X315)/100),TC!$5:$37,DAY(X315)+2,FALSE),VLOOKUP(Y315,Equivalencia!$1:$23,((MAX(Equivalencia!$3:$3)-YEAR(X315))*14)+MONTH(X315)+2,FALSE)))</f>
        <v>0</v>
      </c>
      <c r="AB315" s="306">
        <f t="shared" si="85"/>
        <v>0</v>
      </c>
      <c r="AC315" s="305">
        <f>+IF(X315=0,0,HLOOKUP(YEAR(X315)+(MONTH(X315)/100),TC!$5:$37,DAY(X315)+2,FALSE))</f>
        <v>0</v>
      </c>
      <c r="AD315" s="307">
        <f t="shared" si="86"/>
        <v>0</v>
      </c>
      <c r="AE315" s="314">
        <f t="shared" si="75"/>
        <v>0</v>
      </c>
      <c r="AF315" s="315">
        <f t="shared" si="76"/>
        <v>0</v>
      </c>
      <c r="AG315" s="316">
        <f t="shared" si="77"/>
        <v>0</v>
      </c>
      <c r="AH315" s="314">
        <v>1</v>
      </c>
      <c r="AI315" s="314">
        <f t="shared" si="78"/>
        <v>0</v>
      </c>
      <c r="AJ315" s="314">
        <f t="shared" si="87"/>
        <v>0</v>
      </c>
      <c r="AK315" s="317"/>
      <c r="AL315" s="315">
        <f t="shared" si="79"/>
        <v>0</v>
      </c>
      <c r="AN315" s="546">
        <f t="shared" si="80"/>
        <v>0</v>
      </c>
      <c r="AO315" s="314"/>
      <c r="AP315" s="318"/>
    </row>
    <row r="316" spans="2:42">
      <c r="B316" s="296"/>
      <c r="C316" s="299"/>
      <c r="D316" s="298"/>
      <c r="E316" s="299"/>
      <c r="F316" s="299"/>
      <c r="G316" s="300"/>
      <c r="H316" s="303"/>
      <c r="I316" s="301">
        <f t="shared" si="71"/>
        <v>0</v>
      </c>
      <c r="J316" s="302">
        <f t="shared" si="81"/>
        <v>0</v>
      </c>
      <c r="K316" s="304">
        <f t="shared" si="72"/>
        <v>0</v>
      </c>
      <c r="L316" s="305">
        <f>IF(H316=0,0,IF(OR(E316=$AT$5,E316=$AT$6),AA316,IF(F316="MXN",1/HLOOKUP(YEAR(G316)+(MONTH(G316)/100),TC!$5:$37,DAY(G316)+2,FALSE),VLOOKUP(F316,Equivalencia!$5:$23,((MAX(Equivalencia!$3:$3)-YEAR(G316))*14)+MONTH(G316)+2,FALSE))))</f>
        <v>0</v>
      </c>
      <c r="M316" s="306">
        <f t="shared" si="73"/>
        <v>0</v>
      </c>
      <c r="N316" s="305">
        <f>IF(G316=0,0,(IF(OR(E316=$AT$5,E316=$AT$6),AC316,HLOOKUP(YEAR(G316)+(MONTH(G316)/100),TC!$5:$37,DAY(G316)+2,FALSE))))</f>
        <v>0</v>
      </c>
      <c r="O316" s="307">
        <f t="shared" si="82"/>
        <v>0</v>
      </c>
      <c r="P316" s="552">
        <f>IF(G316=0,0,VLOOKUP(YEAR(G316),INPC!$B$4:$P$30,MONTH(G316)+2))</f>
        <v>0</v>
      </c>
      <c r="Q316" s="552">
        <f>IF(X316=0,0,IF(OR(E316=$AT$10,E316=$AT$9),VLOOKUP(YEAR(X316),INPC!$B$4:$P$30,MONTH(X316)+1),VLOOKUP(YEAR(X316),INPC!$B$4:$P$30,MONTH(X316)+2,0)))</f>
        <v>0</v>
      </c>
      <c r="R316" s="309">
        <f t="shared" si="74"/>
        <v>0</v>
      </c>
      <c r="S316" s="310">
        <f t="shared" si="83"/>
        <v>0</v>
      </c>
      <c r="T316" s="547">
        <f t="shared" si="84"/>
        <v>0</v>
      </c>
      <c r="U316" s="311"/>
      <c r="V316" s="312"/>
      <c r="W316" s="299"/>
      <c r="X316" s="300"/>
      <c r="Y316" s="299"/>
      <c r="Z316" s="303"/>
      <c r="AA316" s="305">
        <f>IF(Z316=0,0,IF(Y316="MXN",1/HLOOKUP(YEAR(X316)+(MONTH(X316)/100),TC!$5:$37,DAY(X316)+2,FALSE),VLOOKUP(Y316,Equivalencia!$1:$23,((MAX(Equivalencia!$3:$3)-YEAR(X316))*14)+MONTH(X316)+2,FALSE)))</f>
        <v>0</v>
      </c>
      <c r="AB316" s="306">
        <f t="shared" si="85"/>
        <v>0</v>
      </c>
      <c r="AC316" s="305">
        <f>+IF(X316=0,0,HLOOKUP(YEAR(X316)+(MONTH(X316)/100),TC!$5:$37,DAY(X316)+2,FALSE))</f>
        <v>0</v>
      </c>
      <c r="AD316" s="307">
        <f t="shared" si="86"/>
        <v>0</v>
      </c>
      <c r="AE316" s="314">
        <f t="shared" si="75"/>
        <v>0</v>
      </c>
      <c r="AF316" s="315">
        <f t="shared" si="76"/>
        <v>0</v>
      </c>
      <c r="AG316" s="316">
        <f t="shared" si="77"/>
        <v>0</v>
      </c>
      <c r="AH316" s="314">
        <v>1</v>
      </c>
      <c r="AI316" s="314">
        <f t="shared" si="78"/>
        <v>0</v>
      </c>
      <c r="AJ316" s="314">
        <f t="shared" si="87"/>
        <v>0</v>
      </c>
      <c r="AK316" s="317"/>
      <c r="AL316" s="315">
        <f t="shared" si="79"/>
        <v>0</v>
      </c>
      <c r="AN316" s="546">
        <f t="shared" si="80"/>
        <v>0</v>
      </c>
      <c r="AO316" s="314"/>
      <c r="AP316" s="318"/>
    </row>
    <row r="317" spans="2:42">
      <c r="B317" s="296"/>
      <c r="C317" s="299"/>
      <c r="D317" s="298"/>
      <c r="E317" s="299"/>
      <c r="F317" s="299"/>
      <c r="G317" s="300"/>
      <c r="H317" s="303"/>
      <c r="I317" s="301">
        <f t="shared" si="71"/>
        <v>0</v>
      </c>
      <c r="J317" s="302">
        <f t="shared" si="81"/>
        <v>0</v>
      </c>
      <c r="K317" s="304">
        <f t="shared" si="72"/>
        <v>0</v>
      </c>
      <c r="L317" s="305">
        <f>IF(H317=0,0,IF(OR(E317=$AT$5,E317=$AT$6),AA317,IF(F317="MXN",1/HLOOKUP(YEAR(G317)+(MONTH(G317)/100),TC!$5:$37,DAY(G317)+2,FALSE),VLOOKUP(F317,Equivalencia!$5:$23,((MAX(Equivalencia!$3:$3)-YEAR(G317))*14)+MONTH(G317)+2,FALSE))))</f>
        <v>0</v>
      </c>
      <c r="M317" s="306">
        <f t="shared" si="73"/>
        <v>0</v>
      </c>
      <c r="N317" s="305">
        <f>IF(G317=0,0,(IF(OR(E317=$AT$5,E317=$AT$6),AC317,HLOOKUP(YEAR(G317)+(MONTH(G317)/100),TC!$5:$37,DAY(G317)+2,FALSE))))</f>
        <v>0</v>
      </c>
      <c r="O317" s="307">
        <f t="shared" si="82"/>
        <v>0</v>
      </c>
      <c r="P317" s="552">
        <f>IF(G317=0,0,VLOOKUP(YEAR(G317),INPC!$B$4:$P$30,MONTH(G317)+2))</f>
        <v>0</v>
      </c>
      <c r="Q317" s="552">
        <f>IF(X317=0,0,IF(OR(E317=$AT$10,E317=$AT$9),VLOOKUP(YEAR(X317),INPC!$B$4:$P$30,MONTH(X317)+1),VLOOKUP(YEAR(X317),INPC!$B$4:$P$30,MONTH(X317)+2,0)))</f>
        <v>0</v>
      </c>
      <c r="R317" s="309">
        <f t="shared" si="74"/>
        <v>0</v>
      </c>
      <c r="S317" s="310">
        <f t="shared" si="83"/>
        <v>0</v>
      </c>
      <c r="T317" s="547">
        <f t="shared" si="84"/>
        <v>0</v>
      </c>
      <c r="U317" s="311"/>
      <c r="V317" s="312"/>
      <c r="W317" s="299"/>
      <c r="X317" s="300"/>
      <c r="Y317" s="299"/>
      <c r="Z317" s="303"/>
      <c r="AA317" s="305">
        <f>IF(Z317=0,0,IF(Y317="MXN",1/HLOOKUP(YEAR(X317)+(MONTH(X317)/100),TC!$5:$37,DAY(X317)+2,FALSE),VLOOKUP(Y317,Equivalencia!$1:$23,((MAX(Equivalencia!$3:$3)-YEAR(X317))*14)+MONTH(X317)+2,FALSE)))</f>
        <v>0</v>
      </c>
      <c r="AB317" s="306">
        <f t="shared" si="85"/>
        <v>0</v>
      </c>
      <c r="AC317" s="305">
        <f>+IF(X317=0,0,HLOOKUP(YEAR(X317)+(MONTH(X317)/100),TC!$5:$37,DAY(X317)+2,FALSE))</f>
        <v>0</v>
      </c>
      <c r="AD317" s="307">
        <f t="shared" si="86"/>
        <v>0</v>
      </c>
      <c r="AE317" s="314">
        <f t="shared" si="75"/>
        <v>0</v>
      </c>
      <c r="AF317" s="315">
        <f t="shared" si="76"/>
        <v>0</v>
      </c>
      <c r="AG317" s="316">
        <f t="shared" si="77"/>
        <v>0</v>
      </c>
      <c r="AH317" s="314">
        <v>1</v>
      </c>
      <c r="AI317" s="314">
        <f t="shared" si="78"/>
        <v>0</v>
      </c>
      <c r="AJ317" s="314">
        <f t="shared" si="87"/>
        <v>0</v>
      </c>
      <c r="AK317" s="317"/>
      <c r="AL317" s="315">
        <f t="shared" si="79"/>
        <v>0</v>
      </c>
      <c r="AN317" s="546">
        <f t="shared" si="80"/>
        <v>0</v>
      </c>
      <c r="AO317" s="314"/>
      <c r="AP317" s="318"/>
    </row>
    <row r="318" spans="2:42">
      <c r="B318" s="296"/>
      <c r="C318" s="299"/>
      <c r="D318" s="298"/>
      <c r="E318" s="299"/>
      <c r="F318" s="299"/>
      <c r="G318" s="300"/>
      <c r="H318" s="303"/>
      <c r="I318" s="301">
        <f t="shared" si="71"/>
        <v>0</v>
      </c>
      <c r="J318" s="302">
        <f t="shared" si="81"/>
        <v>0</v>
      </c>
      <c r="K318" s="304">
        <f t="shared" si="72"/>
        <v>0</v>
      </c>
      <c r="L318" s="305">
        <f>IF(H318=0,0,IF(OR(E318=$AT$5,E318=$AT$6),AA318,IF(F318="MXN",1/HLOOKUP(YEAR(G318)+(MONTH(G318)/100),TC!$5:$37,DAY(G318)+2,FALSE),VLOOKUP(F318,Equivalencia!$5:$23,((MAX(Equivalencia!$3:$3)-YEAR(G318))*14)+MONTH(G318)+2,FALSE))))</f>
        <v>0</v>
      </c>
      <c r="M318" s="306">
        <f t="shared" si="73"/>
        <v>0</v>
      </c>
      <c r="N318" s="305">
        <f>IF(G318=0,0,(IF(OR(E318=$AT$5,E318=$AT$6),AC318,HLOOKUP(YEAR(G318)+(MONTH(G318)/100),TC!$5:$37,DAY(G318)+2,FALSE))))</f>
        <v>0</v>
      </c>
      <c r="O318" s="307">
        <f t="shared" si="82"/>
        <v>0</v>
      </c>
      <c r="P318" s="552">
        <f>IF(G318=0,0,VLOOKUP(YEAR(G318),INPC!$B$4:$P$30,MONTH(G318)+2))</f>
        <v>0</v>
      </c>
      <c r="Q318" s="552">
        <f>IF(X318=0,0,IF(OR(E318=$AT$10,E318=$AT$9),VLOOKUP(YEAR(X318),INPC!$B$4:$P$30,MONTH(X318)+1),VLOOKUP(YEAR(X318),INPC!$B$4:$P$30,MONTH(X318)+2,0)))</f>
        <v>0</v>
      </c>
      <c r="R318" s="309">
        <f t="shared" si="74"/>
        <v>0</v>
      </c>
      <c r="S318" s="310">
        <f t="shared" si="83"/>
        <v>0</v>
      </c>
      <c r="T318" s="547">
        <f t="shared" si="84"/>
        <v>0</v>
      </c>
      <c r="U318" s="311"/>
      <c r="V318" s="312"/>
      <c r="W318" s="299"/>
      <c r="X318" s="300"/>
      <c r="Y318" s="299"/>
      <c r="Z318" s="303"/>
      <c r="AA318" s="305">
        <f>IF(Z318=0,0,IF(Y318="MXN",1/HLOOKUP(YEAR(X318)+(MONTH(X318)/100),TC!$5:$37,DAY(X318)+2,FALSE),VLOOKUP(Y318,Equivalencia!$1:$23,((MAX(Equivalencia!$3:$3)-YEAR(X318))*14)+MONTH(X318)+2,FALSE)))</f>
        <v>0</v>
      </c>
      <c r="AB318" s="306">
        <f t="shared" si="85"/>
        <v>0</v>
      </c>
      <c r="AC318" s="305">
        <f>+IF(X318=0,0,HLOOKUP(YEAR(X318)+(MONTH(X318)/100),TC!$5:$37,DAY(X318)+2,FALSE))</f>
        <v>0</v>
      </c>
      <c r="AD318" s="307">
        <f t="shared" si="86"/>
        <v>0</v>
      </c>
      <c r="AE318" s="314">
        <f t="shared" si="75"/>
        <v>0</v>
      </c>
      <c r="AF318" s="315">
        <f t="shared" si="76"/>
        <v>0</v>
      </c>
      <c r="AG318" s="316">
        <f t="shared" si="77"/>
        <v>0</v>
      </c>
      <c r="AH318" s="314">
        <v>1</v>
      </c>
      <c r="AI318" s="314">
        <f t="shared" si="78"/>
        <v>0</v>
      </c>
      <c r="AJ318" s="314">
        <f t="shared" si="87"/>
        <v>0</v>
      </c>
      <c r="AK318" s="317"/>
      <c r="AL318" s="315">
        <f t="shared" si="79"/>
        <v>0</v>
      </c>
      <c r="AN318" s="546">
        <f t="shared" si="80"/>
        <v>0</v>
      </c>
      <c r="AO318" s="314"/>
      <c r="AP318" s="318"/>
    </row>
    <row r="319" spans="2:42">
      <c r="B319" s="296"/>
      <c r="C319" s="299"/>
      <c r="D319" s="298"/>
      <c r="E319" s="299"/>
      <c r="F319" s="299"/>
      <c r="G319" s="300"/>
      <c r="H319" s="303"/>
      <c r="I319" s="301">
        <f t="shared" si="71"/>
        <v>0</v>
      </c>
      <c r="J319" s="302">
        <f t="shared" si="81"/>
        <v>0</v>
      </c>
      <c r="K319" s="304">
        <f t="shared" si="72"/>
        <v>0</v>
      </c>
      <c r="L319" s="305">
        <f>IF(H319=0,0,IF(OR(E319=$AT$5,E319=$AT$6),AA319,IF(F319="MXN",1/HLOOKUP(YEAR(G319)+(MONTH(G319)/100),TC!$5:$37,DAY(G319)+2,FALSE),VLOOKUP(F319,Equivalencia!$5:$23,((MAX(Equivalencia!$3:$3)-YEAR(G319))*14)+MONTH(G319)+2,FALSE))))</f>
        <v>0</v>
      </c>
      <c r="M319" s="306">
        <f t="shared" si="73"/>
        <v>0</v>
      </c>
      <c r="N319" s="305">
        <f>IF(G319=0,0,(IF(OR(E319=$AT$5,E319=$AT$6),AC319,HLOOKUP(YEAR(G319)+(MONTH(G319)/100),TC!$5:$37,DAY(G319)+2,FALSE))))</f>
        <v>0</v>
      </c>
      <c r="O319" s="307">
        <f t="shared" si="82"/>
        <v>0</v>
      </c>
      <c r="P319" s="552">
        <f>IF(G319=0,0,VLOOKUP(YEAR(G319),INPC!$B$4:$P$30,MONTH(G319)+2))</f>
        <v>0</v>
      </c>
      <c r="Q319" s="552">
        <f>IF(X319=0,0,IF(OR(E319=$AT$10,E319=$AT$9),VLOOKUP(YEAR(X319),INPC!$B$4:$P$30,MONTH(X319)+1),VLOOKUP(YEAR(X319),INPC!$B$4:$P$30,MONTH(X319)+2,0)))</f>
        <v>0</v>
      </c>
      <c r="R319" s="309">
        <f t="shared" si="74"/>
        <v>0</v>
      </c>
      <c r="S319" s="310">
        <f t="shared" si="83"/>
        <v>0</v>
      </c>
      <c r="T319" s="547">
        <f t="shared" si="84"/>
        <v>0</v>
      </c>
      <c r="U319" s="311"/>
      <c r="V319" s="312"/>
      <c r="W319" s="299"/>
      <c r="X319" s="300"/>
      <c r="Y319" s="299"/>
      <c r="Z319" s="303"/>
      <c r="AA319" s="305">
        <f>IF(Z319=0,0,IF(Y319="MXN",1/HLOOKUP(YEAR(X319)+(MONTH(X319)/100),TC!$5:$37,DAY(X319)+2,FALSE),VLOOKUP(Y319,Equivalencia!$1:$23,((MAX(Equivalencia!$3:$3)-YEAR(X319))*14)+MONTH(X319)+2,FALSE)))</f>
        <v>0</v>
      </c>
      <c r="AB319" s="306">
        <f t="shared" si="85"/>
        <v>0</v>
      </c>
      <c r="AC319" s="305">
        <f>+IF(X319=0,0,HLOOKUP(YEAR(X319)+(MONTH(X319)/100),TC!$5:$37,DAY(X319)+2,FALSE))</f>
        <v>0</v>
      </c>
      <c r="AD319" s="307">
        <f t="shared" si="86"/>
        <v>0</v>
      </c>
      <c r="AE319" s="314">
        <f t="shared" si="75"/>
        <v>0</v>
      </c>
      <c r="AF319" s="315">
        <f t="shared" si="76"/>
        <v>0</v>
      </c>
      <c r="AG319" s="316">
        <f t="shared" si="77"/>
        <v>0</v>
      </c>
      <c r="AH319" s="314">
        <v>1</v>
      </c>
      <c r="AI319" s="314">
        <f t="shared" si="78"/>
        <v>0</v>
      </c>
      <c r="AJ319" s="314">
        <f t="shared" si="87"/>
        <v>0</v>
      </c>
      <c r="AK319" s="317"/>
      <c r="AL319" s="315">
        <f t="shared" si="79"/>
        <v>0</v>
      </c>
      <c r="AN319" s="546">
        <f t="shared" si="80"/>
        <v>0</v>
      </c>
      <c r="AO319" s="314"/>
      <c r="AP319" s="318"/>
    </row>
    <row r="320" spans="2:42">
      <c r="B320" s="296"/>
      <c r="C320" s="299"/>
      <c r="D320" s="298"/>
      <c r="E320" s="299"/>
      <c r="F320" s="299"/>
      <c r="G320" s="300"/>
      <c r="H320" s="303"/>
      <c r="I320" s="301">
        <f t="shared" si="71"/>
        <v>0</v>
      </c>
      <c r="J320" s="302">
        <f t="shared" si="81"/>
        <v>0</v>
      </c>
      <c r="K320" s="304">
        <f t="shared" si="72"/>
        <v>0</v>
      </c>
      <c r="L320" s="305">
        <f>IF(H320=0,0,IF(OR(E320=$AT$5,E320=$AT$6),AA320,IF(F320="MXN",1/HLOOKUP(YEAR(G320)+(MONTH(G320)/100),TC!$5:$37,DAY(G320)+2,FALSE),VLOOKUP(F320,Equivalencia!$5:$23,((MAX(Equivalencia!$3:$3)-YEAR(G320))*14)+MONTH(G320)+2,FALSE))))</f>
        <v>0</v>
      </c>
      <c r="M320" s="306">
        <f t="shared" si="73"/>
        <v>0</v>
      </c>
      <c r="N320" s="305">
        <f>IF(G320=0,0,(IF(OR(E320=$AT$5,E320=$AT$6),AC320,HLOOKUP(YEAR(G320)+(MONTH(G320)/100),TC!$5:$37,DAY(G320)+2,FALSE))))</f>
        <v>0</v>
      </c>
      <c r="O320" s="307">
        <f t="shared" si="82"/>
        <v>0</v>
      </c>
      <c r="P320" s="552">
        <f>IF(G320=0,0,VLOOKUP(YEAR(G320),INPC!$B$4:$P$30,MONTH(G320)+2))</f>
        <v>0</v>
      </c>
      <c r="Q320" s="552">
        <f>IF(X320=0,0,IF(OR(E320=$AT$10,E320=$AT$9),VLOOKUP(YEAR(X320),INPC!$B$4:$P$30,MONTH(X320)+1),VLOOKUP(YEAR(X320),INPC!$B$4:$P$30,MONTH(X320)+2,0)))</f>
        <v>0</v>
      </c>
      <c r="R320" s="309">
        <f t="shared" si="74"/>
        <v>0</v>
      </c>
      <c r="S320" s="310">
        <f t="shared" si="83"/>
        <v>0</v>
      </c>
      <c r="T320" s="547">
        <f t="shared" si="84"/>
        <v>0</v>
      </c>
      <c r="U320" s="311"/>
      <c r="V320" s="312"/>
      <c r="W320" s="299"/>
      <c r="X320" s="300"/>
      <c r="Y320" s="299"/>
      <c r="Z320" s="303"/>
      <c r="AA320" s="305">
        <f>IF(Z320=0,0,IF(Y320="MXN",1/HLOOKUP(YEAR(X320)+(MONTH(X320)/100),TC!$5:$37,DAY(X320)+2,FALSE),VLOOKUP(Y320,Equivalencia!$1:$23,((MAX(Equivalencia!$3:$3)-YEAR(X320))*14)+MONTH(X320)+2,FALSE)))</f>
        <v>0</v>
      </c>
      <c r="AB320" s="306">
        <f t="shared" si="85"/>
        <v>0</v>
      </c>
      <c r="AC320" s="305">
        <f>+IF(X320=0,0,HLOOKUP(YEAR(X320)+(MONTH(X320)/100),TC!$5:$37,DAY(X320)+2,FALSE))</f>
        <v>0</v>
      </c>
      <c r="AD320" s="307">
        <f t="shared" si="86"/>
        <v>0</v>
      </c>
      <c r="AE320" s="314">
        <f t="shared" si="75"/>
        <v>0</v>
      </c>
      <c r="AF320" s="315">
        <f t="shared" si="76"/>
        <v>0</v>
      </c>
      <c r="AG320" s="316">
        <f t="shared" si="77"/>
        <v>0</v>
      </c>
      <c r="AH320" s="314">
        <v>1</v>
      </c>
      <c r="AI320" s="314">
        <f t="shared" si="78"/>
        <v>0</v>
      </c>
      <c r="AJ320" s="314">
        <f t="shared" si="87"/>
        <v>0</v>
      </c>
      <c r="AK320" s="317"/>
      <c r="AL320" s="315">
        <f t="shared" si="79"/>
        <v>0</v>
      </c>
      <c r="AN320" s="546">
        <f t="shared" si="80"/>
        <v>0</v>
      </c>
      <c r="AO320" s="314"/>
      <c r="AP320" s="318"/>
    </row>
    <row r="321" spans="2:42">
      <c r="B321" s="296"/>
      <c r="C321" s="299"/>
      <c r="D321" s="298"/>
      <c r="E321" s="299"/>
      <c r="F321" s="299"/>
      <c r="G321" s="300"/>
      <c r="H321" s="303"/>
      <c r="I321" s="301">
        <f t="shared" si="71"/>
        <v>0</v>
      </c>
      <c r="J321" s="302">
        <f t="shared" si="81"/>
        <v>0</v>
      </c>
      <c r="K321" s="304">
        <f t="shared" si="72"/>
        <v>0</v>
      </c>
      <c r="L321" s="305">
        <f>IF(H321=0,0,IF(OR(E321=$AT$5,E321=$AT$6),AA321,IF(F321="MXN",1/HLOOKUP(YEAR(G321)+(MONTH(G321)/100),TC!$5:$37,DAY(G321)+2,FALSE),VLOOKUP(F321,Equivalencia!$5:$23,((MAX(Equivalencia!$3:$3)-YEAR(G321))*14)+MONTH(G321)+2,FALSE))))</f>
        <v>0</v>
      </c>
      <c r="M321" s="306">
        <f t="shared" si="73"/>
        <v>0</v>
      </c>
      <c r="N321" s="305">
        <f>IF(G321=0,0,(IF(OR(E321=$AT$5,E321=$AT$6),AC321,HLOOKUP(YEAR(G321)+(MONTH(G321)/100),TC!$5:$37,DAY(G321)+2,FALSE))))</f>
        <v>0</v>
      </c>
      <c r="O321" s="307">
        <f t="shared" si="82"/>
        <v>0</v>
      </c>
      <c r="P321" s="552">
        <f>IF(G321=0,0,VLOOKUP(YEAR(G321),INPC!$B$4:$P$30,MONTH(G321)+2))</f>
        <v>0</v>
      </c>
      <c r="Q321" s="552">
        <f>IF(X321=0,0,IF(OR(E321=$AT$10,E321=$AT$9),VLOOKUP(YEAR(X321),INPC!$B$4:$P$30,MONTH(X321)+1),VLOOKUP(YEAR(X321),INPC!$B$4:$P$30,MONTH(X321)+2,0)))</f>
        <v>0</v>
      </c>
      <c r="R321" s="309">
        <f t="shared" si="74"/>
        <v>0</v>
      </c>
      <c r="S321" s="310">
        <f t="shared" si="83"/>
        <v>0</v>
      </c>
      <c r="T321" s="547">
        <f t="shared" si="84"/>
        <v>0</v>
      </c>
      <c r="U321" s="311"/>
      <c r="V321" s="312"/>
      <c r="W321" s="299"/>
      <c r="X321" s="300"/>
      <c r="Y321" s="299"/>
      <c r="Z321" s="303"/>
      <c r="AA321" s="305">
        <f>IF(Z321=0,0,IF(Y321="MXN",1/HLOOKUP(YEAR(X321)+(MONTH(X321)/100),TC!$5:$37,DAY(X321)+2,FALSE),VLOOKUP(Y321,Equivalencia!$1:$23,((MAX(Equivalencia!$3:$3)-YEAR(X321))*14)+MONTH(X321)+2,FALSE)))</f>
        <v>0</v>
      </c>
      <c r="AB321" s="306">
        <f t="shared" si="85"/>
        <v>0</v>
      </c>
      <c r="AC321" s="305">
        <f>+IF(X321=0,0,HLOOKUP(YEAR(X321)+(MONTH(X321)/100),TC!$5:$37,DAY(X321)+2,FALSE))</f>
        <v>0</v>
      </c>
      <c r="AD321" s="307">
        <f t="shared" si="86"/>
        <v>0</v>
      </c>
      <c r="AE321" s="314">
        <f t="shared" si="75"/>
        <v>0</v>
      </c>
      <c r="AF321" s="315">
        <f t="shared" si="76"/>
        <v>0</v>
      </c>
      <c r="AG321" s="316">
        <f t="shared" si="77"/>
        <v>0</v>
      </c>
      <c r="AH321" s="314">
        <v>1</v>
      </c>
      <c r="AI321" s="314">
        <f t="shared" si="78"/>
        <v>0</v>
      </c>
      <c r="AJ321" s="314">
        <f t="shared" si="87"/>
        <v>0</v>
      </c>
      <c r="AK321" s="317"/>
      <c r="AL321" s="315">
        <f t="shared" si="79"/>
        <v>0</v>
      </c>
      <c r="AN321" s="546">
        <f t="shared" si="80"/>
        <v>0</v>
      </c>
      <c r="AO321" s="314"/>
      <c r="AP321" s="318"/>
    </row>
    <row r="322" spans="2:42">
      <c r="B322" s="296"/>
      <c r="C322" s="299"/>
      <c r="D322" s="298"/>
      <c r="E322" s="299"/>
      <c r="F322" s="299"/>
      <c r="G322" s="300"/>
      <c r="H322" s="303"/>
      <c r="I322" s="301">
        <f t="shared" ref="I322:I385" si="88">IF(D322=0,0,IF(OR(E322=$AT$9,E322=$AT$10),"Ingresos Sección II LISR (SIC &amp; BMV)","Ingresos Sección I LISR"))</f>
        <v>0</v>
      </c>
      <c r="J322" s="302">
        <f t="shared" si="81"/>
        <v>0</v>
      </c>
      <c r="K322" s="304">
        <f t="shared" ref="K322:K385" si="89">IF(H322=0,0,H322/J322)</f>
        <v>0</v>
      </c>
      <c r="L322" s="305">
        <f>IF(H322=0,0,IF(OR(E322=$AT$5,E322=$AT$6),AA322,IF(F322="MXN",1/HLOOKUP(YEAR(G322)+(MONTH(G322)/100),TC!$5:$37,DAY(G322)+2,FALSE),VLOOKUP(F322,Equivalencia!$5:$23,((MAX(Equivalencia!$3:$3)-YEAR(G322))*14)+MONTH(G322)+2,FALSE))))</f>
        <v>0</v>
      </c>
      <c r="M322" s="306">
        <f t="shared" ref="M322:M385" si="90">+H322*L322</f>
        <v>0</v>
      </c>
      <c r="N322" s="305">
        <f>IF(G322=0,0,(IF(OR(E322=$AT$5,E322=$AT$6),AC322,HLOOKUP(YEAR(G322)+(MONTH(G322)/100),TC!$5:$37,DAY(G322)+2,FALSE))))</f>
        <v>0</v>
      </c>
      <c r="O322" s="307">
        <f t="shared" si="82"/>
        <v>0</v>
      </c>
      <c r="P322" s="552">
        <f>IF(G322=0,0,VLOOKUP(YEAR(G322),INPC!$B$4:$P$30,MONTH(G322)+2))</f>
        <v>0</v>
      </c>
      <c r="Q322" s="552">
        <f>IF(X322=0,0,IF(OR(E322=$AT$10,E322=$AT$9),VLOOKUP(YEAR(X322),INPC!$B$4:$P$30,MONTH(X322)+1),VLOOKUP(YEAR(X322),INPC!$B$4:$P$30,MONTH(X322)+2,0)))</f>
        <v>0</v>
      </c>
      <c r="R322" s="309">
        <f t="shared" ref="R322:R385" si="91">IF(H322=0,0,IF(OR(E322=$AT$5,E322=$AT$6),1,IF(TRUNC(Q322/P322,4)&gt;=1,TRUNC(Q322/P322,4),1)))</f>
        <v>0</v>
      </c>
      <c r="S322" s="310">
        <f t="shared" si="83"/>
        <v>0</v>
      </c>
      <c r="T322" s="547">
        <f t="shared" si="84"/>
        <v>0</v>
      </c>
      <c r="U322" s="311"/>
      <c r="V322" s="312"/>
      <c r="W322" s="299"/>
      <c r="X322" s="300"/>
      <c r="Y322" s="299"/>
      <c r="Z322" s="303"/>
      <c r="AA322" s="305">
        <f>IF(Z322=0,0,IF(Y322="MXN",1/HLOOKUP(YEAR(X322)+(MONTH(X322)/100),TC!$5:$37,DAY(X322)+2,FALSE),VLOOKUP(Y322,Equivalencia!$1:$23,((MAX(Equivalencia!$3:$3)-YEAR(X322))*14)+MONTH(X322)+2,FALSE)))</f>
        <v>0</v>
      </c>
      <c r="AB322" s="306">
        <f t="shared" si="85"/>
        <v>0</v>
      </c>
      <c r="AC322" s="305">
        <f>+IF(X322=0,0,HLOOKUP(YEAR(X322)+(MONTH(X322)/100),TC!$5:$37,DAY(X322)+2,FALSE))</f>
        <v>0</v>
      </c>
      <c r="AD322" s="307">
        <f t="shared" si="86"/>
        <v>0</v>
      </c>
      <c r="AE322" s="314">
        <f t="shared" ref="AE322:AE385" si="92">+V322*T322</f>
        <v>0</v>
      </c>
      <c r="AF322" s="315">
        <f t="shared" ref="AF322:AF385" si="93">IF(E322=$AT$11,0,AD322-AE322)</f>
        <v>0</v>
      </c>
      <c r="AG322" s="316">
        <f t="shared" ref="AG322:AG385" si="94">+IF(AND(AF322&lt;0,OR(E322=$AT$5,E322=$AT$6)),1,((X322-G322)/365))</f>
        <v>0</v>
      </c>
      <c r="AH322" s="314">
        <v>1</v>
      </c>
      <c r="AI322" s="314">
        <f t="shared" ref="AI322:AI385" si="95">+IF(OR(E322=$AT$9,E322=$AT$10),AF322,+AF322/AH322)</f>
        <v>0</v>
      </c>
      <c r="AJ322" s="314">
        <f t="shared" si="87"/>
        <v>0</v>
      </c>
      <c r="AK322" s="317"/>
      <c r="AL322" s="315">
        <f t="shared" ref="AL322:AL385" si="96">+AB322-M322</f>
        <v>0</v>
      </c>
      <c r="AN322" s="546">
        <f t="shared" ref="AN322:AN385" si="97">IF(AL322=0,0,AL322/H322)</f>
        <v>0</v>
      </c>
      <c r="AO322" s="314"/>
      <c r="AP322" s="318"/>
    </row>
    <row r="323" spans="2:42">
      <c r="B323" s="296"/>
      <c r="C323" s="299"/>
      <c r="D323" s="298"/>
      <c r="E323" s="299"/>
      <c r="F323" s="299"/>
      <c r="G323" s="300"/>
      <c r="H323" s="303"/>
      <c r="I323" s="301">
        <f t="shared" si="88"/>
        <v>0</v>
      </c>
      <c r="J323" s="302">
        <f t="shared" ref="J323:J386" si="98">+V323</f>
        <v>0</v>
      </c>
      <c r="K323" s="304">
        <f t="shared" si="89"/>
        <v>0</v>
      </c>
      <c r="L323" s="305">
        <f>IF(H323=0,0,IF(OR(E323=$AT$5,E323=$AT$6),AA323,IF(F323="MXN",1/HLOOKUP(YEAR(G323)+(MONTH(G323)/100),TC!$5:$37,DAY(G323)+2,FALSE),VLOOKUP(F323,Equivalencia!$5:$23,((MAX(Equivalencia!$3:$3)-YEAR(G323))*14)+MONTH(G323)+2,FALSE))))</f>
        <v>0</v>
      </c>
      <c r="M323" s="306">
        <f t="shared" si="90"/>
        <v>0</v>
      </c>
      <c r="N323" s="305">
        <f>IF(G323=0,0,(IF(OR(E323=$AT$5,E323=$AT$6),AC323,HLOOKUP(YEAR(G323)+(MONTH(G323)/100),TC!$5:$37,DAY(G323)+2,FALSE))))</f>
        <v>0</v>
      </c>
      <c r="O323" s="307">
        <f t="shared" ref="O323:O386" si="99">+M323*N323</f>
        <v>0</v>
      </c>
      <c r="P323" s="552">
        <f>IF(G323=0,0,VLOOKUP(YEAR(G323),INPC!$B$4:$P$30,MONTH(G323)+2))</f>
        <v>0</v>
      </c>
      <c r="Q323" s="552">
        <f>IF(X323=0,0,IF(OR(E323=$AT$10,E323=$AT$9),VLOOKUP(YEAR(X323),INPC!$B$4:$P$30,MONTH(X323)+1),VLOOKUP(YEAR(X323),INPC!$B$4:$P$30,MONTH(X323)+2,0)))</f>
        <v>0</v>
      </c>
      <c r="R323" s="309">
        <f t="shared" si="91"/>
        <v>0</v>
      </c>
      <c r="S323" s="310">
        <f t="shared" ref="S323:S386" si="100">+R323*O323</f>
        <v>0</v>
      </c>
      <c r="T323" s="547">
        <f t="shared" ref="T323:T386" si="101">IF(V323=0,0,S323/V323)</f>
        <v>0</v>
      </c>
      <c r="U323" s="311"/>
      <c r="V323" s="312"/>
      <c r="W323" s="299"/>
      <c r="X323" s="300"/>
      <c r="Y323" s="299"/>
      <c r="Z323" s="303"/>
      <c r="AA323" s="305">
        <f>IF(Z323=0,0,IF(Y323="MXN",1/HLOOKUP(YEAR(X323)+(MONTH(X323)/100),TC!$5:$37,DAY(X323)+2,FALSE),VLOOKUP(Y323,Equivalencia!$1:$23,((MAX(Equivalencia!$3:$3)-YEAR(X323))*14)+MONTH(X323)+2,FALSE)))</f>
        <v>0</v>
      </c>
      <c r="AB323" s="306">
        <f t="shared" ref="AB323:AB386" si="102">+AA323*Z323</f>
        <v>0</v>
      </c>
      <c r="AC323" s="305">
        <f>+IF(X323=0,0,HLOOKUP(YEAR(X323)+(MONTH(X323)/100),TC!$5:$37,DAY(X323)+2,FALSE))</f>
        <v>0</v>
      </c>
      <c r="AD323" s="307">
        <f t="shared" ref="AD323:AD386" si="103">+AC323*AB323</f>
        <v>0</v>
      </c>
      <c r="AE323" s="314">
        <f t="shared" si="92"/>
        <v>0</v>
      </c>
      <c r="AF323" s="315">
        <f t="shared" si="93"/>
        <v>0</v>
      </c>
      <c r="AG323" s="316">
        <f t="shared" si="94"/>
        <v>0</v>
      </c>
      <c r="AH323" s="314">
        <v>1</v>
      </c>
      <c r="AI323" s="314">
        <f t="shared" si="95"/>
        <v>0</v>
      </c>
      <c r="AJ323" s="314">
        <f t="shared" ref="AJ323:AJ386" si="104">+AF323-AI323</f>
        <v>0</v>
      </c>
      <c r="AK323" s="317"/>
      <c r="AL323" s="315">
        <f t="shared" si="96"/>
        <v>0</v>
      </c>
      <c r="AN323" s="546">
        <f t="shared" si="97"/>
        <v>0</v>
      </c>
      <c r="AO323" s="314"/>
      <c r="AP323" s="318"/>
    </row>
    <row r="324" spans="2:42">
      <c r="B324" s="296"/>
      <c r="C324" s="299"/>
      <c r="D324" s="298"/>
      <c r="E324" s="299"/>
      <c r="F324" s="299"/>
      <c r="G324" s="300"/>
      <c r="H324" s="303"/>
      <c r="I324" s="301">
        <f t="shared" si="88"/>
        <v>0</v>
      </c>
      <c r="J324" s="302">
        <f t="shared" si="98"/>
        <v>0</v>
      </c>
      <c r="K324" s="304">
        <f t="shared" si="89"/>
        <v>0</v>
      </c>
      <c r="L324" s="305">
        <f>IF(H324=0,0,IF(OR(E324=$AT$5,E324=$AT$6),AA324,IF(F324="MXN",1/HLOOKUP(YEAR(G324)+(MONTH(G324)/100),TC!$5:$37,DAY(G324)+2,FALSE),VLOOKUP(F324,Equivalencia!$5:$23,((MAX(Equivalencia!$3:$3)-YEAR(G324))*14)+MONTH(G324)+2,FALSE))))</f>
        <v>0</v>
      </c>
      <c r="M324" s="306">
        <f t="shared" si="90"/>
        <v>0</v>
      </c>
      <c r="N324" s="305">
        <f>IF(G324=0,0,(IF(OR(E324=$AT$5,E324=$AT$6),AC324,HLOOKUP(YEAR(G324)+(MONTH(G324)/100),TC!$5:$37,DAY(G324)+2,FALSE))))</f>
        <v>0</v>
      </c>
      <c r="O324" s="307">
        <f t="shared" si="99"/>
        <v>0</v>
      </c>
      <c r="P324" s="552">
        <f>IF(G324=0,0,VLOOKUP(YEAR(G324),INPC!$B$4:$P$30,MONTH(G324)+2))</f>
        <v>0</v>
      </c>
      <c r="Q324" s="552">
        <f>IF(X324=0,0,IF(OR(E324=$AT$10,E324=$AT$9),VLOOKUP(YEAR(X324),INPC!$B$4:$P$30,MONTH(X324)+1),VLOOKUP(YEAR(X324),INPC!$B$4:$P$30,MONTH(X324)+2,0)))</f>
        <v>0</v>
      </c>
      <c r="R324" s="309">
        <f t="shared" si="91"/>
        <v>0</v>
      </c>
      <c r="S324" s="310">
        <f t="shared" si="100"/>
        <v>0</v>
      </c>
      <c r="T324" s="547">
        <f t="shared" si="101"/>
        <v>0</v>
      </c>
      <c r="U324" s="311"/>
      <c r="V324" s="312"/>
      <c r="W324" s="299"/>
      <c r="X324" s="300"/>
      <c r="Y324" s="299"/>
      <c r="Z324" s="303"/>
      <c r="AA324" s="305">
        <f>IF(Z324=0,0,IF(Y324="MXN",1/HLOOKUP(YEAR(X324)+(MONTH(X324)/100),TC!$5:$37,DAY(X324)+2,FALSE),VLOOKUP(Y324,Equivalencia!$1:$23,((MAX(Equivalencia!$3:$3)-YEAR(X324))*14)+MONTH(X324)+2,FALSE)))</f>
        <v>0</v>
      </c>
      <c r="AB324" s="306">
        <f t="shared" si="102"/>
        <v>0</v>
      </c>
      <c r="AC324" s="305">
        <f>+IF(X324=0,0,HLOOKUP(YEAR(X324)+(MONTH(X324)/100),TC!$5:$37,DAY(X324)+2,FALSE))</f>
        <v>0</v>
      </c>
      <c r="AD324" s="307">
        <f t="shared" si="103"/>
        <v>0</v>
      </c>
      <c r="AE324" s="314">
        <f t="shared" si="92"/>
        <v>0</v>
      </c>
      <c r="AF324" s="315">
        <f t="shared" si="93"/>
        <v>0</v>
      </c>
      <c r="AG324" s="316">
        <f t="shared" si="94"/>
        <v>0</v>
      </c>
      <c r="AH324" s="314">
        <v>1</v>
      </c>
      <c r="AI324" s="314">
        <f t="shared" si="95"/>
        <v>0</v>
      </c>
      <c r="AJ324" s="314">
        <f t="shared" si="104"/>
        <v>0</v>
      </c>
      <c r="AK324" s="317"/>
      <c r="AL324" s="315">
        <f t="shared" si="96"/>
        <v>0</v>
      </c>
      <c r="AN324" s="546">
        <f t="shared" si="97"/>
        <v>0</v>
      </c>
      <c r="AO324" s="314"/>
      <c r="AP324" s="318"/>
    </row>
    <row r="325" spans="2:42">
      <c r="B325" s="296"/>
      <c r="C325" s="299"/>
      <c r="D325" s="298"/>
      <c r="E325" s="299"/>
      <c r="F325" s="299"/>
      <c r="G325" s="300"/>
      <c r="H325" s="303"/>
      <c r="I325" s="301">
        <f t="shared" si="88"/>
        <v>0</v>
      </c>
      <c r="J325" s="302">
        <f t="shared" si="98"/>
        <v>0</v>
      </c>
      <c r="K325" s="304">
        <f t="shared" si="89"/>
        <v>0</v>
      </c>
      <c r="L325" s="305">
        <f>IF(H325=0,0,IF(OR(E325=$AT$5,E325=$AT$6),AA325,IF(F325="MXN",1/HLOOKUP(YEAR(G325)+(MONTH(G325)/100),TC!$5:$37,DAY(G325)+2,FALSE),VLOOKUP(F325,Equivalencia!$5:$23,((MAX(Equivalencia!$3:$3)-YEAR(G325))*14)+MONTH(G325)+2,FALSE))))</f>
        <v>0</v>
      </c>
      <c r="M325" s="306">
        <f t="shared" si="90"/>
        <v>0</v>
      </c>
      <c r="N325" s="305">
        <f>IF(G325=0,0,(IF(OR(E325=$AT$5,E325=$AT$6),AC325,HLOOKUP(YEAR(G325)+(MONTH(G325)/100),TC!$5:$37,DAY(G325)+2,FALSE))))</f>
        <v>0</v>
      </c>
      <c r="O325" s="307">
        <f t="shared" si="99"/>
        <v>0</v>
      </c>
      <c r="P325" s="552">
        <f>IF(G325=0,0,VLOOKUP(YEAR(G325),INPC!$B$4:$P$30,MONTH(G325)+2))</f>
        <v>0</v>
      </c>
      <c r="Q325" s="552">
        <f>IF(X325=0,0,IF(OR(E325=$AT$10,E325=$AT$9),VLOOKUP(YEAR(X325),INPC!$B$4:$P$30,MONTH(X325)+1),VLOOKUP(YEAR(X325),INPC!$B$4:$P$30,MONTH(X325)+2,0)))</f>
        <v>0</v>
      </c>
      <c r="R325" s="309">
        <f t="shared" si="91"/>
        <v>0</v>
      </c>
      <c r="S325" s="310">
        <f t="shared" si="100"/>
        <v>0</v>
      </c>
      <c r="T325" s="547">
        <f t="shared" si="101"/>
        <v>0</v>
      </c>
      <c r="U325" s="311"/>
      <c r="V325" s="312"/>
      <c r="W325" s="299"/>
      <c r="X325" s="300"/>
      <c r="Y325" s="299"/>
      <c r="Z325" s="303"/>
      <c r="AA325" s="305">
        <f>IF(Z325=0,0,IF(Y325="MXN",1/HLOOKUP(YEAR(X325)+(MONTH(X325)/100),TC!$5:$37,DAY(X325)+2,FALSE),VLOOKUP(Y325,Equivalencia!$1:$23,((MAX(Equivalencia!$3:$3)-YEAR(X325))*14)+MONTH(X325)+2,FALSE)))</f>
        <v>0</v>
      </c>
      <c r="AB325" s="306">
        <f t="shared" si="102"/>
        <v>0</v>
      </c>
      <c r="AC325" s="305">
        <f>+IF(X325=0,0,HLOOKUP(YEAR(X325)+(MONTH(X325)/100),TC!$5:$37,DAY(X325)+2,FALSE))</f>
        <v>0</v>
      </c>
      <c r="AD325" s="307">
        <f t="shared" si="103"/>
        <v>0</v>
      </c>
      <c r="AE325" s="314">
        <f t="shared" si="92"/>
        <v>0</v>
      </c>
      <c r="AF325" s="315">
        <f t="shared" si="93"/>
        <v>0</v>
      </c>
      <c r="AG325" s="316">
        <f t="shared" si="94"/>
        <v>0</v>
      </c>
      <c r="AH325" s="314">
        <v>1</v>
      </c>
      <c r="AI325" s="314">
        <f t="shared" si="95"/>
        <v>0</v>
      </c>
      <c r="AJ325" s="314">
        <f t="shared" si="104"/>
        <v>0</v>
      </c>
      <c r="AK325" s="317"/>
      <c r="AL325" s="315">
        <f t="shared" si="96"/>
        <v>0</v>
      </c>
      <c r="AN325" s="546">
        <f t="shared" si="97"/>
        <v>0</v>
      </c>
      <c r="AO325" s="314"/>
      <c r="AP325" s="318"/>
    </row>
    <row r="326" spans="2:42">
      <c r="B326" s="296"/>
      <c r="C326" s="299"/>
      <c r="D326" s="298"/>
      <c r="E326" s="299"/>
      <c r="F326" s="299"/>
      <c r="G326" s="300"/>
      <c r="H326" s="303"/>
      <c r="I326" s="301">
        <f t="shared" si="88"/>
        <v>0</v>
      </c>
      <c r="J326" s="302">
        <f t="shared" si="98"/>
        <v>0</v>
      </c>
      <c r="K326" s="304">
        <f t="shared" si="89"/>
        <v>0</v>
      </c>
      <c r="L326" s="305">
        <f>IF(H326=0,0,IF(OR(E326=$AT$5,E326=$AT$6),AA326,IF(F326="MXN",1/HLOOKUP(YEAR(G326)+(MONTH(G326)/100),TC!$5:$37,DAY(G326)+2,FALSE),VLOOKUP(F326,Equivalencia!$5:$23,((MAX(Equivalencia!$3:$3)-YEAR(G326))*14)+MONTH(G326)+2,FALSE))))</f>
        <v>0</v>
      </c>
      <c r="M326" s="306">
        <f t="shared" si="90"/>
        <v>0</v>
      </c>
      <c r="N326" s="305">
        <f>IF(G326=0,0,(IF(OR(E326=$AT$5,E326=$AT$6),AC326,HLOOKUP(YEAR(G326)+(MONTH(G326)/100),TC!$5:$37,DAY(G326)+2,FALSE))))</f>
        <v>0</v>
      </c>
      <c r="O326" s="307">
        <f t="shared" si="99"/>
        <v>0</v>
      </c>
      <c r="P326" s="552">
        <f>IF(G326=0,0,VLOOKUP(YEAR(G326),INPC!$B$4:$P$30,MONTH(G326)+2))</f>
        <v>0</v>
      </c>
      <c r="Q326" s="552">
        <f>IF(X326=0,0,IF(OR(E326=$AT$10,E326=$AT$9),VLOOKUP(YEAR(X326),INPC!$B$4:$P$30,MONTH(X326)+1),VLOOKUP(YEAR(X326),INPC!$B$4:$P$30,MONTH(X326)+2,0)))</f>
        <v>0</v>
      </c>
      <c r="R326" s="309">
        <f t="shared" si="91"/>
        <v>0</v>
      </c>
      <c r="S326" s="310">
        <f t="shared" si="100"/>
        <v>0</v>
      </c>
      <c r="T326" s="547">
        <f t="shared" si="101"/>
        <v>0</v>
      </c>
      <c r="U326" s="311"/>
      <c r="V326" s="312"/>
      <c r="W326" s="299"/>
      <c r="X326" s="300"/>
      <c r="Y326" s="299"/>
      <c r="Z326" s="303"/>
      <c r="AA326" s="305">
        <f>IF(Z326=0,0,IF(Y326="MXN",1/HLOOKUP(YEAR(X326)+(MONTH(X326)/100),TC!$5:$37,DAY(X326)+2,FALSE),VLOOKUP(Y326,Equivalencia!$1:$23,((MAX(Equivalencia!$3:$3)-YEAR(X326))*14)+MONTH(X326)+2,FALSE)))</f>
        <v>0</v>
      </c>
      <c r="AB326" s="306">
        <f t="shared" si="102"/>
        <v>0</v>
      </c>
      <c r="AC326" s="305">
        <f>+IF(X326=0,0,HLOOKUP(YEAR(X326)+(MONTH(X326)/100),TC!$5:$37,DAY(X326)+2,FALSE))</f>
        <v>0</v>
      </c>
      <c r="AD326" s="307">
        <f t="shared" si="103"/>
        <v>0</v>
      </c>
      <c r="AE326" s="314">
        <f t="shared" si="92"/>
        <v>0</v>
      </c>
      <c r="AF326" s="315">
        <f t="shared" si="93"/>
        <v>0</v>
      </c>
      <c r="AG326" s="316">
        <f t="shared" si="94"/>
        <v>0</v>
      </c>
      <c r="AH326" s="314">
        <v>1</v>
      </c>
      <c r="AI326" s="314">
        <f t="shared" si="95"/>
        <v>0</v>
      </c>
      <c r="AJ326" s="314">
        <f t="shared" si="104"/>
        <v>0</v>
      </c>
      <c r="AK326" s="317"/>
      <c r="AL326" s="315">
        <f t="shared" si="96"/>
        <v>0</v>
      </c>
      <c r="AN326" s="546">
        <f t="shared" si="97"/>
        <v>0</v>
      </c>
      <c r="AO326" s="314"/>
      <c r="AP326" s="318"/>
    </row>
    <row r="327" spans="2:42">
      <c r="B327" s="296"/>
      <c r="C327" s="299"/>
      <c r="D327" s="298"/>
      <c r="E327" s="299"/>
      <c r="F327" s="299"/>
      <c r="G327" s="300"/>
      <c r="H327" s="303"/>
      <c r="I327" s="301">
        <f t="shared" si="88"/>
        <v>0</v>
      </c>
      <c r="J327" s="302">
        <f t="shared" si="98"/>
        <v>0</v>
      </c>
      <c r="K327" s="304">
        <f t="shared" si="89"/>
        <v>0</v>
      </c>
      <c r="L327" s="305">
        <f>IF(H327=0,0,IF(OR(E327=$AT$5,E327=$AT$6),AA327,IF(F327="MXN",1/HLOOKUP(YEAR(G327)+(MONTH(G327)/100),TC!$5:$37,DAY(G327)+2,FALSE),VLOOKUP(F327,Equivalencia!$5:$23,((MAX(Equivalencia!$3:$3)-YEAR(G327))*14)+MONTH(G327)+2,FALSE))))</f>
        <v>0</v>
      </c>
      <c r="M327" s="306">
        <f t="shared" si="90"/>
        <v>0</v>
      </c>
      <c r="N327" s="305">
        <f>IF(G327=0,0,(IF(OR(E327=$AT$5,E327=$AT$6),AC327,HLOOKUP(YEAR(G327)+(MONTH(G327)/100),TC!$5:$37,DAY(G327)+2,FALSE))))</f>
        <v>0</v>
      </c>
      <c r="O327" s="307">
        <f t="shared" si="99"/>
        <v>0</v>
      </c>
      <c r="P327" s="552">
        <f>IF(G327=0,0,VLOOKUP(YEAR(G327),INPC!$B$4:$P$30,MONTH(G327)+2))</f>
        <v>0</v>
      </c>
      <c r="Q327" s="552">
        <f>IF(X327=0,0,IF(OR(E327=$AT$10,E327=$AT$9),VLOOKUP(YEAR(X327),INPC!$B$4:$P$30,MONTH(X327)+1),VLOOKUP(YEAR(X327),INPC!$B$4:$P$30,MONTH(X327)+2,0)))</f>
        <v>0</v>
      </c>
      <c r="R327" s="309">
        <f t="shared" si="91"/>
        <v>0</v>
      </c>
      <c r="S327" s="310">
        <f t="shared" si="100"/>
        <v>0</v>
      </c>
      <c r="T327" s="547">
        <f t="shared" si="101"/>
        <v>0</v>
      </c>
      <c r="U327" s="311"/>
      <c r="V327" s="312"/>
      <c r="W327" s="299"/>
      <c r="X327" s="300"/>
      <c r="Y327" s="299"/>
      <c r="Z327" s="303"/>
      <c r="AA327" s="305">
        <f>IF(Z327=0,0,IF(Y327="MXN",1/HLOOKUP(YEAR(X327)+(MONTH(X327)/100),TC!$5:$37,DAY(X327)+2,FALSE),VLOOKUP(Y327,Equivalencia!$1:$23,((MAX(Equivalencia!$3:$3)-YEAR(X327))*14)+MONTH(X327)+2,FALSE)))</f>
        <v>0</v>
      </c>
      <c r="AB327" s="306">
        <f t="shared" si="102"/>
        <v>0</v>
      </c>
      <c r="AC327" s="305">
        <f>+IF(X327=0,0,HLOOKUP(YEAR(X327)+(MONTH(X327)/100),TC!$5:$37,DAY(X327)+2,FALSE))</f>
        <v>0</v>
      </c>
      <c r="AD327" s="307">
        <f t="shared" si="103"/>
        <v>0</v>
      </c>
      <c r="AE327" s="314">
        <f t="shared" si="92"/>
        <v>0</v>
      </c>
      <c r="AF327" s="315">
        <f t="shared" si="93"/>
        <v>0</v>
      </c>
      <c r="AG327" s="316">
        <f t="shared" si="94"/>
        <v>0</v>
      </c>
      <c r="AH327" s="314">
        <v>1</v>
      </c>
      <c r="AI327" s="314">
        <f t="shared" si="95"/>
        <v>0</v>
      </c>
      <c r="AJ327" s="314">
        <f t="shared" si="104"/>
        <v>0</v>
      </c>
      <c r="AK327" s="317"/>
      <c r="AL327" s="315">
        <f t="shared" si="96"/>
        <v>0</v>
      </c>
      <c r="AN327" s="546">
        <f t="shared" si="97"/>
        <v>0</v>
      </c>
      <c r="AO327" s="314"/>
      <c r="AP327" s="318"/>
    </row>
    <row r="328" spans="2:42">
      <c r="B328" s="296"/>
      <c r="C328" s="299"/>
      <c r="D328" s="298"/>
      <c r="E328" s="299"/>
      <c r="F328" s="299"/>
      <c r="G328" s="300"/>
      <c r="H328" s="303"/>
      <c r="I328" s="301">
        <f t="shared" si="88"/>
        <v>0</v>
      </c>
      <c r="J328" s="302">
        <f t="shared" si="98"/>
        <v>0</v>
      </c>
      <c r="K328" s="304">
        <f t="shared" si="89"/>
        <v>0</v>
      </c>
      <c r="L328" s="305">
        <f>IF(H328=0,0,IF(OR(E328=$AT$5,E328=$AT$6),AA328,IF(F328="MXN",1/HLOOKUP(YEAR(G328)+(MONTH(G328)/100),TC!$5:$37,DAY(G328)+2,FALSE),VLOOKUP(F328,Equivalencia!$5:$23,((MAX(Equivalencia!$3:$3)-YEAR(G328))*14)+MONTH(G328)+2,FALSE))))</f>
        <v>0</v>
      </c>
      <c r="M328" s="306">
        <f t="shared" si="90"/>
        <v>0</v>
      </c>
      <c r="N328" s="305">
        <f>IF(G328=0,0,(IF(OR(E328=$AT$5,E328=$AT$6),AC328,HLOOKUP(YEAR(G328)+(MONTH(G328)/100),TC!$5:$37,DAY(G328)+2,FALSE))))</f>
        <v>0</v>
      </c>
      <c r="O328" s="307">
        <f t="shared" si="99"/>
        <v>0</v>
      </c>
      <c r="P328" s="552">
        <f>IF(G328=0,0,VLOOKUP(YEAR(G328),INPC!$B$4:$P$30,MONTH(G328)+2))</f>
        <v>0</v>
      </c>
      <c r="Q328" s="552">
        <f>IF(X328=0,0,IF(OR(E328=$AT$10,E328=$AT$9),VLOOKUP(YEAR(X328),INPC!$B$4:$P$30,MONTH(X328)+1),VLOOKUP(YEAR(X328),INPC!$B$4:$P$30,MONTH(X328)+2,0)))</f>
        <v>0</v>
      </c>
      <c r="R328" s="309">
        <f t="shared" si="91"/>
        <v>0</v>
      </c>
      <c r="S328" s="310">
        <f t="shared" si="100"/>
        <v>0</v>
      </c>
      <c r="T328" s="547">
        <f t="shared" si="101"/>
        <v>0</v>
      </c>
      <c r="U328" s="311"/>
      <c r="V328" s="312"/>
      <c r="W328" s="299"/>
      <c r="X328" s="300"/>
      <c r="Y328" s="299"/>
      <c r="Z328" s="303"/>
      <c r="AA328" s="305">
        <f>IF(Z328=0,0,IF(Y328="MXN",1/HLOOKUP(YEAR(X328)+(MONTH(X328)/100),TC!$5:$37,DAY(X328)+2,FALSE),VLOOKUP(Y328,Equivalencia!$1:$23,((MAX(Equivalencia!$3:$3)-YEAR(X328))*14)+MONTH(X328)+2,FALSE)))</f>
        <v>0</v>
      </c>
      <c r="AB328" s="306">
        <f t="shared" si="102"/>
        <v>0</v>
      </c>
      <c r="AC328" s="305">
        <f>+IF(X328=0,0,HLOOKUP(YEAR(X328)+(MONTH(X328)/100),TC!$5:$37,DAY(X328)+2,FALSE))</f>
        <v>0</v>
      </c>
      <c r="AD328" s="307">
        <f t="shared" si="103"/>
        <v>0</v>
      </c>
      <c r="AE328" s="314">
        <f t="shared" si="92"/>
        <v>0</v>
      </c>
      <c r="AF328" s="315">
        <f t="shared" si="93"/>
        <v>0</v>
      </c>
      <c r="AG328" s="316">
        <f t="shared" si="94"/>
        <v>0</v>
      </c>
      <c r="AH328" s="314">
        <v>1</v>
      </c>
      <c r="AI328" s="314">
        <f t="shared" si="95"/>
        <v>0</v>
      </c>
      <c r="AJ328" s="314">
        <f t="shared" si="104"/>
        <v>0</v>
      </c>
      <c r="AK328" s="317"/>
      <c r="AL328" s="315">
        <f t="shared" si="96"/>
        <v>0</v>
      </c>
      <c r="AN328" s="546">
        <f t="shared" si="97"/>
        <v>0</v>
      </c>
      <c r="AO328" s="314"/>
      <c r="AP328" s="318"/>
    </row>
    <row r="329" spans="2:42">
      <c r="B329" s="296"/>
      <c r="C329" s="299"/>
      <c r="D329" s="298"/>
      <c r="E329" s="299"/>
      <c r="F329" s="299"/>
      <c r="G329" s="300"/>
      <c r="H329" s="303"/>
      <c r="I329" s="301">
        <f t="shared" si="88"/>
        <v>0</v>
      </c>
      <c r="J329" s="302">
        <f t="shared" si="98"/>
        <v>0</v>
      </c>
      <c r="K329" s="304">
        <f t="shared" si="89"/>
        <v>0</v>
      </c>
      <c r="L329" s="305">
        <f>IF(H329=0,0,IF(OR(E329=$AT$5,E329=$AT$6),AA329,IF(F329="MXN",1/HLOOKUP(YEAR(G329)+(MONTH(G329)/100),TC!$5:$37,DAY(G329)+2,FALSE),VLOOKUP(F329,Equivalencia!$5:$23,((MAX(Equivalencia!$3:$3)-YEAR(G329))*14)+MONTH(G329)+2,FALSE))))</f>
        <v>0</v>
      </c>
      <c r="M329" s="306">
        <f t="shared" si="90"/>
        <v>0</v>
      </c>
      <c r="N329" s="305">
        <f>IF(G329=0,0,(IF(OR(E329=$AT$5,E329=$AT$6),AC329,HLOOKUP(YEAR(G329)+(MONTH(G329)/100),TC!$5:$37,DAY(G329)+2,FALSE))))</f>
        <v>0</v>
      </c>
      <c r="O329" s="307">
        <f t="shared" si="99"/>
        <v>0</v>
      </c>
      <c r="P329" s="552">
        <f>IF(G329=0,0,VLOOKUP(YEAR(G329),INPC!$B$4:$P$30,MONTH(G329)+2))</f>
        <v>0</v>
      </c>
      <c r="Q329" s="552">
        <f>IF(X329=0,0,IF(OR(E329=$AT$10,E329=$AT$9),VLOOKUP(YEAR(X329),INPC!$B$4:$P$30,MONTH(X329)+1),VLOOKUP(YEAR(X329),INPC!$B$4:$P$30,MONTH(X329)+2,0)))</f>
        <v>0</v>
      </c>
      <c r="R329" s="309">
        <f t="shared" si="91"/>
        <v>0</v>
      </c>
      <c r="S329" s="310">
        <f t="shared" si="100"/>
        <v>0</v>
      </c>
      <c r="T329" s="547">
        <f t="shared" si="101"/>
        <v>0</v>
      </c>
      <c r="U329" s="311"/>
      <c r="V329" s="312"/>
      <c r="W329" s="299"/>
      <c r="X329" s="300"/>
      <c r="Y329" s="299"/>
      <c r="Z329" s="303"/>
      <c r="AA329" s="305">
        <f>IF(Z329=0,0,IF(Y329="MXN",1/HLOOKUP(YEAR(X329)+(MONTH(X329)/100),TC!$5:$37,DAY(X329)+2,FALSE),VLOOKUP(Y329,Equivalencia!$1:$23,((MAX(Equivalencia!$3:$3)-YEAR(X329))*14)+MONTH(X329)+2,FALSE)))</f>
        <v>0</v>
      </c>
      <c r="AB329" s="306">
        <f t="shared" si="102"/>
        <v>0</v>
      </c>
      <c r="AC329" s="305">
        <f>+IF(X329=0,0,HLOOKUP(YEAR(X329)+(MONTH(X329)/100),TC!$5:$37,DAY(X329)+2,FALSE))</f>
        <v>0</v>
      </c>
      <c r="AD329" s="307">
        <f t="shared" si="103"/>
        <v>0</v>
      </c>
      <c r="AE329" s="314">
        <f t="shared" si="92"/>
        <v>0</v>
      </c>
      <c r="AF329" s="315">
        <f t="shared" si="93"/>
        <v>0</v>
      </c>
      <c r="AG329" s="316">
        <f t="shared" si="94"/>
        <v>0</v>
      </c>
      <c r="AH329" s="314">
        <v>1</v>
      </c>
      <c r="AI329" s="314">
        <f t="shared" si="95"/>
        <v>0</v>
      </c>
      <c r="AJ329" s="314">
        <f t="shared" si="104"/>
        <v>0</v>
      </c>
      <c r="AK329" s="317"/>
      <c r="AL329" s="315">
        <f t="shared" si="96"/>
        <v>0</v>
      </c>
      <c r="AN329" s="546">
        <f t="shared" si="97"/>
        <v>0</v>
      </c>
      <c r="AO329" s="314"/>
      <c r="AP329" s="318"/>
    </row>
    <row r="330" spans="2:42">
      <c r="B330" s="296"/>
      <c r="C330" s="299"/>
      <c r="D330" s="298"/>
      <c r="E330" s="299"/>
      <c r="F330" s="299"/>
      <c r="G330" s="300"/>
      <c r="H330" s="303"/>
      <c r="I330" s="301">
        <f t="shared" si="88"/>
        <v>0</v>
      </c>
      <c r="J330" s="302">
        <f t="shared" si="98"/>
        <v>0</v>
      </c>
      <c r="K330" s="304">
        <f t="shared" si="89"/>
        <v>0</v>
      </c>
      <c r="L330" s="305">
        <f>IF(H330=0,0,IF(OR(E330=$AT$5,E330=$AT$6),AA330,IF(F330="MXN",1/HLOOKUP(YEAR(G330)+(MONTH(G330)/100),TC!$5:$37,DAY(G330)+2,FALSE),VLOOKUP(F330,Equivalencia!$5:$23,((MAX(Equivalencia!$3:$3)-YEAR(G330))*14)+MONTH(G330)+2,FALSE))))</f>
        <v>0</v>
      </c>
      <c r="M330" s="306">
        <f t="shared" si="90"/>
        <v>0</v>
      </c>
      <c r="N330" s="305">
        <f>IF(G330=0,0,(IF(OR(E330=$AT$5,E330=$AT$6),AC330,HLOOKUP(YEAR(G330)+(MONTH(G330)/100),TC!$5:$37,DAY(G330)+2,FALSE))))</f>
        <v>0</v>
      </c>
      <c r="O330" s="307">
        <f t="shared" si="99"/>
        <v>0</v>
      </c>
      <c r="P330" s="552">
        <f>IF(G330=0,0,VLOOKUP(YEAR(G330),INPC!$B$4:$P$30,MONTH(G330)+2))</f>
        <v>0</v>
      </c>
      <c r="Q330" s="552">
        <f>IF(X330=0,0,IF(OR(E330=$AT$10,E330=$AT$9),VLOOKUP(YEAR(X330),INPC!$B$4:$P$30,MONTH(X330)+1),VLOOKUP(YEAR(X330),INPC!$B$4:$P$30,MONTH(X330)+2,0)))</f>
        <v>0</v>
      </c>
      <c r="R330" s="309">
        <f t="shared" si="91"/>
        <v>0</v>
      </c>
      <c r="S330" s="310">
        <f t="shared" si="100"/>
        <v>0</v>
      </c>
      <c r="T330" s="547">
        <f t="shared" si="101"/>
        <v>0</v>
      </c>
      <c r="U330" s="311"/>
      <c r="V330" s="312"/>
      <c r="W330" s="299"/>
      <c r="X330" s="300"/>
      <c r="Y330" s="299"/>
      <c r="Z330" s="303"/>
      <c r="AA330" s="305">
        <f>IF(Z330=0,0,IF(Y330="MXN",1/HLOOKUP(YEAR(X330)+(MONTH(X330)/100),TC!$5:$37,DAY(X330)+2,FALSE),VLOOKUP(Y330,Equivalencia!$1:$23,((MAX(Equivalencia!$3:$3)-YEAR(X330))*14)+MONTH(X330)+2,FALSE)))</f>
        <v>0</v>
      </c>
      <c r="AB330" s="306">
        <f t="shared" si="102"/>
        <v>0</v>
      </c>
      <c r="AC330" s="305">
        <f>+IF(X330=0,0,HLOOKUP(YEAR(X330)+(MONTH(X330)/100),TC!$5:$37,DAY(X330)+2,FALSE))</f>
        <v>0</v>
      </c>
      <c r="AD330" s="307">
        <f t="shared" si="103"/>
        <v>0</v>
      </c>
      <c r="AE330" s="314">
        <f t="shared" si="92"/>
        <v>0</v>
      </c>
      <c r="AF330" s="315">
        <f t="shared" si="93"/>
        <v>0</v>
      </c>
      <c r="AG330" s="316">
        <f t="shared" si="94"/>
        <v>0</v>
      </c>
      <c r="AH330" s="314">
        <v>1</v>
      </c>
      <c r="AI330" s="314">
        <f t="shared" si="95"/>
        <v>0</v>
      </c>
      <c r="AJ330" s="314">
        <f t="shared" si="104"/>
        <v>0</v>
      </c>
      <c r="AK330" s="317"/>
      <c r="AL330" s="315">
        <f t="shared" si="96"/>
        <v>0</v>
      </c>
      <c r="AN330" s="546">
        <f t="shared" si="97"/>
        <v>0</v>
      </c>
      <c r="AO330" s="314"/>
      <c r="AP330" s="318"/>
    </row>
    <row r="331" spans="2:42">
      <c r="B331" s="296"/>
      <c r="C331" s="299"/>
      <c r="D331" s="298"/>
      <c r="E331" s="299"/>
      <c r="F331" s="299"/>
      <c r="G331" s="300"/>
      <c r="H331" s="303"/>
      <c r="I331" s="301">
        <f t="shared" si="88"/>
        <v>0</v>
      </c>
      <c r="J331" s="302">
        <f t="shared" si="98"/>
        <v>0</v>
      </c>
      <c r="K331" s="304">
        <f t="shared" si="89"/>
        <v>0</v>
      </c>
      <c r="L331" s="305">
        <f>IF(H331=0,0,IF(OR(E331=$AT$5,E331=$AT$6),AA331,IF(F331="MXN",1/HLOOKUP(YEAR(G331)+(MONTH(G331)/100),TC!$5:$37,DAY(G331)+2,FALSE),VLOOKUP(F331,Equivalencia!$5:$23,((MAX(Equivalencia!$3:$3)-YEAR(G331))*14)+MONTH(G331)+2,FALSE))))</f>
        <v>0</v>
      </c>
      <c r="M331" s="306">
        <f t="shared" si="90"/>
        <v>0</v>
      </c>
      <c r="N331" s="305">
        <f>IF(G331=0,0,(IF(OR(E331=$AT$5,E331=$AT$6),AC331,HLOOKUP(YEAR(G331)+(MONTH(G331)/100),TC!$5:$37,DAY(G331)+2,FALSE))))</f>
        <v>0</v>
      </c>
      <c r="O331" s="307">
        <f t="shared" si="99"/>
        <v>0</v>
      </c>
      <c r="P331" s="552">
        <f>IF(G331=0,0,VLOOKUP(YEAR(G331),INPC!$B$4:$P$30,MONTH(G331)+2))</f>
        <v>0</v>
      </c>
      <c r="Q331" s="552">
        <f>IF(X331=0,0,IF(OR(E331=$AT$10,E331=$AT$9),VLOOKUP(YEAR(X331),INPC!$B$4:$P$30,MONTH(X331)+1),VLOOKUP(YEAR(X331),INPC!$B$4:$P$30,MONTH(X331)+2,0)))</f>
        <v>0</v>
      </c>
      <c r="R331" s="309">
        <f t="shared" si="91"/>
        <v>0</v>
      </c>
      <c r="S331" s="310">
        <f t="shared" si="100"/>
        <v>0</v>
      </c>
      <c r="T331" s="547">
        <f t="shared" si="101"/>
        <v>0</v>
      </c>
      <c r="U331" s="311"/>
      <c r="V331" s="312"/>
      <c r="W331" s="299"/>
      <c r="X331" s="300"/>
      <c r="Y331" s="299"/>
      <c r="Z331" s="303"/>
      <c r="AA331" s="305">
        <f>IF(Z331=0,0,IF(Y331="MXN",1/HLOOKUP(YEAR(X331)+(MONTH(X331)/100),TC!$5:$37,DAY(X331)+2,FALSE),VLOOKUP(Y331,Equivalencia!$1:$23,((MAX(Equivalencia!$3:$3)-YEAR(X331))*14)+MONTH(X331)+2,FALSE)))</f>
        <v>0</v>
      </c>
      <c r="AB331" s="306">
        <f t="shared" si="102"/>
        <v>0</v>
      </c>
      <c r="AC331" s="305">
        <f>+IF(X331=0,0,HLOOKUP(YEAR(X331)+(MONTH(X331)/100),TC!$5:$37,DAY(X331)+2,FALSE))</f>
        <v>0</v>
      </c>
      <c r="AD331" s="307">
        <f t="shared" si="103"/>
        <v>0</v>
      </c>
      <c r="AE331" s="314">
        <f t="shared" si="92"/>
        <v>0</v>
      </c>
      <c r="AF331" s="315">
        <f t="shared" si="93"/>
        <v>0</v>
      </c>
      <c r="AG331" s="316">
        <f t="shared" si="94"/>
        <v>0</v>
      </c>
      <c r="AH331" s="314">
        <v>1</v>
      </c>
      <c r="AI331" s="314">
        <f t="shared" si="95"/>
        <v>0</v>
      </c>
      <c r="AJ331" s="314">
        <f t="shared" si="104"/>
        <v>0</v>
      </c>
      <c r="AK331" s="317"/>
      <c r="AL331" s="315">
        <f t="shared" si="96"/>
        <v>0</v>
      </c>
      <c r="AN331" s="546">
        <f t="shared" si="97"/>
        <v>0</v>
      </c>
      <c r="AO331" s="314"/>
      <c r="AP331" s="318"/>
    </row>
    <row r="332" spans="2:42">
      <c r="B332" s="296"/>
      <c r="C332" s="299"/>
      <c r="D332" s="298"/>
      <c r="E332" s="299"/>
      <c r="F332" s="299"/>
      <c r="G332" s="300"/>
      <c r="H332" s="303"/>
      <c r="I332" s="301">
        <f t="shared" si="88"/>
        <v>0</v>
      </c>
      <c r="J332" s="302">
        <f t="shared" si="98"/>
        <v>0</v>
      </c>
      <c r="K332" s="304">
        <f t="shared" si="89"/>
        <v>0</v>
      </c>
      <c r="L332" s="305">
        <f>IF(H332=0,0,IF(OR(E332=$AT$5,E332=$AT$6),AA332,IF(F332="MXN",1/HLOOKUP(YEAR(G332)+(MONTH(G332)/100),TC!$5:$37,DAY(G332)+2,FALSE),VLOOKUP(F332,Equivalencia!$5:$23,((MAX(Equivalencia!$3:$3)-YEAR(G332))*14)+MONTH(G332)+2,FALSE))))</f>
        <v>0</v>
      </c>
      <c r="M332" s="306">
        <f t="shared" si="90"/>
        <v>0</v>
      </c>
      <c r="N332" s="305">
        <f>IF(G332=0,0,(IF(OR(E332=$AT$5,E332=$AT$6),AC332,HLOOKUP(YEAR(G332)+(MONTH(G332)/100),TC!$5:$37,DAY(G332)+2,FALSE))))</f>
        <v>0</v>
      </c>
      <c r="O332" s="307">
        <f t="shared" si="99"/>
        <v>0</v>
      </c>
      <c r="P332" s="552">
        <f>IF(G332=0,0,VLOOKUP(YEAR(G332),INPC!$B$4:$P$30,MONTH(G332)+2))</f>
        <v>0</v>
      </c>
      <c r="Q332" s="552">
        <f>IF(X332=0,0,IF(OR(E332=$AT$10,E332=$AT$9),VLOOKUP(YEAR(X332),INPC!$B$4:$P$30,MONTH(X332)+1),VLOOKUP(YEAR(X332),INPC!$B$4:$P$30,MONTH(X332)+2,0)))</f>
        <v>0</v>
      </c>
      <c r="R332" s="309">
        <f t="shared" si="91"/>
        <v>0</v>
      </c>
      <c r="S332" s="310">
        <f t="shared" si="100"/>
        <v>0</v>
      </c>
      <c r="T332" s="547">
        <f t="shared" si="101"/>
        <v>0</v>
      </c>
      <c r="U332" s="311"/>
      <c r="V332" s="312"/>
      <c r="W332" s="299"/>
      <c r="X332" s="300"/>
      <c r="Y332" s="299"/>
      <c r="Z332" s="303"/>
      <c r="AA332" s="305">
        <f>IF(Z332=0,0,IF(Y332="MXN",1/HLOOKUP(YEAR(X332)+(MONTH(X332)/100),TC!$5:$37,DAY(X332)+2,FALSE),VLOOKUP(Y332,Equivalencia!$1:$23,((MAX(Equivalencia!$3:$3)-YEAR(X332))*14)+MONTH(X332)+2,FALSE)))</f>
        <v>0</v>
      </c>
      <c r="AB332" s="306">
        <f t="shared" si="102"/>
        <v>0</v>
      </c>
      <c r="AC332" s="305">
        <f>+IF(X332=0,0,HLOOKUP(YEAR(X332)+(MONTH(X332)/100),TC!$5:$37,DAY(X332)+2,FALSE))</f>
        <v>0</v>
      </c>
      <c r="AD332" s="307">
        <f t="shared" si="103"/>
        <v>0</v>
      </c>
      <c r="AE332" s="314">
        <f t="shared" si="92"/>
        <v>0</v>
      </c>
      <c r="AF332" s="315">
        <f t="shared" si="93"/>
        <v>0</v>
      </c>
      <c r="AG332" s="316">
        <f t="shared" si="94"/>
        <v>0</v>
      </c>
      <c r="AH332" s="314">
        <v>1</v>
      </c>
      <c r="AI332" s="314">
        <f t="shared" si="95"/>
        <v>0</v>
      </c>
      <c r="AJ332" s="314">
        <f t="shared" si="104"/>
        <v>0</v>
      </c>
      <c r="AK332" s="317"/>
      <c r="AL332" s="315">
        <f t="shared" si="96"/>
        <v>0</v>
      </c>
      <c r="AN332" s="546">
        <f t="shared" si="97"/>
        <v>0</v>
      </c>
      <c r="AO332" s="314"/>
      <c r="AP332" s="318"/>
    </row>
    <row r="333" spans="2:42">
      <c r="B333" s="296"/>
      <c r="C333" s="299"/>
      <c r="D333" s="298"/>
      <c r="E333" s="299"/>
      <c r="F333" s="299"/>
      <c r="G333" s="300"/>
      <c r="H333" s="303"/>
      <c r="I333" s="301">
        <f t="shared" si="88"/>
        <v>0</v>
      </c>
      <c r="J333" s="302">
        <f t="shared" si="98"/>
        <v>0</v>
      </c>
      <c r="K333" s="304">
        <f t="shared" si="89"/>
        <v>0</v>
      </c>
      <c r="L333" s="305">
        <f>IF(H333=0,0,IF(OR(E333=$AT$5,E333=$AT$6),AA333,IF(F333="MXN",1/HLOOKUP(YEAR(G333)+(MONTH(G333)/100),TC!$5:$37,DAY(G333)+2,FALSE),VLOOKUP(F333,Equivalencia!$5:$23,((MAX(Equivalencia!$3:$3)-YEAR(G333))*14)+MONTH(G333)+2,FALSE))))</f>
        <v>0</v>
      </c>
      <c r="M333" s="306">
        <f t="shared" si="90"/>
        <v>0</v>
      </c>
      <c r="N333" s="305">
        <f>IF(G333=0,0,(IF(OR(E333=$AT$5,E333=$AT$6),AC333,HLOOKUP(YEAR(G333)+(MONTH(G333)/100),TC!$5:$37,DAY(G333)+2,FALSE))))</f>
        <v>0</v>
      </c>
      <c r="O333" s="307">
        <f t="shared" si="99"/>
        <v>0</v>
      </c>
      <c r="P333" s="552">
        <f>IF(G333=0,0,VLOOKUP(YEAR(G333),INPC!$B$4:$P$30,MONTH(G333)+2))</f>
        <v>0</v>
      </c>
      <c r="Q333" s="552">
        <f>IF(X333=0,0,IF(OR(E333=$AT$10,E333=$AT$9),VLOOKUP(YEAR(X333),INPC!$B$4:$P$30,MONTH(X333)+1),VLOOKUP(YEAR(X333),INPC!$B$4:$P$30,MONTH(X333)+2,0)))</f>
        <v>0</v>
      </c>
      <c r="R333" s="309">
        <f t="shared" si="91"/>
        <v>0</v>
      </c>
      <c r="S333" s="310">
        <f t="shared" si="100"/>
        <v>0</v>
      </c>
      <c r="T333" s="547">
        <f t="shared" si="101"/>
        <v>0</v>
      </c>
      <c r="U333" s="311"/>
      <c r="V333" s="312"/>
      <c r="W333" s="299"/>
      <c r="X333" s="300"/>
      <c r="Y333" s="299"/>
      <c r="Z333" s="303"/>
      <c r="AA333" s="305">
        <f>IF(Z333=0,0,IF(Y333="MXN",1/HLOOKUP(YEAR(X333)+(MONTH(X333)/100),TC!$5:$37,DAY(X333)+2,FALSE),VLOOKUP(Y333,Equivalencia!$1:$23,((MAX(Equivalencia!$3:$3)-YEAR(X333))*14)+MONTH(X333)+2,FALSE)))</f>
        <v>0</v>
      </c>
      <c r="AB333" s="306">
        <f t="shared" si="102"/>
        <v>0</v>
      </c>
      <c r="AC333" s="305">
        <f>+IF(X333=0,0,HLOOKUP(YEAR(X333)+(MONTH(X333)/100),TC!$5:$37,DAY(X333)+2,FALSE))</f>
        <v>0</v>
      </c>
      <c r="AD333" s="307">
        <f t="shared" si="103"/>
        <v>0</v>
      </c>
      <c r="AE333" s="314">
        <f t="shared" si="92"/>
        <v>0</v>
      </c>
      <c r="AF333" s="315">
        <f t="shared" si="93"/>
        <v>0</v>
      </c>
      <c r="AG333" s="316">
        <f t="shared" si="94"/>
        <v>0</v>
      </c>
      <c r="AH333" s="314">
        <v>1</v>
      </c>
      <c r="AI333" s="314">
        <f t="shared" si="95"/>
        <v>0</v>
      </c>
      <c r="AJ333" s="314">
        <f t="shared" si="104"/>
        <v>0</v>
      </c>
      <c r="AK333" s="317"/>
      <c r="AL333" s="315">
        <f t="shared" si="96"/>
        <v>0</v>
      </c>
      <c r="AN333" s="546">
        <f t="shared" si="97"/>
        <v>0</v>
      </c>
      <c r="AO333" s="314"/>
      <c r="AP333" s="318"/>
    </row>
    <row r="334" spans="2:42">
      <c r="B334" s="296"/>
      <c r="C334" s="299"/>
      <c r="D334" s="298"/>
      <c r="E334" s="299"/>
      <c r="F334" s="299"/>
      <c r="G334" s="300"/>
      <c r="H334" s="303"/>
      <c r="I334" s="301">
        <f t="shared" si="88"/>
        <v>0</v>
      </c>
      <c r="J334" s="302">
        <f t="shared" si="98"/>
        <v>0</v>
      </c>
      <c r="K334" s="304">
        <f t="shared" si="89"/>
        <v>0</v>
      </c>
      <c r="L334" s="305">
        <f>IF(H334=0,0,IF(OR(E334=$AT$5,E334=$AT$6),AA334,IF(F334="MXN",1/HLOOKUP(YEAR(G334)+(MONTH(G334)/100),TC!$5:$37,DAY(G334)+2,FALSE),VLOOKUP(F334,Equivalencia!$5:$23,((MAX(Equivalencia!$3:$3)-YEAR(G334))*14)+MONTH(G334)+2,FALSE))))</f>
        <v>0</v>
      </c>
      <c r="M334" s="306">
        <f t="shared" si="90"/>
        <v>0</v>
      </c>
      <c r="N334" s="305">
        <f>IF(G334=0,0,(IF(OR(E334=$AT$5,E334=$AT$6),AC334,HLOOKUP(YEAR(G334)+(MONTH(G334)/100),TC!$5:$37,DAY(G334)+2,FALSE))))</f>
        <v>0</v>
      </c>
      <c r="O334" s="307">
        <f t="shared" si="99"/>
        <v>0</v>
      </c>
      <c r="P334" s="552">
        <f>IF(G334=0,0,VLOOKUP(YEAR(G334),INPC!$B$4:$P$30,MONTH(G334)+2))</f>
        <v>0</v>
      </c>
      <c r="Q334" s="552">
        <f>IF(X334=0,0,IF(OR(E334=$AT$10,E334=$AT$9),VLOOKUP(YEAR(X334),INPC!$B$4:$P$30,MONTH(X334)+1),VLOOKUP(YEAR(X334),INPC!$B$4:$P$30,MONTH(X334)+2,0)))</f>
        <v>0</v>
      </c>
      <c r="R334" s="309">
        <f t="shared" si="91"/>
        <v>0</v>
      </c>
      <c r="S334" s="310">
        <f t="shared" si="100"/>
        <v>0</v>
      </c>
      <c r="T334" s="547">
        <f t="shared" si="101"/>
        <v>0</v>
      </c>
      <c r="U334" s="311"/>
      <c r="V334" s="312"/>
      <c r="W334" s="299"/>
      <c r="X334" s="300"/>
      <c r="Y334" s="299"/>
      <c r="Z334" s="303"/>
      <c r="AA334" s="305">
        <f>IF(Z334=0,0,IF(Y334="MXN",1/HLOOKUP(YEAR(X334)+(MONTH(X334)/100),TC!$5:$37,DAY(X334)+2,FALSE),VLOOKUP(Y334,Equivalencia!$1:$23,((MAX(Equivalencia!$3:$3)-YEAR(X334))*14)+MONTH(X334)+2,FALSE)))</f>
        <v>0</v>
      </c>
      <c r="AB334" s="306">
        <f t="shared" si="102"/>
        <v>0</v>
      </c>
      <c r="AC334" s="305">
        <f>+IF(X334=0,0,HLOOKUP(YEAR(X334)+(MONTH(X334)/100),TC!$5:$37,DAY(X334)+2,FALSE))</f>
        <v>0</v>
      </c>
      <c r="AD334" s="307">
        <f t="shared" si="103"/>
        <v>0</v>
      </c>
      <c r="AE334" s="314">
        <f t="shared" si="92"/>
        <v>0</v>
      </c>
      <c r="AF334" s="315">
        <f t="shared" si="93"/>
        <v>0</v>
      </c>
      <c r="AG334" s="316">
        <f t="shared" si="94"/>
        <v>0</v>
      </c>
      <c r="AH334" s="314">
        <v>1</v>
      </c>
      <c r="AI334" s="314">
        <f t="shared" si="95"/>
        <v>0</v>
      </c>
      <c r="AJ334" s="314">
        <f t="shared" si="104"/>
        <v>0</v>
      </c>
      <c r="AK334" s="317"/>
      <c r="AL334" s="315">
        <f t="shared" si="96"/>
        <v>0</v>
      </c>
      <c r="AN334" s="546">
        <f t="shared" si="97"/>
        <v>0</v>
      </c>
      <c r="AO334" s="314"/>
      <c r="AP334" s="318"/>
    </row>
    <row r="335" spans="2:42">
      <c r="B335" s="296"/>
      <c r="C335" s="299"/>
      <c r="D335" s="298"/>
      <c r="E335" s="299"/>
      <c r="F335" s="299"/>
      <c r="G335" s="300"/>
      <c r="H335" s="303"/>
      <c r="I335" s="301">
        <f t="shared" si="88"/>
        <v>0</v>
      </c>
      <c r="J335" s="302">
        <f t="shared" si="98"/>
        <v>0</v>
      </c>
      <c r="K335" s="304">
        <f t="shared" si="89"/>
        <v>0</v>
      </c>
      <c r="L335" s="305">
        <f>IF(H335=0,0,IF(OR(E335=$AT$5,E335=$AT$6),AA335,IF(F335="MXN",1/HLOOKUP(YEAR(G335)+(MONTH(G335)/100),TC!$5:$37,DAY(G335)+2,FALSE),VLOOKUP(F335,Equivalencia!$5:$23,((MAX(Equivalencia!$3:$3)-YEAR(G335))*14)+MONTH(G335)+2,FALSE))))</f>
        <v>0</v>
      </c>
      <c r="M335" s="306">
        <f t="shared" si="90"/>
        <v>0</v>
      </c>
      <c r="N335" s="305">
        <f>IF(G335=0,0,(IF(OR(E335=$AT$5,E335=$AT$6),AC335,HLOOKUP(YEAR(G335)+(MONTH(G335)/100),TC!$5:$37,DAY(G335)+2,FALSE))))</f>
        <v>0</v>
      </c>
      <c r="O335" s="307">
        <f t="shared" si="99"/>
        <v>0</v>
      </c>
      <c r="P335" s="552">
        <f>IF(G335=0,0,VLOOKUP(YEAR(G335),INPC!$B$4:$P$30,MONTH(G335)+2))</f>
        <v>0</v>
      </c>
      <c r="Q335" s="552">
        <f>IF(X335=0,0,IF(OR(E335=$AT$10,E335=$AT$9),VLOOKUP(YEAR(X335),INPC!$B$4:$P$30,MONTH(X335)+1),VLOOKUP(YEAR(X335),INPC!$B$4:$P$30,MONTH(X335)+2,0)))</f>
        <v>0</v>
      </c>
      <c r="R335" s="309">
        <f t="shared" si="91"/>
        <v>0</v>
      </c>
      <c r="S335" s="310">
        <f t="shared" si="100"/>
        <v>0</v>
      </c>
      <c r="T335" s="547">
        <f t="shared" si="101"/>
        <v>0</v>
      </c>
      <c r="U335" s="311"/>
      <c r="V335" s="312"/>
      <c r="W335" s="299"/>
      <c r="X335" s="300"/>
      <c r="Y335" s="299"/>
      <c r="Z335" s="303"/>
      <c r="AA335" s="305">
        <f>IF(Z335=0,0,IF(Y335="MXN",1/HLOOKUP(YEAR(X335)+(MONTH(X335)/100),TC!$5:$37,DAY(X335)+2,FALSE),VLOOKUP(Y335,Equivalencia!$1:$23,((MAX(Equivalencia!$3:$3)-YEAR(X335))*14)+MONTH(X335)+2,FALSE)))</f>
        <v>0</v>
      </c>
      <c r="AB335" s="306">
        <f t="shared" si="102"/>
        <v>0</v>
      </c>
      <c r="AC335" s="305">
        <f>+IF(X335=0,0,HLOOKUP(YEAR(X335)+(MONTH(X335)/100),TC!$5:$37,DAY(X335)+2,FALSE))</f>
        <v>0</v>
      </c>
      <c r="AD335" s="307">
        <f t="shared" si="103"/>
        <v>0</v>
      </c>
      <c r="AE335" s="314">
        <f t="shared" si="92"/>
        <v>0</v>
      </c>
      <c r="AF335" s="315">
        <f t="shared" si="93"/>
        <v>0</v>
      </c>
      <c r="AG335" s="316">
        <f t="shared" si="94"/>
        <v>0</v>
      </c>
      <c r="AH335" s="314">
        <v>1</v>
      </c>
      <c r="AI335" s="314">
        <f t="shared" si="95"/>
        <v>0</v>
      </c>
      <c r="AJ335" s="314">
        <f t="shared" si="104"/>
        <v>0</v>
      </c>
      <c r="AK335" s="317"/>
      <c r="AL335" s="315">
        <f t="shared" si="96"/>
        <v>0</v>
      </c>
      <c r="AN335" s="546">
        <f t="shared" si="97"/>
        <v>0</v>
      </c>
      <c r="AO335" s="314"/>
      <c r="AP335" s="318"/>
    </row>
    <row r="336" spans="2:42">
      <c r="B336" s="296"/>
      <c r="C336" s="299"/>
      <c r="D336" s="298"/>
      <c r="E336" s="299"/>
      <c r="F336" s="299"/>
      <c r="G336" s="300"/>
      <c r="H336" s="303"/>
      <c r="I336" s="301">
        <f t="shared" si="88"/>
        <v>0</v>
      </c>
      <c r="J336" s="302">
        <f t="shared" si="98"/>
        <v>0</v>
      </c>
      <c r="K336" s="304">
        <f t="shared" si="89"/>
        <v>0</v>
      </c>
      <c r="L336" s="305">
        <f>IF(H336=0,0,IF(OR(E336=$AT$5,E336=$AT$6),AA336,IF(F336="MXN",1/HLOOKUP(YEAR(G336)+(MONTH(G336)/100),TC!$5:$37,DAY(G336)+2,FALSE),VLOOKUP(F336,Equivalencia!$5:$23,((MAX(Equivalencia!$3:$3)-YEAR(G336))*14)+MONTH(G336)+2,FALSE))))</f>
        <v>0</v>
      </c>
      <c r="M336" s="306">
        <f t="shared" si="90"/>
        <v>0</v>
      </c>
      <c r="N336" s="305">
        <f>IF(G336=0,0,(IF(OR(E336=$AT$5,E336=$AT$6),AC336,HLOOKUP(YEAR(G336)+(MONTH(G336)/100),TC!$5:$37,DAY(G336)+2,FALSE))))</f>
        <v>0</v>
      </c>
      <c r="O336" s="307">
        <f t="shared" si="99"/>
        <v>0</v>
      </c>
      <c r="P336" s="552">
        <f>IF(G336=0,0,VLOOKUP(YEAR(G336),INPC!$B$4:$P$30,MONTH(G336)+2))</f>
        <v>0</v>
      </c>
      <c r="Q336" s="552">
        <f>IF(X336=0,0,IF(OR(E336=$AT$10,E336=$AT$9),VLOOKUP(YEAR(X336),INPC!$B$4:$P$30,MONTH(X336)+1),VLOOKUP(YEAR(X336),INPC!$B$4:$P$30,MONTH(X336)+2,0)))</f>
        <v>0</v>
      </c>
      <c r="R336" s="309">
        <f t="shared" si="91"/>
        <v>0</v>
      </c>
      <c r="S336" s="310">
        <f t="shared" si="100"/>
        <v>0</v>
      </c>
      <c r="T336" s="547">
        <f t="shared" si="101"/>
        <v>0</v>
      </c>
      <c r="U336" s="311"/>
      <c r="V336" s="312"/>
      <c r="W336" s="299"/>
      <c r="X336" s="300"/>
      <c r="Y336" s="299"/>
      <c r="Z336" s="303"/>
      <c r="AA336" s="305">
        <f>IF(Z336=0,0,IF(Y336="MXN",1/HLOOKUP(YEAR(X336)+(MONTH(X336)/100),TC!$5:$37,DAY(X336)+2,FALSE),VLOOKUP(Y336,Equivalencia!$1:$23,((MAX(Equivalencia!$3:$3)-YEAR(X336))*14)+MONTH(X336)+2,FALSE)))</f>
        <v>0</v>
      </c>
      <c r="AB336" s="306">
        <f t="shared" si="102"/>
        <v>0</v>
      </c>
      <c r="AC336" s="305">
        <f>+IF(X336=0,0,HLOOKUP(YEAR(X336)+(MONTH(X336)/100),TC!$5:$37,DAY(X336)+2,FALSE))</f>
        <v>0</v>
      </c>
      <c r="AD336" s="307">
        <f t="shared" si="103"/>
        <v>0</v>
      </c>
      <c r="AE336" s="314">
        <f t="shared" si="92"/>
        <v>0</v>
      </c>
      <c r="AF336" s="315">
        <f t="shared" si="93"/>
        <v>0</v>
      </c>
      <c r="AG336" s="316">
        <f t="shared" si="94"/>
        <v>0</v>
      </c>
      <c r="AH336" s="314">
        <v>1</v>
      </c>
      <c r="AI336" s="314">
        <f t="shared" si="95"/>
        <v>0</v>
      </c>
      <c r="AJ336" s="314">
        <f t="shared" si="104"/>
        <v>0</v>
      </c>
      <c r="AK336" s="317"/>
      <c r="AL336" s="315">
        <f t="shared" si="96"/>
        <v>0</v>
      </c>
      <c r="AN336" s="546">
        <f t="shared" si="97"/>
        <v>0</v>
      </c>
      <c r="AO336" s="314"/>
      <c r="AP336" s="318"/>
    </row>
    <row r="337" spans="2:42">
      <c r="B337" s="296"/>
      <c r="C337" s="299"/>
      <c r="D337" s="298"/>
      <c r="E337" s="299"/>
      <c r="F337" s="299"/>
      <c r="G337" s="300"/>
      <c r="H337" s="303"/>
      <c r="I337" s="301">
        <f t="shared" si="88"/>
        <v>0</v>
      </c>
      <c r="J337" s="302">
        <f t="shared" si="98"/>
        <v>0</v>
      </c>
      <c r="K337" s="304">
        <f t="shared" si="89"/>
        <v>0</v>
      </c>
      <c r="L337" s="305">
        <f>IF(H337=0,0,IF(OR(E337=$AT$5,E337=$AT$6),AA337,IF(F337="MXN",1/HLOOKUP(YEAR(G337)+(MONTH(G337)/100),TC!$5:$37,DAY(G337)+2,FALSE),VLOOKUP(F337,Equivalencia!$5:$23,((MAX(Equivalencia!$3:$3)-YEAR(G337))*14)+MONTH(G337)+2,FALSE))))</f>
        <v>0</v>
      </c>
      <c r="M337" s="306">
        <f t="shared" si="90"/>
        <v>0</v>
      </c>
      <c r="N337" s="305">
        <f>IF(G337=0,0,(IF(OR(E337=$AT$5,E337=$AT$6),AC337,HLOOKUP(YEAR(G337)+(MONTH(G337)/100),TC!$5:$37,DAY(G337)+2,FALSE))))</f>
        <v>0</v>
      </c>
      <c r="O337" s="307">
        <f t="shared" si="99"/>
        <v>0</v>
      </c>
      <c r="P337" s="552">
        <f>IF(G337=0,0,VLOOKUP(YEAR(G337),INPC!$B$4:$P$30,MONTH(G337)+2))</f>
        <v>0</v>
      </c>
      <c r="Q337" s="552">
        <f>IF(X337=0,0,IF(OR(E337=$AT$10,E337=$AT$9),VLOOKUP(YEAR(X337),INPC!$B$4:$P$30,MONTH(X337)+1),VLOOKUP(YEAR(X337),INPC!$B$4:$P$30,MONTH(X337)+2,0)))</f>
        <v>0</v>
      </c>
      <c r="R337" s="309">
        <f t="shared" si="91"/>
        <v>0</v>
      </c>
      <c r="S337" s="310">
        <f t="shared" si="100"/>
        <v>0</v>
      </c>
      <c r="T337" s="547">
        <f t="shared" si="101"/>
        <v>0</v>
      </c>
      <c r="U337" s="311"/>
      <c r="V337" s="312"/>
      <c r="W337" s="299"/>
      <c r="X337" s="300"/>
      <c r="Y337" s="299"/>
      <c r="Z337" s="303"/>
      <c r="AA337" s="305">
        <f>IF(Z337=0,0,IF(Y337="MXN",1/HLOOKUP(YEAR(X337)+(MONTH(X337)/100),TC!$5:$37,DAY(X337)+2,FALSE),VLOOKUP(Y337,Equivalencia!$1:$23,((MAX(Equivalencia!$3:$3)-YEAR(X337))*14)+MONTH(X337)+2,FALSE)))</f>
        <v>0</v>
      </c>
      <c r="AB337" s="306">
        <f t="shared" si="102"/>
        <v>0</v>
      </c>
      <c r="AC337" s="305">
        <f>+IF(X337=0,0,HLOOKUP(YEAR(X337)+(MONTH(X337)/100),TC!$5:$37,DAY(X337)+2,FALSE))</f>
        <v>0</v>
      </c>
      <c r="AD337" s="307">
        <f t="shared" si="103"/>
        <v>0</v>
      </c>
      <c r="AE337" s="314">
        <f t="shared" si="92"/>
        <v>0</v>
      </c>
      <c r="AF337" s="315">
        <f t="shared" si="93"/>
        <v>0</v>
      </c>
      <c r="AG337" s="316">
        <f t="shared" si="94"/>
        <v>0</v>
      </c>
      <c r="AH337" s="314">
        <v>1</v>
      </c>
      <c r="AI337" s="314">
        <f t="shared" si="95"/>
        <v>0</v>
      </c>
      <c r="AJ337" s="314">
        <f t="shared" si="104"/>
        <v>0</v>
      </c>
      <c r="AK337" s="317"/>
      <c r="AL337" s="315">
        <f t="shared" si="96"/>
        <v>0</v>
      </c>
      <c r="AN337" s="546">
        <f t="shared" si="97"/>
        <v>0</v>
      </c>
      <c r="AO337" s="314"/>
      <c r="AP337" s="318"/>
    </row>
    <row r="338" spans="2:42">
      <c r="B338" s="296"/>
      <c r="C338" s="299"/>
      <c r="D338" s="298"/>
      <c r="E338" s="299"/>
      <c r="F338" s="299"/>
      <c r="G338" s="300"/>
      <c r="H338" s="303"/>
      <c r="I338" s="301">
        <f t="shared" si="88"/>
        <v>0</v>
      </c>
      <c r="J338" s="302">
        <f t="shared" si="98"/>
        <v>0</v>
      </c>
      <c r="K338" s="304">
        <f t="shared" si="89"/>
        <v>0</v>
      </c>
      <c r="L338" s="305">
        <f>IF(H338=0,0,IF(OR(E338=$AT$5,E338=$AT$6),AA338,IF(F338="MXN",1/HLOOKUP(YEAR(G338)+(MONTH(G338)/100),TC!$5:$37,DAY(G338)+2,FALSE),VLOOKUP(F338,Equivalencia!$5:$23,((MAX(Equivalencia!$3:$3)-YEAR(G338))*14)+MONTH(G338)+2,FALSE))))</f>
        <v>0</v>
      </c>
      <c r="M338" s="306">
        <f t="shared" si="90"/>
        <v>0</v>
      </c>
      <c r="N338" s="305">
        <f>IF(G338=0,0,(IF(OR(E338=$AT$5,E338=$AT$6),AC338,HLOOKUP(YEAR(G338)+(MONTH(G338)/100),TC!$5:$37,DAY(G338)+2,FALSE))))</f>
        <v>0</v>
      </c>
      <c r="O338" s="307">
        <f t="shared" si="99"/>
        <v>0</v>
      </c>
      <c r="P338" s="552">
        <f>IF(G338=0,0,VLOOKUP(YEAR(G338),INPC!$B$4:$P$30,MONTH(G338)+2))</f>
        <v>0</v>
      </c>
      <c r="Q338" s="552">
        <f>IF(X338=0,0,IF(OR(E338=$AT$10,E338=$AT$9),VLOOKUP(YEAR(X338),INPC!$B$4:$P$30,MONTH(X338)+1),VLOOKUP(YEAR(X338),INPC!$B$4:$P$30,MONTH(X338)+2,0)))</f>
        <v>0</v>
      </c>
      <c r="R338" s="309">
        <f t="shared" si="91"/>
        <v>0</v>
      </c>
      <c r="S338" s="310">
        <f t="shared" si="100"/>
        <v>0</v>
      </c>
      <c r="T338" s="547">
        <f t="shared" si="101"/>
        <v>0</v>
      </c>
      <c r="U338" s="311"/>
      <c r="V338" s="312"/>
      <c r="W338" s="299"/>
      <c r="X338" s="300"/>
      <c r="Y338" s="299"/>
      <c r="Z338" s="303"/>
      <c r="AA338" s="305">
        <f>IF(Z338=0,0,IF(Y338="MXN",1/HLOOKUP(YEAR(X338)+(MONTH(X338)/100),TC!$5:$37,DAY(X338)+2,FALSE),VLOOKUP(Y338,Equivalencia!$1:$23,((MAX(Equivalencia!$3:$3)-YEAR(X338))*14)+MONTH(X338)+2,FALSE)))</f>
        <v>0</v>
      </c>
      <c r="AB338" s="306">
        <f t="shared" si="102"/>
        <v>0</v>
      </c>
      <c r="AC338" s="305">
        <f>+IF(X338=0,0,HLOOKUP(YEAR(X338)+(MONTH(X338)/100),TC!$5:$37,DAY(X338)+2,FALSE))</f>
        <v>0</v>
      </c>
      <c r="AD338" s="307">
        <f t="shared" si="103"/>
        <v>0</v>
      </c>
      <c r="AE338" s="314">
        <f t="shared" si="92"/>
        <v>0</v>
      </c>
      <c r="AF338" s="315">
        <f t="shared" si="93"/>
        <v>0</v>
      </c>
      <c r="AG338" s="316">
        <f t="shared" si="94"/>
        <v>0</v>
      </c>
      <c r="AH338" s="314">
        <v>1</v>
      </c>
      <c r="AI338" s="314">
        <f t="shared" si="95"/>
        <v>0</v>
      </c>
      <c r="AJ338" s="314">
        <f t="shared" si="104"/>
        <v>0</v>
      </c>
      <c r="AK338" s="317"/>
      <c r="AL338" s="315">
        <f t="shared" si="96"/>
        <v>0</v>
      </c>
      <c r="AN338" s="546">
        <f t="shared" si="97"/>
        <v>0</v>
      </c>
      <c r="AO338" s="314"/>
      <c r="AP338" s="318"/>
    </row>
    <row r="339" spans="2:42">
      <c r="B339" s="296"/>
      <c r="C339" s="299"/>
      <c r="D339" s="298"/>
      <c r="E339" s="299"/>
      <c r="F339" s="299"/>
      <c r="G339" s="300"/>
      <c r="H339" s="303"/>
      <c r="I339" s="301">
        <f t="shared" si="88"/>
        <v>0</v>
      </c>
      <c r="J339" s="302">
        <f t="shared" si="98"/>
        <v>0</v>
      </c>
      <c r="K339" s="304">
        <f t="shared" si="89"/>
        <v>0</v>
      </c>
      <c r="L339" s="305">
        <f>IF(H339=0,0,IF(OR(E339=$AT$5,E339=$AT$6),AA339,IF(F339="MXN",1/HLOOKUP(YEAR(G339)+(MONTH(G339)/100),TC!$5:$37,DAY(G339)+2,FALSE),VLOOKUP(F339,Equivalencia!$5:$23,((MAX(Equivalencia!$3:$3)-YEAR(G339))*14)+MONTH(G339)+2,FALSE))))</f>
        <v>0</v>
      </c>
      <c r="M339" s="306">
        <f t="shared" si="90"/>
        <v>0</v>
      </c>
      <c r="N339" s="305">
        <f>IF(G339=0,0,(IF(OR(E339=$AT$5,E339=$AT$6),AC339,HLOOKUP(YEAR(G339)+(MONTH(G339)/100),TC!$5:$37,DAY(G339)+2,FALSE))))</f>
        <v>0</v>
      </c>
      <c r="O339" s="307">
        <f t="shared" si="99"/>
        <v>0</v>
      </c>
      <c r="P339" s="552">
        <f>IF(G339=0,0,VLOOKUP(YEAR(G339),INPC!$B$4:$P$30,MONTH(G339)+2))</f>
        <v>0</v>
      </c>
      <c r="Q339" s="552">
        <f>IF(X339=0,0,IF(OR(E339=$AT$10,E339=$AT$9),VLOOKUP(YEAR(X339),INPC!$B$4:$P$30,MONTH(X339)+1),VLOOKUP(YEAR(X339),INPC!$B$4:$P$30,MONTH(X339)+2,0)))</f>
        <v>0</v>
      </c>
      <c r="R339" s="309">
        <f t="shared" si="91"/>
        <v>0</v>
      </c>
      <c r="S339" s="310">
        <f t="shared" si="100"/>
        <v>0</v>
      </c>
      <c r="T339" s="547">
        <f t="shared" si="101"/>
        <v>0</v>
      </c>
      <c r="U339" s="311"/>
      <c r="V339" s="312"/>
      <c r="W339" s="299"/>
      <c r="X339" s="300"/>
      <c r="Y339" s="299"/>
      <c r="Z339" s="303"/>
      <c r="AA339" s="305">
        <f>IF(Z339=0,0,IF(Y339="MXN",1/HLOOKUP(YEAR(X339)+(MONTH(X339)/100),TC!$5:$37,DAY(X339)+2,FALSE),VLOOKUP(Y339,Equivalencia!$1:$23,((MAX(Equivalencia!$3:$3)-YEAR(X339))*14)+MONTH(X339)+2,FALSE)))</f>
        <v>0</v>
      </c>
      <c r="AB339" s="306">
        <f t="shared" si="102"/>
        <v>0</v>
      </c>
      <c r="AC339" s="305">
        <f>+IF(X339=0,0,HLOOKUP(YEAR(X339)+(MONTH(X339)/100),TC!$5:$37,DAY(X339)+2,FALSE))</f>
        <v>0</v>
      </c>
      <c r="AD339" s="307">
        <f t="shared" si="103"/>
        <v>0</v>
      </c>
      <c r="AE339" s="314">
        <f t="shared" si="92"/>
        <v>0</v>
      </c>
      <c r="AF339" s="315">
        <f t="shared" si="93"/>
        <v>0</v>
      </c>
      <c r="AG339" s="316">
        <f t="shared" si="94"/>
        <v>0</v>
      </c>
      <c r="AH339" s="314">
        <v>1</v>
      </c>
      <c r="AI339" s="314">
        <f t="shared" si="95"/>
        <v>0</v>
      </c>
      <c r="AJ339" s="314">
        <f t="shared" si="104"/>
        <v>0</v>
      </c>
      <c r="AK339" s="317"/>
      <c r="AL339" s="315">
        <f t="shared" si="96"/>
        <v>0</v>
      </c>
      <c r="AN339" s="546">
        <f t="shared" si="97"/>
        <v>0</v>
      </c>
      <c r="AO339" s="314"/>
      <c r="AP339" s="318"/>
    </row>
    <row r="340" spans="2:42">
      <c r="B340" s="296"/>
      <c r="C340" s="299"/>
      <c r="D340" s="298"/>
      <c r="E340" s="299"/>
      <c r="F340" s="299"/>
      <c r="G340" s="300"/>
      <c r="H340" s="303"/>
      <c r="I340" s="301">
        <f t="shared" si="88"/>
        <v>0</v>
      </c>
      <c r="J340" s="302">
        <f t="shared" si="98"/>
        <v>0</v>
      </c>
      <c r="K340" s="304">
        <f t="shared" si="89"/>
        <v>0</v>
      </c>
      <c r="L340" s="305">
        <f>IF(H340=0,0,IF(OR(E340=$AT$5,E340=$AT$6),AA340,IF(F340="MXN",1/HLOOKUP(YEAR(G340)+(MONTH(G340)/100),TC!$5:$37,DAY(G340)+2,FALSE),VLOOKUP(F340,Equivalencia!$5:$23,((MAX(Equivalencia!$3:$3)-YEAR(G340))*14)+MONTH(G340)+2,FALSE))))</f>
        <v>0</v>
      </c>
      <c r="M340" s="306">
        <f t="shared" si="90"/>
        <v>0</v>
      </c>
      <c r="N340" s="305">
        <f>IF(G340=0,0,(IF(OR(E340=$AT$5,E340=$AT$6),AC340,HLOOKUP(YEAR(G340)+(MONTH(G340)/100),TC!$5:$37,DAY(G340)+2,FALSE))))</f>
        <v>0</v>
      </c>
      <c r="O340" s="307">
        <f t="shared" si="99"/>
        <v>0</v>
      </c>
      <c r="P340" s="552">
        <f>IF(G340=0,0,VLOOKUP(YEAR(G340),INPC!$B$4:$P$30,MONTH(G340)+2))</f>
        <v>0</v>
      </c>
      <c r="Q340" s="552">
        <f>IF(X340=0,0,IF(OR(E340=$AT$10,E340=$AT$9),VLOOKUP(YEAR(X340),INPC!$B$4:$P$30,MONTH(X340)+1),VLOOKUP(YEAR(X340),INPC!$B$4:$P$30,MONTH(X340)+2,0)))</f>
        <v>0</v>
      </c>
      <c r="R340" s="309">
        <f t="shared" si="91"/>
        <v>0</v>
      </c>
      <c r="S340" s="310">
        <f t="shared" si="100"/>
        <v>0</v>
      </c>
      <c r="T340" s="547">
        <f t="shared" si="101"/>
        <v>0</v>
      </c>
      <c r="U340" s="311"/>
      <c r="V340" s="312"/>
      <c r="W340" s="299"/>
      <c r="X340" s="300"/>
      <c r="Y340" s="299"/>
      <c r="Z340" s="303"/>
      <c r="AA340" s="305">
        <f>IF(Z340=0,0,IF(Y340="MXN",1/HLOOKUP(YEAR(X340)+(MONTH(X340)/100),TC!$5:$37,DAY(X340)+2,FALSE),VLOOKUP(Y340,Equivalencia!$1:$23,((MAX(Equivalencia!$3:$3)-YEAR(X340))*14)+MONTH(X340)+2,FALSE)))</f>
        <v>0</v>
      </c>
      <c r="AB340" s="306">
        <f t="shared" si="102"/>
        <v>0</v>
      </c>
      <c r="AC340" s="305">
        <f>+IF(X340=0,0,HLOOKUP(YEAR(X340)+(MONTH(X340)/100),TC!$5:$37,DAY(X340)+2,FALSE))</f>
        <v>0</v>
      </c>
      <c r="AD340" s="307">
        <f t="shared" si="103"/>
        <v>0</v>
      </c>
      <c r="AE340" s="314">
        <f t="shared" si="92"/>
        <v>0</v>
      </c>
      <c r="AF340" s="315">
        <f t="shared" si="93"/>
        <v>0</v>
      </c>
      <c r="AG340" s="316">
        <f t="shared" si="94"/>
        <v>0</v>
      </c>
      <c r="AH340" s="314">
        <v>1</v>
      </c>
      <c r="AI340" s="314">
        <f t="shared" si="95"/>
        <v>0</v>
      </c>
      <c r="AJ340" s="314">
        <f t="shared" si="104"/>
        <v>0</v>
      </c>
      <c r="AK340" s="317"/>
      <c r="AL340" s="315">
        <f t="shared" si="96"/>
        <v>0</v>
      </c>
      <c r="AN340" s="546">
        <f t="shared" si="97"/>
        <v>0</v>
      </c>
      <c r="AO340" s="314"/>
      <c r="AP340" s="318"/>
    </row>
    <row r="341" spans="2:42">
      <c r="B341" s="296"/>
      <c r="C341" s="299"/>
      <c r="D341" s="298"/>
      <c r="E341" s="299"/>
      <c r="F341" s="299"/>
      <c r="G341" s="300"/>
      <c r="H341" s="303"/>
      <c r="I341" s="301">
        <f t="shared" si="88"/>
        <v>0</v>
      </c>
      <c r="J341" s="302">
        <f t="shared" si="98"/>
        <v>0</v>
      </c>
      <c r="K341" s="304">
        <f t="shared" si="89"/>
        <v>0</v>
      </c>
      <c r="L341" s="305">
        <f>IF(H341=0,0,IF(OR(E341=$AT$5,E341=$AT$6),AA341,IF(F341="MXN",1/HLOOKUP(YEAR(G341)+(MONTH(G341)/100),TC!$5:$37,DAY(G341)+2,FALSE),VLOOKUP(F341,Equivalencia!$5:$23,((MAX(Equivalencia!$3:$3)-YEAR(G341))*14)+MONTH(G341)+2,FALSE))))</f>
        <v>0</v>
      </c>
      <c r="M341" s="306">
        <f t="shared" si="90"/>
        <v>0</v>
      </c>
      <c r="N341" s="305">
        <f>IF(G341=0,0,(IF(OR(E341=$AT$5,E341=$AT$6),AC341,HLOOKUP(YEAR(G341)+(MONTH(G341)/100),TC!$5:$37,DAY(G341)+2,FALSE))))</f>
        <v>0</v>
      </c>
      <c r="O341" s="307">
        <f t="shared" si="99"/>
        <v>0</v>
      </c>
      <c r="P341" s="552">
        <f>IF(G341=0,0,VLOOKUP(YEAR(G341),INPC!$B$4:$P$30,MONTH(G341)+2))</f>
        <v>0</v>
      </c>
      <c r="Q341" s="552">
        <f>IF(X341=0,0,IF(OR(E341=$AT$10,E341=$AT$9),VLOOKUP(YEAR(X341),INPC!$B$4:$P$30,MONTH(X341)+1),VLOOKUP(YEAR(X341),INPC!$B$4:$P$30,MONTH(X341)+2,0)))</f>
        <v>0</v>
      </c>
      <c r="R341" s="309">
        <f t="shared" si="91"/>
        <v>0</v>
      </c>
      <c r="S341" s="310">
        <f t="shared" si="100"/>
        <v>0</v>
      </c>
      <c r="T341" s="547">
        <f t="shared" si="101"/>
        <v>0</v>
      </c>
      <c r="U341" s="311"/>
      <c r="V341" s="312"/>
      <c r="W341" s="299"/>
      <c r="X341" s="300"/>
      <c r="Y341" s="299"/>
      <c r="Z341" s="303"/>
      <c r="AA341" s="305">
        <f>IF(Z341=0,0,IF(Y341="MXN",1/HLOOKUP(YEAR(X341)+(MONTH(X341)/100),TC!$5:$37,DAY(X341)+2,FALSE),VLOOKUP(Y341,Equivalencia!$1:$23,((MAX(Equivalencia!$3:$3)-YEAR(X341))*14)+MONTH(X341)+2,FALSE)))</f>
        <v>0</v>
      </c>
      <c r="AB341" s="306">
        <f t="shared" si="102"/>
        <v>0</v>
      </c>
      <c r="AC341" s="305">
        <f>+IF(X341=0,0,HLOOKUP(YEAR(X341)+(MONTH(X341)/100),TC!$5:$37,DAY(X341)+2,FALSE))</f>
        <v>0</v>
      </c>
      <c r="AD341" s="307">
        <f t="shared" si="103"/>
        <v>0</v>
      </c>
      <c r="AE341" s="314">
        <f t="shared" si="92"/>
        <v>0</v>
      </c>
      <c r="AF341" s="315">
        <f t="shared" si="93"/>
        <v>0</v>
      </c>
      <c r="AG341" s="316">
        <f t="shared" si="94"/>
        <v>0</v>
      </c>
      <c r="AH341" s="314">
        <v>1</v>
      </c>
      <c r="AI341" s="314">
        <f t="shared" si="95"/>
        <v>0</v>
      </c>
      <c r="AJ341" s="314">
        <f t="shared" si="104"/>
        <v>0</v>
      </c>
      <c r="AK341" s="317"/>
      <c r="AL341" s="315">
        <f t="shared" si="96"/>
        <v>0</v>
      </c>
      <c r="AN341" s="546">
        <f t="shared" si="97"/>
        <v>0</v>
      </c>
      <c r="AO341" s="314"/>
      <c r="AP341" s="318"/>
    </row>
    <row r="342" spans="2:42">
      <c r="B342" s="296"/>
      <c r="C342" s="299"/>
      <c r="D342" s="298"/>
      <c r="E342" s="299"/>
      <c r="F342" s="299"/>
      <c r="G342" s="300"/>
      <c r="H342" s="303"/>
      <c r="I342" s="301">
        <f t="shared" si="88"/>
        <v>0</v>
      </c>
      <c r="J342" s="302">
        <f t="shared" si="98"/>
        <v>0</v>
      </c>
      <c r="K342" s="304">
        <f t="shared" si="89"/>
        <v>0</v>
      </c>
      <c r="L342" s="305">
        <f>IF(H342=0,0,IF(OR(E342=$AT$5,E342=$AT$6),AA342,IF(F342="MXN",1/HLOOKUP(YEAR(G342)+(MONTH(G342)/100),TC!$5:$37,DAY(G342)+2,FALSE),VLOOKUP(F342,Equivalencia!$5:$23,((MAX(Equivalencia!$3:$3)-YEAR(G342))*14)+MONTH(G342)+2,FALSE))))</f>
        <v>0</v>
      </c>
      <c r="M342" s="306">
        <f t="shared" si="90"/>
        <v>0</v>
      </c>
      <c r="N342" s="305">
        <f>IF(G342=0,0,(IF(OR(E342=$AT$5,E342=$AT$6),AC342,HLOOKUP(YEAR(G342)+(MONTH(G342)/100),TC!$5:$37,DAY(G342)+2,FALSE))))</f>
        <v>0</v>
      </c>
      <c r="O342" s="307">
        <f t="shared" si="99"/>
        <v>0</v>
      </c>
      <c r="P342" s="552">
        <f>IF(G342=0,0,VLOOKUP(YEAR(G342),INPC!$B$4:$P$30,MONTH(G342)+2))</f>
        <v>0</v>
      </c>
      <c r="Q342" s="552">
        <f>IF(X342=0,0,IF(OR(E342=$AT$10,E342=$AT$9),VLOOKUP(YEAR(X342),INPC!$B$4:$P$30,MONTH(X342)+1),VLOOKUP(YEAR(X342),INPC!$B$4:$P$30,MONTH(X342)+2,0)))</f>
        <v>0</v>
      </c>
      <c r="R342" s="309">
        <f t="shared" si="91"/>
        <v>0</v>
      </c>
      <c r="S342" s="310">
        <f t="shared" si="100"/>
        <v>0</v>
      </c>
      <c r="T342" s="547">
        <f t="shared" si="101"/>
        <v>0</v>
      </c>
      <c r="U342" s="311"/>
      <c r="V342" s="312"/>
      <c r="W342" s="299"/>
      <c r="X342" s="300"/>
      <c r="Y342" s="299"/>
      <c r="Z342" s="303"/>
      <c r="AA342" s="305">
        <f>IF(Z342=0,0,IF(Y342="MXN",1/HLOOKUP(YEAR(X342)+(MONTH(X342)/100),TC!$5:$37,DAY(X342)+2,FALSE),VLOOKUP(Y342,Equivalencia!$1:$23,((MAX(Equivalencia!$3:$3)-YEAR(X342))*14)+MONTH(X342)+2,FALSE)))</f>
        <v>0</v>
      </c>
      <c r="AB342" s="306">
        <f t="shared" si="102"/>
        <v>0</v>
      </c>
      <c r="AC342" s="305">
        <f>+IF(X342=0,0,HLOOKUP(YEAR(X342)+(MONTH(X342)/100),TC!$5:$37,DAY(X342)+2,FALSE))</f>
        <v>0</v>
      </c>
      <c r="AD342" s="307">
        <f t="shared" si="103"/>
        <v>0</v>
      </c>
      <c r="AE342" s="314">
        <f t="shared" si="92"/>
        <v>0</v>
      </c>
      <c r="AF342" s="315">
        <f t="shared" si="93"/>
        <v>0</v>
      </c>
      <c r="AG342" s="316">
        <f t="shared" si="94"/>
        <v>0</v>
      </c>
      <c r="AH342" s="314">
        <v>1</v>
      </c>
      <c r="AI342" s="314">
        <f t="shared" si="95"/>
        <v>0</v>
      </c>
      <c r="AJ342" s="314">
        <f t="shared" si="104"/>
        <v>0</v>
      </c>
      <c r="AK342" s="317"/>
      <c r="AL342" s="315">
        <f t="shared" si="96"/>
        <v>0</v>
      </c>
      <c r="AN342" s="546">
        <f t="shared" si="97"/>
        <v>0</v>
      </c>
      <c r="AO342" s="314"/>
      <c r="AP342" s="318"/>
    </row>
    <row r="343" spans="2:42">
      <c r="B343" s="296"/>
      <c r="C343" s="299"/>
      <c r="D343" s="298"/>
      <c r="E343" s="299"/>
      <c r="F343" s="299"/>
      <c r="G343" s="300"/>
      <c r="H343" s="303"/>
      <c r="I343" s="301">
        <f t="shared" si="88"/>
        <v>0</v>
      </c>
      <c r="J343" s="302">
        <f t="shared" si="98"/>
        <v>0</v>
      </c>
      <c r="K343" s="304">
        <f t="shared" si="89"/>
        <v>0</v>
      </c>
      <c r="L343" s="305">
        <f>IF(H343=0,0,IF(OR(E343=$AT$5,E343=$AT$6),AA343,IF(F343="MXN",1/HLOOKUP(YEAR(G343)+(MONTH(G343)/100),TC!$5:$37,DAY(G343)+2,FALSE),VLOOKUP(F343,Equivalencia!$5:$23,((MAX(Equivalencia!$3:$3)-YEAR(G343))*14)+MONTH(G343)+2,FALSE))))</f>
        <v>0</v>
      </c>
      <c r="M343" s="306">
        <f t="shared" si="90"/>
        <v>0</v>
      </c>
      <c r="N343" s="305">
        <f>IF(G343=0,0,(IF(OR(E343=$AT$5,E343=$AT$6),AC343,HLOOKUP(YEAR(G343)+(MONTH(G343)/100),TC!$5:$37,DAY(G343)+2,FALSE))))</f>
        <v>0</v>
      </c>
      <c r="O343" s="307">
        <f t="shared" si="99"/>
        <v>0</v>
      </c>
      <c r="P343" s="552">
        <f>IF(G343=0,0,VLOOKUP(YEAR(G343),INPC!$B$4:$P$30,MONTH(G343)+2))</f>
        <v>0</v>
      </c>
      <c r="Q343" s="552">
        <f>IF(X343=0,0,IF(OR(E343=$AT$10,E343=$AT$9),VLOOKUP(YEAR(X343),INPC!$B$4:$P$30,MONTH(X343)+1),VLOOKUP(YEAR(X343),INPC!$B$4:$P$30,MONTH(X343)+2,0)))</f>
        <v>0</v>
      </c>
      <c r="R343" s="309">
        <f t="shared" si="91"/>
        <v>0</v>
      </c>
      <c r="S343" s="310">
        <f t="shared" si="100"/>
        <v>0</v>
      </c>
      <c r="T343" s="547">
        <f t="shared" si="101"/>
        <v>0</v>
      </c>
      <c r="U343" s="311"/>
      <c r="V343" s="312"/>
      <c r="W343" s="299"/>
      <c r="X343" s="300"/>
      <c r="Y343" s="299"/>
      <c r="Z343" s="303"/>
      <c r="AA343" s="305">
        <f>IF(Z343=0,0,IF(Y343="MXN",1/HLOOKUP(YEAR(X343)+(MONTH(X343)/100),TC!$5:$37,DAY(X343)+2,FALSE),VLOOKUP(Y343,Equivalencia!$1:$23,((MAX(Equivalencia!$3:$3)-YEAR(X343))*14)+MONTH(X343)+2,FALSE)))</f>
        <v>0</v>
      </c>
      <c r="AB343" s="306">
        <f t="shared" si="102"/>
        <v>0</v>
      </c>
      <c r="AC343" s="305">
        <f>+IF(X343=0,0,HLOOKUP(YEAR(X343)+(MONTH(X343)/100),TC!$5:$37,DAY(X343)+2,FALSE))</f>
        <v>0</v>
      </c>
      <c r="AD343" s="307">
        <f t="shared" si="103"/>
        <v>0</v>
      </c>
      <c r="AE343" s="314">
        <f t="shared" si="92"/>
        <v>0</v>
      </c>
      <c r="AF343" s="315">
        <f t="shared" si="93"/>
        <v>0</v>
      </c>
      <c r="AG343" s="316">
        <f t="shared" si="94"/>
        <v>0</v>
      </c>
      <c r="AH343" s="314">
        <v>1</v>
      </c>
      <c r="AI343" s="314">
        <f t="shared" si="95"/>
        <v>0</v>
      </c>
      <c r="AJ343" s="314">
        <f t="shared" si="104"/>
        <v>0</v>
      </c>
      <c r="AK343" s="317"/>
      <c r="AL343" s="315">
        <f t="shared" si="96"/>
        <v>0</v>
      </c>
      <c r="AN343" s="546">
        <f t="shared" si="97"/>
        <v>0</v>
      </c>
      <c r="AO343" s="314"/>
      <c r="AP343" s="318"/>
    </row>
    <row r="344" spans="2:42">
      <c r="B344" s="296"/>
      <c r="C344" s="299"/>
      <c r="D344" s="298"/>
      <c r="E344" s="299"/>
      <c r="F344" s="299"/>
      <c r="G344" s="300"/>
      <c r="H344" s="303"/>
      <c r="I344" s="301">
        <f t="shared" si="88"/>
        <v>0</v>
      </c>
      <c r="J344" s="302">
        <f t="shared" si="98"/>
        <v>0</v>
      </c>
      <c r="K344" s="304">
        <f t="shared" si="89"/>
        <v>0</v>
      </c>
      <c r="L344" s="305">
        <f>IF(H344=0,0,IF(OR(E344=$AT$5,E344=$AT$6),AA344,IF(F344="MXN",1/HLOOKUP(YEAR(G344)+(MONTH(G344)/100),TC!$5:$37,DAY(G344)+2,FALSE),VLOOKUP(F344,Equivalencia!$5:$23,((MAX(Equivalencia!$3:$3)-YEAR(G344))*14)+MONTH(G344)+2,FALSE))))</f>
        <v>0</v>
      </c>
      <c r="M344" s="306">
        <f t="shared" si="90"/>
        <v>0</v>
      </c>
      <c r="N344" s="305">
        <f>IF(G344=0,0,(IF(OR(E344=$AT$5,E344=$AT$6),AC344,HLOOKUP(YEAR(G344)+(MONTH(G344)/100),TC!$5:$37,DAY(G344)+2,FALSE))))</f>
        <v>0</v>
      </c>
      <c r="O344" s="307">
        <f t="shared" si="99"/>
        <v>0</v>
      </c>
      <c r="P344" s="552">
        <f>IF(G344=0,0,VLOOKUP(YEAR(G344),INPC!$B$4:$P$30,MONTH(G344)+2))</f>
        <v>0</v>
      </c>
      <c r="Q344" s="552">
        <f>IF(X344=0,0,IF(OR(E344=$AT$10,E344=$AT$9),VLOOKUP(YEAR(X344),INPC!$B$4:$P$30,MONTH(X344)+1),VLOOKUP(YEAR(X344),INPC!$B$4:$P$30,MONTH(X344)+2,0)))</f>
        <v>0</v>
      </c>
      <c r="R344" s="309">
        <f t="shared" si="91"/>
        <v>0</v>
      </c>
      <c r="S344" s="310">
        <f t="shared" si="100"/>
        <v>0</v>
      </c>
      <c r="T344" s="547">
        <f t="shared" si="101"/>
        <v>0</v>
      </c>
      <c r="U344" s="311"/>
      <c r="V344" s="312"/>
      <c r="W344" s="299"/>
      <c r="X344" s="300"/>
      <c r="Y344" s="299"/>
      <c r="Z344" s="303"/>
      <c r="AA344" s="305">
        <f>IF(Z344=0,0,IF(Y344="MXN",1/HLOOKUP(YEAR(X344)+(MONTH(X344)/100),TC!$5:$37,DAY(X344)+2,FALSE),VLOOKUP(Y344,Equivalencia!$1:$23,((MAX(Equivalencia!$3:$3)-YEAR(X344))*14)+MONTH(X344)+2,FALSE)))</f>
        <v>0</v>
      </c>
      <c r="AB344" s="306">
        <f t="shared" si="102"/>
        <v>0</v>
      </c>
      <c r="AC344" s="305">
        <f>+IF(X344=0,0,HLOOKUP(YEAR(X344)+(MONTH(X344)/100),TC!$5:$37,DAY(X344)+2,FALSE))</f>
        <v>0</v>
      </c>
      <c r="AD344" s="307">
        <f t="shared" si="103"/>
        <v>0</v>
      </c>
      <c r="AE344" s="314">
        <f t="shared" si="92"/>
        <v>0</v>
      </c>
      <c r="AF344" s="315">
        <f t="shared" si="93"/>
        <v>0</v>
      </c>
      <c r="AG344" s="316">
        <f t="shared" si="94"/>
        <v>0</v>
      </c>
      <c r="AH344" s="314">
        <v>1</v>
      </c>
      <c r="AI344" s="314">
        <f t="shared" si="95"/>
        <v>0</v>
      </c>
      <c r="AJ344" s="314">
        <f t="shared" si="104"/>
        <v>0</v>
      </c>
      <c r="AK344" s="317"/>
      <c r="AL344" s="315">
        <f t="shared" si="96"/>
        <v>0</v>
      </c>
      <c r="AN344" s="546">
        <f t="shared" si="97"/>
        <v>0</v>
      </c>
      <c r="AO344" s="314"/>
      <c r="AP344" s="318"/>
    </row>
    <row r="345" spans="2:42">
      <c r="B345" s="296"/>
      <c r="C345" s="299"/>
      <c r="D345" s="298"/>
      <c r="E345" s="299"/>
      <c r="F345" s="299"/>
      <c r="G345" s="300"/>
      <c r="H345" s="303"/>
      <c r="I345" s="301">
        <f t="shared" si="88"/>
        <v>0</v>
      </c>
      <c r="J345" s="302">
        <f t="shared" si="98"/>
        <v>0</v>
      </c>
      <c r="K345" s="304">
        <f t="shared" si="89"/>
        <v>0</v>
      </c>
      <c r="L345" s="305">
        <f>IF(H345=0,0,IF(OR(E345=$AT$5,E345=$AT$6),AA345,IF(F345="MXN",1/HLOOKUP(YEAR(G345)+(MONTH(G345)/100),TC!$5:$37,DAY(G345)+2,FALSE),VLOOKUP(F345,Equivalencia!$5:$23,((MAX(Equivalencia!$3:$3)-YEAR(G345))*14)+MONTH(G345)+2,FALSE))))</f>
        <v>0</v>
      </c>
      <c r="M345" s="306">
        <f t="shared" si="90"/>
        <v>0</v>
      </c>
      <c r="N345" s="305">
        <f>IF(G345=0,0,(IF(OR(E345=$AT$5,E345=$AT$6),AC345,HLOOKUP(YEAR(G345)+(MONTH(G345)/100),TC!$5:$37,DAY(G345)+2,FALSE))))</f>
        <v>0</v>
      </c>
      <c r="O345" s="307">
        <f t="shared" si="99"/>
        <v>0</v>
      </c>
      <c r="P345" s="552">
        <f>IF(G345=0,0,VLOOKUP(YEAR(G345),INPC!$B$4:$P$30,MONTH(G345)+2))</f>
        <v>0</v>
      </c>
      <c r="Q345" s="552">
        <f>IF(X345=0,0,IF(OR(E345=$AT$10,E345=$AT$9),VLOOKUP(YEAR(X345),INPC!$B$4:$P$30,MONTH(X345)+1),VLOOKUP(YEAR(X345),INPC!$B$4:$P$30,MONTH(X345)+2,0)))</f>
        <v>0</v>
      </c>
      <c r="R345" s="309">
        <f t="shared" si="91"/>
        <v>0</v>
      </c>
      <c r="S345" s="310">
        <f t="shared" si="100"/>
        <v>0</v>
      </c>
      <c r="T345" s="547">
        <f t="shared" si="101"/>
        <v>0</v>
      </c>
      <c r="U345" s="311"/>
      <c r="V345" s="312"/>
      <c r="W345" s="299"/>
      <c r="X345" s="300"/>
      <c r="Y345" s="299"/>
      <c r="Z345" s="303"/>
      <c r="AA345" s="305">
        <f>IF(Z345=0,0,IF(Y345="MXN",1/HLOOKUP(YEAR(X345)+(MONTH(X345)/100),TC!$5:$37,DAY(X345)+2,FALSE),VLOOKUP(Y345,Equivalencia!$1:$23,((MAX(Equivalencia!$3:$3)-YEAR(X345))*14)+MONTH(X345)+2,FALSE)))</f>
        <v>0</v>
      </c>
      <c r="AB345" s="306">
        <f t="shared" si="102"/>
        <v>0</v>
      </c>
      <c r="AC345" s="305">
        <f>+IF(X345=0,0,HLOOKUP(YEAR(X345)+(MONTH(X345)/100),TC!$5:$37,DAY(X345)+2,FALSE))</f>
        <v>0</v>
      </c>
      <c r="AD345" s="307">
        <f t="shared" si="103"/>
        <v>0</v>
      </c>
      <c r="AE345" s="314">
        <f t="shared" si="92"/>
        <v>0</v>
      </c>
      <c r="AF345" s="315">
        <f t="shared" si="93"/>
        <v>0</v>
      </c>
      <c r="AG345" s="316">
        <f t="shared" si="94"/>
        <v>0</v>
      </c>
      <c r="AH345" s="314">
        <v>1</v>
      </c>
      <c r="AI345" s="314">
        <f t="shared" si="95"/>
        <v>0</v>
      </c>
      <c r="AJ345" s="314">
        <f t="shared" si="104"/>
        <v>0</v>
      </c>
      <c r="AK345" s="317"/>
      <c r="AL345" s="315">
        <f t="shared" si="96"/>
        <v>0</v>
      </c>
      <c r="AN345" s="546">
        <f t="shared" si="97"/>
        <v>0</v>
      </c>
      <c r="AO345" s="314"/>
      <c r="AP345" s="318"/>
    </row>
    <row r="346" spans="2:42">
      <c r="B346" s="296"/>
      <c r="C346" s="299"/>
      <c r="D346" s="298"/>
      <c r="E346" s="299"/>
      <c r="F346" s="299"/>
      <c r="G346" s="300"/>
      <c r="H346" s="303"/>
      <c r="I346" s="301">
        <f t="shared" si="88"/>
        <v>0</v>
      </c>
      <c r="J346" s="302">
        <f t="shared" si="98"/>
        <v>0</v>
      </c>
      <c r="K346" s="304">
        <f t="shared" si="89"/>
        <v>0</v>
      </c>
      <c r="L346" s="305">
        <f>IF(H346=0,0,IF(OR(E346=$AT$5,E346=$AT$6),AA346,IF(F346="MXN",1/HLOOKUP(YEAR(G346)+(MONTH(G346)/100),TC!$5:$37,DAY(G346)+2,FALSE),VLOOKUP(F346,Equivalencia!$5:$23,((MAX(Equivalencia!$3:$3)-YEAR(G346))*14)+MONTH(G346)+2,FALSE))))</f>
        <v>0</v>
      </c>
      <c r="M346" s="306">
        <f t="shared" si="90"/>
        <v>0</v>
      </c>
      <c r="N346" s="305">
        <f>IF(G346=0,0,(IF(OR(E346=$AT$5,E346=$AT$6),AC346,HLOOKUP(YEAR(G346)+(MONTH(G346)/100),TC!$5:$37,DAY(G346)+2,FALSE))))</f>
        <v>0</v>
      </c>
      <c r="O346" s="307">
        <f t="shared" si="99"/>
        <v>0</v>
      </c>
      <c r="P346" s="552">
        <f>IF(G346=0,0,VLOOKUP(YEAR(G346),INPC!$B$4:$P$30,MONTH(G346)+2))</f>
        <v>0</v>
      </c>
      <c r="Q346" s="552">
        <f>IF(X346=0,0,IF(OR(E346=$AT$10,E346=$AT$9),VLOOKUP(YEAR(X346),INPC!$B$4:$P$30,MONTH(X346)+1),VLOOKUP(YEAR(X346),INPC!$B$4:$P$30,MONTH(X346)+2,0)))</f>
        <v>0</v>
      </c>
      <c r="R346" s="309">
        <f t="shared" si="91"/>
        <v>0</v>
      </c>
      <c r="S346" s="310">
        <f t="shared" si="100"/>
        <v>0</v>
      </c>
      <c r="T346" s="547">
        <f t="shared" si="101"/>
        <v>0</v>
      </c>
      <c r="U346" s="311"/>
      <c r="V346" s="312"/>
      <c r="W346" s="299"/>
      <c r="X346" s="300"/>
      <c r="Y346" s="299"/>
      <c r="Z346" s="303"/>
      <c r="AA346" s="305">
        <f>IF(Z346=0,0,IF(Y346="MXN",1/HLOOKUP(YEAR(X346)+(MONTH(X346)/100),TC!$5:$37,DAY(X346)+2,FALSE),VLOOKUP(Y346,Equivalencia!$1:$23,((MAX(Equivalencia!$3:$3)-YEAR(X346))*14)+MONTH(X346)+2,FALSE)))</f>
        <v>0</v>
      </c>
      <c r="AB346" s="306">
        <f t="shared" si="102"/>
        <v>0</v>
      </c>
      <c r="AC346" s="305">
        <f>+IF(X346=0,0,HLOOKUP(YEAR(X346)+(MONTH(X346)/100),TC!$5:$37,DAY(X346)+2,FALSE))</f>
        <v>0</v>
      </c>
      <c r="AD346" s="307">
        <f t="shared" si="103"/>
        <v>0</v>
      </c>
      <c r="AE346" s="314">
        <f t="shared" si="92"/>
        <v>0</v>
      </c>
      <c r="AF346" s="315">
        <f t="shared" si="93"/>
        <v>0</v>
      </c>
      <c r="AG346" s="316">
        <f t="shared" si="94"/>
        <v>0</v>
      </c>
      <c r="AH346" s="314">
        <v>1</v>
      </c>
      <c r="AI346" s="314">
        <f t="shared" si="95"/>
        <v>0</v>
      </c>
      <c r="AJ346" s="314">
        <f t="shared" si="104"/>
        <v>0</v>
      </c>
      <c r="AK346" s="317"/>
      <c r="AL346" s="315">
        <f t="shared" si="96"/>
        <v>0</v>
      </c>
      <c r="AN346" s="546">
        <f t="shared" si="97"/>
        <v>0</v>
      </c>
      <c r="AO346" s="314"/>
      <c r="AP346" s="318"/>
    </row>
    <row r="347" spans="2:42">
      <c r="B347" s="296"/>
      <c r="C347" s="299"/>
      <c r="D347" s="298"/>
      <c r="E347" s="299"/>
      <c r="F347" s="299"/>
      <c r="G347" s="300"/>
      <c r="H347" s="303"/>
      <c r="I347" s="301">
        <f t="shared" si="88"/>
        <v>0</v>
      </c>
      <c r="J347" s="302">
        <f t="shared" si="98"/>
        <v>0</v>
      </c>
      <c r="K347" s="304">
        <f t="shared" si="89"/>
        <v>0</v>
      </c>
      <c r="L347" s="305">
        <f>IF(H347=0,0,IF(OR(E347=$AT$5,E347=$AT$6),AA347,IF(F347="MXN",1/HLOOKUP(YEAR(G347)+(MONTH(G347)/100),TC!$5:$37,DAY(G347)+2,FALSE),VLOOKUP(F347,Equivalencia!$5:$23,((MAX(Equivalencia!$3:$3)-YEAR(G347))*14)+MONTH(G347)+2,FALSE))))</f>
        <v>0</v>
      </c>
      <c r="M347" s="306">
        <f t="shared" si="90"/>
        <v>0</v>
      </c>
      <c r="N347" s="305">
        <f>IF(G347=0,0,(IF(OR(E347=$AT$5,E347=$AT$6),AC347,HLOOKUP(YEAR(G347)+(MONTH(G347)/100),TC!$5:$37,DAY(G347)+2,FALSE))))</f>
        <v>0</v>
      </c>
      <c r="O347" s="307">
        <f t="shared" si="99"/>
        <v>0</v>
      </c>
      <c r="P347" s="552">
        <f>IF(G347=0,0,VLOOKUP(YEAR(G347),INPC!$B$4:$P$30,MONTH(G347)+2))</f>
        <v>0</v>
      </c>
      <c r="Q347" s="552">
        <f>IF(X347=0,0,IF(OR(E347=$AT$10,E347=$AT$9),VLOOKUP(YEAR(X347),INPC!$B$4:$P$30,MONTH(X347)+1),VLOOKUP(YEAR(X347),INPC!$B$4:$P$30,MONTH(X347)+2,0)))</f>
        <v>0</v>
      </c>
      <c r="R347" s="309">
        <f t="shared" si="91"/>
        <v>0</v>
      </c>
      <c r="S347" s="310">
        <f t="shared" si="100"/>
        <v>0</v>
      </c>
      <c r="T347" s="547">
        <f t="shared" si="101"/>
        <v>0</v>
      </c>
      <c r="U347" s="311"/>
      <c r="V347" s="312"/>
      <c r="W347" s="299"/>
      <c r="X347" s="300"/>
      <c r="Y347" s="299"/>
      <c r="Z347" s="303"/>
      <c r="AA347" s="305">
        <f>IF(Z347=0,0,IF(Y347="MXN",1/HLOOKUP(YEAR(X347)+(MONTH(X347)/100),TC!$5:$37,DAY(X347)+2,FALSE),VLOOKUP(Y347,Equivalencia!$1:$23,((MAX(Equivalencia!$3:$3)-YEAR(X347))*14)+MONTH(X347)+2,FALSE)))</f>
        <v>0</v>
      </c>
      <c r="AB347" s="306">
        <f t="shared" si="102"/>
        <v>0</v>
      </c>
      <c r="AC347" s="305">
        <f>+IF(X347=0,0,HLOOKUP(YEAR(X347)+(MONTH(X347)/100),TC!$5:$37,DAY(X347)+2,FALSE))</f>
        <v>0</v>
      </c>
      <c r="AD347" s="307">
        <f t="shared" si="103"/>
        <v>0</v>
      </c>
      <c r="AE347" s="314">
        <f t="shared" si="92"/>
        <v>0</v>
      </c>
      <c r="AF347" s="315">
        <f t="shared" si="93"/>
        <v>0</v>
      </c>
      <c r="AG347" s="316">
        <f t="shared" si="94"/>
        <v>0</v>
      </c>
      <c r="AH347" s="314">
        <v>1</v>
      </c>
      <c r="AI347" s="314">
        <f t="shared" si="95"/>
        <v>0</v>
      </c>
      <c r="AJ347" s="314">
        <f t="shared" si="104"/>
        <v>0</v>
      </c>
      <c r="AK347" s="317"/>
      <c r="AL347" s="315">
        <f t="shared" si="96"/>
        <v>0</v>
      </c>
      <c r="AN347" s="546">
        <f t="shared" si="97"/>
        <v>0</v>
      </c>
      <c r="AO347" s="314"/>
      <c r="AP347" s="318"/>
    </row>
    <row r="348" spans="2:42">
      <c r="B348" s="296"/>
      <c r="C348" s="299"/>
      <c r="D348" s="298"/>
      <c r="E348" s="299"/>
      <c r="F348" s="299"/>
      <c r="G348" s="300"/>
      <c r="H348" s="303"/>
      <c r="I348" s="301">
        <f t="shared" si="88"/>
        <v>0</v>
      </c>
      <c r="J348" s="302">
        <f t="shared" si="98"/>
        <v>0</v>
      </c>
      <c r="K348" s="304">
        <f t="shared" si="89"/>
        <v>0</v>
      </c>
      <c r="L348" s="305">
        <f>IF(H348=0,0,IF(OR(E348=$AT$5,E348=$AT$6),AA348,IF(F348="MXN",1/HLOOKUP(YEAR(G348)+(MONTH(G348)/100),TC!$5:$37,DAY(G348)+2,FALSE),VLOOKUP(F348,Equivalencia!$5:$23,((MAX(Equivalencia!$3:$3)-YEAR(G348))*14)+MONTH(G348)+2,FALSE))))</f>
        <v>0</v>
      </c>
      <c r="M348" s="306">
        <f t="shared" si="90"/>
        <v>0</v>
      </c>
      <c r="N348" s="305">
        <f>IF(G348=0,0,(IF(OR(E348=$AT$5,E348=$AT$6),AC348,HLOOKUP(YEAR(G348)+(MONTH(G348)/100),TC!$5:$37,DAY(G348)+2,FALSE))))</f>
        <v>0</v>
      </c>
      <c r="O348" s="307">
        <f t="shared" si="99"/>
        <v>0</v>
      </c>
      <c r="P348" s="552">
        <f>IF(G348=0,0,VLOOKUP(YEAR(G348),INPC!$B$4:$P$30,MONTH(G348)+2))</f>
        <v>0</v>
      </c>
      <c r="Q348" s="552">
        <f>IF(X348=0,0,IF(OR(E348=$AT$10,E348=$AT$9),VLOOKUP(YEAR(X348),INPC!$B$4:$P$30,MONTH(X348)+1),VLOOKUP(YEAR(X348),INPC!$B$4:$P$30,MONTH(X348)+2,0)))</f>
        <v>0</v>
      </c>
      <c r="R348" s="309">
        <f t="shared" si="91"/>
        <v>0</v>
      </c>
      <c r="S348" s="310">
        <f t="shared" si="100"/>
        <v>0</v>
      </c>
      <c r="T348" s="547">
        <f t="shared" si="101"/>
        <v>0</v>
      </c>
      <c r="U348" s="311"/>
      <c r="V348" s="312"/>
      <c r="W348" s="299"/>
      <c r="X348" s="300"/>
      <c r="Y348" s="299"/>
      <c r="Z348" s="303"/>
      <c r="AA348" s="305">
        <f>IF(Z348=0,0,IF(Y348="MXN",1/HLOOKUP(YEAR(X348)+(MONTH(X348)/100),TC!$5:$37,DAY(X348)+2,FALSE),VLOOKUP(Y348,Equivalencia!$1:$23,((MAX(Equivalencia!$3:$3)-YEAR(X348))*14)+MONTH(X348)+2,FALSE)))</f>
        <v>0</v>
      </c>
      <c r="AB348" s="306">
        <f t="shared" si="102"/>
        <v>0</v>
      </c>
      <c r="AC348" s="305">
        <f>+IF(X348=0,0,HLOOKUP(YEAR(X348)+(MONTH(X348)/100),TC!$5:$37,DAY(X348)+2,FALSE))</f>
        <v>0</v>
      </c>
      <c r="AD348" s="307">
        <f t="shared" si="103"/>
        <v>0</v>
      </c>
      <c r="AE348" s="314">
        <f t="shared" si="92"/>
        <v>0</v>
      </c>
      <c r="AF348" s="315">
        <f t="shared" si="93"/>
        <v>0</v>
      </c>
      <c r="AG348" s="316">
        <f t="shared" si="94"/>
        <v>0</v>
      </c>
      <c r="AH348" s="314">
        <v>1</v>
      </c>
      <c r="AI348" s="314">
        <f t="shared" si="95"/>
        <v>0</v>
      </c>
      <c r="AJ348" s="314">
        <f t="shared" si="104"/>
        <v>0</v>
      </c>
      <c r="AK348" s="317"/>
      <c r="AL348" s="315">
        <f t="shared" si="96"/>
        <v>0</v>
      </c>
      <c r="AN348" s="546">
        <f t="shared" si="97"/>
        <v>0</v>
      </c>
      <c r="AO348" s="314"/>
      <c r="AP348" s="318"/>
    </row>
    <row r="349" spans="2:42">
      <c r="B349" s="296"/>
      <c r="C349" s="299"/>
      <c r="D349" s="298"/>
      <c r="E349" s="299"/>
      <c r="F349" s="299"/>
      <c r="G349" s="300"/>
      <c r="H349" s="303"/>
      <c r="I349" s="301">
        <f t="shared" si="88"/>
        <v>0</v>
      </c>
      <c r="J349" s="302">
        <f t="shared" si="98"/>
        <v>0</v>
      </c>
      <c r="K349" s="304">
        <f t="shared" si="89"/>
        <v>0</v>
      </c>
      <c r="L349" s="305">
        <f>IF(H349=0,0,IF(OR(E349=$AT$5,E349=$AT$6),AA349,IF(F349="MXN",1/HLOOKUP(YEAR(G349)+(MONTH(G349)/100),TC!$5:$37,DAY(G349)+2,FALSE),VLOOKUP(F349,Equivalencia!$5:$23,((MAX(Equivalencia!$3:$3)-YEAR(G349))*14)+MONTH(G349)+2,FALSE))))</f>
        <v>0</v>
      </c>
      <c r="M349" s="306">
        <f t="shared" si="90"/>
        <v>0</v>
      </c>
      <c r="N349" s="305">
        <f>IF(G349=0,0,(IF(OR(E349=$AT$5,E349=$AT$6),AC349,HLOOKUP(YEAR(G349)+(MONTH(G349)/100),TC!$5:$37,DAY(G349)+2,FALSE))))</f>
        <v>0</v>
      </c>
      <c r="O349" s="307">
        <f t="shared" si="99"/>
        <v>0</v>
      </c>
      <c r="P349" s="552">
        <f>IF(G349=0,0,VLOOKUP(YEAR(G349),INPC!$B$4:$P$30,MONTH(G349)+2))</f>
        <v>0</v>
      </c>
      <c r="Q349" s="552">
        <f>IF(X349=0,0,IF(OR(E349=$AT$10,E349=$AT$9),VLOOKUP(YEAR(X349),INPC!$B$4:$P$30,MONTH(X349)+1),VLOOKUP(YEAR(X349),INPC!$B$4:$P$30,MONTH(X349)+2,0)))</f>
        <v>0</v>
      </c>
      <c r="R349" s="309">
        <f t="shared" si="91"/>
        <v>0</v>
      </c>
      <c r="S349" s="310">
        <f t="shared" si="100"/>
        <v>0</v>
      </c>
      <c r="T349" s="547">
        <f t="shared" si="101"/>
        <v>0</v>
      </c>
      <c r="U349" s="311"/>
      <c r="V349" s="312"/>
      <c r="W349" s="299"/>
      <c r="X349" s="300"/>
      <c r="Y349" s="299"/>
      <c r="Z349" s="303"/>
      <c r="AA349" s="305">
        <f>IF(Z349=0,0,IF(Y349="MXN",1/HLOOKUP(YEAR(X349)+(MONTH(X349)/100),TC!$5:$37,DAY(X349)+2,FALSE),VLOOKUP(Y349,Equivalencia!$1:$23,((MAX(Equivalencia!$3:$3)-YEAR(X349))*14)+MONTH(X349)+2,FALSE)))</f>
        <v>0</v>
      </c>
      <c r="AB349" s="306">
        <f t="shared" si="102"/>
        <v>0</v>
      </c>
      <c r="AC349" s="305">
        <f>+IF(X349=0,0,HLOOKUP(YEAR(X349)+(MONTH(X349)/100),TC!$5:$37,DAY(X349)+2,FALSE))</f>
        <v>0</v>
      </c>
      <c r="AD349" s="307">
        <f t="shared" si="103"/>
        <v>0</v>
      </c>
      <c r="AE349" s="314">
        <f t="shared" si="92"/>
        <v>0</v>
      </c>
      <c r="AF349" s="315">
        <f t="shared" si="93"/>
        <v>0</v>
      </c>
      <c r="AG349" s="316">
        <f t="shared" si="94"/>
        <v>0</v>
      </c>
      <c r="AH349" s="314">
        <v>1</v>
      </c>
      <c r="AI349" s="314">
        <f t="shared" si="95"/>
        <v>0</v>
      </c>
      <c r="AJ349" s="314">
        <f t="shared" si="104"/>
        <v>0</v>
      </c>
      <c r="AK349" s="317"/>
      <c r="AL349" s="315">
        <f t="shared" si="96"/>
        <v>0</v>
      </c>
      <c r="AN349" s="546">
        <f t="shared" si="97"/>
        <v>0</v>
      </c>
      <c r="AO349" s="314"/>
      <c r="AP349" s="318"/>
    </row>
    <row r="350" spans="2:42">
      <c r="B350" s="296"/>
      <c r="C350" s="299"/>
      <c r="D350" s="298"/>
      <c r="E350" s="299"/>
      <c r="F350" s="299"/>
      <c r="G350" s="300"/>
      <c r="H350" s="303"/>
      <c r="I350" s="301">
        <f t="shared" si="88"/>
        <v>0</v>
      </c>
      <c r="J350" s="302">
        <f t="shared" si="98"/>
        <v>0</v>
      </c>
      <c r="K350" s="304">
        <f t="shared" si="89"/>
        <v>0</v>
      </c>
      <c r="L350" s="305">
        <f>IF(H350=0,0,IF(OR(E350=$AT$5,E350=$AT$6),AA350,IF(F350="MXN",1/HLOOKUP(YEAR(G350)+(MONTH(G350)/100),TC!$5:$37,DAY(G350)+2,FALSE),VLOOKUP(F350,Equivalencia!$5:$23,((MAX(Equivalencia!$3:$3)-YEAR(G350))*14)+MONTH(G350)+2,FALSE))))</f>
        <v>0</v>
      </c>
      <c r="M350" s="306">
        <f t="shared" si="90"/>
        <v>0</v>
      </c>
      <c r="N350" s="305">
        <f>IF(G350=0,0,(IF(OR(E350=$AT$5,E350=$AT$6),AC350,HLOOKUP(YEAR(G350)+(MONTH(G350)/100),TC!$5:$37,DAY(G350)+2,FALSE))))</f>
        <v>0</v>
      </c>
      <c r="O350" s="307">
        <f t="shared" si="99"/>
        <v>0</v>
      </c>
      <c r="P350" s="552">
        <f>IF(G350=0,0,VLOOKUP(YEAR(G350),INPC!$B$4:$P$30,MONTH(G350)+2))</f>
        <v>0</v>
      </c>
      <c r="Q350" s="552">
        <f>IF(X350=0,0,IF(OR(E350=$AT$10,E350=$AT$9),VLOOKUP(YEAR(X350),INPC!$B$4:$P$30,MONTH(X350)+1),VLOOKUP(YEAR(X350),INPC!$B$4:$P$30,MONTH(X350)+2,0)))</f>
        <v>0</v>
      </c>
      <c r="R350" s="309">
        <f t="shared" si="91"/>
        <v>0</v>
      </c>
      <c r="S350" s="310">
        <f t="shared" si="100"/>
        <v>0</v>
      </c>
      <c r="T350" s="547">
        <f t="shared" si="101"/>
        <v>0</v>
      </c>
      <c r="U350" s="311"/>
      <c r="V350" s="312"/>
      <c r="W350" s="299"/>
      <c r="X350" s="300"/>
      <c r="Y350" s="299"/>
      <c r="Z350" s="303"/>
      <c r="AA350" s="305">
        <f>IF(Z350=0,0,IF(Y350="MXN",1/HLOOKUP(YEAR(X350)+(MONTH(X350)/100),TC!$5:$37,DAY(X350)+2,FALSE),VLOOKUP(Y350,Equivalencia!$1:$23,((MAX(Equivalencia!$3:$3)-YEAR(X350))*14)+MONTH(X350)+2,FALSE)))</f>
        <v>0</v>
      </c>
      <c r="AB350" s="306">
        <f t="shared" si="102"/>
        <v>0</v>
      </c>
      <c r="AC350" s="305">
        <f>+IF(X350=0,0,HLOOKUP(YEAR(X350)+(MONTH(X350)/100),TC!$5:$37,DAY(X350)+2,FALSE))</f>
        <v>0</v>
      </c>
      <c r="AD350" s="307">
        <f t="shared" si="103"/>
        <v>0</v>
      </c>
      <c r="AE350" s="314">
        <f t="shared" si="92"/>
        <v>0</v>
      </c>
      <c r="AF350" s="315">
        <f t="shared" si="93"/>
        <v>0</v>
      </c>
      <c r="AG350" s="316">
        <f t="shared" si="94"/>
        <v>0</v>
      </c>
      <c r="AH350" s="314">
        <v>1</v>
      </c>
      <c r="AI350" s="314">
        <f t="shared" si="95"/>
        <v>0</v>
      </c>
      <c r="AJ350" s="314">
        <f t="shared" si="104"/>
        <v>0</v>
      </c>
      <c r="AK350" s="317"/>
      <c r="AL350" s="315">
        <f t="shared" si="96"/>
        <v>0</v>
      </c>
      <c r="AN350" s="546">
        <f t="shared" si="97"/>
        <v>0</v>
      </c>
      <c r="AO350" s="314"/>
      <c r="AP350" s="318"/>
    </row>
    <row r="351" spans="2:42">
      <c r="B351" s="296"/>
      <c r="C351" s="299"/>
      <c r="D351" s="298"/>
      <c r="E351" s="299"/>
      <c r="F351" s="299"/>
      <c r="G351" s="300"/>
      <c r="H351" s="303"/>
      <c r="I351" s="301">
        <f t="shared" si="88"/>
        <v>0</v>
      </c>
      <c r="J351" s="302">
        <f t="shared" si="98"/>
        <v>0</v>
      </c>
      <c r="K351" s="304">
        <f t="shared" si="89"/>
        <v>0</v>
      </c>
      <c r="L351" s="305">
        <f>IF(H351=0,0,IF(OR(E351=$AT$5,E351=$AT$6),AA351,IF(F351="MXN",1/HLOOKUP(YEAR(G351)+(MONTH(G351)/100),TC!$5:$37,DAY(G351)+2,FALSE),VLOOKUP(F351,Equivalencia!$5:$23,((MAX(Equivalencia!$3:$3)-YEAR(G351))*14)+MONTH(G351)+2,FALSE))))</f>
        <v>0</v>
      </c>
      <c r="M351" s="306">
        <f t="shared" si="90"/>
        <v>0</v>
      </c>
      <c r="N351" s="305">
        <f>IF(G351=0,0,(IF(OR(E351=$AT$5,E351=$AT$6),AC351,HLOOKUP(YEAR(G351)+(MONTH(G351)/100),TC!$5:$37,DAY(G351)+2,FALSE))))</f>
        <v>0</v>
      </c>
      <c r="O351" s="307">
        <f t="shared" si="99"/>
        <v>0</v>
      </c>
      <c r="P351" s="552">
        <f>IF(G351=0,0,VLOOKUP(YEAR(G351),INPC!$B$4:$P$30,MONTH(G351)+2))</f>
        <v>0</v>
      </c>
      <c r="Q351" s="552">
        <f>IF(X351=0,0,IF(OR(E351=$AT$10,E351=$AT$9),VLOOKUP(YEAR(X351),INPC!$B$4:$P$30,MONTH(X351)+1),VLOOKUP(YEAR(X351),INPC!$B$4:$P$30,MONTH(X351)+2,0)))</f>
        <v>0</v>
      </c>
      <c r="R351" s="309">
        <f t="shared" si="91"/>
        <v>0</v>
      </c>
      <c r="S351" s="310">
        <f t="shared" si="100"/>
        <v>0</v>
      </c>
      <c r="T351" s="547">
        <f t="shared" si="101"/>
        <v>0</v>
      </c>
      <c r="U351" s="311"/>
      <c r="V351" s="312"/>
      <c r="W351" s="299"/>
      <c r="X351" s="300"/>
      <c r="Y351" s="299"/>
      <c r="Z351" s="303"/>
      <c r="AA351" s="305">
        <f>IF(Z351=0,0,IF(Y351="MXN",1/HLOOKUP(YEAR(X351)+(MONTH(X351)/100),TC!$5:$37,DAY(X351)+2,FALSE),VLOOKUP(Y351,Equivalencia!$1:$23,((MAX(Equivalencia!$3:$3)-YEAR(X351))*14)+MONTH(X351)+2,FALSE)))</f>
        <v>0</v>
      </c>
      <c r="AB351" s="306">
        <f t="shared" si="102"/>
        <v>0</v>
      </c>
      <c r="AC351" s="305">
        <f>+IF(X351=0,0,HLOOKUP(YEAR(X351)+(MONTH(X351)/100),TC!$5:$37,DAY(X351)+2,FALSE))</f>
        <v>0</v>
      </c>
      <c r="AD351" s="307">
        <f t="shared" si="103"/>
        <v>0</v>
      </c>
      <c r="AE351" s="314">
        <f t="shared" si="92"/>
        <v>0</v>
      </c>
      <c r="AF351" s="315">
        <f t="shared" si="93"/>
        <v>0</v>
      </c>
      <c r="AG351" s="316">
        <f t="shared" si="94"/>
        <v>0</v>
      </c>
      <c r="AH351" s="314">
        <v>1</v>
      </c>
      <c r="AI351" s="314">
        <f t="shared" si="95"/>
        <v>0</v>
      </c>
      <c r="AJ351" s="314">
        <f t="shared" si="104"/>
        <v>0</v>
      </c>
      <c r="AK351" s="317"/>
      <c r="AL351" s="315">
        <f t="shared" si="96"/>
        <v>0</v>
      </c>
      <c r="AN351" s="546">
        <f t="shared" si="97"/>
        <v>0</v>
      </c>
      <c r="AO351" s="314"/>
      <c r="AP351" s="318"/>
    </row>
    <row r="352" spans="2:42">
      <c r="B352" s="296"/>
      <c r="C352" s="299"/>
      <c r="D352" s="298"/>
      <c r="E352" s="299"/>
      <c r="F352" s="299"/>
      <c r="G352" s="300"/>
      <c r="H352" s="303"/>
      <c r="I352" s="301">
        <f t="shared" si="88"/>
        <v>0</v>
      </c>
      <c r="J352" s="302">
        <f t="shared" si="98"/>
        <v>0</v>
      </c>
      <c r="K352" s="304">
        <f t="shared" si="89"/>
        <v>0</v>
      </c>
      <c r="L352" s="305">
        <f>IF(H352=0,0,IF(OR(E352=$AT$5,E352=$AT$6),AA352,IF(F352="MXN",1/HLOOKUP(YEAR(G352)+(MONTH(G352)/100),TC!$5:$37,DAY(G352)+2,FALSE),VLOOKUP(F352,Equivalencia!$5:$23,((MAX(Equivalencia!$3:$3)-YEAR(G352))*14)+MONTH(G352)+2,FALSE))))</f>
        <v>0</v>
      </c>
      <c r="M352" s="306">
        <f t="shared" si="90"/>
        <v>0</v>
      </c>
      <c r="N352" s="305">
        <f>IF(G352=0,0,(IF(OR(E352=$AT$5,E352=$AT$6),AC352,HLOOKUP(YEAR(G352)+(MONTH(G352)/100),TC!$5:$37,DAY(G352)+2,FALSE))))</f>
        <v>0</v>
      </c>
      <c r="O352" s="307">
        <f t="shared" si="99"/>
        <v>0</v>
      </c>
      <c r="P352" s="552">
        <f>IF(G352=0,0,VLOOKUP(YEAR(G352),INPC!$B$4:$P$30,MONTH(G352)+2))</f>
        <v>0</v>
      </c>
      <c r="Q352" s="552">
        <f>IF(X352=0,0,IF(OR(E352=$AT$10,E352=$AT$9),VLOOKUP(YEAR(X352),INPC!$B$4:$P$30,MONTH(X352)+1),VLOOKUP(YEAR(X352),INPC!$B$4:$P$30,MONTH(X352)+2,0)))</f>
        <v>0</v>
      </c>
      <c r="R352" s="309">
        <f t="shared" si="91"/>
        <v>0</v>
      </c>
      <c r="S352" s="310">
        <f t="shared" si="100"/>
        <v>0</v>
      </c>
      <c r="T352" s="547">
        <f t="shared" si="101"/>
        <v>0</v>
      </c>
      <c r="U352" s="311"/>
      <c r="V352" s="312"/>
      <c r="W352" s="299"/>
      <c r="X352" s="300"/>
      <c r="Y352" s="299"/>
      <c r="Z352" s="303"/>
      <c r="AA352" s="305">
        <f>IF(Z352=0,0,IF(Y352="MXN",1/HLOOKUP(YEAR(X352)+(MONTH(X352)/100),TC!$5:$37,DAY(X352)+2,FALSE),VLOOKUP(Y352,Equivalencia!$1:$23,((MAX(Equivalencia!$3:$3)-YEAR(X352))*14)+MONTH(X352)+2,FALSE)))</f>
        <v>0</v>
      </c>
      <c r="AB352" s="306">
        <f t="shared" si="102"/>
        <v>0</v>
      </c>
      <c r="AC352" s="305">
        <f>+IF(X352=0,0,HLOOKUP(YEAR(X352)+(MONTH(X352)/100),TC!$5:$37,DAY(X352)+2,FALSE))</f>
        <v>0</v>
      </c>
      <c r="AD352" s="307">
        <f t="shared" si="103"/>
        <v>0</v>
      </c>
      <c r="AE352" s="314">
        <f t="shared" si="92"/>
        <v>0</v>
      </c>
      <c r="AF352" s="315">
        <f t="shared" si="93"/>
        <v>0</v>
      </c>
      <c r="AG352" s="316">
        <f t="shared" si="94"/>
        <v>0</v>
      </c>
      <c r="AH352" s="314">
        <v>1</v>
      </c>
      <c r="AI352" s="314">
        <f t="shared" si="95"/>
        <v>0</v>
      </c>
      <c r="AJ352" s="314">
        <f t="shared" si="104"/>
        <v>0</v>
      </c>
      <c r="AK352" s="317"/>
      <c r="AL352" s="315">
        <f t="shared" si="96"/>
        <v>0</v>
      </c>
      <c r="AN352" s="546">
        <f t="shared" si="97"/>
        <v>0</v>
      </c>
      <c r="AO352" s="314"/>
      <c r="AP352" s="318"/>
    </row>
    <row r="353" spans="2:42">
      <c r="B353" s="296"/>
      <c r="C353" s="299"/>
      <c r="D353" s="298"/>
      <c r="E353" s="299"/>
      <c r="F353" s="299"/>
      <c r="G353" s="300"/>
      <c r="H353" s="303"/>
      <c r="I353" s="301">
        <f t="shared" si="88"/>
        <v>0</v>
      </c>
      <c r="J353" s="302">
        <f t="shared" si="98"/>
        <v>0</v>
      </c>
      <c r="K353" s="304">
        <f t="shared" si="89"/>
        <v>0</v>
      </c>
      <c r="L353" s="305">
        <f>IF(H353=0,0,IF(OR(E353=$AT$5,E353=$AT$6),AA353,IF(F353="MXN",1/HLOOKUP(YEAR(G353)+(MONTH(G353)/100),TC!$5:$37,DAY(G353)+2,FALSE),VLOOKUP(F353,Equivalencia!$5:$23,((MAX(Equivalencia!$3:$3)-YEAR(G353))*14)+MONTH(G353)+2,FALSE))))</f>
        <v>0</v>
      </c>
      <c r="M353" s="306">
        <f t="shared" si="90"/>
        <v>0</v>
      </c>
      <c r="N353" s="305">
        <f>IF(G353=0,0,(IF(OR(E353=$AT$5,E353=$AT$6),AC353,HLOOKUP(YEAR(G353)+(MONTH(G353)/100),TC!$5:$37,DAY(G353)+2,FALSE))))</f>
        <v>0</v>
      </c>
      <c r="O353" s="307">
        <f t="shared" si="99"/>
        <v>0</v>
      </c>
      <c r="P353" s="552">
        <f>IF(G353=0,0,VLOOKUP(YEAR(G353),INPC!$B$4:$P$30,MONTH(G353)+2))</f>
        <v>0</v>
      </c>
      <c r="Q353" s="552">
        <f>IF(X353=0,0,IF(OR(E353=$AT$10,E353=$AT$9),VLOOKUP(YEAR(X353),INPC!$B$4:$P$30,MONTH(X353)+1),VLOOKUP(YEAR(X353),INPC!$B$4:$P$30,MONTH(X353)+2,0)))</f>
        <v>0</v>
      </c>
      <c r="R353" s="309">
        <f t="shared" si="91"/>
        <v>0</v>
      </c>
      <c r="S353" s="310">
        <f t="shared" si="100"/>
        <v>0</v>
      </c>
      <c r="T353" s="547">
        <f t="shared" si="101"/>
        <v>0</v>
      </c>
      <c r="U353" s="311"/>
      <c r="V353" s="312"/>
      <c r="W353" s="299"/>
      <c r="X353" s="300"/>
      <c r="Y353" s="299"/>
      <c r="Z353" s="303"/>
      <c r="AA353" s="305">
        <f>IF(Z353=0,0,IF(Y353="MXN",1/HLOOKUP(YEAR(X353)+(MONTH(X353)/100),TC!$5:$37,DAY(X353)+2,FALSE),VLOOKUP(Y353,Equivalencia!$1:$23,((MAX(Equivalencia!$3:$3)-YEAR(X353))*14)+MONTH(X353)+2,FALSE)))</f>
        <v>0</v>
      </c>
      <c r="AB353" s="306">
        <f t="shared" si="102"/>
        <v>0</v>
      </c>
      <c r="AC353" s="305">
        <f>+IF(X353=0,0,HLOOKUP(YEAR(X353)+(MONTH(X353)/100),TC!$5:$37,DAY(X353)+2,FALSE))</f>
        <v>0</v>
      </c>
      <c r="AD353" s="307">
        <f t="shared" si="103"/>
        <v>0</v>
      </c>
      <c r="AE353" s="314">
        <f t="shared" si="92"/>
        <v>0</v>
      </c>
      <c r="AF353" s="315">
        <f t="shared" si="93"/>
        <v>0</v>
      </c>
      <c r="AG353" s="316">
        <f t="shared" si="94"/>
        <v>0</v>
      </c>
      <c r="AH353" s="314">
        <v>1</v>
      </c>
      <c r="AI353" s="314">
        <f t="shared" si="95"/>
        <v>0</v>
      </c>
      <c r="AJ353" s="314">
        <f t="shared" si="104"/>
        <v>0</v>
      </c>
      <c r="AK353" s="317"/>
      <c r="AL353" s="315">
        <f t="shared" si="96"/>
        <v>0</v>
      </c>
      <c r="AN353" s="546">
        <f t="shared" si="97"/>
        <v>0</v>
      </c>
      <c r="AO353" s="314"/>
      <c r="AP353" s="318"/>
    </row>
    <row r="354" spans="2:42">
      <c r="B354" s="296"/>
      <c r="C354" s="299"/>
      <c r="D354" s="298"/>
      <c r="E354" s="299"/>
      <c r="F354" s="299"/>
      <c r="G354" s="300"/>
      <c r="H354" s="303"/>
      <c r="I354" s="301">
        <f t="shared" si="88"/>
        <v>0</v>
      </c>
      <c r="J354" s="302">
        <f t="shared" si="98"/>
        <v>0</v>
      </c>
      <c r="K354" s="304">
        <f t="shared" si="89"/>
        <v>0</v>
      </c>
      <c r="L354" s="305">
        <f>IF(H354=0,0,IF(OR(E354=$AT$5,E354=$AT$6),AA354,IF(F354="MXN",1/HLOOKUP(YEAR(G354)+(MONTH(G354)/100),TC!$5:$37,DAY(G354)+2,FALSE),VLOOKUP(F354,Equivalencia!$5:$23,((MAX(Equivalencia!$3:$3)-YEAR(G354))*14)+MONTH(G354)+2,FALSE))))</f>
        <v>0</v>
      </c>
      <c r="M354" s="306">
        <f t="shared" si="90"/>
        <v>0</v>
      </c>
      <c r="N354" s="305">
        <f>IF(G354=0,0,(IF(OR(E354=$AT$5,E354=$AT$6),AC354,HLOOKUP(YEAR(G354)+(MONTH(G354)/100),TC!$5:$37,DAY(G354)+2,FALSE))))</f>
        <v>0</v>
      </c>
      <c r="O354" s="307">
        <f t="shared" si="99"/>
        <v>0</v>
      </c>
      <c r="P354" s="552">
        <f>IF(G354=0,0,VLOOKUP(YEAR(G354),INPC!$B$4:$P$30,MONTH(G354)+2))</f>
        <v>0</v>
      </c>
      <c r="Q354" s="552">
        <f>IF(X354=0,0,IF(OR(E354=$AT$10,E354=$AT$9),VLOOKUP(YEAR(X354),INPC!$B$4:$P$30,MONTH(X354)+1),VLOOKUP(YEAR(X354),INPC!$B$4:$P$30,MONTH(X354)+2,0)))</f>
        <v>0</v>
      </c>
      <c r="R354" s="309">
        <f t="shared" si="91"/>
        <v>0</v>
      </c>
      <c r="S354" s="310">
        <f t="shared" si="100"/>
        <v>0</v>
      </c>
      <c r="T354" s="547">
        <f t="shared" si="101"/>
        <v>0</v>
      </c>
      <c r="U354" s="311"/>
      <c r="V354" s="312"/>
      <c r="W354" s="299"/>
      <c r="X354" s="300"/>
      <c r="Y354" s="299"/>
      <c r="Z354" s="303"/>
      <c r="AA354" s="305">
        <f>IF(Z354=0,0,IF(Y354="MXN",1/HLOOKUP(YEAR(X354)+(MONTH(X354)/100),TC!$5:$37,DAY(X354)+2,FALSE),VLOOKUP(Y354,Equivalencia!$1:$23,((MAX(Equivalencia!$3:$3)-YEAR(X354))*14)+MONTH(X354)+2,FALSE)))</f>
        <v>0</v>
      </c>
      <c r="AB354" s="306">
        <f t="shared" si="102"/>
        <v>0</v>
      </c>
      <c r="AC354" s="305">
        <f>+IF(X354=0,0,HLOOKUP(YEAR(X354)+(MONTH(X354)/100),TC!$5:$37,DAY(X354)+2,FALSE))</f>
        <v>0</v>
      </c>
      <c r="AD354" s="307">
        <f t="shared" si="103"/>
        <v>0</v>
      </c>
      <c r="AE354" s="314">
        <f t="shared" si="92"/>
        <v>0</v>
      </c>
      <c r="AF354" s="315">
        <f t="shared" si="93"/>
        <v>0</v>
      </c>
      <c r="AG354" s="316">
        <f t="shared" si="94"/>
        <v>0</v>
      </c>
      <c r="AH354" s="314">
        <v>1</v>
      </c>
      <c r="AI354" s="314">
        <f t="shared" si="95"/>
        <v>0</v>
      </c>
      <c r="AJ354" s="314">
        <f t="shared" si="104"/>
        <v>0</v>
      </c>
      <c r="AK354" s="317"/>
      <c r="AL354" s="315">
        <f t="shared" si="96"/>
        <v>0</v>
      </c>
      <c r="AN354" s="546">
        <f t="shared" si="97"/>
        <v>0</v>
      </c>
      <c r="AO354" s="314"/>
      <c r="AP354" s="318"/>
    </row>
    <row r="355" spans="2:42">
      <c r="B355" s="296"/>
      <c r="C355" s="299"/>
      <c r="D355" s="298"/>
      <c r="E355" s="299"/>
      <c r="F355" s="299"/>
      <c r="G355" s="300"/>
      <c r="H355" s="303"/>
      <c r="I355" s="301">
        <f t="shared" si="88"/>
        <v>0</v>
      </c>
      <c r="J355" s="302">
        <f t="shared" si="98"/>
        <v>0</v>
      </c>
      <c r="K355" s="304">
        <f t="shared" si="89"/>
        <v>0</v>
      </c>
      <c r="L355" s="305">
        <f>IF(H355=0,0,IF(OR(E355=$AT$5,E355=$AT$6),AA355,IF(F355="MXN",1/HLOOKUP(YEAR(G355)+(MONTH(G355)/100),TC!$5:$37,DAY(G355)+2,FALSE),VLOOKUP(F355,Equivalencia!$5:$23,((MAX(Equivalencia!$3:$3)-YEAR(G355))*14)+MONTH(G355)+2,FALSE))))</f>
        <v>0</v>
      </c>
      <c r="M355" s="306">
        <f t="shared" si="90"/>
        <v>0</v>
      </c>
      <c r="N355" s="305">
        <f>IF(G355=0,0,(IF(OR(E355=$AT$5,E355=$AT$6),AC355,HLOOKUP(YEAR(G355)+(MONTH(G355)/100),TC!$5:$37,DAY(G355)+2,FALSE))))</f>
        <v>0</v>
      </c>
      <c r="O355" s="307">
        <f t="shared" si="99"/>
        <v>0</v>
      </c>
      <c r="P355" s="552">
        <f>IF(G355=0,0,VLOOKUP(YEAR(G355),INPC!$B$4:$P$30,MONTH(G355)+2))</f>
        <v>0</v>
      </c>
      <c r="Q355" s="552">
        <f>IF(X355=0,0,IF(OR(E355=$AT$10,E355=$AT$9),VLOOKUP(YEAR(X355),INPC!$B$4:$P$30,MONTH(X355)+1),VLOOKUP(YEAR(X355),INPC!$B$4:$P$30,MONTH(X355)+2,0)))</f>
        <v>0</v>
      </c>
      <c r="R355" s="309">
        <f t="shared" si="91"/>
        <v>0</v>
      </c>
      <c r="S355" s="310">
        <f t="shared" si="100"/>
        <v>0</v>
      </c>
      <c r="T355" s="547">
        <f t="shared" si="101"/>
        <v>0</v>
      </c>
      <c r="U355" s="311"/>
      <c r="V355" s="312"/>
      <c r="W355" s="299"/>
      <c r="X355" s="300"/>
      <c r="Y355" s="299"/>
      <c r="Z355" s="303"/>
      <c r="AA355" s="305">
        <f>IF(Z355=0,0,IF(Y355="MXN",1/HLOOKUP(YEAR(X355)+(MONTH(X355)/100),TC!$5:$37,DAY(X355)+2,FALSE),VLOOKUP(Y355,Equivalencia!$1:$23,((MAX(Equivalencia!$3:$3)-YEAR(X355))*14)+MONTH(X355)+2,FALSE)))</f>
        <v>0</v>
      </c>
      <c r="AB355" s="306">
        <f t="shared" si="102"/>
        <v>0</v>
      </c>
      <c r="AC355" s="305">
        <f>+IF(X355=0,0,HLOOKUP(YEAR(X355)+(MONTH(X355)/100),TC!$5:$37,DAY(X355)+2,FALSE))</f>
        <v>0</v>
      </c>
      <c r="AD355" s="307">
        <f t="shared" si="103"/>
        <v>0</v>
      </c>
      <c r="AE355" s="314">
        <f t="shared" si="92"/>
        <v>0</v>
      </c>
      <c r="AF355" s="315">
        <f t="shared" si="93"/>
        <v>0</v>
      </c>
      <c r="AG355" s="316">
        <f t="shared" si="94"/>
        <v>0</v>
      </c>
      <c r="AH355" s="314">
        <v>1</v>
      </c>
      <c r="AI355" s="314">
        <f t="shared" si="95"/>
        <v>0</v>
      </c>
      <c r="AJ355" s="314">
        <f t="shared" si="104"/>
        <v>0</v>
      </c>
      <c r="AK355" s="317"/>
      <c r="AL355" s="315">
        <f t="shared" si="96"/>
        <v>0</v>
      </c>
      <c r="AN355" s="546">
        <f t="shared" si="97"/>
        <v>0</v>
      </c>
      <c r="AO355" s="314"/>
      <c r="AP355" s="318"/>
    </row>
    <row r="356" spans="2:42">
      <c r="B356" s="296"/>
      <c r="C356" s="299"/>
      <c r="D356" s="298"/>
      <c r="E356" s="299"/>
      <c r="F356" s="299"/>
      <c r="G356" s="300"/>
      <c r="H356" s="303"/>
      <c r="I356" s="301">
        <f t="shared" si="88"/>
        <v>0</v>
      </c>
      <c r="J356" s="302">
        <f t="shared" si="98"/>
        <v>0</v>
      </c>
      <c r="K356" s="304">
        <f t="shared" si="89"/>
        <v>0</v>
      </c>
      <c r="L356" s="305">
        <f>IF(H356=0,0,IF(OR(E356=$AT$5,E356=$AT$6),AA356,IF(F356="MXN",1/HLOOKUP(YEAR(G356)+(MONTH(G356)/100),TC!$5:$37,DAY(G356)+2,FALSE),VLOOKUP(F356,Equivalencia!$5:$23,((MAX(Equivalencia!$3:$3)-YEAR(G356))*14)+MONTH(G356)+2,FALSE))))</f>
        <v>0</v>
      </c>
      <c r="M356" s="306">
        <f t="shared" si="90"/>
        <v>0</v>
      </c>
      <c r="N356" s="305">
        <f>IF(G356=0,0,(IF(OR(E356=$AT$5,E356=$AT$6),AC356,HLOOKUP(YEAR(G356)+(MONTH(G356)/100),TC!$5:$37,DAY(G356)+2,FALSE))))</f>
        <v>0</v>
      </c>
      <c r="O356" s="307">
        <f t="shared" si="99"/>
        <v>0</v>
      </c>
      <c r="P356" s="552">
        <f>IF(G356=0,0,VLOOKUP(YEAR(G356),INPC!$B$4:$P$30,MONTH(G356)+2))</f>
        <v>0</v>
      </c>
      <c r="Q356" s="552">
        <f>IF(X356=0,0,IF(OR(E356=$AT$10,E356=$AT$9),VLOOKUP(YEAR(X356),INPC!$B$4:$P$30,MONTH(X356)+1),VLOOKUP(YEAR(X356),INPC!$B$4:$P$30,MONTH(X356)+2,0)))</f>
        <v>0</v>
      </c>
      <c r="R356" s="309">
        <f t="shared" si="91"/>
        <v>0</v>
      </c>
      <c r="S356" s="310">
        <f t="shared" si="100"/>
        <v>0</v>
      </c>
      <c r="T356" s="547">
        <f t="shared" si="101"/>
        <v>0</v>
      </c>
      <c r="U356" s="311"/>
      <c r="V356" s="312"/>
      <c r="W356" s="299"/>
      <c r="X356" s="300"/>
      <c r="Y356" s="299"/>
      <c r="Z356" s="303"/>
      <c r="AA356" s="305">
        <f>IF(Z356=0,0,IF(Y356="MXN",1/HLOOKUP(YEAR(X356)+(MONTH(X356)/100),TC!$5:$37,DAY(X356)+2,FALSE),VLOOKUP(Y356,Equivalencia!$1:$23,((MAX(Equivalencia!$3:$3)-YEAR(X356))*14)+MONTH(X356)+2,FALSE)))</f>
        <v>0</v>
      </c>
      <c r="AB356" s="306">
        <f t="shared" si="102"/>
        <v>0</v>
      </c>
      <c r="AC356" s="305">
        <f>+IF(X356=0,0,HLOOKUP(YEAR(X356)+(MONTH(X356)/100),TC!$5:$37,DAY(X356)+2,FALSE))</f>
        <v>0</v>
      </c>
      <c r="AD356" s="307">
        <f t="shared" si="103"/>
        <v>0</v>
      </c>
      <c r="AE356" s="314">
        <f t="shared" si="92"/>
        <v>0</v>
      </c>
      <c r="AF356" s="315">
        <f t="shared" si="93"/>
        <v>0</v>
      </c>
      <c r="AG356" s="316">
        <f t="shared" si="94"/>
        <v>0</v>
      </c>
      <c r="AH356" s="314">
        <v>1</v>
      </c>
      <c r="AI356" s="314">
        <f t="shared" si="95"/>
        <v>0</v>
      </c>
      <c r="AJ356" s="314">
        <f t="shared" si="104"/>
        <v>0</v>
      </c>
      <c r="AK356" s="317"/>
      <c r="AL356" s="315">
        <f t="shared" si="96"/>
        <v>0</v>
      </c>
      <c r="AN356" s="546">
        <f t="shared" si="97"/>
        <v>0</v>
      </c>
      <c r="AO356" s="314"/>
      <c r="AP356" s="318"/>
    </row>
    <row r="357" spans="2:42">
      <c r="B357" s="296"/>
      <c r="C357" s="299"/>
      <c r="D357" s="298"/>
      <c r="E357" s="299"/>
      <c r="F357" s="299"/>
      <c r="G357" s="300"/>
      <c r="H357" s="303"/>
      <c r="I357" s="301">
        <f t="shared" si="88"/>
        <v>0</v>
      </c>
      <c r="J357" s="302">
        <f t="shared" si="98"/>
        <v>0</v>
      </c>
      <c r="K357" s="304">
        <f t="shared" si="89"/>
        <v>0</v>
      </c>
      <c r="L357" s="305">
        <f>IF(H357=0,0,IF(OR(E357=$AT$5,E357=$AT$6),AA357,IF(F357="MXN",1/HLOOKUP(YEAR(G357)+(MONTH(G357)/100),TC!$5:$37,DAY(G357)+2,FALSE),VLOOKUP(F357,Equivalencia!$5:$23,((MAX(Equivalencia!$3:$3)-YEAR(G357))*14)+MONTH(G357)+2,FALSE))))</f>
        <v>0</v>
      </c>
      <c r="M357" s="306">
        <f t="shared" si="90"/>
        <v>0</v>
      </c>
      <c r="N357" s="305">
        <f>IF(G357=0,0,(IF(OR(E357=$AT$5,E357=$AT$6),AC357,HLOOKUP(YEAR(G357)+(MONTH(G357)/100),TC!$5:$37,DAY(G357)+2,FALSE))))</f>
        <v>0</v>
      </c>
      <c r="O357" s="307">
        <f t="shared" si="99"/>
        <v>0</v>
      </c>
      <c r="P357" s="552">
        <f>IF(G357=0,0,VLOOKUP(YEAR(G357),INPC!$B$4:$P$30,MONTH(G357)+2))</f>
        <v>0</v>
      </c>
      <c r="Q357" s="552">
        <f>IF(X357=0,0,IF(OR(E357=$AT$10,E357=$AT$9),VLOOKUP(YEAR(X357),INPC!$B$4:$P$30,MONTH(X357)+1),VLOOKUP(YEAR(X357),INPC!$B$4:$P$30,MONTH(X357)+2,0)))</f>
        <v>0</v>
      </c>
      <c r="R357" s="309">
        <f t="shared" si="91"/>
        <v>0</v>
      </c>
      <c r="S357" s="310">
        <f t="shared" si="100"/>
        <v>0</v>
      </c>
      <c r="T357" s="547">
        <f t="shared" si="101"/>
        <v>0</v>
      </c>
      <c r="U357" s="311"/>
      <c r="V357" s="312"/>
      <c r="W357" s="299"/>
      <c r="X357" s="300"/>
      <c r="Y357" s="299"/>
      <c r="Z357" s="303"/>
      <c r="AA357" s="305">
        <f>IF(Z357=0,0,IF(Y357="MXN",1/HLOOKUP(YEAR(X357)+(MONTH(X357)/100),TC!$5:$37,DAY(X357)+2,FALSE),VLOOKUP(Y357,Equivalencia!$1:$23,((MAX(Equivalencia!$3:$3)-YEAR(X357))*14)+MONTH(X357)+2,FALSE)))</f>
        <v>0</v>
      </c>
      <c r="AB357" s="306">
        <f t="shared" si="102"/>
        <v>0</v>
      </c>
      <c r="AC357" s="305">
        <f>+IF(X357=0,0,HLOOKUP(YEAR(X357)+(MONTH(X357)/100),TC!$5:$37,DAY(X357)+2,FALSE))</f>
        <v>0</v>
      </c>
      <c r="AD357" s="307">
        <f t="shared" si="103"/>
        <v>0</v>
      </c>
      <c r="AE357" s="314">
        <f t="shared" si="92"/>
        <v>0</v>
      </c>
      <c r="AF357" s="315">
        <f t="shared" si="93"/>
        <v>0</v>
      </c>
      <c r="AG357" s="316">
        <f t="shared" si="94"/>
        <v>0</v>
      </c>
      <c r="AH357" s="314">
        <v>1</v>
      </c>
      <c r="AI357" s="314">
        <f t="shared" si="95"/>
        <v>0</v>
      </c>
      <c r="AJ357" s="314">
        <f t="shared" si="104"/>
        <v>0</v>
      </c>
      <c r="AK357" s="317"/>
      <c r="AL357" s="315">
        <f t="shared" si="96"/>
        <v>0</v>
      </c>
      <c r="AN357" s="546">
        <f t="shared" si="97"/>
        <v>0</v>
      </c>
      <c r="AO357" s="314"/>
      <c r="AP357" s="318"/>
    </row>
    <row r="358" spans="2:42">
      <c r="B358" s="296"/>
      <c r="C358" s="299"/>
      <c r="D358" s="298"/>
      <c r="E358" s="299"/>
      <c r="F358" s="299"/>
      <c r="G358" s="300"/>
      <c r="H358" s="303"/>
      <c r="I358" s="301">
        <f t="shared" si="88"/>
        <v>0</v>
      </c>
      <c r="J358" s="302">
        <f t="shared" si="98"/>
        <v>0</v>
      </c>
      <c r="K358" s="304">
        <f t="shared" si="89"/>
        <v>0</v>
      </c>
      <c r="L358" s="305">
        <f>IF(H358=0,0,IF(OR(E358=$AT$5,E358=$AT$6),AA358,IF(F358="MXN",1/HLOOKUP(YEAR(G358)+(MONTH(G358)/100),TC!$5:$37,DAY(G358)+2,FALSE),VLOOKUP(F358,Equivalencia!$5:$23,((MAX(Equivalencia!$3:$3)-YEAR(G358))*14)+MONTH(G358)+2,FALSE))))</f>
        <v>0</v>
      </c>
      <c r="M358" s="306">
        <f t="shared" si="90"/>
        <v>0</v>
      </c>
      <c r="N358" s="305">
        <f>IF(G358=0,0,(IF(OR(E358=$AT$5,E358=$AT$6),AC358,HLOOKUP(YEAR(G358)+(MONTH(G358)/100),TC!$5:$37,DAY(G358)+2,FALSE))))</f>
        <v>0</v>
      </c>
      <c r="O358" s="307">
        <f t="shared" si="99"/>
        <v>0</v>
      </c>
      <c r="P358" s="552">
        <f>IF(G358=0,0,VLOOKUP(YEAR(G358),INPC!$B$4:$P$30,MONTH(G358)+2))</f>
        <v>0</v>
      </c>
      <c r="Q358" s="552">
        <f>IF(X358=0,0,IF(OR(E358=$AT$10,E358=$AT$9),VLOOKUP(YEAR(X358),INPC!$B$4:$P$30,MONTH(X358)+1),VLOOKUP(YEAR(X358),INPC!$B$4:$P$30,MONTH(X358)+2,0)))</f>
        <v>0</v>
      </c>
      <c r="R358" s="309">
        <f t="shared" si="91"/>
        <v>0</v>
      </c>
      <c r="S358" s="310">
        <f t="shared" si="100"/>
        <v>0</v>
      </c>
      <c r="T358" s="547">
        <f t="shared" si="101"/>
        <v>0</v>
      </c>
      <c r="U358" s="311"/>
      <c r="V358" s="312"/>
      <c r="W358" s="299"/>
      <c r="X358" s="300"/>
      <c r="Y358" s="299"/>
      <c r="Z358" s="303"/>
      <c r="AA358" s="305">
        <f>IF(Z358=0,0,IF(Y358="MXN",1/HLOOKUP(YEAR(X358)+(MONTH(X358)/100),TC!$5:$37,DAY(X358)+2,FALSE),VLOOKUP(Y358,Equivalencia!$1:$23,((MAX(Equivalencia!$3:$3)-YEAR(X358))*14)+MONTH(X358)+2,FALSE)))</f>
        <v>0</v>
      </c>
      <c r="AB358" s="306">
        <f t="shared" si="102"/>
        <v>0</v>
      </c>
      <c r="AC358" s="305">
        <f>+IF(X358=0,0,HLOOKUP(YEAR(X358)+(MONTH(X358)/100),TC!$5:$37,DAY(X358)+2,FALSE))</f>
        <v>0</v>
      </c>
      <c r="AD358" s="307">
        <f t="shared" si="103"/>
        <v>0</v>
      </c>
      <c r="AE358" s="314">
        <f t="shared" si="92"/>
        <v>0</v>
      </c>
      <c r="AF358" s="315">
        <f t="shared" si="93"/>
        <v>0</v>
      </c>
      <c r="AG358" s="316">
        <f t="shared" si="94"/>
        <v>0</v>
      </c>
      <c r="AH358" s="314">
        <v>1</v>
      </c>
      <c r="AI358" s="314">
        <f t="shared" si="95"/>
        <v>0</v>
      </c>
      <c r="AJ358" s="314">
        <f t="shared" si="104"/>
        <v>0</v>
      </c>
      <c r="AK358" s="317"/>
      <c r="AL358" s="315">
        <f t="shared" si="96"/>
        <v>0</v>
      </c>
      <c r="AN358" s="546">
        <f t="shared" si="97"/>
        <v>0</v>
      </c>
      <c r="AO358" s="314"/>
      <c r="AP358" s="318"/>
    </row>
    <row r="359" spans="2:42">
      <c r="B359" s="296"/>
      <c r="C359" s="299"/>
      <c r="D359" s="298"/>
      <c r="E359" s="299"/>
      <c r="F359" s="299"/>
      <c r="G359" s="300"/>
      <c r="H359" s="303"/>
      <c r="I359" s="301">
        <f t="shared" si="88"/>
        <v>0</v>
      </c>
      <c r="J359" s="302">
        <f t="shared" si="98"/>
        <v>0</v>
      </c>
      <c r="K359" s="304">
        <f t="shared" si="89"/>
        <v>0</v>
      </c>
      <c r="L359" s="305">
        <f>IF(H359=0,0,IF(OR(E359=$AT$5,E359=$AT$6),AA359,IF(F359="MXN",1/HLOOKUP(YEAR(G359)+(MONTH(G359)/100),TC!$5:$37,DAY(G359)+2,FALSE),VLOOKUP(F359,Equivalencia!$5:$23,((MAX(Equivalencia!$3:$3)-YEAR(G359))*14)+MONTH(G359)+2,FALSE))))</f>
        <v>0</v>
      </c>
      <c r="M359" s="306">
        <f t="shared" si="90"/>
        <v>0</v>
      </c>
      <c r="N359" s="305">
        <f>IF(G359=0,0,(IF(OR(E359=$AT$5,E359=$AT$6),AC359,HLOOKUP(YEAR(G359)+(MONTH(G359)/100),TC!$5:$37,DAY(G359)+2,FALSE))))</f>
        <v>0</v>
      </c>
      <c r="O359" s="307">
        <f t="shared" si="99"/>
        <v>0</v>
      </c>
      <c r="P359" s="552">
        <f>IF(G359=0,0,VLOOKUP(YEAR(G359),INPC!$B$4:$P$30,MONTH(G359)+2))</f>
        <v>0</v>
      </c>
      <c r="Q359" s="552">
        <f>IF(X359=0,0,IF(OR(E359=$AT$10,E359=$AT$9),VLOOKUP(YEAR(X359),INPC!$B$4:$P$30,MONTH(X359)+1),VLOOKUP(YEAR(X359),INPC!$B$4:$P$30,MONTH(X359)+2,0)))</f>
        <v>0</v>
      </c>
      <c r="R359" s="309">
        <f t="shared" si="91"/>
        <v>0</v>
      </c>
      <c r="S359" s="310">
        <f t="shared" si="100"/>
        <v>0</v>
      </c>
      <c r="T359" s="547">
        <f t="shared" si="101"/>
        <v>0</v>
      </c>
      <c r="U359" s="311"/>
      <c r="V359" s="312"/>
      <c r="W359" s="299"/>
      <c r="X359" s="300"/>
      <c r="Y359" s="299"/>
      <c r="Z359" s="303"/>
      <c r="AA359" s="305">
        <f>IF(Z359=0,0,IF(Y359="MXN",1/HLOOKUP(YEAR(X359)+(MONTH(X359)/100),TC!$5:$37,DAY(X359)+2,FALSE),VLOOKUP(Y359,Equivalencia!$1:$23,((MAX(Equivalencia!$3:$3)-YEAR(X359))*14)+MONTH(X359)+2,FALSE)))</f>
        <v>0</v>
      </c>
      <c r="AB359" s="306">
        <f t="shared" si="102"/>
        <v>0</v>
      </c>
      <c r="AC359" s="305">
        <f>+IF(X359=0,0,HLOOKUP(YEAR(X359)+(MONTH(X359)/100),TC!$5:$37,DAY(X359)+2,FALSE))</f>
        <v>0</v>
      </c>
      <c r="AD359" s="307">
        <f t="shared" si="103"/>
        <v>0</v>
      </c>
      <c r="AE359" s="314">
        <f t="shared" si="92"/>
        <v>0</v>
      </c>
      <c r="AF359" s="315">
        <f t="shared" si="93"/>
        <v>0</v>
      </c>
      <c r="AG359" s="316">
        <f t="shared" si="94"/>
        <v>0</v>
      </c>
      <c r="AH359" s="314">
        <v>1</v>
      </c>
      <c r="AI359" s="314">
        <f t="shared" si="95"/>
        <v>0</v>
      </c>
      <c r="AJ359" s="314">
        <f t="shared" si="104"/>
        <v>0</v>
      </c>
      <c r="AK359" s="317"/>
      <c r="AL359" s="315">
        <f t="shared" si="96"/>
        <v>0</v>
      </c>
      <c r="AN359" s="546">
        <f t="shared" si="97"/>
        <v>0</v>
      </c>
      <c r="AO359" s="314"/>
      <c r="AP359" s="318"/>
    </row>
    <row r="360" spans="2:42">
      <c r="B360" s="296"/>
      <c r="C360" s="299"/>
      <c r="D360" s="298"/>
      <c r="E360" s="299"/>
      <c r="F360" s="299"/>
      <c r="G360" s="300"/>
      <c r="H360" s="303"/>
      <c r="I360" s="301">
        <f t="shared" si="88"/>
        <v>0</v>
      </c>
      <c r="J360" s="302">
        <f t="shared" si="98"/>
        <v>0</v>
      </c>
      <c r="K360" s="304">
        <f t="shared" si="89"/>
        <v>0</v>
      </c>
      <c r="L360" s="305">
        <f>IF(H360=0,0,IF(OR(E360=$AT$5,E360=$AT$6),AA360,IF(F360="MXN",1/HLOOKUP(YEAR(G360)+(MONTH(G360)/100),TC!$5:$37,DAY(G360)+2,FALSE),VLOOKUP(F360,Equivalencia!$5:$23,((MAX(Equivalencia!$3:$3)-YEAR(G360))*14)+MONTH(G360)+2,FALSE))))</f>
        <v>0</v>
      </c>
      <c r="M360" s="306">
        <f t="shared" si="90"/>
        <v>0</v>
      </c>
      <c r="N360" s="305">
        <f>IF(G360=0,0,(IF(OR(E360=$AT$5,E360=$AT$6),AC360,HLOOKUP(YEAR(G360)+(MONTH(G360)/100),TC!$5:$37,DAY(G360)+2,FALSE))))</f>
        <v>0</v>
      </c>
      <c r="O360" s="307">
        <f t="shared" si="99"/>
        <v>0</v>
      </c>
      <c r="P360" s="552">
        <f>IF(G360=0,0,VLOOKUP(YEAR(G360),INPC!$B$4:$P$30,MONTH(G360)+2))</f>
        <v>0</v>
      </c>
      <c r="Q360" s="552">
        <f>IF(X360=0,0,IF(OR(E360=$AT$10,E360=$AT$9),VLOOKUP(YEAR(X360),INPC!$B$4:$P$30,MONTH(X360)+1),VLOOKUP(YEAR(X360),INPC!$B$4:$P$30,MONTH(X360)+2,0)))</f>
        <v>0</v>
      </c>
      <c r="R360" s="309">
        <f t="shared" si="91"/>
        <v>0</v>
      </c>
      <c r="S360" s="310">
        <f t="shared" si="100"/>
        <v>0</v>
      </c>
      <c r="T360" s="547">
        <f t="shared" si="101"/>
        <v>0</v>
      </c>
      <c r="U360" s="311"/>
      <c r="V360" s="312"/>
      <c r="W360" s="299"/>
      <c r="X360" s="300"/>
      <c r="Y360" s="299"/>
      <c r="Z360" s="303"/>
      <c r="AA360" s="305">
        <f>IF(Z360=0,0,IF(Y360="MXN",1/HLOOKUP(YEAR(X360)+(MONTH(X360)/100),TC!$5:$37,DAY(X360)+2,FALSE),VLOOKUP(Y360,Equivalencia!$1:$23,((MAX(Equivalencia!$3:$3)-YEAR(X360))*14)+MONTH(X360)+2,FALSE)))</f>
        <v>0</v>
      </c>
      <c r="AB360" s="306">
        <f t="shared" si="102"/>
        <v>0</v>
      </c>
      <c r="AC360" s="305">
        <f>+IF(X360=0,0,HLOOKUP(YEAR(X360)+(MONTH(X360)/100),TC!$5:$37,DAY(X360)+2,FALSE))</f>
        <v>0</v>
      </c>
      <c r="AD360" s="307">
        <f t="shared" si="103"/>
        <v>0</v>
      </c>
      <c r="AE360" s="314">
        <f t="shared" si="92"/>
        <v>0</v>
      </c>
      <c r="AF360" s="315">
        <f t="shared" si="93"/>
        <v>0</v>
      </c>
      <c r="AG360" s="316">
        <f t="shared" si="94"/>
        <v>0</v>
      </c>
      <c r="AH360" s="314">
        <v>1</v>
      </c>
      <c r="AI360" s="314">
        <f t="shared" si="95"/>
        <v>0</v>
      </c>
      <c r="AJ360" s="314">
        <f t="shared" si="104"/>
        <v>0</v>
      </c>
      <c r="AK360" s="317"/>
      <c r="AL360" s="315">
        <f t="shared" si="96"/>
        <v>0</v>
      </c>
      <c r="AN360" s="546">
        <f t="shared" si="97"/>
        <v>0</v>
      </c>
      <c r="AO360" s="314"/>
      <c r="AP360" s="318"/>
    </row>
    <row r="361" spans="2:42">
      <c r="B361" s="296"/>
      <c r="C361" s="299"/>
      <c r="D361" s="298"/>
      <c r="E361" s="299"/>
      <c r="F361" s="299"/>
      <c r="G361" s="300"/>
      <c r="H361" s="303"/>
      <c r="I361" s="301">
        <f t="shared" si="88"/>
        <v>0</v>
      </c>
      <c r="J361" s="302">
        <f t="shared" si="98"/>
        <v>0</v>
      </c>
      <c r="K361" s="304">
        <f t="shared" si="89"/>
        <v>0</v>
      </c>
      <c r="L361" s="305">
        <f>IF(H361=0,0,IF(OR(E361=$AT$5,E361=$AT$6),AA361,IF(F361="MXN",1/HLOOKUP(YEAR(G361)+(MONTH(G361)/100),TC!$5:$37,DAY(G361)+2,FALSE),VLOOKUP(F361,Equivalencia!$5:$23,((MAX(Equivalencia!$3:$3)-YEAR(G361))*14)+MONTH(G361)+2,FALSE))))</f>
        <v>0</v>
      </c>
      <c r="M361" s="306">
        <f t="shared" si="90"/>
        <v>0</v>
      </c>
      <c r="N361" s="305">
        <f>IF(G361=0,0,(IF(OR(E361=$AT$5,E361=$AT$6),AC361,HLOOKUP(YEAR(G361)+(MONTH(G361)/100),TC!$5:$37,DAY(G361)+2,FALSE))))</f>
        <v>0</v>
      </c>
      <c r="O361" s="307">
        <f t="shared" si="99"/>
        <v>0</v>
      </c>
      <c r="P361" s="552">
        <f>IF(G361=0,0,VLOOKUP(YEAR(G361),INPC!$B$4:$P$30,MONTH(G361)+2))</f>
        <v>0</v>
      </c>
      <c r="Q361" s="552">
        <f>IF(X361=0,0,IF(OR(E361=$AT$10,E361=$AT$9),VLOOKUP(YEAR(X361),INPC!$B$4:$P$30,MONTH(X361)+1),VLOOKUP(YEAR(X361),INPC!$B$4:$P$30,MONTH(X361)+2,0)))</f>
        <v>0</v>
      </c>
      <c r="R361" s="309">
        <f t="shared" si="91"/>
        <v>0</v>
      </c>
      <c r="S361" s="310">
        <f t="shared" si="100"/>
        <v>0</v>
      </c>
      <c r="T361" s="547">
        <f t="shared" si="101"/>
        <v>0</v>
      </c>
      <c r="U361" s="311"/>
      <c r="V361" s="312"/>
      <c r="W361" s="299"/>
      <c r="X361" s="300"/>
      <c r="Y361" s="299"/>
      <c r="Z361" s="303"/>
      <c r="AA361" s="305">
        <f>IF(Z361=0,0,IF(Y361="MXN",1/HLOOKUP(YEAR(X361)+(MONTH(X361)/100),TC!$5:$37,DAY(X361)+2,FALSE),VLOOKUP(Y361,Equivalencia!$1:$23,((MAX(Equivalencia!$3:$3)-YEAR(X361))*14)+MONTH(X361)+2,FALSE)))</f>
        <v>0</v>
      </c>
      <c r="AB361" s="306">
        <f t="shared" si="102"/>
        <v>0</v>
      </c>
      <c r="AC361" s="305">
        <f>+IF(X361=0,0,HLOOKUP(YEAR(X361)+(MONTH(X361)/100),TC!$5:$37,DAY(X361)+2,FALSE))</f>
        <v>0</v>
      </c>
      <c r="AD361" s="307">
        <f t="shared" si="103"/>
        <v>0</v>
      </c>
      <c r="AE361" s="314">
        <f t="shared" si="92"/>
        <v>0</v>
      </c>
      <c r="AF361" s="315">
        <f t="shared" si="93"/>
        <v>0</v>
      </c>
      <c r="AG361" s="316">
        <f t="shared" si="94"/>
        <v>0</v>
      </c>
      <c r="AH361" s="314">
        <v>1</v>
      </c>
      <c r="AI361" s="314">
        <f t="shared" si="95"/>
        <v>0</v>
      </c>
      <c r="AJ361" s="314">
        <f t="shared" si="104"/>
        <v>0</v>
      </c>
      <c r="AK361" s="317"/>
      <c r="AL361" s="315">
        <f t="shared" si="96"/>
        <v>0</v>
      </c>
      <c r="AN361" s="546">
        <f t="shared" si="97"/>
        <v>0</v>
      </c>
      <c r="AO361" s="314"/>
      <c r="AP361" s="318"/>
    </row>
    <row r="362" spans="2:42">
      <c r="B362" s="296"/>
      <c r="C362" s="299"/>
      <c r="D362" s="298"/>
      <c r="E362" s="299"/>
      <c r="F362" s="299"/>
      <c r="G362" s="300"/>
      <c r="H362" s="303"/>
      <c r="I362" s="301">
        <f t="shared" si="88"/>
        <v>0</v>
      </c>
      <c r="J362" s="302">
        <f t="shared" si="98"/>
        <v>0</v>
      </c>
      <c r="K362" s="304">
        <f t="shared" si="89"/>
        <v>0</v>
      </c>
      <c r="L362" s="305">
        <f>IF(H362=0,0,IF(OR(E362=$AT$5,E362=$AT$6),AA362,IF(F362="MXN",1/HLOOKUP(YEAR(G362)+(MONTH(G362)/100),TC!$5:$37,DAY(G362)+2,FALSE),VLOOKUP(F362,Equivalencia!$5:$23,((MAX(Equivalencia!$3:$3)-YEAR(G362))*14)+MONTH(G362)+2,FALSE))))</f>
        <v>0</v>
      </c>
      <c r="M362" s="306">
        <f t="shared" si="90"/>
        <v>0</v>
      </c>
      <c r="N362" s="305">
        <f>IF(G362=0,0,(IF(OR(E362=$AT$5,E362=$AT$6),AC362,HLOOKUP(YEAR(G362)+(MONTH(G362)/100),TC!$5:$37,DAY(G362)+2,FALSE))))</f>
        <v>0</v>
      </c>
      <c r="O362" s="307">
        <f t="shared" si="99"/>
        <v>0</v>
      </c>
      <c r="P362" s="552">
        <f>IF(G362=0,0,VLOOKUP(YEAR(G362),INPC!$B$4:$P$30,MONTH(G362)+2))</f>
        <v>0</v>
      </c>
      <c r="Q362" s="552">
        <f>IF(X362=0,0,IF(OR(E362=$AT$10,E362=$AT$9),VLOOKUP(YEAR(X362),INPC!$B$4:$P$30,MONTH(X362)+1),VLOOKUP(YEAR(X362),INPC!$B$4:$P$30,MONTH(X362)+2,0)))</f>
        <v>0</v>
      </c>
      <c r="R362" s="309">
        <f t="shared" si="91"/>
        <v>0</v>
      </c>
      <c r="S362" s="310">
        <f t="shared" si="100"/>
        <v>0</v>
      </c>
      <c r="T362" s="547">
        <f t="shared" si="101"/>
        <v>0</v>
      </c>
      <c r="U362" s="311"/>
      <c r="V362" s="312"/>
      <c r="W362" s="299"/>
      <c r="X362" s="300"/>
      <c r="Y362" s="299"/>
      <c r="Z362" s="303"/>
      <c r="AA362" s="305">
        <f>IF(Z362=0,0,IF(Y362="MXN",1/HLOOKUP(YEAR(X362)+(MONTH(X362)/100),TC!$5:$37,DAY(X362)+2,FALSE),VLOOKUP(Y362,Equivalencia!$1:$23,((MAX(Equivalencia!$3:$3)-YEAR(X362))*14)+MONTH(X362)+2,FALSE)))</f>
        <v>0</v>
      </c>
      <c r="AB362" s="306">
        <f t="shared" si="102"/>
        <v>0</v>
      </c>
      <c r="AC362" s="305">
        <f>+IF(X362=0,0,HLOOKUP(YEAR(X362)+(MONTH(X362)/100),TC!$5:$37,DAY(X362)+2,FALSE))</f>
        <v>0</v>
      </c>
      <c r="AD362" s="307">
        <f t="shared" si="103"/>
        <v>0</v>
      </c>
      <c r="AE362" s="314">
        <f t="shared" si="92"/>
        <v>0</v>
      </c>
      <c r="AF362" s="315">
        <f t="shared" si="93"/>
        <v>0</v>
      </c>
      <c r="AG362" s="316">
        <f t="shared" si="94"/>
        <v>0</v>
      </c>
      <c r="AH362" s="314">
        <v>1</v>
      </c>
      <c r="AI362" s="314">
        <f t="shared" si="95"/>
        <v>0</v>
      </c>
      <c r="AJ362" s="314">
        <f t="shared" si="104"/>
        <v>0</v>
      </c>
      <c r="AK362" s="317"/>
      <c r="AL362" s="315">
        <f t="shared" si="96"/>
        <v>0</v>
      </c>
      <c r="AN362" s="546">
        <f t="shared" si="97"/>
        <v>0</v>
      </c>
      <c r="AO362" s="314"/>
      <c r="AP362" s="318"/>
    </row>
    <row r="363" spans="2:42">
      <c r="B363" s="296"/>
      <c r="C363" s="299"/>
      <c r="D363" s="298"/>
      <c r="E363" s="299"/>
      <c r="F363" s="299"/>
      <c r="G363" s="300"/>
      <c r="H363" s="303"/>
      <c r="I363" s="301">
        <f t="shared" si="88"/>
        <v>0</v>
      </c>
      <c r="J363" s="302">
        <f t="shared" si="98"/>
        <v>0</v>
      </c>
      <c r="K363" s="304">
        <f t="shared" si="89"/>
        <v>0</v>
      </c>
      <c r="L363" s="305">
        <f>IF(H363=0,0,IF(OR(E363=$AT$5,E363=$AT$6),AA363,IF(F363="MXN",1/HLOOKUP(YEAR(G363)+(MONTH(G363)/100),TC!$5:$37,DAY(G363)+2,FALSE),VLOOKUP(F363,Equivalencia!$5:$23,((MAX(Equivalencia!$3:$3)-YEAR(G363))*14)+MONTH(G363)+2,FALSE))))</f>
        <v>0</v>
      </c>
      <c r="M363" s="306">
        <f t="shared" si="90"/>
        <v>0</v>
      </c>
      <c r="N363" s="305">
        <f>IF(G363=0,0,(IF(OR(E363=$AT$5,E363=$AT$6),AC363,HLOOKUP(YEAR(G363)+(MONTH(G363)/100),TC!$5:$37,DAY(G363)+2,FALSE))))</f>
        <v>0</v>
      </c>
      <c r="O363" s="307">
        <f t="shared" si="99"/>
        <v>0</v>
      </c>
      <c r="P363" s="552">
        <f>IF(G363=0,0,VLOOKUP(YEAR(G363),INPC!$B$4:$P$30,MONTH(G363)+2))</f>
        <v>0</v>
      </c>
      <c r="Q363" s="552">
        <f>IF(X363=0,0,IF(OR(E363=$AT$10,E363=$AT$9),VLOOKUP(YEAR(X363),INPC!$B$4:$P$30,MONTH(X363)+1),VLOOKUP(YEAR(X363),INPC!$B$4:$P$30,MONTH(X363)+2,0)))</f>
        <v>0</v>
      </c>
      <c r="R363" s="309">
        <f t="shared" si="91"/>
        <v>0</v>
      </c>
      <c r="S363" s="310">
        <f t="shared" si="100"/>
        <v>0</v>
      </c>
      <c r="T363" s="547">
        <f t="shared" si="101"/>
        <v>0</v>
      </c>
      <c r="U363" s="311"/>
      <c r="V363" s="312"/>
      <c r="W363" s="299"/>
      <c r="X363" s="300"/>
      <c r="Y363" s="299"/>
      <c r="Z363" s="303"/>
      <c r="AA363" s="305">
        <f>IF(Z363=0,0,IF(Y363="MXN",1/HLOOKUP(YEAR(X363)+(MONTH(X363)/100),TC!$5:$37,DAY(X363)+2,FALSE),VLOOKUP(Y363,Equivalencia!$1:$23,((MAX(Equivalencia!$3:$3)-YEAR(X363))*14)+MONTH(X363)+2,FALSE)))</f>
        <v>0</v>
      </c>
      <c r="AB363" s="306">
        <f t="shared" si="102"/>
        <v>0</v>
      </c>
      <c r="AC363" s="305">
        <f>+IF(X363=0,0,HLOOKUP(YEAR(X363)+(MONTH(X363)/100),TC!$5:$37,DAY(X363)+2,FALSE))</f>
        <v>0</v>
      </c>
      <c r="AD363" s="307">
        <f t="shared" si="103"/>
        <v>0</v>
      </c>
      <c r="AE363" s="314">
        <f t="shared" si="92"/>
        <v>0</v>
      </c>
      <c r="AF363" s="315">
        <f t="shared" si="93"/>
        <v>0</v>
      </c>
      <c r="AG363" s="316">
        <f t="shared" si="94"/>
        <v>0</v>
      </c>
      <c r="AH363" s="314">
        <v>1</v>
      </c>
      <c r="AI363" s="314">
        <f t="shared" si="95"/>
        <v>0</v>
      </c>
      <c r="AJ363" s="314">
        <f t="shared" si="104"/>
        <v>0</v>
      </c>
      <c r="AK363" s="317"/>
      <c r="AL363" s="315">
        <f t="shared" si="96"/>
        <v>0</v>
      </c>
      <c r="AN363" s="546">
        <f t="shared" si="97"/>
        <v>0</v>
      </c>
      <c r="AO363" s="314"/>
      <c r="AP363" s="318"/>
    </row>
    <row r="364" spans="2:42">
      <c r="B364" s="296"/>
      <c r="C364" s="299"/>
      <c r="D364" s="298"/>
      <c r="E364" s="299"/>
      <c r="F364" s="299"/>
      <c r="G364" s="300"/>
      <c r="H364" s="303"/>
      <c r="I364" s="301">
        <f t="shared" si="88"/>
        <v>0</v>
      </c>
      <c r="J364" s="302">
        <f t="shared" si="98"/>
        <v>0</v>
      </c>
      <c r="K364" s="304">
        <f t="shared" si="89"/>
        <v>0</v>
      </c>
      <c r="L364" s="305">
        <f>IF(H364=0,0,IF(OR(E364=$AT$5,E364=$AT$6),AA364,IF(F364="MXN",1/HLOOKUP(YEAR(G364)+(MONTH(G364)/100),TC!$5:$37,DAY(G364)+2,FALSE),VLOOKUP(F364,Equivalencia!$5:$23,((MAX(Equivalencia!$3:$3)-YEAR(G364))*14)+MONTH(G364)+2,FALSE))))</f>
        <v>0</v>
      </c>
      <c r="M364" s="306">
        <f t="shared" si="90"/>
        <v>0</v>
      </c>
      <c r="N364" s="305">
        <f>IF(G364=0,0,(IF(OR(E364=$AT$5,E364=$AT$6),AC364,HLOOKUP(YEAR(G364)+(MONTH(G364)/100),TC!$5:$37,DAY(G364)+2,FALSE))))</f>
        <v>0</v>
      </c>
      <c r="O364" s="307">
        <f t="shared" si="99"/>
        <v>0</v>
      </c>
      <c r="P364" s="552">
        <f>IF(G364=0,0,VLOOKUP(YEAR(G364),INPC!$B$4:$P$30,MONTH(G364)+2))</f>
        <v>0</v>
      </c>
      <c r="Q364" s="552">
        <f>IF(X364=0,0,IF(OR(E364=$AT$10,E364=$AT$9),VLOOKUP(YEAR(X364),INPC!$B$4:$P$30,MONTH(X364)+1),VLOOKUP(YEAR(X364),INPC!$B$4:$P$30,MONTH(X364)+2,0)))</f>
        <v>0</v>
      </c>
      <c r="R364" s="309">
        <f t="shared" si="91"/>
        <v>0</v>
      </c>
      <c r="S364" s="310">
        <f t="shared" si="100"/>
        <v>0</v>
      </c>
      <c r="T364" s="547">
        <f t="shared" si="101"/>
        <v>0</v>
      </c>
      <c r="U364" s="311"/>
      <c r="V364" s="312"/>
      <c r="W364" s="299"/>
      <c r="X364" s="300"/>
      <c r="Y364" s="299"/>
      <c r="Z364" s="303"/>
      <c r="AA364" s="305">
        <f>IF(Z364=0,0,IF(Y364="MXN",1/HLOOKUP(YEAR(X364)+(MONTH(X364)/100),TC!$5:$37,DAY(X364)+2,FALSE),VLOOKUP(Y364,Equivalencia!$1:$23,((MAX(Equivalencia!$3:$3)-YEAR(X364))*14)+MONTH(X364)+2,FALSE)))</f>
        <v>0</v>
      </c>
      <c r="AB364" s="306">
        <f t="shared" si="102"/>
        <v>0</v>
      </c>
      <c r="AC364" s="305">
        <f>+IF(X364=0,0,HLOOKUP(YEAR(X364)+(MONTH(X364)/100),TC!$5:$37,DAY(X364)+2,FALSE))</f>
        <v>0</v>
      </c>
      <c r="AD364" s="307">
        <f t="shared" si="103"/>
        <v>0</v>
      </c>
      <c r="AE364" s="314">
        <f t="shared" si="92"/>
        <v>0</v>
      </c>
      <c r="AF364" s="315">
        <f t="shared" si="93"/>
        <v>0</v>
      </c>
      <c r="AG364" s="316">
        <f t="shared" si="94"/>
        <v>0</v>
      </c>
      <c r="AH364" s="314">
        <v>1</v>
      </c>
      <c r="AI364" s="314">
        <f t="shared" si="95"/>
        <v>0</v>
      </c>
      <c r="AJ364" s="314">
        <f t="shared" si="104"/>
        <v>0</v>
      </c>
      <c r="AK364" s="317"/>
      <c r="AL364" s="315">
        <f t="shared" si="96"/>
        <v>0</v>
      </c>
      <c r="AN364" s="546">
        <f t="shared" si="97"/>
        <v>0</v>
      </c>
      <c r="AO364" s="314"/>
      <c r="AP364" s="318"/>
    </row>
    <row r="365" spans="2:42">
      <c r="B365" s="296"/>
      <c r="C365" s="299"/>
      <c r="D365" s="298"/>
      <c r="E365" s="299"/>
      <c r="F365" s="299"/>
      <c r="G365" s="300"/>
      <c r="H365" s="303"/>
      <c r="I365" s="301">
        <f t="shared" si="88"/>
        <v>0</v>
      </c>
      <c r="J365" s="302">
        <f t="shared" si="98"/>
        <v>0</v>
      </c>
      <c r="K365" s="304">
        <f t="shared" si="89"/>
        <v>0</v>
      </c>
      <c r="L365" s="305">
        <f>IF(H365=0,0,IF(OR(E365=$AT$5,E365=$AT$6),AA365,IF(F365="MXN",1/HLOOKUP(YEAR(G365)+(MONTH(G365)/100),TC!$5:$37,DAY(G365)+2,FALSE),VLOOKUP(F365,Equivalencia!$5:$23,((MAX(Equivalencia!$3:$3)-YEAR(G365))*14)+MONTH(G365)+2,FALSE))))</f>
        <v>0</v>
      </c>
      <c r="M365" s="306">
        <f t="shared" si="90"/>
        <v>0</v>
      </c>
      <c r="N365" s="305">
        <f>IF(G365=0,0,(IF(OR(E365=$AT$5,E365=$AT$6),AC365,HLOOKUP(YEAR(G365)+(MONTH(G365)/100),TC!$5:$37,DAY(G365)+2,FALSE))))</f>
        <v>0</v>
      </c>
      <c r="O365" s="307">
        <f t="shared" si="99"/>
        <v>0</v>
      </c>
      <c r="P365" s="552">
        <f>IF(G365=0,0,VLOOKUP(YEAR(G365),INPC!$B$4:$P$30,MONTH(G365)+2))</f>
        <v>0</v>
      </c>
      <c r="Q365" s="552">
        <f>IF(X365=0,0,IF(OR(E365=$AT$10,E365=$AT$9),VLOOKUP(YEAR(X365),INPC!$B$4:$P$30,MONTH(X365)+1),VLOOKUP(YEAR(X365),INPC!$B$4:$P$30,MONTH(X365)+2,0)))</f>
        <v>0</v>
      </c>
      <c r="R365" s="309">
        <f t="shared" si="91"/>
        <v>0</v>
      </c>
      <c r="S365" s="310">
        <f t="shared" si="100"/>
        <v>0</v>
      </c>
      <c r="T365" s="547">
        <f t="shared" si="101"/>
        <v>0</v>
      </c>
      <c r="U365" s="311"/>
      <c r="V365" s="312"/>
      <c r="W365" s="299"/>
      <c r="X365" s="300"/>
      <c r="Y365" s="299"/>
      <c r="Z365" s="303"/>
      <c r="AA365" s="305">
        <f>IF(Z365=0,0,IF(Y365="MXN",1/HLOOKUP(YEAR(X365)+(MONTH(X365)/100),TC!$5:$37,DAY(X365)+2,FALSE),VLOOKUP(Y365,Equivalencia!$1:$23,((MAX(Equivalencia!$3:$3)-YEAR(X365))*14)+MONTH(X365)+2,FALSE)))</f>
        <v>0</v>
      </c>
      <c r="AB365" s="306">
        <f t="shared" si="102"/>
        <v>0</v>
      </c>
      <c r="AC365" s="305">
        <f>+IF(X365=0,0,HLOOKUP(YEAR(X365)+(MONTH(X365)/100),TC!$5:$37,DAY(X365)+2,FALSE))</f>
        <v>0</v>
      </c>
      <c r="AD365" s="307">
        <f t="shared" si="103"/>
        <v>0</v>
      </c>
      <c r="AE365" s="314">
        <f t="shared" si="92"/>
        <v>0</v>
      </c>
      <c r="AF365" s="315">
        <f t="shared" si="93"/>
        <v>0</v>
      </c>
      <c r="AG365" s="316">
        <f t="shared" si="94"/>
        <v>0</v>
      </c>
      <c r="AH365" s="314">
        <v>1</v>
      </c>
      <c r="AI365" s="314">
        <f t="shared" si="95"/>
        <v>0</v>
      </c>
      <c r="AJ365" s="314">
        <f t="shared" si="104"/>
        <v>0</v>
      </c>
      <c r="AK365" s="317"/>
      <c r="AL365" s="315">
        <f t="shared" si="96"/>
        <v>0</v>
      </c>
      <c r="AN365" s="546">
        <f t="shared" si="97"/>
        <v>0</v>
      </c>
      <c r="AO365" s="314"/>
      <c r="AP365" s="318"/>
    </row>
    <row r="366" spans="2:42">
      <c r="B366" s="296"/>
      <c r="C366" s="299"/>
      <c r="D366" s="298"/>
      <c r="E366" s="299"/>
      <c r="F366" s="299"/>
      <c r="G366" s="300"/>
      <c r="H366" s="303"/>
      <c r="I366" s="301">
        <f t="shared" si="88"/>
        <v>0</v>
      </c>
      <c r="J366" s="302">
        <f t="shared" si="98"/>
        <v>0</v>
      </c>
      <c r="K366" s="304">
        <f t="shared" si="89"/>
        <v>0</v>
      </c>
      <c r="L366" s="305">
        <f>IF(H366=0,0,IF(OR(E366=$AT$5,E366=$AT$6),AA366,IF(F366="MXN",1/HLOOKUP(YEAR(G366)+(MONTH(G366)/100),TC!$5:$37,DAY(G366)+2,FALSE),VLOOKUP(F366,Equivalencia!$5:$23,((MAX(Equivalencia!$3:$3)-YEAR(G366))*14)+MONTH(G366)+2,FALSE))))</f>
        <v>0</v>
      </c>
      <c r="M366" s="306">
        <f t="shared" si="90"/>
        <v>0</v>
      </c>
      <c r="N366" s="305">
        <f>IF(G366=0,0,(IF(OR(E366=$AT$5,E366=$AT$6),AC366,HLOOKUP(YEAR(G366)+(MONTH(G366)/100),TC!$5:$37,DAY(G366)+2,FALSE))))</f>
        <v>0</v>
      </c>
      <c r="O366" s="307">
        <f t="shared" si="99"/>
        <v>0</v>
      </c>
      <c r="P366" s="552">
        <f>IF(G366=0,0,VLOOKUP(YEAR(G366),INPC!$B$4:$P$30,MONTH(G366)+2))</f>
        <v>0</v>
      </c>
      <c r="Q366" s="552">
        <f>IF(X366=0,0,IF(OR(E366=$AT$10,E366=$AT$9),VLOOKUP(YEAR(X366),INPC!$B$4:$P$30,MONTH(X366)+1),VLOOKUP(YEAR(X366),INPC!$B$4:$P$30,MONTH(X366)+2,0)))</f>
        <v>0</v>
      </c>
      <c r="R366" s="309">
        <f t="shared" si="91"/>
        <v>0</v>
      </c>
      <c r="S366" s="310">
        <f t="shared" si="100"/>
        <v>0</v>
      </c>
      <c r="T366" s="547">
        <f t="shared" si="101"/>
        <v>0</v>
      </c>
      <c r="U366" s="311"/>
      <c r="V366" s="312"/>
      <c r="W366" s="299"/>
      <c r="X366" s="300"/>
      <c r="Y366" s="299"/>
      <c r="Z366" s="303"/>
      <c r="AA366" s="305">
        <f>IF(Z366=0,0,IF(Y366="MXN",1/HLOOKUP(YEAR(X366)+(MONTH(X366)/100),TC!$5:$37,DAY(X366)+2,FALSE),VLOOKUP(Y366,Equivalencia!$1:$23,((MAX(Equivalencia!$3:$3)-YEAR(X366))*14)+MONTH(X366)+2,FALSE)))</f>
        <v>0</v>
      </c>
      <c r="AB366" s="306">
        <f t="shared" si="102"/>
        <v>0</v>
      </c>
      <c r="AC366" s="305">
        <f>+IF(X366=0,0,HLOOKUP(YEAR(X366)+(MONTH(X366)/100),TC!$5:$37,DAY(X366)+2,FALSE))</f>
        <v>0</v>
      </c>
      <c r="AD366" s="307">
        <f t="shared" si="103"/>
        <v>0</v>
      </c>
      <c r="AE366" s="314">
        <f t="shared" si="92"/>
        <v>0</v>
      </c>
      <c r="AF366" s="315">
        <f t="shared" si="93"/>
        <v>0</v>
      </c>
      <c r="AG366" s="316">
        <f t="shared" si="94"/>
        <v>0</v>
      </c>
      <c r="AH366" s="314">
        <v>1</v>
      </c>
      <c r="AI366" s="314">
        <f t="shared" si="95"/>
        <v>0</v>
      </c>
      <c r="AJ366" s="314">
        <f t="shared" si="104"/>
        <v>0</v>
      </c>
      <c r="AK366" s="317"/>
      <c r="AL366" s="315">
        <f t="shared" si="96"/>
        <v>0</v>
      </c>
      <c r="AN366" s="546">
        <f t="shared" si="97"/>
        <v>0</v>
      </c>
      <c r="AO366" s="314"/>
      <c r="AP366" s="318"/>
    </row>
    <row r="367" spans="2:42">
      <c r="B367" s="296"/>
      <c r="C367" s="299"/>
      <c r="D367" s="298"/>
      <c r="E367" s="299"/>
      <c r="F367" s="299"/>
      <c r="G367" s="300"/>
      <c r="H367" s="303"/>
      <c r="I367" s="301">
        <f t="shared" si="88"/>
        <v>0</v>
      </c>
      <c r="J367" s="302">
        <f t="shared" si="98"/>
        <v>0</v>
      </c>
      <c r="K367" s="304">
        <f t="shared" si="89"/>
        <v>0</v>
      </c>
      <c r="L367" s="305">
        <f>IF(H367=0,0,IF(OR(E367=$AT$5,E367=$AT$6),AA367,IF(F367="MXN",1/HLOOKUP(YEAR(G367)+(MONTH(G367)/100),TC!$5:$37,DAY(G367)+2,FALSE),VLOOKUP(F367,Equivalencia!$5:$23,((MAX(Equivalencia!$3:$3)-YEAR(G367))*14)+MONTH(G367)+2,FALSE))))</f>
        <v>0</v>
      </c>
      <c r="M367" s="306">
        <f t="shared" si="90"/>
        <v>0</v>
      </c>
      <c r="N367" s="305">
        <f>IF(G367=0,0,(IF(OR(E367=$AT$5,E367=$AT$6),AC367,HLOOKUP(YEAR(G367)+(MONTH(G367)/100),TC!$5:$37,DAY(G367)+2,FALSE))))</f>
        <v>0</v>
      </c>
      <c r="O367" s="307">
        <f t="shared" si="99"/>
        <v>0</v>
      </c>
      <c r="P367" s="552">
        <f>IF(G367=0,0,VLOOKUP(YEAR(G367),INPC!$B$4:$P$30,MONTH(G367)+2))</f>
        <v>0</v>
      </c>
      <c r="Q367" s="552">
        <f>IF(X367=0,0,IF(OR(E367=$AT$10,E367=$AT$9),VLOOKUP(YEAR(X367),INPC!$B$4:$P$30,MONTH(X367)+1),VLOOKUP(YEAR(X367),INPC!$B$4:$P$30,MONTH(X367)+2,0)))</f>
        <v>0</v>
      </c>
      <c r="R367" s="309">
        <f t="shared" si="91"/>
        <v>0</v>
      </c>
      <c r="S367" s="310">
        <f t="shared" si="100"/>
        <v>0</v>
      </c>
      <c r="T367" s="547">
        <f t="shared" si="101"/>
        <v>0</v>
      </c>
      <c r="U367" s="311"/>
      <c r="V367" s="312"/>
      <c r="W367" s="299"/>
      <c r="X367" s="300"/>
      <c r="Y367" s="299"/>
      <c r="Z367" s="303"/>
      <c r="AA367" s="305">
        <f>IF(Z367=0,0,IF(Y367="MXN",1/HLOOKUP(YEAR(X367)+(MONTH(X367)/100),TC!$5:$37,DAY(X367)+2,FALSE),VLOOKUP(Y367,Equivalencia!$1:$23,((MAX(Equivalencia!$3:$3)-YEAR(X367))*14)+MONTH(X367)+2,FALSE)))</f>
        <v>0</v>
      </c>
      <c r="AB367" s="306">
        <f t="shared" si="102"/>
        <v>0</v>
      </c>
      <c r="AC367" s="305">
        <f>+IF(X367=0,0,HLOOKUP(YEAR(X367)+(MONTH(X367)/100),TC!$5:$37,DAY(X367)+2,FALSE))</f>
        <v>0</v>
      </c>
      <c r="AD367" s="307">
        <f t="shared" si="103"/>
        <v>0</v>
      </c>
      <c r="AE367" s="314">
        <f t="shared" si="92"/>
        <v>0</v>
      </c>
      <c r="AF367" s="315">
        <f t="shared" si="93"/>
        <v>0</v>
      </c>
      <c r="AG367" s="316">
        <f t="shared" si="94"/>
        <v>0</v>
      </c>
      <c r="AH367" s="314">
        <v>1</v>
      </c>
      <c r="AI367" s="314">
        <f t="shared" si="95"/>
        <v>0</v>
      </c>
      <c r="AJ367" s="314">
        <f t="shared" si="104"/>
        <v>0</v>
      </c>
      <c r="AK367" s="317"/>
      <c r="AL367" s="315">
        <f t="shared" si="96"/>
        <v>0</v>
      </c>
      <c r="AN367" s="546">
        <f t="shared" si="97"/>
        <v>0</v>
      </c>
      <c r="AO367" s="314"/>
      <c r="AP367" s="318"/>
    </row>
    <row r="368" spans="2:42">
      <c r="B368" s="296"/>
      <c r="C368" s="299"/>
      <c r="D368" s="298"/>
      <c r="E368" s="299"/>
      <c r="F368" s="299"/>
      <c r="G368" s="300"/>
      <c r="H368" s="303"/>
      <c r="I368" s="301">
        <f t="shared" si="88"/>
        <v>0</v>
      </c>
      <c r="J368" s="302">
        <f t="shared" si="98"/>
        <v>0</v>
      </c>
      <c r="K368" s="304">
        <f t="shared" si="89"/>
        <v>0</v>
      </c>
      <c r="L368" s="305">
        <f>IF(H368=0,0,IF(OR(E368=$AT$5,E368=$AT$6),AA368,IF(F368="MXN",1/HLOOKUP(YEAR(G368)+(MONTH(G368)/100),TC!$5:$37,DAY(G368)+2,FALSE),VLOOKUP(F368,Equivalencia!$5:$23,((MAX(Equivalencia!$3:$3)-YEAR(G368))*14)+MONTH(G368)+2,FALSE))))</f>
        <v>0</v>
      </c>
      <c r="M368" s="306">
        <f t="shared" si="90"/>
        <v>0</v>
      </c>
      <c r="N368" s="305">
        <f>IF(G368=0,0,(IF(OR(E368=$AT$5,E368=$AT$6),AC368,HLOOKUP(YEAR(G368)+(MONTH(G368)/100),TC!$5:$37,DAY(G368)+2,FALSE))))</f>
        <v>0</v>
      </c>
      <c r="O368" s="307">
        <f t="shared" si="99"/>
        <v>0</v>
      </c>
      <c r="P368" s="552">
        <f>IF(G368=0,0,VLOOKUP(YEAR(G368),INPC!$B$4:$P$30,MONTH(G368)+2))</f>
        <v>0</v>
      </c>
      <c r="Q368" s="552">
        <f>IF(X368=0,0,IF(OR(E368=$AT$10,E368=$AT$9),VLOOKUP(YEAR(X368),INPC!$B$4:$P$30,MONTH(X368)+1),VLOOKUP(YEAR(X368),INPC!$B$4:$P$30,MONTH(X368)+2,0)))</f>
        <v>0</v>
      </c>
      <c r="R368" s="309">
        <f t="shared" si="91"/>
        <v>0</v>
      </c>
      <c r="S368" s="310">
        <f t="shared" si="100"/>
        <v>0</v>
      </c>
      <c r="T368" s="547">
        <f t="shared" si="101"/>
        <v>0</v>
      </c>
      <c r="U368" s="311"/>
      <c r="V368" s="312"/>
      <c r="W368" s="299"/>
      <c r="X368" s="300"/>
      <c r="Y368" s="299"/>
      <c r="Z368" s="303"/>
      <c r="AA368" s="305">
        <f>IF(Z368=0,0,IF(Y368="MXN",1/HLOOKUP(YEAR(X368)+(MONTH(X368)/100),TC!$5:$37,DAY(X368)+2,FALSE),VLOOKUP(Y368,Equivalencia!$1:$23,((MAX(Equivalencia!$3:$3)-YEAR(X368))*14)+MONTH(X368)+2,FALSE)))</f>
        <v>0</v>
      </c>
      <c r="AB368" s="306">
        <f t="shared" si="102"/>
        <v>0</v>
      </c>
      <c r="AC368" s="305">
        <f>+IF(X368=0,0,HLOOKUP(YEAR(X368)+(MONTH(X368)/100),TC!$5:$37,DAY(X368)+2,FALSE))</f>
        <v>0</v>
      </c>
      <c r="AD368" s="307">
        <f t="shared" si="103"/>
        <v>0</v>
      </c>
      <c r="AE368" s="314">
        <f t="shared" si="92"/>
        <v>0</v>
      </c>
      <c r="AF368" s="315">
        <f t="shared" si="93"/>
        <v>0</v>
      </c>
      <c r="AG368" s="316">
        <f t="shared" si="94"/>
        <v>0</v>
      </c>
      <c r="AH368" s="314">
        <v>1</v>
      </c>
      <c r="AI368" s="314">
        <f t="shared" si="95"/>
        <v>0</v>
      </c>
      <c r="AJ368" s="314">
        <f t="shared" si="104"/>
        <v>0</v>
      </c>
      <c r="AK368" s="317"/>
      <c r="AL368" s="315">
        <f t="shared" si="96"/>
        <v>0</v>
      </c>
      <c r="AN368" s="546">
        <f t="shared" si="97"/>
        <v>0</v>
      </c>
      <c r="AO368" s="314"/>
      <c r="AP368" s="318"/>
    </row>
    <row r="369" spans="2:42">
      <c r="B369" s="296"/>
      <c r="C369" s="299"/>
      <c r="D369" s="298"/>
      <c r="E369" s="299"/>
      <c r="F369" s="299"/>
      <c r="G369" s="300"/>
      <c r="H369" s="303"/>
      <c r="I369" s="301">
        <f t="shared" si="88"/>
        <v>0</v>
      </c>
      <c r="J369" s="302">
        <f t="shared" si="98"/>
        <v>0</v>
      </c>
      <c r="K369" s="304">
        <f t="shared" si="89"/>
        <v>0</v>
      </c>
      <c r="L369" s="305">
        <f>IF(H369=0,0,IF(OR(E369=$AT$5,E369=$AT$6),AA369,IF(F369="MXN",1/HLOOKUP(YEAR(G369)+(MONTH(G369)/100),TC!$5:$37,DAY(G369)+2,FALSE),VLOOKUP(F369,Equivalencia!$5:$23,((MAX(Equivalencia!$3:$3)-YEAR(G369))*14)+MONTH(G369)+2,FALSE))))</f>
        <v>0</v>
      </c>
      <c r="M369" s="306">
        <f t="shared" si="90"/>
        <v>0</v>
      </c>
      <c r="N369" s="305">
        <f>IF(G369=0,0,(IF(OR(E369=$AT$5,E369=$AT$6),AC369,HLOOKUP(YEAR(G369)+(MONTH(G369)/100),TC!$5:$37,DAY(G369)+2,FALSE))))</f>
        <v>0</v>
      </c>
      <c r="O369" s="307">
        <f t="shared" si="99"/>
        <v>0</v>
      </c>
      <c r="P369" s="552">
        <f>IF(G369=0,0,VLOOKUP(YEAR(G369),INPC!$B$4:$P$30,MONTH(G369)+2))</f>
        <v>0</v>
      </c>
      <c r="Q369" s="552">
        <f>IF(X369=0,0,IF(OR(E369=$AT$10,E369=$AT$9),VLOOKUP(YEAR(X369),INPC!$B$4:$P$30,MONTH(X369)+1),VLOOKUP(YEAR(X369),INPC!$B$4:$P$30,MONTH(X369)+2,0)))</f>
        <v>0</v>
      </c>
      <c r="R369" s="309">
        <f t="shared" si="91"/>
        <v>0</v>
      </c>
      <c r="S369" s="310">
        <f t="shared" si="100"/>
        <v>0</v>
      </c>
      <c r="T369" s="547">
        <f t="shared" si="101"/>
        <v>0</v>
      </c>
      <c r="U369" s="311"/>
      <c r="V369" s="312"/>
      <c r="W369" s="299"/>
      <c r="X369" s="300"/>
      <c r="Y369" s="299"/>
      <c r="Z369" s="303"/>
      <c r="AA369" s="305">
        <f>IF(Z369=0,0,IF(Y369="MXN",1/HLOOKUP(YEAR(X369)+(MONTH(X369)/100),TC!$5:$37,DAY(X369)+2,FALSE),VLOOKUP(Y369,Equivalencia!$1:$23,((MAX(Equivalencia!$3:$3)-YEAR(X369))*14)+MONTH(X369)+2,FALSE)))</f>
        <v>0</v>
      </c>
      <c r="AB369" s="306">
        <f t="shared" si="102"/>
        <v>0</v>
      </c>
      <c r="AC369" s="305">
        <f>+IF(X369=0,0,HLOOKUP(YEAR(X369)+(MONTH(X369)/100),TC!$5:$37,DAY(X369)+2,FALSE))</f>
        <v>0</v>
      </c>
      <c r="AD369" s="307">
        <f t="shared" si="103"/>
        <v>0</v>
      </c>
      <c r="AE369" s="314">
        <f t="shared" si="92"/>
        <v>0</v>
      </c>
      <c r="AF369" s="315">
        <f t="shared" si="93"/>
        <v>0</v>
      </c>
      <c r="AG369" s="316">
        <f t="shared" si="94"/>
        <v>0</v>
      </c>
      <c r="AH369" s="314">
        <v>1</v>
      </c>
      <c r="AI369" s="314">
        <f t="shared" si="95"/>
        <v>0</v>
      </c>
      <c r="AJ369" s="314">
        <f t="shared" si="104"/>
        <v>0</v>
      </c>
      <c r="AK369" s="317"/>
      <c r="AL369" s="315">
        <f t="shared" si="96"/>
        <v>0</v>
      </c>
      <c r="AN369" s="546">
        <f t="shared" si="97"/>
        <v>0</v>
      </c>
      <c r="AO369" s="314"/>
      <c r="AP369" s="318"/>
    </row>
    <row r="370" spans="2:42">
      <c r="B370" s="296"/>
      <c r="C370" s="299"/>
      <c r="D370" s="298"/>
      <c r="E370" s="299"/>
      <c r="F370" s="299"/>
      <c r="G370" s="300"/>
      <c r="H370" s="303"/>
      <c r="I370" s="301">
        <f t="shared" si="88"/>
        <v>0</v>
      </c>
      <c r="J370" s="302">
        <f t="shared" si="98"/>
        <v>0</v>
      </c>
      <c r="K370" s="304">
        <f t="shared" si="89"/>
        <v>0</v>
      </c>
      <c r="L370" s="305">
        <f>IF(H370=0,0,IF(OR(E370=$AT$5,E370=$AT$6),AA370,IF(F370="MXN",1/HLOOKUP(YEAR(G370)+(MONTH(G370)/100),TC!$5:$37,DAY(G370)+2,FALSE),VLOOKUP(F370,Equivalencia!$5:$23,((MAX(Equivalencia!$3:$3)-YEAR(G370))*14)+MONTH(G370)+2,FALSE))))</f>
        <v>0</v>
      </c>
      <c r="M370" s="306">
        <f t="shared" si="90"/>
        <v>0</v>
      </c>
      <c r="N370" s="305">
        <f>IF(G370=0,0,(IF(OR(E370=$AT$5,E370=$AT$6),AC370,HLOOKUP(YEAR(G370)+(MONTH(G370)/100),TC!$5:$37,DAY(G370)+2,FALSE))))</f>
        <v>0</v>
      </c>
      <c r="O370" s="307">
        <f t="shared" si="99"/>
        <v>0</v>
      </c>
      <c r="P370" s="552">
        <f>IF(G370=0,0,VLOOKUP(YEAR(G370),INPC!$B$4:$P$30,MONTH(G370)+2))</f>
        <v>0</v>
      </c>
      <c r="Q370" s="552">
        <f>IF(X370=0,0,IF(OR(E370=$AT$10,E370=$AT$9),VLOOKUP(YEAR(X370),INPC!$B$4:$P$30,MONTH(X370)+1),VLOOKUP(YEAR(X370),INPC!$B$4:$P$30,MONTH(X370)+2,0)))</f>
        <v>0</v>
      </c>
      <c r="R370" s="309">
        <f t="shared" si="91"/>
        <v>0</v>
      </c>
      <c r="S370" s="310">
        <f t="shared" si="100"/>
        <v>0</v>
      </c>
      <c r="T370" s="547">
        <f t="shared" si="101"/>
        <v>0</v>
      </c>
      <c r="U370" s="311"/>
      <c r="V370" s="312"/>
      <c r="W370" s="299"/>
      <c r="X370" s="300"/>
      <c r="Y370" s="299"/>
      <c r="Z370" s="303"/>
      <c r="AA370" s="305">
        <f>IF(Z370=0,0,IF(Y370="MXN",1/HLOOKUP(YEAR(X370)+(MONTH(X370)/100),TC!$5:$37,DAY(X370)+2,FALSE),VLOOKUP(Y370,Equivalencia!$1:$23,((MAX(Equivalencia!$3:$3)-YEAR(X370))*14)+MONTH(X370)+2,FALSE)))</f>
        <v>0</v>
      </c>
      <c r="AB370" s="306">
        <f t="shared" si="102"/>
        <v>0</v>
      </c>
      <c r="AC370" s="305">
        <f>+IF(X370=0,0,HLOOKUP(YEAR(X370)+(MONTH(X370)/100),TC!$5:$37,DAY(X370)+2,FALSE))</f>
        <v>0</v>
      </c>
      <c r="AD370" s="307">
        <f t="shared" si="103"/>
        <v>0</v>
      </c>
      <c r="AE370" s="314">
        <f t="shared" si="92"/>
        <v>0</v>
      </c>
      <c r="AF370" s="315">
        <f t="shared" si="93"/>
        <v>0</v>
      </c>
      <c r="AG370" s="316">
        <f t="shared" si="94"/>
        <v>0</v>
      </c>
      <c r="AH370" s="314">
        <v>1</v>
      </c>
      <c r="AI370" s="314">
        <f t="shared" si="95"/>
        <v>0</v>
      </c>
      <c r="AJ370" s="314">
        <f t="shared" si="104"/>
        <v>0</v>
      </c>
      <c r="AK370" s="317"/>
      <c r="AL370" s="315">
        <f t="shared" si="96"/>
        <v>0</v>
      </c>
      <c r="AN370" s="546">
        <f t="shared" si="97"/>
        <v>0</v>
      </c>
      <c r="AO370" s="314"/>
      <c r="AP370" s="318"/>
    </row>
    <row r="371" spans="2:42">
      <c r="B371" s="296"/>
      <c r="C371" s="299"/>
      <c r="D371" s="298"/>
      <c r="E371" s="299"/>
      <c r="F371" s="299"/>
      <c r="G371" s="300"/>
      <c r="H371" s="303"/>
      <c r="I371" s="301">
        <f t="shared" si="88"/>
        <v>0</v>
      </c>
      <c r="J371" s="302">
        <f t="shared" si="98"/>
        <v>0</v>
      </c>
      <c r="K371" s="304">
        <f t="shared" si="89"/>
        <v>0</v>
      </c>
      <c r="L371" s="305">
        <f>IF(H371=0,0,IF(OR(E371=$AT$5,E371=$AT$6),AA371,IF(F371="MXN",1/HLOOKUP(YEAR(G371)+(MONTH(G371)/100),TC!$5:$37,DAY(G371)+2,FALSE),VLOOKUP(F371,Equivalencia!$5:$23,((MAX(Equivalencia!$3:$3)-YEAR(G371))*14)+MONTH(G371)+2,FALSE))))</f>
        <v>0</v>
      </c>
      <c r="M371" s="306">
        <f t="shared" si="90"/>
        <v>0</v>
      </c>
      <c r="N371" s="305">
        <f>IF(G371=0,0,(IF(OR(E371=$AT$5,E371=$AT$6),AC371,HLOOKUP(YEAR(G371)+(MONTH(G371)/100),TC!$5:$37,DAY(G371)+2,FALSE))))</f>
        <v>0</v>
      </c>
      <c r="O371" s="307">
        <f t="shared" si="99"/>
        <v>0</v>
      </c>
      <c r="P371" s="552">
        <f>IF(G371=0,0,VLOOKUP(YEAR(G371),INPC!$B$4:$P$30,MONTH(G371)+2))</f>
        <v>0</v>
      </c>
      <c r="Q371" s="552">
        <f>IF(X371=0,0,IF(OR(E371=$AT$10,E371=$AT$9),VLOOKUP(YEAR(X371),INPC!$B$4:$P$30,MONTH(X371)+1),VLOOKUP(YEAR(X371),INPC!$B$4:$P$30,MONTH(X371)+2,0)))</f>
        <v>0</v>
      </c>
      <c r="R371" s="309">
        <f t="shared" si="91"/>
        <v>0</v>
      </c>
      <c r="S371" s="310">
        <f t="shared" si="100"/>
        <v>0</v>
      </c>
      <c r="T371" s="547">
        <f t="shared" si="101"/>
        <v>0</v>
      </c>
      <c r="U371" s="311"/>
      <c r="V371" s="312"/>
      <c r="W371" s="299"/>
      <c r="X371" s="300"/>
      <c r="Y371" s="299"/>
      <c r="Z371" s="303"/>
      <c r="AA371" s="305">
        <f>IF(Z371=0,0,IF(Y371="MXN",1/HLOOKUP(YEAR(X371)+(MONTH(X371)/100),TC!$5:$37,DAY(X371)+2,FALSE),VLOOKUP(Y371,Equivalencia!$1:$23,((MAX(Equivalencia!$3:$3)-YEAR(X371))*14)+MONTH(X371)+2,FALSE)))</f>
        <v>0</v>
      </c>
      <c r="AB371" s="306">
        <f t="shared" si="102"/>
        <v>0</v>
      </c>
      <c r="AC371" s="305">
        <f>+IF(X371=0,0,HLOOKUP(YEAR(X371)+(MONTH(X371)/100),TC!$5:$37,DAY(X371)+2,FALSE))</f>
        <v>0</v>
      </c>
      <c r="AD371" s="307">
        <f t="shared" si="103"/>
        <v>0</v>
      </c>
      <c r="AE371" s="314">
        <f t="shared" si="92"/>
        <v>0</v>
      </c>
      <c r="AF371" s="315">
        <f t="shared" si="93"/>
        <v>0</v>
      </c>
      <c r="AG371" s="316">
        <f t="shared" si="94"/>
        <v>0</v>
      </c>
      <c r="AH371" s="314">
        <v>1</v>
      </c>
      <c r="AI371" s="314">
        <f t="shared" si="95"/>
        <v>0</v>
      </c>
      <c r="AJ371" s="314">
        <f t="shared" si="104"/>
        <v>0</v>
      </c>
      <c r="AK371" s="317"/>
      <c r="AL371" s="315">
        <f t="shared" si="96"/>
        <v>0</v>
      </c>
      <c r="AN371" s="546">
        <f t="shared" si="97"/>
        <v>0</v>
      </c>
      <c r="AO371" s="314"/>
      <c r="AP371" s="318"/>
    </row>
    <row r="372" spans="2:42">
      <c r="B372" s="296"/>
      <c r="C372" s="299"/>
      <c r="D372" s="298"/>
      <c r="E372" s="299"/>
      <c r="F372" s="299"/>
      <c r="G372" s="300"/>
      <c r="H372" s="303"/>
      <c r="I372" s="301">
        <f t="shared" si="88"/>
        <v>0</v>
      </c>
      <c r="J372" s="302">
        <f t="shared" si="98"/>
        <v>0</v>
      </c>
      <c r="K372" s="304">
        <f t="shared" si="89"/>
        <v>0</v>
      </c>
      <c r="L372" s="305">
        <f>IF(H372=0,0,IF(OR(E372=$AT$5,E372=$AT$6),AA372,IF(F372="MXN",1/HLOOKUP(YEAR(G372)+(MONTH(G372)/100),TC!$5:$37,DAY(G372)+2,FALSE),VLOOKUP(F372,Equivalencia!$5:$23,((MAX(Equivalencia!$3:$3)-YEAR(G372))*14)+MONTH(G372)+2,FALSE))))</f>
        <v>0</v>
      </c>
      <c r="M372" s="306">
        <f t="shared" si="90"/>
        <v>0</v>
      </c>
      <c r="N372" s="305">
        <f>IF(G372=0,0,(IF(OR(E372=$AT$5,E372=$AT$6),AC372,HLOOKUP(YEAR(G372)+(MONTH(G372)/100),TC!$5:$37,DAY(G372)+2,FALSE))))</f>
        <v>0</v>
      </c>
      <c r="O372" s="307">
        <f t="shared" si="99"/>
        <v>0</v>
      </c>
      <c r="P372" s="552">
        <f>IF(G372=0,0,VLOOKUP(YEAR(G372),INPC!$B$4:$P$30,MONTH(G372)+2))</f>
        <v>0</v>
      </c>
      <c r="Q372" s="552">
        <f>IF(X372=0,0,IF(OR(E372=$AT$10,E372=$AT$9),VLOOKUP(YEAR(X372),INPC!$B$4:$P$30,MONTH(X372)+1),VLOOKUP(YEAR(X372),INPC!$B$4:$P$30,MONTH(X372)+2,0)))</f>
        <v>0</v>
      </c>
      <c r="R372" s="309">
        <f t="shared" si="91"/>
        <v>0</v>
      </c>
      <c r="S372" s="310">
        <f t="shared" si="100"/>
        <v>0</v>
      </c>
      <c r="T372" s="547">
        <f t="shared" si="101"/>
        <v>0</v>
      </c>
      <c r="U372" s="311"/>
      <c r="V372" s="312"/>
      <c r="W372" s="299"/>
      <c r="X372" s="300"/>
      <c r="Y372" s="299"/>
      <c r="Z372" s="303"/>
      <c r="AA372" s="305">
        <f>IF(Z372=0,0,IF(Y372="MXN",1/HLOOKUP(YEAR(X372)+(MONTH(X372)/100),TC!$5:$37,DAY(X372)+2,FALSE),VLOOKUP(Y372,Equivalencia!$1:$23,((MAX(Equivalencia!$3:$3)-YEAR(X372))*14)+MONTH(X372)+2,FALSE)))</f>
        <v>0</v>
      </c>
      <c r="AB372" s="306">
        <f t="shared" si="102"/>
        <v>0</v>
      </c>
      <c r="AC372" s="305">
        <f>+IF(X372=0,0,HLOOKUP(YEAR(X372)+(MONTH(X372)/100),TC!$5:$37,DAY(X372)+2,FALSE))</f>
        <v>0</v>
      </c>
      <c r="AD372" s="307">
        <f t="shared" si="103"/>
        <v>0</v>
      </c>
      <c r="AE372" s="314">
        <f t="shared" si="92"/>
        <v>0</v>
      </c>
      <c r="AF372" s="315">
        <f t="shared" si="93"/>
        <v>0</v>
      </c>
      <c r="AG372" s="316">
        <f t="shared" si="94"/>
        <v>0</v>
      </c>
      <c r="AH372" s="314">
        <v>1</v>
      </c>
      <c r="AI372" s="314">
        <f t="shared" si="95"/>
        <v>0</v>
      </c>
      <c r="AJ372" s="314">
        <f t="shared" si="104"/>
        <v>0</v>
      </c>
      <c r="AK372" s="317"/>
      <c r="AL372" s="315">
        <f t="shared" si="96"/>
        <v>0</v>
      </c>
      <c r="AN372" s="546">
        <f t="shared" si="97"/>
        <v>0</v>
      </c>
      <c r="AO372" s="314"/>
      <c r="AP372" s="318"/>
    </row>
    <row r="373" spans="2:42">
      <c r="B373" s="296"/>
      <c r="C373" s="299"/>
      <c r="D373" s="298"/>
      <c r="E373" s="299"/>
      <c r="F373" s="299"/>
      <c r="G373" s="300"/>
      <c r="H373" s="303"/>
      <c r="I373" s="301">
        <f t="shared" si="88"/>
        <v>0</v>
      </c>
      <c r="J373" s="302">
        <f t="shared" si="98"/>
        <v>0</v>
      </c>
      <c r="K373" s="304">
        <f t="shared" si="89"/>
        <v>0</v>
      </c>
      <c r="L373" s="305">
        <f>IF(H373=0,0,IF(OR(E373=$AT$5,E373=$AT$6),AA373,IF(F373="MXN",1/HLOOKUP(YEAR(G373)+(MONTH(G373)/100),TC!$5:$37,DAY(G373)+2,FALSE),VLOOKUP(F373,Equivalencia!$5:$23,((MAX(Equivalencia!$3:$3)-YEAR(G373))*14)+MONTH(G373)+2,FALSE))))</f>
        <v>0</v>
      </c>
      <c r="M373" s="306">
        <f t="shared" si="90"/>
        <v>0</v>
      </c>
      <c r="N373" s="305">
        <f>IF(G373=0,0,(IF(OR(E373=$AT$5,E373=$AT$6),AC373,HLOOKUP(YEAR(G373)+(MONTH(G373)/100),TC!$5:$37,DAY(G373)+2,FALSE))))</f>
        <v>0</v>
      </c>
      <c r="O373" s="307">
        <f t="shared" si="99"/>
        <v>0</v>
      </c>
      <c r="P373" s="552">
        <f>IF(G373=0,0,VLOOKUP(YEAR(G373),INPC!$B$4:$P$30,MONTH(G373)+2))</f>
        <v>0</v>
      </c>
      <c r="Q373" s="552">
        <f>IF(X373=0,0,IF(OR(E373=$AT$10,E373=$AT$9),VLOOKUP(YEAR(X373),INPC!$B$4:$P$30,MONTH(X373)+1),VLOOKUP(YEAR(X373),INPC!$B$4:$P$30,MONTH(X373)+2,0)))</f>
        <v>0</v>
      </c>
      <c r="R373" s="309">
        <f t="shared" si="91"/>
        <v>0</v>
      </c>
      <c r="S373" s="310">
        <f t="shared" si="100"/>
        <v>0</v>
      </c>
      <c r="T373" s="547">
        <f t="shared" si="101"/>
        <v>0</v>
      </c>
      <c r="U373" s="311"/>
      <c r="V373" s="312"/>
      <c r="W373" s="299"/>
      <c r="X373" s="300"/>
      <c r="Y373" s="299"/>
      <c r="Z373" s="303"/>
      <c r="AA373" s="305">
        <f>IF(Z373=0,0,IF(Y373="MXN",1/HLOOKUP(YEAR(X373)+(MONTH(X373)/100),TC!$5:$37,DAY(X373)+2,FALSE),VLOOKUP(Y373,Equivalencia!$1:$23,((MAX(Equivalencia!$3:$3)-YEAR(X373))*14)+MONTH(X373)+2,FALSE)))</f>
        <v>0</v>
      </c>
      <c r="AB373" s="306">
        <f t="shared" si="102"/>
        <v>0</v>
      </c>
      <c r="AC373" s="305">
        <f>+IF(X373=0,0,HLOOKUP(YEAR(X373)+(MONTH(X373)/100),TC!$5:$37,DAY(X373)+2,FALSE))</f>
        <v>0</v>
      </c>
      <c r="AD373" s="307">
        <f t="shared" si="103"/>
        <v>0</v>
      </c>
      <c r="AE373" s="314">
        <f t="shared" si="92"/>
        <v>0</v>
      </c>
      <c r="AF373" s="315">
        <f t="shared" si="93"/>
        <v>0</v>
      </c>
      <c r="AG373" s="316">
        <f t="shared" si="94"/>
        <v>0</v>
      </c>
      <c r="AH373" s="314">
        <v>1</v>
      </c>
      <c r="AI373" s="314">
        <f t="shared" si="95"/>
        <v>0</v>
      </c>
      <c r="AJ373" s="314">
        <f t="shared" si="104"/>
        <v>0</v>
      </c>
      <c r="AK373" s="317"/>
      <c r="AL373" s="315">
        <f t="shared" si="96"/>
        <v>0</v>
      </c>
      <c r="AN373" s="546">
        <f t="shared" si="97"/>
        <v>0</v>
      </c>
      <c r="AO373" s="314"/>
      <c r="AP373" s="318"/>
    </row>
    <row r="374" spans="2:42">
      <c r="B374" s="296"/>
      <c r="C374" s="299"/>
      <c r="D374" s="298"/>
      <c r="E374" s="299"/>
      <c r="F374" s="299"/>
      <c r="G374" s="300"/>
      <c r="H374" s="303"/>
      <c r="I374" s="301">
        <f t="shared" si="88"/>
        <v>0</v>
      </c>
      <c r="J374" s="302">
        <f t="shared" si="98"/>
        <v>0</v>
      </c>
      <c r="K374" s="304">
        <f t="shared" si="89"/>
        <v>0</v>
      </c>
      <c r="L374" s="305">
        <f>IF(H374=0,0,IF(OR(E374=$AT$5,E374=$AT$6),AA374,IF(F374="MXN",1/HLOOKUP(YEAR(G374)+(MONTH(G374)/100),TC!$5:$37,DAY(G374)+2,FALSE),VLOOKUP(F374,Equivalencia!$5:$23,((MAX(Equivalencia!$3:$3)-YEAR(G374))*14)+MONTH(G374)+2,FALSE))))</f>
        <v>0</v>
      </c>
      <c r="M374" s="306">
        <f t="shared" si="90"/>
        <v>0</v>
      </c>
      <c r="N374" s="305">
        <f>IF(G374=0,0,(IF(OR(E374=$AT$5,E374=$AT$6),AC374,HLOOKUP(YEAR(G374)+(MONTH(G374)/100),TC!$5:$37,DAY(G374)+2,FALSE))))</f>
        <v>0</v>
      </c>
      <c r="O374" s="307">
        <f t="shared" si="99"/>
        <v>0</v>
      </c>
      <c r="P374" s="552">
        <f>IF(G374=0,0,VLOOKUP(YEAR(G374),INPC!$B$4:$P$30,MONTH(G374)+2))</f>
        <v>0</v>
      </c>
      <c r="Q374" s="552">
        <f>IF(X374=0,0,IF(OR(E374=$AT$10,E374=$AT$9),VLOOKUP(YEAR(X374),INPC!$B$4:$P$30,MONTH(X374)+1),VLOOKUP(YEAR(X374),INPC!$B$4:$P$30,MONTH(X374)+2,0)))</f>
        <v>0</v>
      </c>
      <c r="R374" s="309">
        <f t="shared" si="91"/>
        <v>0</v>
      </c>
      <c r="S374" s="310">
        <f t="shared" si="100"/>
        <v>0</v>
      </c>
      <c r="T374" s="547">
        <f t="shared" si="101"/>
        <v>0</v>
      </c>
      <c r="U374" s="311"/>
      <c r="V374" s="312"/>
      <c r="W374" s="299"/>
      <c r="X374" s="300"/>
      <c r="Y374" s="299"/>
      <c r="Z374" s="303"/>
      <c r="AA374" s="305">
        <f>IF(Z374=0,0,IF(Y374="MXN",1/HLOOKUP(YEAR(X374)+(MONTH(X374)/100),TC!$5:$37,DAY(X374)+2,FALSE),VLOOKUP(Y374,Equivalencia!$1:$23,((MAX(Equivalencia!$3:$3)-YEAR(X374))*14)+MONTH(X374)+2,FALSE)))</f>
        <v>0</v>
      </c>
      <c r="AB374" s="306">
        <f t="shared" si="102"/>
        <v>0</v>
      </c>
      <c r="AC374" s="305">
        <f>+IF(X374=0,0,HLOOKUP(YEAR(X374)+(MONTH(X374)/100),TC!$5:$37,DAY(X374)+2,FALSE))</f>
        <v>0</v>
      </c>
      <c r="AD374" s="307">
        <f t="shared" si="103"/>
        <v>0</v>
      </c>
      <c r="AE374" s="314">
        <f t="shared" si="92"/>
        <v>0</v>
      </c>
      <c r="AF374" s="315">
        <f t="shared" si="93"/>
        <v>0</v>
      </c>
      <c r="AG374" s="316">
        <f t="shared" si="94"/>
        <v>0</v>
      </c>
      <c r="AH374" s="314">
        <v>1</v>
      </c>
      <c r="AI374" s="314">
        <f t="shared" si="95"/>
        <v>0</v>
      </c>
      <c r="AJ374" s="314">
        <f t="shared" si="104"/>
        <v>0</v>
      </c>
      <c r="AK374" s="317"/>
      <c r="AL374" s="315">
        <f t="shared" si="96"/>
        <v>0</v>
      </c>
      <c r="AN374" s="546">
        <f t="shared" si="97"/>
        <v>0</v>
      </c>
      <c r="AO374" s="314"/>
      <c r="AP374" s="318"/>
    </row>
    <row r="375" spans="2:42">
      <c r="B375" s="296"/>
      <c r="C375" s="299"/>
      <c r="D375" s="298"/>
      <c r="E375" s="299"/>
      <c r="F375" s="299"/>
      <c r="G375" s="300"/>
      <c r="H375" s="303"/>
      <c r="I375" s="301">
        <f t="shared" si="88"/>
        <v>0</v>
      </c>
      <c r="J375" s="302">
        <f t="shared" si="98"/>
        <v>0</v>
      </c>
      <c r="K375" s="304">
        <f t="shared" si="89"/>
        <v>0</v>
      </c>
      <c r="L375" s="305">
        <f>IF(H375=0,0,IF(OR(E375=$AT$5,E375=$AT$6),AA375,IF(F375="MXN",1/HLOOKUP(YEAR(G375)+(MONTH(G375)/100),TC!$5:$37,DAY(G375)+2,FALSE),VLOOKUP(F375,Equivalencia!$5:$23,((MAX(Equivalencia!$3:$3)-YEAR(G375))*14)+MONTH(G375)+2,FALSE))))</f>
        <v>0</v>
      </c>
      <c r="M375" s="306">
        <f t="shared" si="90"/>
        <v>0</v>
      </c>
      <c r="N375" s="305">
        <f>IF(G375=0,0,(IF(OR(E375=$AT$5,E375=$AT$6),AC375,HLOOKUP(YEAR(G375)+(MONTH(G375)/100),TC!$5:$37,DAY(G375)+2,FALSE))))</f>
        <v>0</v>
      </c>
      <c r="O375" s="307">
        <f t="shared" si="99"/>
        <v>0</v>
      </c>
      <c r="P375" s="552">
        <f>IF(G375=0,0,VLOOKUP(YEAR(G375),INPC!$B$4:$P$30,MONTH(G375)+2))</f>
        <v>0</v>
      </c>
      <c r="Q375" s="552">
        <f>IF(X375=0,0,IF(OR(E375=$AT$10,E375=$AT$9),VLOOKUP(YEAR(X375),INPC!$B$4:$P$30,MONTH(X375)+1),VLOOKUP(YEAR(X375),INPC!$B$4:$P$30,MONTH(X375)+2,0)))</f>
        <v>0</v>
      </c>
      <c r="R375" s="309">
        <f t="shared" si="91"/>
        <v>0</v>
      </c>
      <c r="S375" s="310">
        <f t="shared" si="100"/>
        <v>0</v>
      </c>
      <c r="T375" s="547">
        <f t="shared" si="101"/>
        <v>0</v>
      </c>
      <c r="U375" s="311"/>
      <c r="V375" s="312"/>
      <c r="W375" s="299"/>
      <c r="X375" s="300"/>
      <c r="Y375" s="299"/>
      <c r="Z375" s="303"/>
      <c r="AA375" s="305">
        <f>IF(Z375=0,0,IF(Y375="MXN",1/HLOOKUP(YEAR(X375)+(MONTH(X375)/100),TC!$5:$37,DAY(X375)+2,FALSE),VLOOKUP(Y375,Equivalencia!$1:$23,((MAX(Equivalencia!$3:$3)-YEAR(X375))*14)+MONTH(X375)+2,FALSE)))</f>
        <v>0</v>
      </c>
      <c r="AB375" s="306">
        <f t="shared" si="102"/>
        <v>0</v>
      </c>
      <c r="AC375" s="305">
        <f>+IF(X375=0,0,HLOOKUP(YEAR(X375)+(MONTH(X375)/100),TC!$5:$37,DAY(X375)+2,FALSE))</f>
        <v>0</v>
      </c>
      <c r="AD375" s="307">
        <f t="shared" si="103"/>
        <v>0</v>
      </c>
      <c r="AE375" s="314">
        <f t="shared" si="92"/>
        <v>0</v>
      </c>
      <c r="AF375" s="315">
        <f t="shared" si="93"/>
        <v>0</v>
      </c>
      <c r="AG375" s="316">
        <f t="shared" si="94"/>
        <v>0</v>
      </c>
      <c r="AH375" s="314">
        <v>1</v>
      </c>
      <c r="AI375" s="314">
        <f t="shared" si="95"/>
        <v>0</v>
      </c>
      <c r="AJ375" s="314">
        <f t="shared" si="104"/>
        <v>0</v>
      </c>
      <c r="AK375" s="317"/>
      <c r="AL375" s="315">
        <f t="shared" si="96"/>
        <v>0</v>
      </c>
      <c r="AN375" s="546">
        <f t="shared" si="97"/>
        <v>0</v>
      </c>
      <c r="AO375" s="314"/>
      <c r="AP375" s="318"/>
    </row>
    <row r="376" spans="2:42">
      <c r="B376" s="296"/>
      <c r="C376" s="299"/>
      <c r="D376" s="298"/>
      <c r="E376" s="299"/>
      <c r="F376" s="299"/>
      <c r="G376" s="300"/>
      <c r="H376" s="303"/>
      <c r="I376" s="301">
        <f t="shared" si="88"/>
        <v>0</v>
      </c>
      <c r="J376" s="302">
        <f t="shared" si="98"/>
        <v>0</v>
      </c>
      <c r="K376" s="304">
        <f t="shared" si="89"/>
        <v>0</v>
      </c>
      <c r="L376" s="305">
        <f>IF(H376=0,0,IF(OR(E376=$AT$5,E376=$AT$6),AA376,IF(F376="MXN",1/HLOOKUP(YEAR(G376)+(MONTH(G376)/100),TC!$5:$37,DAY(G376)+2,FALSE),VLOOKUP(F376,Equivalencia!$5:$23,((MAX(Equivalencia!$3:$3)-YEAR(G376))*14)+MONTH(G376)+2,FALSE))))</f>
        <v>0</v>
      </c>
      <c r="M376" s="306">
        <f t="shared" si="90"/>
        <v>0</v>
      </c>
      <c r="N376" s="305">
        <f>IF(G376=0,0,(IF(OR(E376=$AT$5,E376=$AT$6),AC376,HLOOKUP(YEAR(G376)+(MONTH(G376)/100),TC!$5:$37,DAY(G376)+2,FALSE))))</f>
        <v>0</v>
      </c>
      <c r="O376" s="307">
        <f t="shared" si="99"/>
        <v>0</v>
      </c>
      <c r="P376" s="552">
        <f>IF(G376=0,0,VLOOKUP(YEAR(G376),INPC!$B$4:$P$30,MONTH(G376)+2))</f>
        <v>0</v>
      </c>
      <c r="Q376" s="552">
        <f>IF(X376=0,0,IF(OR(E376=$AT$10,E376=$AT$9),VLOOKUP(YEAR(X376),INPC!$B$4:$P$30,MONTH(X376)+1),VLOOKUP(YEAR(X376),INPC!$B$4:$P$30,MONTH(X376)+2,0)))</f>
        <v>0</v>
      </c>
      <c r="R376" s="309">
        <f t="shared" si="91"/>
        <v>0</v>
      </c>
      <c r="S376" s="310">
        <f t="shared" si="100"/>
        <v>0</v>
      </c>
      <c r="T376" s="547">
        <f t="shared" si="101"/>
        <v>0</v>
      </c>
      <c r="U376" s="311"/>
      <c r="V376" s="312"/>
      <c r="W376" s="299"/>
      <c r="X376" s="300"/>
      <c r="Y376" s="299"/>
      <c r="Z376" s="303"/>
      <c r="AA376" s="305">
        <f>IF(Z376=0,0,IF(Y376="MXN",1/HLOOKUP(YEAR(X376)+(MONTH(X376)/100),TC!$5:$37,DAY(X376)+2,FALSE),VLOOKUP(Y376,Equivalencia!$1:$23,((MAX(Equivalencia!$3:$3)-YEAR(X376))*14)+MONTH(X376)+2,FALSE)))</f>
        <v>0</v>
      </c>
      <c r="AB376" s="306">
        <f t="shared" si="102"/>
        <v>0</v>
      </c>
      <c r="AC376" s="305">
        <f>+IF(X376=0,0,HLOOKUP(YEAR(X376)+(MONTH(X376)/100),TC!$5:$37,DAY(X376)+2,FALSE))</f>
        <v>0</v>
      </c>
      <c r="AD376" s="307">
        <f t="shared" si="103"/>
        <v>0</v>
      </c>
      <c r="AE376" s="314">
        <f t="shared" si="92"/>
        <v>0</v>
      </c>
      <c r="AF376" s="315">
        <f t="shared" si="93"/>
        <v>0</v>
      </c>
      <c r="AG376" s="316">
        <f t="shared" si="94"/>
        <v>0</v>
      </c>
      <c r="AH376" s="314">
        <v>1</v>
      </c>
      <c r="AI376" s="314">
        <f t="shared" si="95"/>
        <v>0</v>
      </c>
      <c r="AJ376" s="314">
        <f t="shared" si="104"/>
        <v>0</v>
      </c>
      <c r="AK376" s="317"/>
      <c r="AL376" s="315">
        <f t="shared" si="96"/>
        <v>0</v>
      </c>
      <c r="AN376" s="546">
        <f t="shared" si="97"/>
        <v>0</v>
      </c>
      <c r="AO376" s="314"/>
      <c r="AP376" s="318"/>
    </row>
    <row r="377" spans="2:42">
      <c r="B377" s="296"/>
      <c r="C377" s="299"/>
      <c r="D377" s="298"/>
      <c r="E377" s="299"/>
      <c r="F377" s="299"/>
      <c r="G377" s="300"/>
      <c r="H377" s="303"/>
      <c r="I377" s="301">
        <f t="shared" si="88"/>
        <v>0</v>
      </c>
      <c r="J377" s="302">
        <f t="shared" si="98"/>
        <v>0</v>
      </c>
      <c r="K377" s="304">
        <f t="shared" si="89"/>
        <v>0</v>
      </c>
      <c r="L377" s="305">
        <f>IF(H377=0,0,IF(OR(E377=$AT$5,E377=$AT$6),AA377,IF(F377="MXN",1/HLOOKUP(YEAR(G377)+(MONTH(G377)/100),TC!$5:$37,DAY(G377)+2,FALSE),VLOOKUP(F377,Equivalencia!$5:$23,((MAX(Equivalencia!$3:$3)-YEAR(G377))*14)+MONTH(G377)+2,FALSE))))</f>
        <v>0</v>
      </c>
      <c r="M377" s="306">
        <f t="shared" si="90"/>
        <v>0</v>
      </c>
      <c r="N377" s="305">
        <f>IF(G377=0,0,(IF(OR(E377=$AT$5,E377=$AT$6),AC377,HLOOKUP(YEAR(G377)+(MONTH(G377)/100),TC!$5:$37,DAY(G377)+2,FALSE))))</f>
        <v>0</v>
      </c>
      <c r="O377" s="307">
        <f t="shared" si="99"/>
        <v>0</v>
      </c>
      <c r="P377" s="552">
        <f>IF(G377=0,0,VLOOKUP(YEAR(G377),INPC!$B$4:$P$30,MONTH(G377)+2))</f>
        <v>0</v>
      </c>
      <c r="Q377" s="552">
        <f>IF(X377=0,0,IF(OR(E377=$AT$10,E377=$AT$9),VLOOKUP(YEAR(X377),INPC!$B$4:$P$30,MONTH(X377)+1),VLOOKUP(YEAR(X377),INPC!$B$4:$P$30,MONTH(X377)+2,0)))</f>
        <v>0</v>
      </c>
      <c r="R377" s="309">
        <f t="shared" si="91"/>
        <v>0</v>
      </c>
      <c r="S377" s="310">
        <f t="shared" si="100"/>
        <v>0</v>
      </c>
      <c r="T377" s="547">
        <f t="shared" si="101"/>
        <v>0</v>
      </c>
      <c r="U377" s="311"/>
      <c r="V377" s="312"/>
      <c r="W377" s="299"/>
      <c r="X377" s="300"/>
      <c r="Y377" s="299"/>
      <c r="Z377" s="303"/>
      <c r="AA377" s="305">
        <f>IF(Z377=0,0,IF(Y377="MXN",1/HLOOKUP(YEAR(X377)+(MONTH(X377)/100),TC!$5:$37,DAY(X377)+2,FALSE),VLOOKUP(Y377,Equivalencia!$1:$23,((MAX(Equivalencia!$3:$3)-YEAR(X377))*14)+MONTH(X377)+2,FALSE)))</f>
        <v>0</v>
      </c>
      <c r="AB377" s="306">
        <f t="shared" si="102"/>
        <v>0</v>
      </c>
      <c r="AC377" s="305">
        <f>+IF(X377=0,0,HLOOKUP(YEAR(X377)+(MONTH(X377)/100),TC!$5:$37,DAY(X377)+2,FALSE))</f>
        <v>0</v>
      </c>
      <c r="AD377" s="307">
        <f t="shared" si="103"/>
        <v>0</v>
      </c>
      <c r="AE377" s="314">
        <f t="shared" si="92"/>
        <v>0</v>
      </c>
      <c r="AF377" s="315">
        <f t="shared" si="93"/>
        <v>0</v>
      </c>
      <c r="AG377" s="316">
        <f t="shared" si="94"/>
        <v>0</v>
      </c>
      <c r="AH377" s="314">
        <v>1</v>
      </c>
      <c r="AI377" s="314">
        <f t="shared" si="95"/>
        <v>0</v>
      </c>
      <c r="AJ377" s="314">
        <f t="shared" si="104"/>
        <v>0</v>
      </c>
      <c r="AK377" s="317"/>
      <c r="AL377" s="315">
        <f t="shared" si="96"/>
        <v>0</v>
      </c>
      <c r="AN377" s="546">
        <f t="shared" si="97"/>
        <v>0</v>
      </c>
      <c r="AO377" s="314"/>
      <c r="AP377" s="318"/>
    </row>
    <row r="378" spans="2:42">
      <c r="B378" s="296"/>
      <c r="C378" s="299"/>
      <c r="D378" s="298"/>
      <c r="E378" s="299"/>
      <c r="F378" s="299"/>
      <c r="G378" s="300"/>
      <c r="H378" s="303"/>
      <c r="I378" s="301">
        <f t="shared" si="88"/>
        <v>0</v>
      </c>
      <c r="J378" s="302">
        <f t="shared" si="98"/>
        <v>0</v>
      </c>
      <c r="K378" s="304">
        <f t="shared" si="89"/>
        <v>0</v>
      </c>
      <c r="L378" s="305">
        <f>IF(H378=0,0,IF(OR(E378=$AT$5,E378=$AT$6),AA378,IF(F378="MXN",1/HLOOKUP(YEAR(G378)+(MONTH(G378)/100),TC!$5:$37,DAY(G378)+2,FALSE),VLOOKUP(F378,Equivalencia!$5:$23,((MAX(Equivalencia!$3:$3)-YEAR(G378))*14)+MONTH(G378)+2,FALSE))))</f>
        <v>0</v>
      </c>
      <c r="M378" s="306">
        <f t="shared" si="90"/>
        <v>0</v>
      </c>
      <c r="N378" s="305">
        <f>IF(G378=0,0,(IF(OR(E378=$AT$5,E378=$AT$6),AC378,HLOOKUP(YEAR(G378)+(MONTH(G378)/100),TC!$5:$37,DAY(G378)+2,FALSE))))</f>
        <v>0</v>
      </c>
      <c r="O378" s="307">
        <f t="shared" si="99"/>
        <v>0</v>
      </c>
      <c r="P378" s="552">
        <f>IF(G378=0,0,VLOOKUP(YEAR(G378),INPC!$B$4:$P$30,MONTH(G378)+2))</f>
        <v>0</v>
      </c>
      <c r="Q378" s="552">
        <f>IF(X378=0,0,IF(OR(E378=$AT$10,E378=$AT$9),VLOOKUP(YEAR(X378),INPC!$B$4:$P$30,MONTH(X378)+1),VLOOKUP(YEAR(X378),INPC!$B$4:$P$30,MONTH(X378)+2,0)))</f>
        <v>0</v>
      </c>
      <c r="R378" s="309">
        <f t="shared" si="91"/>
        <v>0</v>
      </c>
      <c r="S378" s="310">
        <f t="shared" si="100"/>
        <v>0</v>
      </c>
      <c r="T378" s="547">
        <f t="shared" si="101"/>
        <v>0</v>
      </c>
      <c r="U378" s="311"/>
      <c r="V378" s="312"/>
      <c r="W378" s="299"/>
      <c r="X378" s="300"/>
      <c r="Y378" s="299"/>
      <c r="Z378" s="303"/>
      <c r="AA378" s="305">
        <f>IF(Z378=0,0,IF(Y378="MXN",1/HLOOKUP(YEAR(X378)+(MONTH(X378)/100),TC!$5:$37,DAY(X378)+2,FALSE),VLOOKUP(Y378,Equivalencia!$1:$23,((MAX(Equivalencia!$3:$3)-YEAR(X378))*14)+MONTH(X378)+2,FALSE)))</f>
        <v>0</v>
      </c>
      <c r="AB378" s="306">
        <f t="shared" si="102"/>
        <v>0</v>
      </c>
      <c r="AC378" s="305">
        <f>+IF(X378=0,0,HLOOKUP(YEAR(X378)+(MONTH(X378)/100),TC!$5:$37,DAY(X378)+2,FALSE))</f>
        <v>0</v>
      </c>
      <c r="AD378" s="307">
        <f t="shared" si="103"/>
        <v>0</v>
      </c>
      <c r="AE378" s="314">
        <f t="shared" si="92"/>
        <v>0</v>
      </c>
      <c r="AF378" s="315">
        <f t="shared" si="93"/>
        <v>0</v>
      </c>
      <c r="AG378" s="316">
        <f t="shared" si="94"/>
        <v>0</v>
      </c>
      <c r="AH378" s="314">
        <v>1</v>
      </c>
      <c r="AI378" s="314">
        <f t="shared" si="95"/>
        <v>0</v>
      </c>
      <c r="AJ378" s="314">
        <f t="shared" si="104"/>
        <v>0</v>
      </c>
      <c r="AK378" s="317"/>
      <c r="AL378" s="315">
        <f t="shared" si="96"/>
        <v>0</v>
      </c>
      <c r="AN378" s="546">
        <f t="shared" si="97"/>
        <v>0</v>
      </c>
      <c r="AO378" s="314"/>
      <c r="AP378" s="318"/>
    </row>
    <row r="379" spans="2:42">
      <c r="B379" s="296"/>
      <c r="C379" s="299"/>
      <c r="D379" s="298"/>
      <c r="E379" s="299"/>
      <c r="F379" s="299"/>
      <c r="G379" s="300"/>
      <c r="H379" s="303"/>
      <c r="I379" s="301">
        <f t="shared" si="88"/>
        <v>0</v>
      </c>
      <c r="J379" s="302">
        <f t="shared" si="98"/>
        <v>0</v>
      </c>
      <c r="K379" s="304">
        <f t="shared" si="89"/>
        <v>0</v>
      </c>
      <c r="L379" s="305">
        <f>IF(H379=0,0,IF(OR(E379=$AT$5,E379=$AT$6),AA379,IF(F379="MXN",1/HLOOKUP(YEAR(G379)+(MONTH(G379)/100),TC!$5:$37,DAY(G379)+2,FALSE),VLOOKUP(F379,Equivalencia!$5:$23,((MAX(Equivalencia!$3:$3)-YEAR(G379))*14)+MONTH(G379)+2,FALSE))))</f>
        <v>0</v>
      </c>
      <c r="M379" s="306">
        <f t="shared" si="90"/>
        <v>0</v>
      </c>
      <c r="N379" s="305">
        <f>IF(G379=0,0,(IF(OR(E379=$AT$5,E379=$AT$6),AC379,HLOOKUP(YEAR(G379)+(MONTH(G379)/100),TC!$5:$37,DAY(G379)+2,FALSE))))</f>
        <v>0</v>
      </c>
      <c r="O379" s="307">
        <f t="shared" si="99"/>
        <v>0</v>
      </c>
      <c r="P379" s="552">
        <f>IF(G379=0,0,VLOOKUP(YEAR(G379),INPC!$B$4:$P$30,MONTH(G379)+2))</f>
        <v>0</v>
      </c>
      <c r="Q379" s="552">
        <f>IF(X379=0,0,IF(OR(E379=$AT$10,E379=$AT$9),VLOOKUP(YEAR(X379),INPC!$B$4:$P$30,MONTH(X379)+1),VLOOKUP(YEAR(X379),INPC!$B$4:$P$30,MONTH(X379)+2,0)))</f>
        <v>0</v>
      </c>
      <c r="R379" s="309">
        <f t="shared" si="91"/>
        <v>0</v>
      </c>
      <c r="S379" s="310">
        <f t="shared" si="100"/>
        <v>0</v>
      </c>
      <c r="T379" s="547">
        <f t="shared" si="101"/>
        <v>0</v>
      </c>
      <c r="U379" s="311"/>
      <c r="V379" s="312"/>
      <c r="W379" s="299"/>
      <c r="X379" s="300"/>
      <c r="Y379" s="299"/>
      <c r="Z379" s="303"/>
      <c r="AA379" s="305">
        <f>IF(Z379=0,0,IF(Y379="MXN",1/HLOOKUP(YEAR(X379)+(MONTH(X379)/100),TC!$5:$37,DAY(X379)+2,FALSE),VLOOKUP(Y379,Equivalencia!$1:$23,((MAX(Equivalencia!$3:$3)-YEAR(X379))*14)+MONTH(X379)+2,FALSE)))</f>
        <v>0</v>
      </c>
      <c r="AB379" s="306">
        <f t="shared" si="102"/>
        <v>0</v>
      </c>
      <c r="AC379" s="305">
        <f>+IF(X379=0,0,HLOOKUP(YEAR(X379)+(MONTH(X379)/100),TC!$5:$37,DAY(X379)+2,FALSE))</f>
        <v>0</v>
      </c>
      <c r="AD379" s="307">
        <f t="shared" si="103"/>
        <v>0</v>
      </c>
      <c r="AE379" s="314">
        <f t="shared" si="92"/>
        <v>0</v>
      </c>
      <c r="AF379" s="315">
        <f t="shared" si="93"/>
        <v>0</v>
      </c>
      <c r="AG379" s="316">
        <f t="shared" si="94"/>
        <v>0</v>
      </c>
      <c r="AH379" s="314">
        <v>1</v>
      </c>
      <c r="AI379" s="314">
        <f t="shared" si="95"/>
        <v>0</v>
      </c>
      <c r="AJ379" s="314">
        <f t="shared" si="104"/>
        <v>0</v>
      </c>
      <c r="AK379" s="317"/>
      <c r="AL379" s="315">
        <f t="shared" si="96"/>
        <v>0</v>
      </c>
      <c r="AN379" s="546">
        <f t="shared" si="97"/>
        <v>0</v>
      </c>
      <c r="AO379" s="314"/>
      <c r="AP379" s="318"/>
    </row>
    <row r="380" spans="2:42">
      <c r="B380" s="296"/>
      <c r="C380" s="299"/>
      <c r="D380" s="298"/>
      <c r="E380" s="299"/>
      <c r="F380" s="299"/>
      <c r="G380" s="300"/>
      <c r="H380" s="303"/>
      <c r="I380" s="301">
        <f t="shared" si="88"/>
        <v>0</v>
      </c>
      <c r="J380" s="302">
        <f t="shared" si="98"/>
        <v>0</v>
      </c>
      <c r="K380" s="304">
        <f t="shared" si="89"/>
        <v>0</v>
      </c>
      <c r="L380" s="305">
        <f>IF(H380=0,0,IF(OR(E380=$AT$5,E380=$AT$6),AA380,IF(F380="MXN",1/HLOOKUP(YEAR(G380)+(MONTH(G380)/100),TC!$5:$37,DAY(G380)+2,FALSE),VLOOKUP(F380,Equivalencia!$5:$23,((MAX(Equivalencia!$3:$3)-YEAR(G380))*14)+MONTH(G380)+2,FALSE))))</f>
        <v>0</v>
      </c>
      <c r="M380" s="306">
        <f t="shared" si="90"/>
        <v>0</v>
      </c>
      <c r="N380" s="305">
        <f>IF(G380=0,0,(IF(OR(E380=$AT$5,E380=$AT$6),AC380,HLOOKUP(YEAR(G380)+(MONTH(G380)/100),TC!$5:$37,DAY(G380)+2,FALSE))))</f>
        <v>0</v>
      </c>
      <c r="O380" s="307">
        <f t="shared" si="99"/>
        <v>0</v>
      </c>
      <c r="P380" s="552">
        <f>IF(G380=0,0,VLOOKUP(YEAR(G380),INPC!$B$4:$P$30,MONTH(G380)+2))</f>
        <v>0</v>
      </c>
      <c r="Q380" s="552">
        <f>IF(X380=0,0,IF(OR(E380=$AT$10,E380=$AT$9),VLOOKUP(YEAR(X380),INPC!$B$4:$P$30,MONTH(X380)+1),VLOOKUP(YEAR(X380),INPC!$B$4:$P$30,MONTH(X380)+2,0)))</f>
        <v>0</v>
      </c>
      <c r="R380" s="309">
        <f t="shared" si="91"/>
        <v>0</v>
      </c>
      <c r="S380" s="310">
        <f t="shared" si="100"/>
        <v>0</v>
      </c>
      <c r="T380" s="547">
        <f t="shared" si="101"/>
        <v>0</v>
      </c>
      <c r="U380" s="311"/>
      <c r="V380" s="312"/>
      <c r="W380" s="299"/>
      <c r="X380" s="300"/>
      <c r="Y380" s="299"/>
      <c r="Z380" s="303"/>
      <c r="AA380" s="305">
        <f>IF(Z380=0,0,IF(Y380="MXN",1/HLOOKUP(YEAR(X380)+(MONTH(X380)/100),TC!$5:$37,DAY(X380)+2,FALSE),VLOOKUP(Y380,Equivalencia!$1:$23,((MAX(Equivalencia!$3:$3)-YEAR(X380))*14)+MONTH(X380)+2,FALSE)))</f>
        <v>0</v>
      </c>
      <c r="AB380" s="306">
        <f t="shared" si="102"/>
        <v>0</v>
      </c>
      <c r="AC380" s="305">
        <f>+IF(X380=0,0,HLOOKUP(YEAR(X380)+(MONTH(X380)/100),TC!$5:$37,DAY(X380)+2,FALSE))</f>
        <v>0</v>
      </c>
      <c r="AD380" s="307">
        <f t="shared" si="103"/>
        <v>0</v>
      </c>
      <c r="AE380" s="314">
        <f t="shared" si="92"/>
        <v>0</v>
      </c>
      <c r="AF380" s="315">
        <f t="shared" si="93"/>
        <v>0</v>
      </c>
      <c r="AG380" s="316">
        <f t="shared" si="94"/>
        <v>0</v>
      </c>
      <c r="AH380" s="314">
        <v>1</v>
      </c>
      <c r="AI380" s="314">
        <f t="shared" si="95"/>
        <v>0</v>
      </c>
      <c r="AJ380" s="314">
        <f t="shared" si="104"/>
        <v>0</v>
      </c>
      <c r="AK380" s="317"/>
      <c r="AL380" s="315">
        <f t="shared" si="96"/>
        <v>0</v>
      </c>
      <c r="AN380" s="546">
        <f t="shared" si="97"/>
        <v>0</v>
      </c>
      <c r="AO380" s="314"/>
      <c r="AP380" s="318"/>
    </row>
    <row r="381" spans="2:42">
      <c r="B381" s="296"/>
      <c r="C381" s="299"/>
      <c r="D381" s="298"/>
      <c r="E381" s="299"/>
      <c r="F381" s="299"/>
      <c r="G381" s="300"/>
      <c r="H381" s="303"/>
      <c r="I381" s="301">
        <f t="shared" si="88"/>
        <v>0</v>
      </c>
      <c r="J381" s="302">
        <f t="shared" si="98"/>
        <v>0</v>
      </c>
      <c r="K381" s="304">
        <f t="shared" si="89"/>
        <v>0</v>
      </c>
      <c r="L381" s="305">
        <f>IF(H381=0,0,IF(OR(E381=$AT$5,E381=$AT$6),AA381,IF(F381="MXN",1/HLOOKUP(YEAR(G381)+(MONTH(G381)/100),TC!$5:$37,DAY(G381)+2,FALSE),VLOOKUP(F381,Equivalencia!$5:$23,((MAX(Equivalencia!$3:$3)-YEAR(G381))*14)+MONTH(G381)+2,FALSE))))</f>
        <v>0</v>
      </c>
      <c r="M381" s="306">
        <f t="shared" si="90"/>
        <v>0</v>
      </c>
      <c r="N381" s="305">
        <f>IF(G381=0,0,(IF(OR(E381=$AT$5,E381=$AT$6),AC381,HLOOKUP(YEAR(G381)+(MONTH(G381)/100),TC!$5:$37,DAY(G381)+2,FALSE))))</f>
        <v>0</v>
      </c>
      <c r="O381" s="307">
        <f t="shared" si="99"/>
        <v>0</v>
      </c>
      <c r="P381" s="552">
        <f>IF(G381=0,0,VLOOKUP(YEAR(G381),INPC!$B$4:$P$30,MONTH(G381)+2))</f>
        <v>0</v>
      </c>
      <c r="Q381" s="552">
        <f>IF(X381=0,0,IF(OR(E381=$AT$10,E381=$AT$9),VLOOKUP(YEAR(X381),INPC!$B$4:$P$30,MONTH(X381)+1),VLOOKUP(YEAR(X381),INPC!$B$4:$P$30,MONTH(X381)+2,0)))</f>
        <v>0</v>
      </c>
      <c r="R381" s="309">
        <f t="shared" si="91"/>
        <v>0</v>
      </c>
      <c r="S381" s="310">
        <f t="shared" si="100"/>
        <v>0</v>
      </c>
      <c r="T381" s="547">
        <f t="shared" si="101"/>
        <v>0</v>
      </c>
      <c r="U381" s="311"/>
      <c r="V381" s="312"/>
      <c r="W381" s="299"/>
      <c r="X381" s="300"/>
      <c r="Y381" s="299"/>
      <c r="Z381" s="303"/>
      <c r="AA381" s="305">
        <f>IF(Z381=0,0,IF(Y381="MXN",1/HLOOKUP(YEAR(X381)+(MONTH(X381)/100),TC!$5:$37,DAY(X381)+2,FALSE),VLOOKUP(Y381,Equivalencia!$1:$23,((MAX(Equivalencia!$3:$3)-YEAR(X381))*14)+MONTH(X381)+2,FALSE)))</f>
        <v>0</v>
      </c>
      <c r="AB381" s="306">
        <f t="shared" si="102"/>
        <v>0</v>
      </c>
      <c r="AC381" s="305">
        <f>+IF(X381=0,0,HLOOKUP(YEAR(X381)+(MONTH(X381)/100),TC!$5:$37,DAY(X381)+2,FALSE))</f>
        <v>0</v>
      </c>
      <c r="AD381" s="307">
        <f t="shared" si="103"/>
        <v>0</v>
      </c>
      <c r="AE381" s="314">
        <f t="shared" si="92"/>
        <v>0</v>
      </c>
      <c r="AF381" s="315">
        <f t="shared" si="93"/>
        <v>0</v>
      </c>
      <c r="AG381" s="316">
        <f t="shared" si="94"/>
        <v>0</v>
      </c>
      <c r="AH381" s="314">
        <v>1</v>
      </c>
      <c r="AI381" s="314">
        <f t="shared" si="95"/>
        <v>0</v>
      </c>
      <c r="AJ381" s="314">
        <f t="shared" si="104"/>
        <v>0</v>
      </c>
      <c r="AK381" s="317"/>
      <c r="AL381" s="315">
        <f t="shared" si="96"/>
        <v>0</v>
      </c>
      <c r="AN381" s="546">
        <f t="shared" si="97"/>
        <v>0</v>
      </c>
      <c r="AO381" s="314"/>
      <c r="AP381" s="318"/>
    </row>
    <row r="382" spans="2:42">
      <c r="B382" s="296"/>
      <c r="C382" s="299"/>
      <c r="D382" s="298"/>
      <c r="E382" s="299"/>
      <c r="F382" s="299"/>
      <c r="G382" s="300"/>
      <c r="H382" s="303"/>
      <c r="I382" s="301">
        <f t="shared" si="88"/>
        <v>0</v>
      </c>
      <c r="J382" s="302">
        <f t="shared" si="98"/>
        <v>0</v>
      </c>
      <c r="K382" s="304">
        <f t="shared" si="89"/>
        <v>0</v>
      </c>
      <c r="L382" s="305">
        <f>IF(H382=0,0,IF(OR(E382=$AT$5,E382=$AT$6),AA382,IF(F382="MXN",1/HLOOKUP(YEAR(G382)+(MONTH(G382)/100),TC!$5:$37,DAY(G382)+2,FALSE),VLOOKUP(F382,Equivalencia!$5:$23,((MAX(Equivalencia!$3:$3)-YEAR(G382))*14)+MONTH(G382)+2,FALSE))))</f>
        <v>0</v>
      </c>
      <c r="M382" s="306">
        <f t="shared" si="90"/>
        <v>0</v>
      </c>
      <c r="N382" s="305">
        <f>IF(G382=0,0,(IF(OR(E382=$AT$5,E382=$AT$6),AC382,HLOOKUP(YEAR(G382)+(MONTH(G382)/100),TC!$5:$37,DAY(G382)+2,FALSE))))</f>
        <v>0</v>
      </c>
      <c r="O382" s="307">
        <f t="shared" si="99"/>
        <v>0</v>
      </c>
      <c r="P382" s="552">
        <f>IF(G382=0,0,VLOOKUP(YEAR(G382),INPC!$B$4:$P$30,MONTH(G382)+2))</f>
        <v>0</v>
      </c>
      <c r="Q382" s="552">
        <f>IF(X382=0,0,IF(OR(E382=$AT$10,E382=$AT$9),VLOOKUP(YEAR(X382),INPC!$B$4:$P$30,MONTH(X382)+1),VLOOKUP(YEAR(X382),INPC!$B$4:$P$30,MONTH(X382)+2,0)))</f>
        <v>0</v>
      </c>
      <c r="R382" s="309">
        <f t="shared" si="91"/>
        <v>0</v>
      </c>
      <c r="S382" s="310">
        <f t="shared" si="100"/>
        <v>0</v>
      </c>
      <c r="T382" s="547">
        <f t="shared" si="101"/>
        <v>0</v>
      </c>
      <c r="U382" s="311"/>
      <c r="V382" s="312"/>
      <c r="W382" s="299"/>
      <c r="X382" s="300"/>
      <c r="Y382" s="299"/>
      <c r="Z382" s="303"/>
      <c r="AA382" s="305">
        <f>IF(Z382=0,0,IF(Y382="MXN",1/HLOOKUP(YEAR(X382)+(MONTH(X382)/100),TC!$5:$37,DAY(X382)+2,FALSE),VLOOKUP(Y382,Equivalencia!$1:$23,((MAX(Equivalencia!$3:$3)-YEAR(X382))*14)+MONTH(X382)+2,FALSE)))</f>
        <v>0</v>
      </c>
      <c r="AB382" s="306">
        <f t="shared" si="102"/>
        <v>0</v>
      </c>
      <c r="AC382" s="305">
        <f>+IF(X382=0,0,HLOOKUP(YEAR(X382)+(MONTH(X382)/100),TC!$5:$37,DAY(X382)+2,FALSE))</f>
        <v>0</v>
      </c>
      <c r="AD382" s="307">
        <f t="shared" si="103"/>
        <v>0</v>
      </c>
      <c r="AE382" s="314">
        <f t="shared" si="92"/>
        <v>0</v>
      </c>
      <c r="AF382" s="315">
        <f t="shared" si="93"/>
        <v>0</v>
      </c>
      <c r="AG382" s="316">
        <f t="shared" si="94"/>
        <v>0</v>
      </c>
      <c r="AH382" s="314">
        <v>1</v>
      </c>
      <c r="AI382" s="314">
        <f t="shared" si="95"/>
        <v>0</v>
      </c>
      <c r="AJ382" s="314">
        <f t="shared" si="104"/>
        <v>0</v>
      </c>
      <c r="AK382" s="317"/>
      <c r="AL382" s="315">
        <f t="shared" si="96"/>
        <v>0</v>
      </c>
      <c r="AN382" s="546">
        <f t="shared" si="97"/>
        <v>0</v>
      </c>
      <c r="AO382" s="314"/>
      <c r="AP382" s="318"/>
    </row>
    <row r="383" spans="2:42">
      <c r="B383" s="296"/>
      <c r="C383" s="299"/>
      <c r="D383" s="298"/>
      <c r="E383" s="299"/>
      <c r="F383" s="299"/>
      <c r="G383" s="300"/>
      <c r="H383" s="303"/>
      <c r="I383" s="301">
        <f t="shared" si="88"/>
        <v>0</v>
      </c>
      <c r="J383" s="302">
        <f t="shared" si="98"/>
        <v>0</v>
      </c>
      <c r="K383" s="304">
        <f t="shared" si="89"/>
        <v>0</v>
      </c>
      <c r="L383" s="305">
        <f>IF(H383=0,0,IF(OR(E383=$AT$5,E383=$AT$6),AA383,IF(F383="MXN",1/HLOOKUP(YEAR(G383)+(MONTH(G383)/100),TC!$5:$37,DAY(G383)+2,FALSE),VLOOKUP(F383,Equivalencia!$5:$23,((MAX(Equivalencia!$3:$3)-YEAR(G383))*14)+MONTH(G383)+2,FALSE))))</f>
        <v>0</v>
      </c>
      <c r="M383" s="306">
        <f t="shared" si="90"/>
        <v>0</v>
      </c>
      <c r="N383" s="305">
        <f>IF(G383=0,0,(IF(OR(E383=$AT$5,E383=$AT$6),AC383,HLOOKUP(YEAR(G383)+(MONTH(G383)/100),TC!$5:$37,DAY(G383)+2,FALSE))))</f>
        <v>0</v>
      </c>
      <c r="O383" s="307">
        <f t="shared" si="99"/>
        <v>0</v>
      </c>
      <c r="P383" s="552">
        <f>IF(G383=0,0,VLOOKUP(YEAR(G383),INPC!$B$4:$P$30,MONTH(G383)+2))</f>
        <v>0</v>
      </c>
      <c r="Q383" s="552">
        <f>IF(X383=0,0,IF(OR(E383=$AT$10,E383=$AT$9),VLOOKUP(YEAR(X383),INPC!$B$4:$P$30,MONTH(X383)+1),VLOOKUP(YEAR(X383),INPC!$B$4:$P$30,MONTH(X383)+2,0)))</f>
        <v>0</v>
      </c>
      <c r="R383" s="309">
        <f t="shared" si="91"/>
        <v>0</v>
      </c>
      <c r="S383" s="310">
        <f t="shared" si="100"/>
        <v>0</v>
      </c>
      <c r="T383" s="547">
        <f t="shared" si="101"/>
        <v>0</v>
      </c>
      <c r="U383" s="311"/>
      <c r="V383" s="312"/>
      <c r="W383" s="299"/>
      <c r="X383" s="300"/>
      <c r="Y383" s="299"/>
      <c r="Z383" s="303"/>
      <c r="AA383" s="305">
        <f>IF(Z383=0,0,IF(Y383="MXN",1/HLOOKUP(YEAR(X383)+(MONTH(X383)/100),TC!$5:$37,DAY(X383)+2,FALSE),VLOOKUP(Y383,Equivalencia!$1:$23,((MAX(Equivalencia!$3:$3)-YEAR(X383))*14)+MONTH(X383)+2,FALSE)))</f>
        <v>0</v>
      </c>
      <c r="AB383" s="306">
        <f t="shared" si="102"/>
        <v>0</v>
      </c>
      <c r="AC383" s="305">
        <f>+IF(X383=0,0,HLOOKUP(YEAR(X383)+(MONTH(X383)/100),TC!$5:$37,DAY(X383)+2,FALSE))</f>
        <v>0</v>
      </c>
      <c r="AD383" s="307">
        <f t="shared" si="103"/>
        <v>0</v>
      </c>
      <c r="AE383" s="314">
        <f t="shared" si="92"/>
        <v>0</v>
      </c>
      <c r="AF383" s="315">
        <f t="shared" si="93"/>
        <v>0</v>
      </c>
      <c r="AG383" s="316">
        <f t="shared" si="94"/>
        <v>0</v>
      </c>
      <c r="AH383" s="314">
        <v>1</v>
      </c>
      <c r="AI383" s="314">
        <f t="shared" si="95"/>
        <v>0</v>
      </c>
      <c r="AJ383" s="314">
        <f t="shared" si="104"/>
        <v>0</v>
      </c>
      <c r="AK383" s="317"/>
      <c r="AL383" s="315">
        <f t="shared" si="96"/>
        <v>0</v>
      </c>
      <c r="AN383" s="546">
        <f t="shared" si="97"/>
        <v>0</v>
      </c>
      <c r="AO383" s="314"/>
      <c r="AP383" s="318"/>
    </row>
    <row r="384" spans="2:42">
      <c r="B384" s="296"/>
      <c r="C384" s="299"/>
      <c r="D384" s="298"/>
      <c r="E384" s="299"/>
      <c r="F384" s="299"/>
      <c r="G384" s="300"/>
      <c r="H384" s="303"/>
      <c r="I384" s="301">
        <f t="shared" si="88"/>
        <v>0</v>
      </c>
      <c r="J384" s="302">
        <f t="shared" si="98"/>
        <v>0</v>
      </c>
      <c r="K384" s="304">
        <f t="shared" si="89"/>
        <v>0</v>
      </c>
      <c r="L384" s="305">
        <f>IF(H384=0,0,IF(OR(E384=$AT$5,E384=$AT$6),AA384,IF(F384="MXN",1/HLOOKUP(YEAR(G384)+(MONTH(G384)/100),TC!$5:$37,DAY(G384)+2,FALSE),VLOOKUP(F384,Equivalencia!$5:$23,((MAX(Equivalencia!$3:$3)-YEAR(G384))*14)+MONTH(G384)+2,FALSE))))</f>
        <v>0</v>
      </c>
      <c r="M384" s="306">
        <f t="shared" si="90"/>
        <v>0</v>
      </c>
      <c r="N384" s="305">
        <f>IF(G384=0,0,(IF(OR(E384=$AT$5,E384=$AT$6),AC384,HLOOKUP(YEAR(G384)+(MONTH(G384)/100),TC!$5:$37,DAY(G384)+2,FALSE))))</f>
        <v>0</v>
      </c>
      <c r="O384" s="307">
        <f t="shared" si="99"/>
        <v>0</v>
      </c>
      <c r="P384" s="552">
        <f>IF(G384=0,0,VLOOKUP(YEAR(G384),INPC!$B$4:$P$30,MONTH(G384)+2))</f>
        <v>0</v>
      </c>
      <c r="Q384" s="552">
        <f>IF(X384=0,0,IF(OR(E384=$AT$10,E384=$AT$9),VLOOKUP(YEAR(X384),INPC!$B$4:$P$30,MONTH(X384)+1),VLOOKUP(YEAR(X384),INPC!$B$4:$P$30,MONTH(X384)+2,0)))</f>
        <v>0</v>
      </c>
      <c r="R384" s="309">
        <f t="shared" si="91"/>
        <v>0</v>
      </c>
      <c r="S384" s="310">
        <f t="shared" si="100"/>
        <v>0</v>
      </c>
      <c r="T384" s="547">
        <f t="shared" si="101"/>
        <v>0</v>
      </c>
      <c r="U384" s="311"/>
      <c r="V384" s="312"/>
      <c r="W384" s="299"/>
      <c r="X384" s="300"/>
      <c r="Y384" s="299"/>
      <c r="Z384" s="303"/>
      <c r="AA384" s="305">
        <f>IF(Z384=0,0,IF(Y384="MXN",1/HLOOKUP(YEAR(X384)+(MONTH(X384)/100),TC!$5:$37,DAY(X384)+2,FALSE),VLOOKUP(Y384,Equivalencia!$1:$23,((MAX(Equivalencia!$3:$3)-YEAR(X384))*14)+MONTH(X384)+2,FALSE)))</f>
        <v>0</v>
      </c>
      <c r="AB384" s="306">
        <f t="shared" si="102"/>
        <v>0</v>
      </c>
      <c r="AC384" s="305">
        <f>+IF(X384=0,0,HLOOKUP(YEAR(X384)+(MONTH(X384)/100),TC!$5:$37,DAY(X384)+2,FALSE))</f>
        <v>0</v>
      </c>
      <c r="AD384" s="307">
        <f t="shared" si="103"/>
        <v>0</v>
      </c>
      <c r="AE384" s="314">
        <f t="shared" si="92"/>
        <v>0</v>
      </c>
      <c r="AF384" s="315">
        <f t="shared" si="93"/>
        <v>0</v>
      </c>
      <c r="AG384" s="316">
        <f t="shared" si="94"/>
        <v>0</v>
      </c>
      <c r="AH384" s="314">
        <v>1</v>
      </c>
      <c r="AI384" s="314">
        <f t="shared" si="95"/>
        <v>0</v>
      </c>
      <c r="AJ384" s="314">
        <f t="shared" si="104"/>
        <v>0</v>
      </c>
      <c r="AK384" s="317"/>
      <c r="AL384" s="315">
        <f t="shared" si="96"/>
        <v>0</v>
      </c>
      <c r="AN384" s="546">
        <f t="shared" si="97"/>
        <v>0</v>
      </c>
      <c r="AO384" s="314"/>
      <c r="AP384" s="318"/>
    </row>
    <row r="385" spans="2:42">
      <c r="B385" s="296"/>
      <c r="C385" s="299"/>
      <c r="D385" s="298"/>
      <c r="E385" s="299"/>
      <c r="F385" s="299"/>
      <c r="G385" s="300"/>
      <c r="H385" s="303"/>
      <c r="I385" s="301">
        <f t="shared" si="88"/>
        <v>0</v>
      </c>
      <c r="J385" s="302">
        <f t="shared" si="98"/>
        <v>0</v>
      </c>
      <c r="K385" s="304">
        <f t="shared" si="89"/>
        <v>0</v>
      </c>
      <c r="L385" s="305">
        <f>IF(H385=0,0,IF(OR(E385=$AT$5,E385=$AT$6),AA385,IF(F385="MXN",1/HLOOKUP(YEAR(G385)+(MONTH(G385)/100),TC!$5:$37,DAY(G385)+2,FALSE),VLOOKUP(F385,Equivalencia!$5:$23,((MAX(Equivalencia!$3:$3)-YEAR(G385))*14)+MONTH(G385)+2,FALSE))))</f>
        <v>0</v>
      </c>
      <c r="M385" s="306">
        <f t="shared" si="90"/>
        <v>0</v>
      </c>
      <c r="N385" s="305">
        <f>IF(G385=0,0,(IF(OR(E385=$AT$5,E385=$AT$6),AC385,HLOOKUP(YEAR(G385)+(MONTH(G385)/100),TC!$5:$37,DAY(G385)+2,FALSE))))</f>
        <v>0</v>
      </c>
      <c r="O385" s="307">
        <f t="shared" si="99"/>
        <v>0</v>
      </c>
      <c r="P385" s="552">
        <f>IF(G385=0,0,VLOOKUP(YEAR(G385),INPC!$B$4:$P$30,MONTH(G385)+2))</f>
        <v>0</v>
      </c>
      <c r="Q385" s="552">
        <f>IF(X385=0,0,IF(OR(E385=$AT$10,E385=$AT$9),VLOOKUP(YEAR(X385),INPC!$B$4:$P$30,MONTH(X385)+1),VLOOKUP(YEAR(X385),INPC!$B$4:$P$30,MONTH(X385)+2,0)))</f>
        <v>0</v>
      </c>
      <c r="R385" s="309">
        <f t="shared" si="91"/>
        <v>0</v>
      </c>
      <c r="S385" s="310">
        <f t="shared" si="100"/>
        <v>0</v>
      </c>
      <c r="T385" s="547">
        <f t="shared" si="101"/>
        <v>0</v>
      </c>
      <c r="U385" s="311"/>
      <c r="V385" s="312"/>
      <c r="W385" s="299"/>
      <c r="X385" s="300"/>
      <c r="Y385" s="299"/>
      <c r="Z385" s="303"/>
      <c r="AA385" s="305">
        <f>IF(Z385=0,0,IF(Y385="MXN",1/HLOOKUP(YEAR(X385)+(MONTH(X385)/100),TC!$5:$37,DAY(X385)+2,FALSE),VLOOKUP(Y385,Equivalencia!$1:$23,((MAX(Equivalencia!$3:$3)-YEAR(X385))*14)+MONTH(X385)+2,FALSE)))</f>
        <v>0</v>
      </c>
      <c r="AB385" s="306">
        <f t="shared" si="102"/>
        <v>0</v>
      </c>
      <c r="AC385" s="305">
        <f>+IF(X385=0,0,HLOOKUP(YEAR(X385)+(MONTH(X385)/100),TC!$5:$37,DAY(X385)+2,FALSE))</f>
        <v>0</v>
      </c>
      <c r="AD385" s="307">
        <f t="shared" si="103"/>
        <v>0</v>
      </c>
      <c r="AE385" s="314">
        <f t="shared" si="92"/>
        <v>0</v>
      </c>
      <c r="AF385" s="315">
        <f t="shared" si="93"/>
        <v>0</v>
      </c>
      <c r="AG385" s="316">
        <f t="shared" si="94"/>
        <v>0</v>
      </c>
      <c r="AH385" s="314">
        <v>1</v>
      </c>
      <c r="AI385" s="314">
        <f t="shared" si="95"/>
        <v>0</v>
      </c>
      <c r="AJ385" s="314">
        <f t="shared" si="104"/>
        <v>0</v>
      </c>
      <c r="AK385" s="317"/>
      <c r="AL385" s="315">
        <f t="shared" si="96"/>
        <v>0</v>
      </c>
      <c r="AN385" s="546">
        <f t="shared" si="97"/>
        <v>0</v>
      </c>
      <c r="AO385" s="314"/>
      <c r="AP385" s="318"/>
    </row>
    <row r="386" spans="2:42">
      <c r="B386" s="296"/>
      <c r="C386" s="299"/>
      <c r="D386" s="298"/>
      <c r="E386" s="299"/>
      <c r="F386" s="299"/>
      <c r="G386" s="300"/>
      <c r="H386" s="303"/>
      <c r="I386" s="301">
        <f t="shared" ref="I386:I449" si="105">IF(D386=0,0,IF(OR(E386=$AT$9,E386=$AT$10),"Ingresos Sección II LISR (SIC &amp; BMV)","Ingresos Sección I LISR"))</f>
        <v>0</v>
      </c>
      <c r="J386" s="302">
        <f t="shared" si="98"/>
        <v>0</v>
      </c>
      <c r="K386" s="304">
        <f t="shared" ref="K386:K449" si="106">IF(H386=0,0,H386/J386)</f>
        <v>0</v>
      </c>
      <c r="L386" s="305">
        <f>IF(H386=0,0,IF(OR(E386=$AT$5,E386=$AT$6),AA386,IF(F386="MXN",1/HLOOKUP(YEAR(G386)+(MONTH(G386)/100),TC!$5:$37,DAY(G386)+2,FALSE),VLOOKUP(F386,Equivalencia!$5:$23,((MAX(Equivalencia!$3:$3)-YEAR(G386))*14)+MONTH(G386)+2,FALSE))))</f>
        <v>0</v>
      </c>
      <c r="M386" s="306">
        <f t="shared" ref="M386:M449" si="107">+H386*L386</f>
        <v>0</v>
      </c>
      <c r="N386" s="305">
        <f>IF(G386=0,0,(IF(OR(E386=$AT$5,E386=$AT$6),AC386,HLOOKUP(YEAR(G386)+(MONTH(G386)/100),TC!$5:$37,DAY(G386)+2,FALSE))))</f>
        <v>0</v>
      </c>
      <c r="O386" s="307">
        <f t="shared" si="99"/>
        <v>0</v>
      </c>
      <c r="P386" s="552">
        <f>IF(G386=0,0,VLOOKUP(YEAR(G386),INPC!$B$4:$P$30,MONTH(G386)+2))</f>
        <v>0</v>
      </c>
      <c r="Q386" s="552">
        <f>IF(X386=0,0,IF(OR(E386=$AT$10,E386=$AT$9),VLOOKUP(YEAR(X386),INPC!$B$4:$P$30,MONTH(X386)+1),VLOOKUP(YEAR(X386),INPC!$B$4:$P$30,MONTH(X386)+2,0)))</f>
        <v>0</v>
      </c>
      <c r="R386" s="309">
        <f t="shared" ref="R386:R449" si="108">IF(H386=0,0,IF(OR(E386=$AT$5,E386=$AT$6),1,IF(TRUNC(Q386/P386,4)&gt;=1,TRUNC(Q386/P386,4),1)))</f>
        <v>0</v>
      </c>
      <c r="S386" s="310">
        <f t="shared" si="100"/>
        <v>0</v>
      </c>
      <c r="T386" s="547">
        <f t="shared" si="101"/>
        <v>0</v>
      </c>
      <c r="U386" s="311"/>
      <c r="V386" s="312"/>
      <c r="W386" s="299"/>
      <c r="X386" s="300"/>
      <c r="Y386" s="299"/>
      <c r="Z386" s="303"/>
      <c r="AA386" s="305">
        <f>IF(Z386=0,0,IF(Y386="MXN",1/HLOOKUP(YEAR(X386)+(MONTH(X386)/100),TC!$5:$37,DAY(X386)+2,FALSE),VLOOKUP(Y386,Equivalencia!$1:$23,((MAX(Equivalencia!$3:$3)-YEAR(X386))*14)+MONTH(X386)+2,FALSE)))</f>
        <v>0</v>
      </c>
      <c r="AB386" s="306">
        <f t="shared" si="102"/>
        <v>0</v>
      </c>
      <c r="AC386" s="305">
        <f>+IF(X386=0,0,HLOOKUP(YEAR(X386)+(MONTH(X386)/100),TC!$5:$37,DAY(X386)+2,FALSE))</f>
        <v>0</v>
      </c>
      <c r="AD386" s="307">
        <f t="shared" si="103"/>
        <v>0</v>
      </c>
      <c r="AE386" s="314">
        <f t="shared" ref="AE386:AE449" si="109">+V386*T386</f>
        <v>0</v>
      </c>
      <c r="AF386" s="315">
        <f t="shared" ref="AF386:AF449" si="110">IF(E386=$AT$11,0,AD386-AE386)</f>
        <v>0</v>
      </c>
      <c r="AG386" s="316">
        <f t="shared" ref="AG386:AG449" si="111">+IF(AND(AF386&lt;0,OR(E386=$AT$5,E386=$AT$6)),1,((X386-G386)/365))</f>
        <v>0</v>
      </c>
      <c r="AH386" s="314">
        <v>1</v>
      </c>
      <c r="AI386" s="314">
        <f t="shared" ref="AI386:AI449" si="112">+IF(OR(E386=$AT$9,E386=$AT$10),AF386,+AF386/AH386)</f>
        <v>0</v>
      </c>
      <c r="AJ386" s="314">
        <f t="shared" si="104"/>
        <v>0</v>
      </c>
      <c r="AK386" s="317"/>
      <c r="AL386" s="315">
        <f t="shared" ref="AL386:AL449" si="113">+AB386-M386</f>
        <v>0</v>
      </c>
      <c r="AN386" s="546">
        <f t="shared" ref="AN386:AN449" si="114">IF(AL386=0,0,AL386/H386)</f>
        <v>0</v>
      </c>
      <c r="AO386" s="314"/>
      <c r="AP386" s="318"/>
    </row>
    <row r="387" spans="2:42">
      <c r="B387" s="296"/>
      <c r="C387" s="299"/>
      <c r="D387" s="298"/>
      <c r="E387" s="299"/>
      <c r="F387" s="299"/>
      <c r="G387" s="300"/>
      <c r="H387" s="303"/>
      <c r="I387" s="301">
        <f t="shared" si="105"/>
        <v>0</v>
      </c>
      <c r="J387" s="302">
        <f t="shared" ref="J387:J450" si="115">+V387</f>
        <v>0</v>
      </c>
      <c r="K387" s="304">
        <f t="shared" si="106"/>
        <v>0</v>
      </c>
      <c r="L387" s="305">
        <f>IF(H387=0,0,IF(OR(E387=$AT$5,E387=$AT$6),AA387,IF(F387="MXN",1/HLOOKUP(YEAR(G387)+(MONTH(G387)/100),TC!$5:$37,DAY(G387)+2,FALSE),VLOOKUP(F387,Equivalencia!$5:$23,((MAX(Equivalencia!$3:$3)-YEAR(G387))*14)+MONTH(G387)+2,FALSE))))</f>
        <v>0</v>
      </c>
      <c r="M387" s="306">
        <f t="shared" si="107"/>
        <v>0</v>
      </c>
      <c r="N387" s="305">
        <f>IF(G387=0,0,(IF(OR(E387=$AT$5,E387=$AT$6),AC387,HLOOKUP(YEAR(G387)+(MONTH(G387)/100),TC!$5:$37,DAY(G387)+2,FALSE))))</f>
        <v>0</v>
      </c>
      <c r="O387" s="307">
        <f t="shared" ref="O387:O450" si="116">+M387*N387</f>
        <v>0</v>
      </c>
      <c r="P387" s="552">
        <f>IF(G387=0,0,VLOOKUP(YEAR(G387),INPC!$B$4:$P$30,MONTH(G387)+2))</f>
        <v>0</v>
      </c>
      <c r="Q387" s="552">
        <f>IF(X387=0,0,IF(OR(E387=$AT$10,E387=$AT$9),VLOOKUP(YEAR(X387),INPC!$B$4:$P$30,MONTH(X387)+1),VLOOKUP(YEAR(X387),INPC!$B$4:$P$30,MONTH(X387)+2,0)))</f>
        <v>0</v>
      </c>
      <c r="R387" s="309">
        <f t="shared" si="108"/>
        <v>0</v>
      </c>
      <c r="S387" s="310">
        <f t="shared" ref="S387:S450" si="117">+R387*O387</f>
        <v>0</v>
      </c>
      <c r="T387" s="547">
        <f t="shared" ref="T387:T450" si="118">IF(V387=0,0,S387/V387)</f>
        <v>0</v>
      </c>
      <c r="U387" s="311"/>
      <c r="V387" s="312"/>
      <c r="W387" s="299"/>
      <c r="X387" s="300"/>
      <c r="Y387" s="299"/>
      <c r="Z387" s="303"/>
      <c r="AA387" s="305">
        <f>IF(Z387=0,0,IF(Y387="MXN",1/HLOOKUP(YEAR(X387)+(MONTH(X387)/100),TC!$5:$37,DAY(X387)+2,FALSE),VLOOKUP(Y387,Equivalencia!$1:$23,((MAX(Equivalencia!$3:$3)-YEAR(X387))*14)+MONTH(X387)+2,FALSE)))</f>
        <v>0</v>
      </c>
      <c r="AB387" s="306">
        <f t="shared" ref="AB387:AB450" si="119">+AA387*Z387</f>
        <v>0</v>
      </c>
      <c r="AC387" s="305">
        <f>+IF(X387=0,0,HLOOKUP(YEAR(X387)+(MONTH(X387)/100),TC!$5:$37,DAY(X387)+2,FALSE))</f>
        <v>0</v>
      </c>
      <c r="AD387" s="307">
        <f t="shared" ref="AD387:AD450" si="120">+AC387*AB387</f>
        <v>0</v>
      </c>
      <c r="AE387" s="314">
        <f t="shared" si="109"/>
        <v>0</v>
      </c>
      <c r="AF387" s="315">
        <f t="shared" si="110"/>
        <v>0</v>
      </c>
      <c r="AG387" s="316">
        <f t="shared" si="111"/>
        <v>0</v>
      </c>
      <c r="AH387" s="314">
        <v>1</v>
      </c>
      <c r="AI387" s="314">
        <f t="shared" si="112"/>
        <v>0</v>
      </c>
      <c r="AJ387" s="314">
        <f t="shared" ref="AJ387:AJ450" si="121">+AF387-AI387</f>
        <v>0</v>
      </c>
      <c r="AK387" s="317"/>
      <c r="AL387" s="315">
        <f t="shared" si="113"/>
        <v>0</v>
      </c>
      <c r="AN387" s="546">
        <f t="shared" si="114"/>
        <v>0</v>
      </c>
      <c r="AO387" s="314"/>
      <c r="AP387" s="318"/>
    </row>
    <row r="388" spans="2:42">
      <c r="B388" s="296"/>
      <c r="C388" s="299"/>
      <c r="D388" s="298"/>
      <c r="E388" s="299"/>
      <c r="F388" s="299"/>
      <c r="G388" s="300"/>
      <c r="H388" s="303"/>
      <c r="I388" s="301">
        <f t="shared" si="105"/>
        <v>0</v>
      </c>
      <c r="J388" s="302">
        <f t="shared" si="115"/>
        <v>0</v>
      </c>
      <c r="K388" s="304">
        <f t="shared" si="106"/>
        <v>0</v>
      </c>
      <c r="L388" s="305">
        <f>IF(H388=0,0,IF(OR(E388=$AT$5,E388=$AT$6),AA388,IF(F388="MXN",1/HLOOKUP(YEAR(G388)+(MONTH(G388)/100),TC!$5:$37,DAY(G388)+2,FALSE),VLOOKUP(F388,Equivalencia!$5:$23,((MAX(Equivalencia!$3:$3)-YEAR(G388))*14)+MONTH(G388)+2,FALSE))))</f>
        <v>0</v>
      </c>
      <c r="M388" s="306">
        <f t="shared" si="107"/>
        <v>0</v>
      </c>
      <c r="N388" s="305">
        <f>IF(G388=0,0,(IF(OR(E388=$AT$5,E388=$AT$6),AC388,HLOOKUP(YEAR(G388)+(MONTH(G388)/100),TC!$5:$37,DAY(G388)+2,FALSE))))</f>
        <v>0</v>
      </c>
      <c r="O388" s="307">
        <f t="shared" si="116"/>
        <v>0</v>
      </c>
      <c r="P388" s="552">
        <f>IF(G388=0,0,VLOOKUP(YEAR(G388),INPC!$B$4:$P$30,MONTH(G388)+2))</f>
        <v>0</v>
      </c>
      <c r="Q388" s="552">
        <f>IF(X388=0,0,IF(OR(E388=$AT$10,E388=$AT$9),VLOOKUP(YEAR(X388),INPC!$B$4:$P$30,MONTH(X388)+1),VLOOKUP(YEAR(X388),INPC!$B$4:$P$30,MONTH(X388)+2,0)))</f>
        <v>0</v>
      </c>
      <c r="R388" s="309">
        <f t="shared" si="108"/>
        <v>0</v>
      </c>
      <c r="S388" s="310">
        <f t="shared" si="117"/>
        <v>0</v>
      </c>
      <c r="T388" s="547">
        <f t="shared" si="118"/>
        <v>0</v>
      </c>
      <c r="U388" s="311"/>
      <c r="V388" s="312"/>
      <c r="W388" s="299"/>
      <c r="X388" s="300"/>
      <c r="Y388" s="299"/>
      <c r="Z388" s="303"/>
      <c r="AA388" s="305">
        <f>IF(Z388=0,0,IF(Y388="MXN",1/HLOOKUP(YEAR(X388)+(MONTH(X388)/100),TC!$5:$37,DAY(X388)+2,FALSE),VLOOKUP(Y388,Equivalencia!$1:$23,((MAX(Equivalencia!$3:$3)-YEAR(X388))*14)+MONTH(X388)+2,FALSE)))</f>
        <v>0</v>
      </c>
      <c r="AB388" s="306">
        <f t="shared" si="119"/>
        <v>0</v>
      </c>
      <c r="AC388" s="305">
        <f>+IF(X388=0,0,HLOOKUP(YEAR(X388)+(MONTH(X388)/100),TC!$5:$37,DAY(X388)+2,FALSE))</f>
        <v>0</v>
      </c>
      <c r="AD388" s="307">
        <f t="shared" si="120"/>
        <v>0</v>
      </c>
      <c r="AE388" s="314">
        <f t="shared" si="109"/>
        <v>0</v>
      </c>
      <c r="AF388" s="315">
        <f t="shared" si="110"/>
        <v>0</v>
      </c>
      <c r="AG388" s="316">
        <f t="shared" si="111"/>
        <v>0</v>
      </c>
      <c r="AH388" s="314">
        <v>1</v>
      </c>
      <c r="AI388" s="314">
        <f t="shared" si="112"/>
        <v>0</v>
      </c>
      <c r="AJ388" s="314">
        <f t="shared" si="121"/>
        <v>0</v>
      </c>
      <c r="AK388" s="317"/>
      <c r="AL388" s="315">
        <f t="shared" si="113"/>
        <v>0</v>
      </c>
      <c r="AN388" s="546">
        <f t="shared" si="114"/>
        <v>0</v>
      </c>
      <c r="AO388" s="314"/>
      <c r="AP388" s="318"/>
    </row>
    <row r="389" spans="2:42">
      <c r="B389" s="296"/>
      <c r="C389" s="299"/>
      <c r="D389" s="298"/>
      <c r="E389" s="299"/>
      <c r="F389" s="299"/>
      <c r="G389" s="300"/>
      <c r="H389" s="303"/>
      <c r="I389" s="301">
        <f t="shared" si="105"/>
        <v>0</v>
      </c>
      <c r="J389" s="302">
        <f t="shared" si="115"/>
        <v>0</v>
      </c>
      <c r="K389" s="304">
        <f t="shared" si="106"/>
        <v>0</v>
      </c>
      <c r="L389" s="305">
        <f>IF(H389=0,0,IF(OR(E389=$AT$5,E389=$AT$6),AA389,IF(F389="MXN",1/HLOOKUP(YEAR(G389)+(MONTH(G389)/100),TC!$5:$37,DAY(G389)+2,FALSE),VLOOKUP(F389,Equivalencia!$5:$23,((MAX(Equivalencia!$3:$3)-YEAR(G389))*14)+MONTH(G389)+2,FALSE))))</f>
        <v>0</v>
      </c>
      <c r="M389" s="306">
        <f t="shared" si="107"/>
        <v>0</v>
      </c>
      <c r="N389" s="305">
        <f>IF(G389=0,0,(IF(OR(E389=$AT$5,E389=$AT$6),AC389,HLOOKUP(YEAR(G389)+(MONTH(G389)/100),TC!$5:$37,DAY(G389)+2,FALSE))))</f>
        <v>0</v>
      </c>
      <c r="O389" s="307">
        <f t="shared" si="116"/>
        <v>0</v>
      </c>
      <c r="P389" s="552">
        <f>IF(G389=0,0,VLOOKUP(YEAR(G389),INPC!$B$4:$P$30,MONTH(G389)+2))</f>
        <v>0</v>
      </c>
      <c r="Q389" s="552">
        <f>IF(X389=0,0,IF(OR(E389=$AT$10,E389=$AT$9),VLOOKUP(YEAR(X389),INPC!$B$4:$P$30,MONTH(X389)+1),VLOOKUP(YEAR(X389),INPC!$B$4:$P$30,MONTH(X389)+2,0)))</f>
        <v>0</v>
      </c>
      <c r="R389" s="309">
        <f t="shared" si="108"/>
        <v>0</v>
      </c>
      <c r="S389" s="310">
        <f t="shared" si="117"/>
        <v>0</v>
      </c>
      <c r="T389" s="547">
        <f t="shared" si="118"/>
        <v>0</v>
      </c>
      <c r="U389" s="311"/>
      <c r="V389" s="312"/>
      <c r="W389" s="299"/>
      <c r="X389" s="300"/>
      <c r="Y389" s="299"/>
      <c r="Z389" s="303"/>
      <c r="AA389" s="305">
        <f>IF(Z389=0,0,IF(Y389="MXN",1/HLOOKUP(YEAR(X389)+(MONTH(X389)/100),TC!$5:$37,DAY(X389)+2,FALSE),VLOOKUP(Y389,Equivalencia!$1:$23,((MAX(Equivalencia!$3:$3)-YEAR(X389))*14)+MONTH(X389)+2,FALSE)))</f>
        <v>0</v>
      </c>
      <c r="AB389" s="306">
        <f t="shared" si="119"/>
        <v>0</v>
      </c>
      <c r="AC389" s="305">
        <f>+IF(X389=0,0,HLOOKUP(YEAR(X389)+(MONTH(X389)/100),TC!$5:$37,DAY(X389)+2,FALSE))</f>
        <v>0</v>
      </c>
      <c r="AD389" s="307">
        <f t="shared" si="120"/>
        <v>0</v>
      </c>
      <c r="AE389" s="314">
        <f t="shared" si="109"/>
        <v>0</v>
      </c>
      <c r="AF389" s="315">
        <f t="shared" si="110"/>
        <v>0</v>
      </c>
      <c r="AG389" s="316">
        <f t="shared" si="111"/>
        <v>0</v>
      </c>
      <c r="AH389" s="314">
        <v>1</v>
      </c>
      <c r="AI389" s="314">
        <f t="shared" si="112"/>
        <v>0</v>
      </c>
      <c r="AJ389" s="314">
        <f t="shared" si="121"/>
        <v>0</v>
      </c>
      <c r="AK389" s="317"/>
      <c r="AL389" s="315">
        <f t="shared" si="113"/>
        <v>0</v>
      </c>
      <c r="AN389" s="546">
        <f t="shared" si="114"/>
        <v>0</v>
      </c>
      <c r="AO389" s="314"/>
      <c r="AP389" s="318"/>
    </row>
    <row r="390" spans="2:42">
      <c r="B390" s="296"/>
      <c r="C390" s="299"/>
      <c r="D390" s="298"/>
      <c r="E390" s="299"/>
      <c r="F390" s="299"/>
      <c r="G390" s="300"/>
      <c r="H390" s="303"/>
      <c r="I390" s="301">
        <f t="shared" si="105"/>
        <v>0</v>
      </c>
      <c r="J390" s="302">
        <f t="shared" si="115"/>
        <v>0</v>
      </c>
      <c r="K390" s="304">
        <f t="shared" si="106"/>
        <v>0</v>
      </c>
      <c r="L390" s="305">
        <f>IF(H390=0,0,IF(OR(E390=$AT$5,E390=$AT$6),AA390,IF(F390="MXN",1/HLOOKUP(YEAR(G390)+(MONTH(G390)/100),TC!$5:$37,DAY(G390)+2,FALSE),VLOOKUP(F390,Equivalencia!$5:$23,((MAX(Equivalencia!$3:$3)-YEAR(G390))*14)+MONTH(G390)+2,FALSE))))</f>
        <v>0</v>
      </c>
      <c r="M390" s="306">
        <f t="shared" si="107"/>
        <v>0</v>
      </c>
      <c r="N390" s="305">
        <f>IF(G390=0,0,(IF(OR(E390=$AT$5,E390=$AT$6),AC390,HLOOKUP(YEAR(G390)+(MONTH(G390)/100),TC!$5:$37,DAY(G390)+2,FALSE))))</f>
        <v>0</v>
      </c>
      <c r="O390" s="307">
        <f t="shared" si="116"/>
        <v>0</v>
      </c>
      <c r="P390" s="552">
        <f>IF(G390=0,0,VLOOKUP(YEAR(G390),INPC!$B$4:$P$30,MONTH(G390)+2))</f>
        <v>0</v>
      </c>
      <c r="Q390" s="552">
        <f>IF(X390=0,0,IF(OR(E390=$AT$10,E390=$AT$9),VLOOKUP(YEAR(X390),INPC!$B$4:$P$30,MONTH(X390)+1),VLOOKUP(YEAR(X390),INPC!$B$4:$P$30,MONTH(X390)+2,0)))</f>
        <v>0</v>
      </c>
      <c r="R390" s="309">
        <f t="shared" si="108"/>
        <v>0</v>
      </c>
      <c r="S390" s="310">
        <f t="shared" si="117"/>
        <v>0</v>
      </c>
      <c r="T390" s="547">
        <f t="shared" si="118"/>
        <v>0</v>
      </c>
      <c r="U390" s="311"/>
      <c r="V390" s="312"/>
      <c r="W390" s="299"/>
      <c r="X390" s="300"/>
      <c r="Y390" s="299"/>
      <c r="Z390" s="303"/>
      <c r="AA390" s="305">
        <f>IF(Z390=0,0,IF(Y390="MXN",1/HLOOKUP(YEAR(X390)+(MONTH(X390)/100),TC!$5:$37,DAY(X390)+2,FALSE),VLOOKUP(Y390,Equivalencia!$1:$23,((MAX(Equivalencia!$3:$3)-YEAR(X390))*14)+MONTH(X390)+2,FALSE)))</f>
        <v>0</v>
      </c>
      <c r="AB390" s="306">
        <f t="shared" si="119"/>
        <v>0</v>
      </c>
      <c r="AC390" s="305">
        <f>+IF(X390=0,0,HLOOKUP(YEAR(X390)+(MONTH(X390)/100),TC!$5:$37,DAY(X390)+2,FALSE))</f>
        <v>0</v>
      </c>
      <c r="AD390" s="307">
        <f t="shared" si="120"/>
        <v>0</v>
      </c>
      <c r="AE390" s="314">
        <f t="shared" si="109"/>
        <v>0</v>
      </c>
      <c r="AF390" s="315">
        <f t="shared" si="110"/>
        <v>0</v>
      </c>
      <c r="AG390" s="316">
        <f t="shared" si="111"/>
        <v>0</v>
      </c>
      <c r="AH390" s="314">
        <v>1</v>
      </c>
      <c r="AI390" s="314">
        <f t="shared" si="112"/>
        <v>0</v>
      </c>
      <c r="AJ390" s="314">
        <f t="shared" si="121"/>
        <v>0</v>
      </c>
      <c r="AK390" s="317"/>
      <c r="AL390" s="315">
        <f t="shared" si="113"/>
        <v>0</v>
      </c>
      <c r="AN390" s="546">
        <f t="shared" si="114"/>
        <v>0</v>
      </c>
      <c r="AO390" s="314"/>
      <c r="AP390" s="318"/>
    </row>
    <row r="391" spans="2:42">
      <c r="B391" s="296"/>
      <c r="C391" s="299"/>
      <c r="D391" s="298"/>
      <c r="E391" s="299"/>
      <c r="F391" s="299"/>
      <c r="G391" s="300"/>
      <c r="H391" s="303"/>
      <c r="I391" s="301">
        <f t="shared" si="105"/>
        <v>0</v>
      </c>
      <c r="J391" s="302">
        <f t="shared" si="115"/>
        <v>0</v>
      </c>
      <c r="K391" s="304">
        <f t="shared" si="106"/>
        <v>0</v>
      </c>
      <c r="L391" s="305">
        <f>IF(H391=0,0,IF(OR(E391=$AT$5,E391=$AT$6),AA391,IF(F391="MXN",1/HLOOKUP(YEAR(G391)+(MONTH(G391)/100),TC!$5:$37,DAY(G391)+2,FALSE),VLOOKUP(F391,Equivalencia!$5:$23,((MAX(Equivalencia!$3:$3)-YEAR(G391))*14)+MONTH(G391)+2,FALSE))))</f>
        <v>0</v>
      </c>
      <c r="M391" s="306">
        <f t="shared" si="107"/>
        <v>0</v>
      </c>
      <c r="N391" s="305">
        <f>IF(G391=0,0,(IF(OR(E391=$AT$5,E391=$AT$6),AC391,HLOOKUP(YEAR(G391)+(MONTH(G391)/100),TC!$5:$37,DAY(G391)+2,FALSE))))</f>
        <v>0</v>
      </c>
      <c r="O391" s="307">
        <f t="shared" si="116"/>
        <v>0</v>
      </c>
      <c r="P391" s="552">
        <f>IF(G391=0,0,VLOOKUP(YEAR(G391),INPC!$B$4:$P$30,MONTH(G391)+2))</f>
        <v>0</v>
      </c>
      <c r="Q391" s="552">
        <f>IF(X391=0,0,IF(OR(E391=$AT$10,E391=$AT$9),VLOOKUP(YEAR(X391),INPC!$B$4:$P$30,MONTH(X391)+1),VLOOKUP(YEAR(X391),INPC!$B$4:$P$30,MONTH(X391)+2,0)))</f>
        <v>0</v>
      </c>
      <c r="R391" s="309">
        <f t="shared" si="108"/>
        <v>0</v>
      </c>
      <c r="S391" s="310">
        <f t="shared" si="117"/>
        <v>0</v>
      </c>
      <c r="T391" s="547">
        <f t="shared" si="118"/>
        <v>0</v>
      </c>
      <c r="U391" s="311"/>
      <c r="V391" s="312"/>
      <c r="W391" s="299"/>
      <c r="X391" s="300"/>
      <c r="Y391" s="299"/>
      <c r="Z391" s="303"/>
      <c r="AA391" s="305">
        <f>IF(Z391=0,0,IF(Y391="MXN",1/HLOOKUP(YEAR(X391)+(MONTH(X391)/100),TC!$5:$37,DAY(X391)+2,FALSE),VLOOKUP(Y391,Equivalencia!$1:$23,((MAX(Equivalencia!$3:$3)-YEAR(X391))*14)+MONTH(X391)+2,FALSE)))</f>
        <v>0</v>
      </c>
      <c r="AB391" s="306">
        <f t="shared" si="119"/>
        <v>0</v>
      </c>
      <c r="AC391" s="305">
        <f>+IF(X391=0,0,HLOOKUP(YEAR(X391)+(MONTH(X391)/100),TC!$5:$37,DAY(X391)+2,FALSE))</f>
        <v>0</v>
      </c>
      <c r="AD391" s="307">
        <f t="shared" si="120"/>
        <v>0</v>
      </c>
      <c r="AE391" s="314">
        <f t="shared" si="109"/>
        <v>0</v>
      </c>
      <c r="AF391" s="315">
        <f t="shared" si="110"/>
        <v>0</v>
      </c>
      <c r="AG391" s="316">
        <f t="shared" si="111"/>
        <v>0</v>
      </c>
      <c r="AH391" s="314">
        <v>1</v>
      </c>
      <c r="AI391" s="314">
        <f t="shared" si="112"/>
        <v>0</v>
      </c>
      <c r="AJ391" s="314">
        <f t="shared" si="121"/>
        <v>0</v>
      </c>
      <c r="AK391" s="317"/>
      <c r="AL391" s="315">
        <f t="shared" si="113"/>
        <v>0</v>
      </c>
      <c r="AN391" s="546">
        <f t="shared" si="114"/>
        <v>0</v>
      </c>
      <c r="AO391" s="314"/>
      <c r="AP391" s="318"/>
    </row>
    <row r="392" spans="2:42">
      <c r="B392" s="296"/>
      <c r="C392" s="299"/>
      <c r="D392" s="298"/>
      <c r="E392" s="299"/>
      <c r="F392" s="299"/>
      <c r="G392" s="300"/>
      <c r="H392" s="303"/>
      <c r="I392" s="301">
        <f t="shared" si="105"/>
        <v>0</v>
      </c>
      <c r="J392" s="302">
        <f t="shared" si="115"/>
        <v>0</v>
      </c>
      <c r="K392" s="304">
        <f t="shared" si="106"/>
        <v>0</v>
      </c>
      <c r="L392" s="305">
        <f>IF(H392=0,0,IF(OR(E392=$AT$5,E392=$AT$6),AA392,IF(F392="MXN",1/HLOOKUP(YEAR(G392)+(MONTH(G392)/100),TC!$5:$37,DAY(G392)+2,FALSE),VLOOKUP(F392,Equivalencia!$5:$23,((MAX(Equivalencia!$3:$3)-YEAR(G392))*14)+MONTH(G392)+2,FALSE))))</f>
        <v>0</v>
      </c>
      <c r="M392" s="306">
        <f t="shared" si="107"/>
        <v>0</v>
      </c>
      <c r="N392" s="305">
        <f>IF(G392=0,0,(IF(OR(E392=$AT$5,E392=$AT$6),AC392,HLOOKUP(YEAR(G392)+(MONTH(G392)/100),TC!$5:$37,DAY(G392)+2,FALSE))))</f>
        <v>0</v>
      </c>
      <c r="O392" s="307">
        <f t="shared" si="116"/>
        <v>0</v>
      </c>
      <c r="P392" s="552">
        <f>IF(G392=0,0,VLOOKUP(YEAR(G392),INPC!$B$4:$P$30,MONTH(G392)+2))</f>
        <v>0</v>
      </c>
      <c r="Q392" s="552">
        <f>IF(X392=0,0,IF(OR(E392=$AT$10,E392=$AT$9),VLOOKUP(YEAR(X392),INPC!$B$4:$P$30,MONTH(X392)+1),VLOOKUP(YEAR(X392),INPC!$B$4:$P$30,MONTH(X392)+2,0)))</f>
        <v>0</v>
      </c>
      <c r="R392" s="309">
        <f t="shared" si="108"/>
        <v>0</v>
      </c>
      <c r="S392" s="310">
        <f t="shared" si="117"/>
        <v>0</v>
      </c>
      <c r="T392" s="547">
        <f t="shared" si="118"/>
        <v>0</v>
      </c>
      <c r="U392" s="311"/>
      <c r="V392" s="312"/>
      <c r="W392" s="299"/>
      <c r="X392" s="300"/>
      <c r="Y392" s="299"/>
      <c r="Z392" s="303"/>
      <c r="AA392" s="305">
        <f>IF(Z392=0,0,IF(Y392="MXN",1/HLOOKUP(YEAR(X392)+(MONTH(X392)/100),TC!$5:$37,DAY(X392)+2,FALSE),VLOOKUP(Y392,Equivalencia!$1:$23,((MAX(Equivalencia!$3:$3)-YEAR(X392))*14)+MONTH(X392)+2,FALSE)))</f>
        <v>0</v>
      </c>
      <c r="AB392" s="306">
        <f t="shared" si="119"/>
        <v>0</v>
      </c>
      <c r="AC392" s="305">
        <f>+IF(X392=0,0,HLOOKUP(YEAR(X392)+(MONTH(X392)/100),TC!$5:$37,DAY(X392)+2,FALSE))</f>
        <v>0</v>
      </c>
      <c r="AD392" s="307">
        <f t="shared" si="120"/>
        <v>0</v>
      </c>
      <c r="AE392" s="314">
        <f t="shared" si="109"/>
        <v>0</v>
      </c>
      <c r="AF392" s="315">
        <f t="shared" si="110"/>
        <v>0</v>
      </c>
      <c r="AG392" s="316">
        <f t="shared" si="111"/>
        <v>0</v>
      </c>
      <c r="AH392" s="314">
        <v>1</v>
      </c>
      <c r="AI392" s="314">
        <f t="shared" si="112"/>
        <v>0</v>
      </c>
      <c r="AJ392" s="314">
        <f t="shared" si="121"/>
        <v>0</v>
      </c>
      <c r="AK392" s="317"/>
      <c r="AL392" s="315">
        <f t="shared" si="113"/>
        <v>0</v>
      </c>
      <c r="AN392" s="546">
        <f t="shared" si="114"/>
        <v>0</v>
      </c>
      <c r="AO392" s="314"/>
      <c r="AP392" s="318"/>
    </row>
    <row r="393" spans="2:42">
      <c r="B393" s="296"/>
      <c r="C393" s="299"/>
      <c r="D393" s="298"/>
      <c r="E393" s="299"/>
      <c r="F393" s="299"/>
      <c r="G393" s="300"/>
      <c r="H393" s="303"/>
      <c r="I393" s="301">
        <f t="shared" si="105"/>
        <v>0</v>
      </c>
      <c r="J393" s="302">
        <f t="shared" si="115"/>
        <v>0</v>
      </c>
      <c r="K393" s="304">
        <f t="shared" si="106"/>
        <v>0</v>
      </c>
      <c r="L393" s="305">
        <f>IF(H393=0,0,IF(OR(E393=$AT$5,E393=$AT$6),AA393,IF(F393="MXN",1/HLOOKUP(YEAR(G393)+(MONTH(G393)/100),TC!$5:$37,DAY(G393)+2,FALSE),VLOOKUP(F393,Equivalencia!$5:$23,((MAX(Equivalencia!$3:$3)-YEAR(G393))*14)+MONTH(G393)+2,FALSE))))</f>
        <v>0</v>
      </c>
      <c r="M393" s="306">
        <f t="shared" si="107"/>
        <v>0</v>
      </c>
      <c r="N393" s="305">
        <f>IF(G393=0,0,(IF(OR(E393=$AT$5,E393=$AT$6),AC393,HLOOKUP(YEAR(G393)+(MONTH(G393)/100),TC!$5:$37,DAY(G393)+2,FALSE))))</f>
        <v>0</v>
      </c>
      <c r="O393" s="307">
        <f t="shared" si="116"/>
        <v>0</v>
      </c>
      <c r="P393" s="552">
        <f>IF(G393=0,0,VLOOKUP(YEAR(G393),INPC!$B$4:$P$30,MONTH(G393)+2))</f>
        <v>0</v>
      </c>
      <c r="Q393" s="552">
        <f>IF(X393=0,0,IF(OR(E393=$AT$10,E393=$AT$9),VLOOKUP(YEAR(X393),INPC!$B$4:$P$30,MONTH(X393)+1),VLOOKUP(YEAR(X393),INPC!$B$4:$P$30,MONTH(X393)+2,0)))</f>
        <v>0</v>
      </c>
      <c r="R393" s="309">
        <f t="shared" si="108"/>
        <v>0</v>
      </c>
      <c r="S393" s="310">
        <f t="shared" si="117"/>
        <v>0</v>
      </c>
      <c r="T393" s="547">
        <f t="shared" si="118"/>
        <v>0</v>
      </c>
      <c r="U393" s="311"/>
      <c r="V393" s="312"/>
      <c r="W393" s="299"/>
      <c r="X393" s="300"/>
      <c r="Y393" s="299"/>
      <c r="Z393" s="303"/>
      <c r="AA393" s="305">
        <f>IF(Z393=0,0,IF(Y393="MXN",1/HLOOKUP(YEAR(X393)+(MONTH(X393)/100),TC!$5:$37,DAY(X393)+2,FALSE),VLOOKUP(Y393,Equivalencia!$1:$23,((MAX(Equivalencia!$3:$3)-YEAR(X393))*14)+MONTH(X393)+2,FALSE)))</f>
        <v>0</v>
      </c>
      <c r="AB393" s="306">
        <f t="shared" si="119"/>
        <v>0</v>
      </c>
      <c r="AC393" s="305">
        <f>+IF(X393=0,0,HLOOKUP(YEAR(X393)+(MONTH(X393)/100),TC!$5:$37,DAY(X393)+2,FALSE))</f>
        <v>0</v>
      </c>
      <c r="AD393" s="307">
        <f t="shared" si="120"/>
        <v>0</v>
      </c>
      <c r="AE393" s="314">
        <f t="shared" si="109"/>
        <v>0</v>
      </c>
      <c r="AF393" s="315">
        <f t="shared" si="110"/>
        <v>0</v>
      </c>
      <c r="AG393" s="316">
        <f t="shared" si="111"/>
        <v>0</v>
      </c>
      <c r="AH393" s="314">
        <v>1</v>
      </c>
      <c r="AI393" s="314">
        <f t="shared" si="112"/>
        <v>0</v>
      </c>
      <c r="AJ393" s="314">
        <f t="shared" si="121"/>
        <v>0</v>
      </c>
      <c r="AK393" s="317"/>
      <c r="AL393" s="315">
        <f t="shared" si="113"/>
        <v>0</v>
      </c>
      <c r="AN393" s="546">
        <f t="shared" si="114"/>
        <v>0</v>
      </c>
      <c r="AO393" s="314"/>
      <c r="AP393" s="318"/>
    </row>
    <row r="394" spans="2:42">
      <c r="B394" s="296"/>
      <c r="C394" s="299"/>
      <c r="D394" s="298"/>
      <c r="E394" s="299"/>
      <c r="F394" s="299"/>
      <c r="G394" s="300"/>
      <c r="H394" s="303"/>
      <c r="I394" s="301">
        <f t="shared" si="105"/>
        <v>0</v>
      </c>
      <c r="J394" s="302">
        <f t="shared" si="115"/>
        <v>0</v>
      </c>
      <c r="K394" s="304">
        <f t="shared" si="106"/>
        <v>0</v>
      </c>
      <c r="L394" s="305">
        <f>IF(H394=0,0,IF(OR(E394=$AT$5,E394=$AT$6),AA394,IF(F394="MXN",1/HLOOKUP(YEAR(G394)+(MONTH(G394)/100),TC!$5:$37,DAY(G394)+2,FALSE),VLOOKUP(F394,Equivalencia!$5:$23,((MAX(Equivalencia!$3:$3)-YEAR(G394))*14)+MONTH(G394)+2,FALSE))))</f>
        <v>0</v>
      </c>
      <c r="M394" s="306">
        <f t="shared" si="107"/>
        <v>0</v>
      </c>
      <c r="N394" s="305">
        <f>IF(G394=0,0,(IF(OR(E394=$AT$5,E394=$AT$6),AC394,HLOOKUP(YEAR(G394)+(MONTH(G394)/100),TC!$5:$37,DAY(G394)+2,FALSE))))</f>
        <v>0</v>
      </c>
      <c r="O394" s="307">
        <f t="shared" si="116"/>
        <v>0</v>
      </c>
      <c r="P394" s="552">
        <f>IF(G394=0,0,VLOOKUP(YEAR(G394),INPC!$B$4:$P$30,MONTH(G394)+2))</f>
        <v>0</v>
      </c>
      <c r="Q394" s="552">
        <f>IF(X394=0,0,IF(OR(E394=$AT$10,E394=$AT$9),VLOOKUP(YEAR(X394),INPC!$B$4:$P$30,MONTH(X394)+1),VLOOKUP(YEAR(X394),INPC!$B$4:$P$30,MONTH(X394)+2,0)))</f>
        <v>0</v>
      </c>
      <c r="R394" s="309">
        <f t="shared" si="108"/>
        <v>0</v>
      </c>
      <c r="S394" s="310">
        <f t="shared" si="117"/>
        <v>0</v>
      </c>
      <c r="T394" s="547">
        <f t="shared" si="118"/>
        <v>0</v>
      </c>
      <c r="U394" s="311"/>
      <c r="V394" s="312"/>
      <c r="W394" s="299"/>
      <c r="X394" s="300"/>
      <c r="Y394" s="299"/>
      <c r="Z394" s="303"/>
      <c r="AA394" s="305">
        <f>IF(Z394=0,0,IF(Y394="MXN",1/HLOOKUP(YEAR(X394)+(MONTH(X394)/100),TC!$5:$37,DAY(X394)+2,FALSE),VLOOKUP(Y394,Equivalencia!$1:$23,((MAX(Equivalencia!$3:$3)-YEAR(X394))*14)+MONTH(X394)+2,FALSE)))</f>
        <v>0</v>
      </c>
      <c r="AB394" s="306">
        <f t="shared" si="119"/>
        <v>0</v>
      </c>
      <c r="AC394" s="305">
        <f>+IF(X394=0,0,HLOOKUP(YEAR(X394)+(MONTH(X394)/100),TC!$5:$37,DAY(X394)+2,FALSE))</f>
        <v>0</v>
      </c>
      <c r="AD394" s="307">
        <f t="shared" si="120"/>
        <v>0</v>
      </c>
      <c r="AE394" s="314">
        <f t="shared" si="109"/>
        <v>0</v>
      </c>
      <c r="AF394" s="315">
        <f t="shared" si="110"/>
        <v>0</v>
      </c>
      <c r="AG394" s="316">
        <f t="shared" si="111"/>
        <v>0</v>
      </c>
      <c r="AH394" s="314">
        <v>1</v>
      </c>
      <c r="AI394" s="314">
        <f t="shared" si="112"/>
        <v>0</v>
      </c>
      <c r="AJ394" s="314">
        <f t="shared" si="121"/>
        <v>0</v>
      </c>
      <c r="AK394" s="317"/>
      <c r="AL394" s="315">
        <f t="shared" si="113"/>
        <v>0</v>
      </c>
      <c r="AN394" s="546">
        <f t="shared" si="114"/>
        <v>0</v>
      </c>
      <c r="AO394" s="314"/>
      <c r="AP394" s="318"/>
    </row>
    <row r="395" spans="2:42">
      <c r="B395" s="296"/>
      <c r="C395" s="299"/>
      <c r="D395" s="298"/>
      <c r="E395" s="299"/>
      <c r="F395" s="299"/>
      <c r="G395" s="300"/>
      <c r="H395" s="303"/>
      <c r="I395" s="301">
        <f t="shared" si="105"/>
        <v>0</v>
      </c>
      <c r="J395" s="302">
        <f t="shared" si="115"/>
        <v>0</v>
      </c>
      <c r="K395" s="304">
        <f t="shared" si="106"/>
        <v>0</v>
      </c>
      <c r="L395" s="305">
        <f>IF(H395=0,0,IF(OR(E395=$AT$5,E395=$AT$6),AA395,IF(F395="MXN",1/HLOOKUP(YEAR(G395)+(MONTH(G395)/100),TC!$5:$37,DAY(G395)+2,FALSE),VLOOKUP(F395,Equivalencia!$5:$23,((MAX(Equivalencia!$3:$3)-YEAR(G395))*14)+MONTH(G395)+2,FALSE))))</f>
        <v>0</v>
      </c>
      <c r="M395" s="306">
        <f t="shared" si="107"/>
        <v>0</v>
      </c>
      <c r="N395" s="305">
        <f>IF(G395=0,0,(IF(OR(E395=$AT$5,E395=$AT$6),AC395,HLOOKUP(YEAR(G395)+(MONTH(G395)/100),TC!$5:$37,DAY(G395)+2,FALSE))))</f>
        <v>0</v>
      </c>
      <c r="O395" s="307">
        <f t="shared" si="116"/>
        <v>0</v>
      </c>
      <c r="P395" s="552">
        <f>IF(G395=0,0,VLOOKUP(YEAR(G395),INPC!$B$4:$P$30,MONTH(G395)+2))</f>
        <v>0</v>
      </c>
      <c r="Q395" s="552">
        <f>IF(X395=0,0,IF(OR(E395=$AT$10,E395=$AT$9),VLOOKUP(YEAR(X395),INPC!$B$4:$P$30,MONTH(X395)+1),VLOOKUP(YEAR(X395),INPC!$B$4:$P$30,MONTH(X395)+2,0)))</f>
        <v>0</v>
      </c>
      <c r="R395" s="309">
        <f t="shared" si="108"/>
        <v>0</v>
      </c>
      <c r="S395" s="310">
        <f t="shared" si="117"/>
        <v>0</v>
      </c>
      <c r="T395" s="547">
        <f t="shared" si="118"/>
        <v>0</v>
      </c>
      <c r="U395" s="311"/>
      <c r="V395" s="312"/>
      <c r="W395" s="299"/>
      <c r="X395" s="300"/>
      <c r="Y395" s="299"/>
      <c r="Z395" s="303"/>
      <c r="AA395" s="305">
        <f>IF(Z395=0,0,IF(Y395="MXN",1/HLOOKUP(YEAR(X395)+(MONTH(X395)/100),TC!$5:$37,DAY(X395)+2,FALSE),VLOOKUP(Y395,Equivalencia!$1:$23,((MAX(Equivalencia!$3:$3)-YEAR(X395))*14)+MONTH(X395)+2,FALSE)))</f>
        <v>0</v>
      </c>
      <c r="AB395" s="306">
        <f t="shared" si="119"/>
        <v>0</v>
      </c>
      <c r="AC395" s="305">
        <f>+IF(X395=0,0,HLOOKUP(YEAR(X395)+(MONTH(X395)/100),TC!$5:$37,DAY(X395)+2,FALSE))</f>
        <v>0</v>
      </c>
      <c r="AD395" s="307">
        <f t="shared" si="120"/>
        <v>0</v>
      </c>
      <c r="AE395" s="314">
        <f t="shared" si="109"/>
        <v>0</v>
      </c>
      <c r="AF395" s="315">
        <f t="shared" si="110"/>
        <v>0</v>
      </c>
      <c r="AG395" s="316">
        <f t="shared" si="111"/>
        <v>0</v>
      </c>
      <c r="AH395" s="314">
        <v>1</v>
      </c>
      <c r="AI395" s="314">
        <f t="shared" si="112"/>
        <v>0</v>
      </c>
      <c r="AJ395" s="314">
        <f t="shared" si="121"/>
        <v>0</v>
      </c>
      <c r="AK395" s="317"/>
      <c r="AL395" s="315">
        <f t="shared" si="113"/>
        <v>0</v>
      </c>
      <c r="AN395" s="546">
        <f t="shared" si="114"/>
        <v>0</v>
      </c>
      <c r="AO395" s="314"/>
      <c r="AP395" s="318"/>
    </row>
    <row r="396" spans="2:42">
      <c r="B396" s="296"/>
      <c r="C396" s="299"/>
      <c r="D396" s="298"/>
      <c r="E396" s="299"/>
      <c r="F396" s="299"/>
      <c r="G396" s="300"/>
      <c r="H396" s="303"/>
      <c r="I396" s="301">
        <f t="shared" si="105"/>
        <v>0</v>
      </c>
      <c r="J396" s="302">
        <f t="shared" si="115"/>
        <v>0</v>
      </c>
      <c r="K396" s="304">
        <f t="shared" si="106"/>
        <v>0</v>
      </c>
      <c r="L396" s="305">
        <f>IF(H396=0,0,IF(OR(E396=$AT$5,E396=$AT$6),AA396,IF(F396="MXN",1/HLOOKUP(YEAR(G396)+(MONTH(G396)/100),TC!$5:$37,DAY(G396)+2,FALSE),VLOOKUP(F396,Equivalencia!$5:$23,((MAX(Equivalencia!$3:$3)-YEAR(G396))*14)+MONTH(G396)+2,FALSE))))</f>
        <v>0</v>
      </c>
      <c r="M396" s="306">
        <f t="shared" si="107"/>
        <v>0</v>
      </c>
      <c r="N396" s="305">
        <f>IF(G396=0,0,(IF(OR(E396=$AT$5,E396=$AT$6),AC396,HLOOKUP(YEAR(G396)+(MONTH(G396)/100),TC!$5:$37,DAY(G396)+2,FALSE))))</f>
        <v>0</v>
      </c>
      <c r="O396" s="307">
        <f t="shared" si="116"/>
        <v>0</v>
      </c>
      <c r="P396" s="552">
        <f>IF(G396=0,0,VLOOKUP(YEAR(G396),INPC!$B$4:$P$30,MONTH(G396)+2))</f>
        <v>0</v>
      </c>
      <c r="Q396" s="552">
        <f>IF(X396=0,0,IF(OR(E396=$AT$10,E396=$AT$9),VLOOKUP(YEAR(X396),INPC!$B$4:$P$30,MONTH(X396)+1),VLOOKUP(YEAR(X396),INPC!$B$4:$P$30,MONTH(X396)+2,0)))</f>
        <v>0</v>
      </c>
      <c r="R396" s="309">
        <f t="shared" si="108"/>
        <v>0</v>
      </c>
      <c r="S396" s="310">
        <f t="shared" si="117"/>
        <v>0</v>
      </c>
      <c r="T396" s="547">
        <f t="shared" si="118"/>
        <v>0</v>
      </c>
      <c r="U396" s="311"/>
      <c r="V396" s="312"/>
      <c r="W396" s="299"/>
      <c r="X396" s="300"/>
      <c r="Y396" s="299"/>
      <c r="Z396" s="303"/>
      <c r="AA396" s="305">
        <f>IF(Z396=0,0,IF(Y396="MXN",1/HLOOKUP(YEAR(X396)+(MONTH(X396)/100),TC!$5:$37,DAY(X396)+2,FALSE),VLOOKUP(Y396,Equivalencia!$1:$23,((MAX(Equivalencia!$3:$3)-YEAR(X396))*14)+MONTH(X396)+2,FALSE)))</f>
        <v>0</v>
      </c>
      <c r="AB396" s="306">
        <f t="shared" si="119"/>
        <v>0</v>
      </c>
      <c r="AC396" s="305">
        <f>+IF(X396=0,0,HLOOKUP(YEAR(X396)+(MONTH(X396)/100),TC!$5:$37,DAY(X396)+2,FALSE))</f>
        <v>0</v>
      </c>
      <c r="AD396" s="307">
        <f t="shared" si="120"/>
        <v>0</v>
      </c>
      <c r="AE396" s="314">
        <f t="shared" si="109"/>
        <v>0</v>
      </c>
      <c r="AF396" s="315">
        <f t="shared" si="110"/>
        <v>0</v>
      </c>
      <c r="AG396" s="316">
        <f t="shared" si="111"/>
        <v>0</v>
      </c>
      <c r="AH396" s="314">
        <v>1</v>
      </c>
      <c r="AI396" s="314">
        <f t="shared" si="112"/>
        <v>0</v>
      </c>
      <c r="AJ396" s="314">
        <f t="shared" si="121"/>
        <v>0</v>
      </c>
      <c r="AK396" s="317"/>
      <c r="AL396" s="315">
        <f t="shared" si="113"/>
        <v>0</v>
      </c>
      <c r="AN396" s="546">
        <f t="shared" si="114"/>
        <v>0</v>
      </c>
      <c r="AO396" s="314"/>
      <c r="AP396" s="318"/>
    </row>
    <row r="397" spans="2:42">
      <c r="B397" s="296"/>
      <c r="C397" s="299"/>
      <c r="D397" s="298"/>
      <c r="E397" s="299"/>
      <c r="F397" s="299"/>
      <c r="G397" s="300"/>
      <c r="H397" s="303"/>
      <c r="I397" s="301">
        <f t="shared" si="105"/>
        <v>0</v>
      </c>
      <c r="J397" s="302">
        <f t="shared" si="115"/>
        <v>0</v>
      </c>
      <c r="K397" s="304">
        <f t="shared" si="106"/>
        <v>0</v>
      </c>
      <c r="L397" s="305">
        <f>IF(H397=0,0,IF(OR(E397=$AT$5,E397=$AT$6),AA397,IF(F397="MXN",1/HLOOKUP(YEAR(G397)+(MONTH(G397)/100),TC!$5:$37,DAY(G397)+2,FALSE),VLOOKUP(F397,Equivalencia!$5:$23,((MAX(Equivalencia!$3:$3)-YEAR(G397))*14)+MONTH(G397)+2,FALSE))))</f>
        <v>0</v>
      </c>
      <c r="M397" s="306">
        <f t="shared" si="107"/>
        <v>0</v>
      </c>
      <c r="N397" s="305">
        <f>IF(G397=0,0,(IF(OR(E397=$AT$5,E397=$AT$6),AC397,HLOOKUP(YEAR(G397)+(MONTH(G397)/100),TC!$5:$37,DAY(G397)+2,FALSE))))</f>
        <v>0</v>
      </c>
      <c r="O397" s="307">
        <f t="shared" si="116"/>
        <v>0</v>
      </c>
      <c r="P397" s="552">
        <f>IF(G397=0,0,VLOOKUP(YEAR(G397),INPC!$B$4:$P$30,MONTH(G397)+2))</f>
        <v>0</v>
      </c>
      <c r="Q397" s="552">
        <f>IF(X397=0,0,IF(OR(E397=$AT$10,E397=$AT$9),VLOOKUP(YEAR(X397),INPC!$B$4:$P$30,MONTH(X397)+1),VLOOKUP(YEAR(X397),INPC!$B$4:$P$30,MONTH(X397)+2,0)))</f>
        <v>0</v>
      </c>
      <c r="R397" s="309">
        <f t="shared" si="108"/>
        <v>0</v>
      </c>
      <c r="S397" s="310">
        <f t="shared" si="117"/>
        <v>0</v>
      </c>
      <c r="T397" s="547">
        <f t="shared" si="118"/>
        <v>0</v>
      </c>
      <c r="U397" s="311"/>
      <c r="V397" s="312"/>
      <c r="W397" s="299"/>
      <c r="X397" s="300"/>
      <c r="Y397" s="299"/>
      <c r="Z397" s="303"/>
      <c r="AA397" s="305">
        <f>IF(Z397=0,0,IF(Y397="MXN",1/HLOOKUP(YEAR(X397)+(MONTH(X397)/100),TC!$5:$37,DAY(X397)+2,FALSE),VLOOKUP(Y397,Equivalencia!$1:$23,((MAX(Equivalencia!$3:$3)-YEAR(X397))*14)+MONTH(X397)+2,FALSE)))</f>
        <v>0</v>
      </c>
      <c r="AB397" s="306">
        <f t="shared" si="119"/>
        <v>0</v>
      </c>
      <c r="AC397" s="305">
        <f>+IF(X397=0,0,HLOOKUP(YEAR(X397)+(MONTH(X397)/100),TC!$5:$37,DAY(X397)+2,FALSE))</f>
        <v>0</v>
      </c>
      <c r="AD397" s="307">
        <f t="shared" si="120"/>
        <v>0</v>
      </c>
      <c r="AE397" s="314">
        <f t="shared" si="109"/>
        <v>0</v>
      </c>
      <c r="AF397" s="315">
        <f t="shared" si="110"/>
        <v>0</v>
      </c>
      <c r="AG397" s="316">
        <f t="shared" si="111"/>
        <v>0</v>
      </c>
      <c r="AH397" s="314">
        <v>1</v>
      </c>
      <c r="AI397" s="314">
        <f t="shared" si="112"/>
        <v>0</v>
      </c>
      <c r="AJ397" s="314">
        <f t="shared" si="121"/>
        <v>0</v>
      </c>
      <c r="AK397" s="317"/>
      <c r="AL397" s="315">
        <f t="shared" si="113"/>
        <v>0</v>
      </c>
      <c r="AN397" s="546">
        <f t="shared" si="114"/>
        <v>0</v>
      </c>
      <c r="AO397" s="314"/>
      <c r="AP397" s="318"/>
    </row>
    <row r="398" spans="2:42">
      <c r="B398" s="296"/>
      <c r="C398" s="299"/>
      <c r="D398" s="298"/>
      <c r="E398" s="299"/>
      <c r="F398" s="299"/>
      <c r="G398" s="300"/>
      <c r="H398" s="303"/>
      <c r="I398" s="301">
        <f t="shared" si="105"/>
        <v>0</v>
      </c>
      <c r="J398" s="302">
        <f t="shared" si="115"/>
        <v>0</v>
      </c>
      <c r="K398" s="304">
        <f t="shared" si="106"/>
        <v>0</v>
      </c>
      <c r="L398" s="305">
        <f>IF(H398=0,0,IF(OR(E398=$AT$5,E398=$AT$6),AA398,IF(F398="MXN",1/HLOOKUP(YEAR(G398)+(MONTH(G398)/100),TC!$5:$37,DAY(G398)+2,FALSE),VLOOKUP(F398,Equivalencia!$5:$23,((MAX(Equivalencia!$3:$3)-YEAR(G398))*14)+MONTH(G398)+2,FALSE))))</f>
        <v>0</v>
      </c>
      <c r="M398" s="306">
        <f t="shared" si="107"/>
        <v>0</v>
      </c>
      <c r="N398" s="305">
        <f>IF(G398=0,0,(IF(OR(E398=$AT$5,E398=$AT$6),AC398,HLOOKUP(YEAR(G398)+(MONTH(G398)/100),TC!$5:$37,DAY(G398)+2,FALSE))))</f>
        <v>0</v>
      </c>
      <c r="O398" s="307">
        <f t="shared" si="116"/>
        <v>0</v>
      </c>
      <c r="P398" s="552">
        <f>IF(G398=0,0,VLOOKUP(YEAR(G398),INPC!$B$4:$P$30,MONTH(G398)+2))</f>
        <v>0</v>
      </c>
      <c r="Q398" s="552">
        <f>IF(X398=0,0,IF(OR(E398=$AT$10,E398=$AT$9),VLOOKUP(YEAR(X398),INPC!$B$4:$P$30,MONTH(X398)+1),VLOOKUP(YEAR(X398),INPC!$B$4:$P$30,MONTH(X398)+2,0)))</f>
        <v>0</v>
      </c>
      <c r="R398" s="309">
        <f t="shared" si="108"/>
        <v>0</v>
      </c>
      <c r="S398" s="310">
        <f t="shared" si="117"/>
        <v>0</v>
      </c>
      <c r="T398" s="547">
        <f t="shared" si="118"/>
        <v>0</v>
      </c>
      <c r="U398" s="311"/>
      <c r="V398" s="312"/>
      <c r="W398" s="299"/>
      <c r="X398" s="300"/>
      <c r="Y398" s="299"/>
      <c r="Z398" s="303"/>
      <c r="AA398" s="305">
        <f>IF(Z398=0,0,IF(Y398="MXN",1/HLOOKUP(YEAR(X398)+(MONTH(X398)/100),TC!$5:$37,DAY(X398)+2,FALSE),VLOOKUP(Y398,Equivalencia!$1:$23,((MAX(Equivalencia!$3:$3)-YEAR(X398))*14)+MONTH(X398)+2,FALSE)))</f>
        <v>0</v>
      </c>
      <c r="AB398" s="306">
        <f t="shared" si="119"/>
        <v>0</v>
      </c>
      <c r="AC398" s="305">
        <f>+IF(X398=0,0,HLOOKUP(YEAR(X398)+(MONTH(X398)/100),TC!$5:$37,DAY(X398)+2,FALSE))</f>
        <v>0</v>
      </c>
      <c r="AD398" s="307">
        <f t="shared" si="120"/>
        <v>0</v>
      </c>
      <c r="AE398" s="314">
        <f t="shared" si="109"/>
        <v>0</v>
      </c>
      <c r="AF398" s="315">
        <f t="shared" si="110"/>
        <v>0</v>
      </c>
      <c r="AG398" s="316">
        <f t="shared" si="111"/>
        <v>0</v>
      </c>
      <c r="AH398" s="314">
        <v>1</v>
      </c>
      <c r="AI398" s="314">
        <f t="shared" si="112"/>
        <v>0</v>
      </c>
      <c r="AJ398" s="314">
        <f t="shared" si="121"/>
        <v>0</v>
      </c>
      <c r="AK398" s="317"/>
      <c r="AL398" s="315">
        <f t="shared" si="113"/>
        <v>0</v>
      </c>
      <c r="AN398" s="546">
        <f t="shared" si="114"/>
        <v>0</v>
      </c>
      <c r="AO398" s="314"/>
      <c r="AP398" s="318"/>
    </row>
    <row r="399" spans="2:42">
      <c r="B399" s="296"/>
      <c r="C399" s="299"/>
      <c r="D399" s="298"/>
      <c r="E399" s="299"/>
      <c r="F399" s="299"/>
      <c r="G399" s="300"/>
      <c r="H399" s="303"/>
      <c r="I399" s="301">
        <f t="shared" si="105"/>
        <v>0</v>
      </c>
      <c r="J399" s="302">
        <f t="shared" si="115"/>
        <v>0</v>
      </c>
      <c r="K399" s="304">
        <f t="shared" si="106"/>
        <v>0</v>
      </c>
      <c r="L399" s="305">
        <f>IF(H399=0,0,IF(OR(E399=$AT$5,E399=$AT$6),AA399,IF(F399="MXN",1/HLOOKUP(YEAR(G399)+(MONTH(G399)/100),TC!$5:$37,DAY(G399)+2,FALSE),VLOOKUP(F399,Equivalencia!$5:$23,((MAX(Equivalencia!$3:$3)-YEAR(G399))*14)+MONTH(G399)+2,FALSE))))</f>
        <v>0</v>
      </c>
      <c r="M399" s="306">
        <f t="shared" si="107"/>
        <v>0</v>
      </c>
      <c r="N399" s="305">
        <f>IF(G399=0,0,(IF(OR(E399=$AT$5,E399=$AT$6),AC399,HLOOKUP(YEAR(G399)+(MONTH(G399)/100),TC!$5:$37,DAY(G399)+2,FALSE))))</f>
        <v>0</v>
      </c>
      <c r="O399" s="307">
        <f t="shared" si="116"/>
        <v>0</v>
      </c>
      <c r="P399" s="552">
        <f>IF(G399=0,0,VLOOKUP(YEAR(G399),INPC!$B$4:$P$30,MONTH(G399)+2))</f>
        <v>0</v>
      </c>
      <c r="Q399" s="552">
        <f>IF(X399=0,0,IF(OR(E399=$AT$10,E399=$AT$9),VLOOKUP(YEAR(X399),INPC!$B$4:$P$30,MONTH(X399)+1),VLOOKUP(YEAR(X399),INPC!$B$4:$P$30,MONTH(X399)+2,0)))</f>
        <v>0</v>
      </c>
      <c r="R399" s="309">
        <f t="shared" si="108"/>
        <v>0</v>
      </c>
      <c r="S399" s="310">
        <f t="shared" si="117"/>
        <v>0</v>
      </c>
      <c r="T399" s="547">
        <f t="shared" si="118"/>
        <v>0</v>
      </c>
      <c r="U399" s="311"/>
      <c r="V399" s="312"/>
      <c r="W399" s="299"/>
      <c r="X399" s="300"/>
      <c r="Y399" s="299"/>
      <c r="Z399" s="303"/>
      <c r="AA399" s="305">
        <f>IF(Z399=0,0,IF(Y399="MXN",1/HLOOKUP(YEAR(X399)+(MONTH(X399)/100),TC!$5:$37,DAY(X399)+2,FALSE),VLOOKUP(Y399,Equivalencia!$1:$23,((MAX(Equivalencia!$3:$3)-YEAR(X399))*14)+MONTH(X399)+2,FALSE)))</f>
        <v>0</v>
      </c>
      <c r="AB399" s="306">
        <f t="shared" si="119"/>
        <v>0</v>
      </c>
      <c r="AC399" s="305">
        <f>+IF(X399=0,0,HLOOKUP(YEAR(X399)+(MONTH(X399)/100),TC!$5:$37,DAY(X399)+2,FALSE))</f>
        <v>0</v>
      </c>
      <c r="AD399" s="307">
        <f t="shared" si="120"/>
        <v>0</v>
      </c>
      <c r="AE399" s="314">
        <f t="shared" si="109"/>
        <v>0</v>
      </c>
      <c r="AF399" s="315">
        <f t="shared" si="110"/>
        <v>0</v>
      </c>
      <c r="AG399" s="316">
        <f t="shared" si="111"/>
        <v>0</v>
      </c>
      <c r="AH399" s="314">
        <v>1</v>
      </c>
      <c r="AI399" s="314">
        <f t="shared" si="112"/>
        <v>0</v>
      </c>
      <c r="AJ399" s="314">
        <f t="shared" si="121"/>
        <v>0</v>
      </c>
      <c r="AK399" s="317"/>
      <c r="AL399" s="315">
        <f t="shared" si="113"/>
        <v>0</v>
      </c>
      <c r="AN399" s="546">
        <f t="shared" si="114"/>
        <v>0</v>
      </c>
      <c r="AO399" s="314"/>
      <c r="AP399" s="318"/>
    </row>
    <row r="400" spans="2:42">
      <c r="B400" s="296"/>
      <c r="C400" s="299"/>
      <c r="D400" s="298"/>
      <c r="E400" s="299"/>
      <c r="F400" s="299"/>
      <c r="G400" s="300"/>
      <c r="H400" s="303"/>
      <c r="I400" s="301">
        <f t="shared" si="105"/>
        <v>0</v>
      </c>
      <c r="J400" s="302">
        <f t="shared" si="115"/>
        <v>0</v>
      </c>
      <c r="K400" s="304">
        <f t="shared" si="106"/>
        <v>0</v>
      </c>
      <c r="L400" s="305">
        <f>IF(H400=0,0,IF(OR(E400=$AT$5,E400=$AT$6),AA400,IF(F400="MXN",1/HLOOKUP(YEAR(G400)+(MONTH(G400)/100),TC!$5:$37,DAY(G400)+2,FALSE),VLOOKUP(F400,Equivalencia!$5:$23,((MAX(Equivalencia!$3:$3)-YEAR(G400))*14)+MONTH(G400)+2,FALSE))))</f>
        <v>0</v>
      </c>
      <c r="M400" s="306">
        <f t="shared" si="107"/>
        <v>0</v>
      </c>
      <c r="N400" s="305">
        <f>IF(G400=0,0,(IF(OR(E400=$AT$5,E400=$AT$6),AC400,HLOOKUP(YEAR(G400)+(MONTH(G400)/100),TC!$5:$37,DAY(G400)+2,FALSE))))</f>
        <v>0</v>
      </c>
      <c r="O400" s="307">
        <f t="shared" si="116"/>
        <v>0</v>
      </c>
      <c r="P400" s="552">
        <f>IF(G400=0,0,VLOOKUP(YEAR(G400),INPC!$B$4:$P$30,MONTH(G400)+2))</f>
        <v>0</v>
      </c>
      <c r="Q400" s="552">
        <f>IF(X400=0,0,IF(OR(E400=$AT$10,E400=$AT$9),VLOOKUP(YEAR(X400),INPC!$B$4:$P$30,MONTH(X400)+1),VLOOKUP(YEAR(X400),INPC!$B$4:$P$30,MONTH(X400)+2,0)))</f>
        <v>0</v>
      </c>
      <c r="R400" s="309">
        <f t="shared" si="108"/>
        <v>0</v>
      </c>
      <c r="S400" s="310">
        <f t="shared" si="117"/>
        <v>0</v>
      </c>
      <c r="T400" s="547">
        <f t="shared" si="118"/>
        <v>0</v>
      </c>
      <c r="U400" s="311"/>
      <c r="V400" s="312"/>
      <c r="W400" s="299"/>
      <c r="X400" s="300"/>
      <c r="Y400" s="299"/>
      <c r="Z400" s="303"/>
      <c r="AA400" s="305">
        <f>IF(Z400=0,0,IF(Y400="MXN",1/HLOOKUP(YEAR(X400)+(MONTH(X400)/100),TC!$5:$37,DAY(X400)+2,FALSE),VLOOKUP(Y400,Equivalencia!$1:$23,((MAX(Equivalencia!$3:$3)-YEAR(X400))*14)+MONTH(X400)+2,FALSE)))</f>
        <v>0</v>
      </c>
      <c r="AB400" s="306">
        <f t="shared" si="119"/>
        <v>0</v>
      </c>
      <c r="AC400" s="305">
        <f>+IF(X400=0,0,HLOOKUP(YEAR(X400)+(MONTH(X400)/100),TC!$5:$37,DAY(X400)+2,FALSE))</f>
        <v>0</v>
      </c>
      <c r="AD400" s="307">
        <f t="shared" si="120"/>
        <v>0</v>
      </c>
      <c r="AE400" s="314">
        <f t="shared" si="109"/>
        <v>0</v>
      </c>
      <c r="AF400" s="315">
        <f t="shared" si="110"/>
        <v>0</v>
      </c>
      <c r="AG400" s="316">
        <f t="shared" si="111"/>
        <v>0</v>
      </c>
      <c r="AH400" s="314">
        <v>1</v>
      </c>
      <c r="AI400" s="314">
        <f t="shared" si="112"/>
        <v>0</v>
      </c>
      <c r="AJ400" s="314">
        <f t="shared" si="121"/>
        <v>0</v>
      </c>
      <c r="AK400" s="317"/>
      <c r="AL400" s="315">
        <f t="shared" si="113"/>
        <v>0</v>
      </c>
      <c r="AN400" s="546">
        <f t="shared" si="114"/>
        <v>0</v>
      </c>
      <c r="AO400" s="314"/>
      <c r="AP400" s="318"/>
    </row>
    <row r="401" spans="2:42">
      <c r="B401" s="296"/>
      <c r="C401" s="299"/>
      <c r="D401" s="298"/>
      <c r="E401" s="299"/>
      <c r="F401" s="299"/>
      <c r="G401" s="300"/>
      <c r="H401" s="303"/>
      <c r="I401" s="301">
        <f t="shared" si="105"/>
        <v>0</v>
      </c>
      <c r="J401" s="302">
        <f t="shared" si="115"/>
        <v>0</v>
      </c>
      <c r="K401" s="304">
        <f t="shared" si="106"/>
        <v>0</v>
      </c>
      <c r="L401" s="305">
        <f>IF(H401=0,0,IF(OR(E401=$AT$5,E401=$AT$6),AA401,IF(F401="MXN",1/HLOOKUP(YEAR(G401)+(MONTH(G401)/100),TC!$5:$37,DAY(G401)+2,FALSE),VLOOKUP(F401,Equivalencia!$5:$23,((MAX(Equivalencia!$3:$3)-YEAR(G401))*14)+MONTH(G401)+2,FALSE))))</f>
        <v>0</v>
      </c>
      <c r="M401" s="306">
        <f t="shared" si="107"/>
        <v>0</v>
      </c>
      <c r="N401" s="305">
        <f>IF(G401=0,0,(IF(OR(E401=$AT$5,E401=$AT$6),AC401,HLOOKUP(YEAR(G401)+(MONTH(G401)/100),TC!$5:$37,DAY(G401)+2,FALSE))))</f>
        <v>0</v>
      </c>
      <c r="O401" s="307">
        <f t="shared" si="116"/>
        <v>0</v>
      </c>
      <c r="P401" s="552">
        <f>IF(G401=0,0,VLOOKUP(YEAR(G401),INPC!$B$4:$P$30,MONTH(G401)+2))</f>
        <v>0</v>
      </c>
      <c r="Q401" s="552">
        <f>IF(X401=0,0,IF(OR(E401=$AT$10,E401=$AT$9),VLOOKUP(YEAR(X401),INPC!$B$4:$P$30,MONTH(X401)+1),VLOOKUP(YEAR(X401),INPC!$B$4:$P$30,MONTH(X401)+2,0)))</f>
        <v>0</v>
      </c>
      <c r="R401" s="309">
        <f t="shared" si="108"/>
        <v>0</v>
      </c>
      <c r="S401" s="310">
        <f t="shared" si="117"/>
        <v>0</v>
      </c>
      <c r="T401" s="547">
        <f t="shared" si="118"/>
        <v>0</v>
      </c>
      <c r="U401" s="311"/>
      <c r="V401" s="312"/>
      <c r="W401" s="299"/>
      <c r="X401" s="300"/>
      <c r="Y401" s="299"/>
      <c r="Z401" s="303"/>
      <c r="AA401" s="305">
        <f>IF(Z401=0,0,IF(Y401="MXN",1/HLOOKUP(YEAR(X401)+(MONTH(X401)/100),TC!$5:$37,DAY(X401)+2,FALSE),VLOOKUP(Y401,Equivalencia!$1:$23,((MAX(Equivalencia!$3:$3)-YEAR(X401))*14)+MONTH(X401)+2,FALSE)))</f>
        <v>0</v>
      </c>
      <c r="AB401" s="306">
        <f t="shared" si="119"/>
        <v>0</v>
      </c>
      <c r="AC401" s="305">
        <f>+IF(X401=0,0,HLOOKUP(YEAR(X401)+(MONTH(X401)/100),TC!$5:$37,DAY(X401)+2,FALSE))</f>
        <v>0</v>
      </c>
      <c r="AD401" s="307">
        <f t="shared" si="120"/>
        <v>0</v>
      </c>
      <c r="AE401" s="314">
        <f t="shared" si="109"/>
        <v>0</v>
      </c>
      <c r="AF401" s="315">
        <f t="shared" si="110"/>
        <v>0</v>
      </c>
      <c r="AG401" s="316">
        <f t="shared" si="111"/>
        <v>0</v>
      </c>
      <c r="AH401" s="314">
        <v>1</v>
      </c>
      <c r="AI401" s="314">
        <f t="shared" si="112"/>
        <v>0</v>
      </c>
      <c r="AJ401" s="314">
        <f t="shared" si="121"/>
        <v>0</v>
      </c>
      <c r="AK401" s="317"/>
      <c r="AL401" s="315">
        <f t="shared" si="113"/>
        <v>0</v>
      </c>
      <c r="AN401" s="546">
        <f t="shared" si="114"/>
        <v>0</v>
      </c>
      <c r="AO401" s="314"/>
      <c r="AP401" s="318"/>
    </row>
    <row r="402" spans="2:42">
      <c r="B402" s="296"/>
      <c r="C402" s="299"/>
      <c r="D402" s="298"/>
      <c r="E402" s="299"/>
      <c r="F402" s="299"/>
      <c r="G402" s="300"/>
      <c r="H402" s="303"/>
      <c r="I402" s="301">
        <f t="shared" si="105"/>
        <v>0</v>
      </c>
      <c r="J402" s="302">
        <f t="shared" si="115"/>
        <v>0</v>
      </c>
      <c r="K402" s="304">
        <f t="shared" si="106"/>
        <v>0</v>
      </c>
      <c r="L402" s="305">
        <f>IF(H402=0,0,IF(OR(E402=$AT$5,E402=$AT$6),AA402,IF(F402="MXN",1/HLOOKUP(YEAR(G402)+(MONTH(G402)/100),TC!$5:$37,DAY(G402)+2,FALSE),VLOOKUP(F402,Equivalencia!$5:$23,((MAX(Equivalencia!$3:$3)-YEAR(G402))*14)+MONTH(G402)+2,FALSE))))</f>
        <v>0</v>
      </c>
      <c r="M402" s="306">
        <f t="shared" si="107"/>
        <v>0</v>
      </c>
      <c r="N402" s="305">
        <f>IF(G402=0,0,(IF(OR(E402=$AT$5,E402=$AT$6),AC402,HLOOKUP(YEAR(G402)+(MONTH(G402)/100),TC!$5:$37,DAY(G402)+2,FALSE))))</f>
        <v>0</v>
      </c>
      <c r="O402" s="307">
        <f t="shared" si="116"/>
        <v>0</v>
      </c>
      <c r="P402" s="552">
        <f>IF(G402=0,0,VLOOKUP(YEAR(G402),INPC!$B$4:$P$30,MONTH(G402)+2))</f>
        <v>0</v>
      </c>
      <c r="Q402" s="552">
        <f>IF(X402=0,0,IF(OR(E402=$AT$10,E402=$AT$9),VLOOKUP(YEAR(X402),INPC!$B$4:$P$30,MONTH(X402)+1),VLOOKUP(YEAR(X402),INPC!$B$4:$P$30,MONTH(X402)+2,0)))</f>
        <v>0</v>
      </c>
      <c r="R402" s="309">
        <f t="shared" si="108"/>
        <v>0</v>
      </c>
      <c r="S402" s="310">
        <f t="shared" si="117"/>
        <v>0</v>
      </c>
      <c r="T402" s="547">
        <f t="shared" si="118"/>
        <v>0</v>
      </c>
      <c r="U402" s="311"/>
      <c r="V402" s="312"/>
      <c r="W402" s="299"/>
      <c r="X402" s="300"/>
      <c r="Y402" s="299"/>
      <c r="Z402" s="303"/>
      <c r="AA402" s="305">
        <f>IF(Z402=0,0,IF(Y402="MXN",1/HLOOKUP(YEAR(X402)+(MONTH(X402)/100),TC!$5:$37,DAY(X402)+2,FALSE),VLOOKUP(Y402,Equivalencia!$1:$23,((MAX(Equivalencia!$3:$3)-YEAR(X402))*14)+MONTH(X402)+2,FALSE)))</f>
        <v>0</v>
      </c>
      <c r="AB402" s="306">
        <f t="shared" si="119"/>
        <v>0</v>
      </c>
      <c r="AC402" s="305">
        <f>+IF(X402=0,0,HLOOKUP(YEAR(X402)+(MONTH(X402)/100),TC!$5:$37,DAY(X402)+2,FALSE))</f>
        <v>0</v>
      </c>
      <c r="AD402" s="307">
        <f t="shared" si="120"/>
        <v>0</v>
      </c>
      <c r="AE402" s="314">
        <f t="shared" si="109"/>
        <v>0</v>
      </c>
      <c r="AF402" s="315">
        <f t="shared" si="110"/>
        <v>0</v>
      </c>
      <c r="AG402" s="316">
        <f t="shared" si="111"/>
        <v>0</v>
      </c>
      <c r="AH402" s="314">
        <v>1</v>
      </c>
      <c r="AI402" s="314">
        <f t="shared" si="112"/>
        <v>0</v>
      </c>
      <c r="AJ402" s="314">
        <f t="shared" si="121"/>
        <v>0</v>
      </c>
      <c r="AK402" s="317"/>
      <c r="AL402" s="315">
        <f t="shared" si="113"/>
        <v>0</v>
      </c>
      <c r="AN402" s="546">
        <f t="shared" si="114"/>
        <v>0</v>
      </c>
      <c r="AO402" s="314"/>
      <c r="AP402" s="318"/>
    </row>
    <row r="403" spans="2:42">
      <c r="B403" s="296"/>
      <c r="C403" s="299"/>
      <c r="D403" s="298"/>
      <c r="E403" s="299"/>
      <c r="F403" s="299"/>
      <c r="G403" s="300"/>
      <c r="H403" s="303"/>
      <c r="I403" s="301">
        <f t="shared" si="105"/>
        <v>0</v>
      </c>
      <c r="J403" s="302">
        <f t="shared" si="115"/>
        <v>0</v>
      </c>
      <c r="K403" s="304">
        <f t="shared" si="106"/>
        <v>0</v>
      </c>
      <c r="L403" s="305">
        <f>IF(H403=0,0,IF(OR(E403=$AT$5,E403=$AT$6),AA403,IF(F403="MXN",1/HLOOKUP(YEAR(G403)+(MONTH(G403)/100),TC!$5:$37,DAY(G403)+2,FALSE),VLOOKUP(F403,Equivalencia!$5:$23,((MAX(Equivalencia!$3:$3)-YEAR(G403))*14)+MONTH(G403)+2,FALSE))))</f>
        <v>0</v>
      </c>
      <c r="M403" s="306">
        <f t="shared" si="107"/>
        <v>0</v>
      </c>
      <c r="N403" s="305">
        <f>IF(G403=0,0,(IF(OR(E403=$AT$5,E403=$AT$6),AC403,HLOOKUP(YEAR(G403)+(MONTH(G403)/100),TC!$5:$37,DAY(G403)+2,FALSE))))</f>
        <v>0</v>
      </c>
      <c r="O403" s="307">
        <f t="shared" si="116"/>
        <v>0</v>
      </c>
      <c r="P403" s="552">
        <f>IF(G403=0,0,VLOOKUP(YEAR(G403),INPC!$B$4:$P$30,MONTH(G403)+2))</f>
        <v>0</v>
      </c>
      <c r="Q403" s="552">
        <f>IF(X403=0,0,IF(OR(E403=$AT$10,E403=$AT$9),VLOOKUP(YEAR(X403),INPC!$B$4:$P$30,MONTH(X403)+1),VLOOKUP(YEAR(X403),INPC!$B$4:$P$30,MONTH(X403)+2,0)))</f>
        <v>0</v>
      </c>
      <c r="R403" s="309">
        <f t="shared" si="108"/>
        <v>0</v>
      </c>
      <c r="S403" s="310">
        <f t="shared" si="117"/>
        <v>0</v>
      </c>
      <c r="T403" s="547">
        <f t="shared" si="118"/>
        <v>0</v>
      </c>
      <c r="U403" s="311"/>
      <c r="V403" s="312"/>
      <c r="W403" s="299"/>
      <c r="X403" s="300"/>
      <c r="Y403" s="299"/>
      <c r="Z403" s="303"/>
      <c r="AA403" s="305">
        <f>IF(Z403=0,0,IF(Y403="MXN",1/HLOOKUP(YEAR(X403)+(MONTH(X403)/100),TC!$5:$37,DAY(X403)+2,FALSE),VLOOKUP(Y403,Equivalencia!$1:$23,((MAX(Equivalencia!$3:$3)-YEAR(X403))*14)+MONTH(X403)+2,FALSE)))</f>
        <v>0</v>
      </c>
      <c r="AB403" s="306">
        <f t="shared" si="119"/>
        <v>0</v>
      </c>
      <c r="AC403" s="305">
        <f>+IF(X403=0,0,HLOOKUP(YEAR(X403)+(MONTH(X403)/100),TC!$5:$37,DAY(X403)+2,FALSE))</f>
        <v>0</v>
      </c>
      <c r="AD403" s="307">
        <f t="shared" si="120"/>
        <v>0</v>
      </c>
      <c r="AE403" s="314">
        <f t="shared" si="109"/>
        <v>0</v>
      </c>
      <c r="AF403" s="315">
        <f t="shared" si="110"/>
        <v>0</v>
      </c>
      <c r="AG403" s="316">
        <f t="shared" si="111"/>
        <v>0</v>
      </c>
      <c r="AH403" s="314">
        <v>1</v>
      </c>
      <c r="AI403" s="314">
        <f t="shared" si="112"/>
        <v>0</v>
      </c>
      <c r="AJ403" s="314">
        <f t="shared" si="121"/>
        <v>0</v>
      </c>
      <c r="AK403" s="317"/>
      <c r="AL403" s="315">
        <f t="shared" si="113"/>
        <v>0</v>
      </c>
      <c r="AN403" s="546">
        <f t="shared" si="114"/>
        <v>0</v>
      </c>
      <c r="AO403" s="314"/>
      <c r="AP403" s="318"/>
    </row>
    <row r="404" spans="2:42">
      <c r="B404" s="296"/>
      <c r="C404" s="299"/>
      <c r="D404" s="298"/>
      <c r="E404" s="299"/>
      <c r="F404" s="299"/>
      <c r="G404" s="300"/>
      <c r="H404" s="303"/>
      <c r="I404" s="301">
        <f t="shared" si="105"/>
        <v>0</v>
      </c>
      <c r="J404" s="302">
        <f t="shared" si="115"/>
        <v>0</v>
      </c>
      <c r="K404" s="304">
        <f t="shared" si="106"/>
        <v>0</v>
      </c>
      <c r="L404" s="305">
        <f>IF(H404=0,0,IF(OR(E404=$AT$5,E404=$AT$6),AA404,IF(F404="MXN",1/HLOOKUP(YEAR(G404)+(MONTH(G404)/100),TC!$5:$37,DAY(G404)+2,FALSE),VLOOKUP(F404,Equivalencia!$5:$23,((MAX(Equivalencia!$3:$3)-YEAR(G404))*14)+MONTH(G404)+2,FALSE))))</f>
        <v>0</v>
      </c>
      <c r="M404" s="306">
        <f t="shared" si="107"/>
        <v>0</v>
      </c>
      <c r="N404" s="305">
        <f>IF(G404=0,0,(IF(OR(E404=$AT$5,E404=$AT$6),AC404,HLOOKUP(YEAR(G404)+(MONTH(G404)/100),TC!$5:$37,DAY(G404)+2,FALSE))))</f>
        <v>0</v>
      </c>
      <c r="O404" s="307">
        <f t="shared" si="116"/>
        <v>0</v>
      </c>
      <c r="P404" s="552">
        <f>IF(G404=0,0,VLOOKUP(YEAR(G404),INPC!$B$4:$P$30,MONTH(G404)+2))</f>
        <v>0</v>
      </c>
      <c r="Q404" s="552">
        <f>IF(X404=0,0,IF(OR(E404=$AT$10,E404=$AT$9),VLOOKUP(YEAR(X404),INPC!$B$4:$P$30,MONTH(X404)+1),VLOOKUP(YEAR(X404),INPC!$B$4:$P$30,MONTH(X404)+2,0)))</f>
        <v>0</v>
      </c>
      <c r="R404" s="309">
        <f t="shared" si="108"/>
        <v>0</v>
      </c>
      <c r="S404" s="310">
        <f t="shared" si="117"/>
        <v>0</v>
      </c>
      <c r="T404" s="547">
        <f t="shared" si="118"/>
        <v>0</v>
      </c>
      <c r="U404" s="311"/>
      <c r="V404" s="312"/>
      <c r="W404" s="299"/>
      <c r="X404" s="300"/>
      <c r="Y404" s="299"/>
      <c r="Z404" s="303"/>
      <c r="AA404" s="305">
        <f>IF(Z404=0,0,IF(Y404="MXN",1/HLOOKUP(YEAR(X404)+(MONTH(X404)/100),TC!$5:$37,DAY(X404)+2,FALSE),VLOOKUP(Y404,Equivalencia!$1:$23,((MAX(Equivalencia!$3:$3)-YEAR(X404))*14)+MONTH(X404)+2,FALSE)))</f>
        <v>0</v>
      </c>
      <c r="AB404" s="306">
        <f t="shared" si="119"/>
        <v>0</v>
      </c>
      <c r="AC404" s="305">
        <f>+IF(X404=0,0,HLOOKUP(YEAR(X404)+(MONTH(X404)/100),TC!$5:$37,DAY(X404)+2,FALSE))</f>
        <v>0</v>
      </c>
      <c r="AD404" s="307">
        <f t="shared" si="120"/>
        <v>0</v>
      </c>
      <c r="AE404" s="314">
        <f t="shared" si="109"/>
        <v>0</v>
      </c>
      <c r="AF404" s="315">
        <f t="shared" si="110"/>
        <v>0</v>
      </c>
      <c r="AG404" s="316">
        <f t="shared" si="111"/>
        <v>0</v>
      </c>
      <c r="AH404" s="314">
        <v>1</v>
      </c>
      <c r="AI404" s="314">
        <f t="shared" si="112"/>
        <v>0</v>
      </c>
      <c r="AJ404" s="314">
        <f t="shared" si="121"/>
        <v>0</v>
      </c>
      <c r="AK404" s="317"/>
      <c r="AL404" s="315">
        <f t="shared" si="113"/>
        <v>0</v>
      </c>
      <c r="AN404" s="546">
        <f t="shared" si="114"/>
        <v>0</v>
      </c>
      <c r="AO404" s="314"/>
      <c r="AP404" s="318"/>
    </row>
    <row r="405" spans="2:42">
      <c r="B405" s="296"/>
      <c r="C405" s="299"/>
      <c r="D405" s="298"/>
      <c r="E405" s="299"/>
      <c r="F405" s="299"/>
      <c r="G405" s="300"/>
      <c r="H405" s="303"/>
      <c r="I405" s="301">
        <f t="shared" si="105"/>
        <v>0</v>
      </c>
      <c r="J405" s="302">
        <f t="shared" si="115"/>
        <v>0</v>
      </c>
      <c r="K405" s="304">
        <f t="shared" si="106"/>
        <v>0</v>
      </c>
      <c r="L405" s="305">
        <f>IF(H405=0,0,IF(OR(E405=$AT$5,E405=$AT$6),AA405,IF(F405="MXN",1/HLOOKUP(YEAR(G405)+(MONTH(G405)/100),TC!$5:$37,DAY(G405)+2,FALSE),VLOOKUP(F405,Equivalencia!$5:$23,((MAX(Equivalencia!$3:$3)-YEAR(G405))*14)+MONTH(G405)+2,FALSE))))</f>
        <v>0</v>
      </c>
      <c r="M405" s="306">
        <f t="shared" si="107"/>
        <v>0</v>
      </c>
      <c r="N405" s="305">
        <f>IF(G405=0,0,(IF(OR(E405=$AT$5,E405=$AT$6),AC405,HLOOKUP(YEAR(G405)+(MONTH(G405)/100),TC!$5:$37,DAY(G405)+2,FALSE))))</f>
        <v>0</v>
      </c>
      <c r="O405" s="307">
        <f t="shared" si="116"/>
        <v>0</v>
      </c>
      <c r="P405" s="552">
        <f>IF(G405=0,0,VLOOKUP(YEAR(G405),INPC!$B$4:$P$30,MONTH(G405)+2))</f>
        <v>0</v>
      </c>
      <c r="Q405" s="552">
        <f>IF(X405=0,0,IF(OR(E405=$AT$10,E405=$AT$9),VLOOKUP(YEAR(X405),INPC!$B$4:$P$30,MONTH(X405)+1),VLOOKUP(YEAR(X405),INPC!$B$4:$P$30,MONTH(X405)+2,0)))</f>
        <v>0</v>
      </c>
      <c r="R405" s="309">
        <f t="shared" si="108"/>
        <v>0</v>
      </c>
      <c r="S405" s="310">
        <f t="shared" si="117"/>
        <v>0</v>
      </c>
      <c r="T405" s="547">
        <f t="shared" si="118"/>
        <v>0</v>
      </c>
      <c r="U405" s="311"/>
      <c r="V405" s="312"/>
      <c r="W405" s="299"/>
      <c r="X405" s="300"/>
      <c r="Y405" s="299"/>
      <c r="Z405" s="303"/>
      <c r="AA405" s="305">
        <f>IF(Z405=0,0,IF(Y405="MXN",1/HLOOKUP(YEAR(X405)+(MONTH(X405)/100),TC!$5:$37,DAY(X405)+2,FALSE),VLOOKUP(Y405,Equivalencia!$1:$23,((MAX(Equivalencia!$3:$3)-YEAR(X405))*14)+MONTH(X405)+2,FALSE)))</f>
        <v>0</v>
      </c>
      <c r="AB405" s="306">
        <f t="shared" si="119"/>
        <v>0</v>
      </c>
      <c r="AC405" s="305">
        <f>+IF(X405=0,0,HLOOKUP(YEAR(X405)+(MONTH(X405)/100),TC!$5:$37,DAY(X405)+2,FALSE))</f>
        <v>0</v>
      </c>
      <c r="AD405" s="307">
        <f t="shared" si="120"/>
        <v>0</v>
      </c>
      <c r="AE405" s="314">
        <f t="shared" si="109"/>
        <v>0</v>
      </c>
      <c r="AF405" s="315">
        <f t="shared" si="110"/>
        <v>0</v>
      </c>
      <c r="AG405" s="316">
        <f t="shared" si="111"/>
        <v>0</v>
      </c>
      <c r="AH405" s="314">
        <v>1</v>
      </c>
      <c r="AI405" s="314">
        <f t="shared" si="112"/>
        <v>0</v>
      </c>
      <c r="AJ405" s="314">
        <f t="shared" si="121"/>
        <v>0</v>
      </c>
      <c r="AK405" s="317"/>
      <c r="AL405" s="315">
        <f t="shared" si="113"/>
        <v>0</v>
      </c>
      <c r="AN405" s="546">
        <f t="shared" si="114"/>
        <v>0</v>
      </c>
      <c r="AO405" s="314"/>
      <c r="AP405" s="318"/>
    </row>
    <row r="406" spans="2:42">
      <c r="B406" s="296"/>
      <c r="C406" s="299"/>
      <c r="D406" s="298"/>
      <c r="E406" s="299"/>
      <c r="F406" s="299"/>
      <c r="G406" s="300"/>
      <c r="H406" s="303"/>
      <c r="I406" s="301">
        <f t="shared" si="105"/>
        <v>0</v>
      </c>
      <c r="J406" s="302">
        <f t="shared" si="115"/>
        <v>0</v>
      </c>
      <c r="K406" s="304">
        <f t="shared" si="106"/>
        <v>0</v>
      </c>
      <c r="L406" s="305">
        <f>IF(H406=0,0,IF(OR(E406=$AT$5,E406=$AT$6),AA406,IF(F406="MXN",1/HLOOKUP(YEAR(G406)+(MONTH(G406)/100),TC!$5:$37,DAY(G406)+2,FALSE),VLOOKUP(F406,Equivalencia!$5:$23,((MAX(Equivalencia!$3:$3)-YEAR(G406))*14)+MONTH(G406)+2,FALSE))))</f>
        <v>0</v>
      </c>
      <c r="M406" s="306">
        <f t="shared" si="107"/>
        <v>0</v>
      </c>
      <c r="N406" s="305">
        <f>IF(G406=0,0,(IF(OR(E406=$AT$5,E406=$AT$6),AC406,HLOOKUP(YEAR(G406)+(MONTH(G406)/100),TC!$5:$37,DAY(G406)+2,FALSE))))</f>
        <v>0</v>
      </c>
      <c r="O406" s="307">
        <f t="shared" si="116"/>
        <v>0</v>
      </c>
      <c r="P406" s="552">
        <f>IF(G406=0,0,VLOOKUP(YEAR(G406),INPC!$B$4:$P$30,MONTH(G406)+2))</f>
        <v>0</v>
      </c>
      <c r="Q406" s="552">
        <f>IF(X406=0,0,IF(OR(E406=$AT$10,E406=$AT$9),VLOOKUP(YEAR(X406),INPC!$B$4:$P$30,MONTH(X406)+1),VLOOKUP(YEAR(X406),INPC!$B$4:$P$30,MONTH(X406)+2,0)))</f>
        <v>0</v>
      </c>
      <c r="R406" s="309">
        <f t="shared" si="108"/>
        <v>0</v>
      </c>
      <c r="S406" s="310">
        <f t="shared" si="117"/>
        <v>0</v>
      </c>
      <c r="T406" s="547">
        <f t="shared" si="118"/>
        <v>0</v>
      </c>
      <c r="U406" s="311"/>
      <c r="V406" s="312"/>
      <c r="W406" s="299"/>
      <c r="X406" s="300"/>
      <c r="Y406" s="299"/>
      <c r="Z406" s="303"/>
      <c r="AA406" s="305">
        <f>IF(Z406=0,0,IF(Y406="MXN",1/HLOOKUP(YEAR(X406)+(MONTH(X406)/100),TC!$5:$37,DAY(X406)+2,FALSE),VLOOKUP(Y406,Equivalencia!$1:$23,((MAX(Equivalencia!$3:$3)-YEAR(X406))*14)+MONTH(X406)+2,FALSE)))</f>
        <v>0</v>
      </c>
      <c r="AB406" s="306">
        <f t="shared" si="119"/>
        <v>0</v>
      </c>
      <c r="AC406" s="305">
        <f>+IF(X406=0,0,HLOOKUP(YEAR(X406)+(MONTH(X406)/100),TC!$5:$37,DAY(X406)+2,FALSE))</f>
        <v>0</v>
      </c>
      <c r="AD406" s="307">
        <f t="shared" si="120"/>
        <v>0</v>
      </c>
      <c r="AE406" s="314">
        <f t="shared" si="109"/>
        <v>0</v>
      </c>
      <c r="AF406" s="315">
        <f t="shared" si="110"/>
        <v>0</v>
      </c>
      <c r="AG406" s="316">
        <f t="shared" si="111"/>
        <v>0</v>
      </c>
      <c r="AH406" s="314">
        <v>1</v>
      </c>
      <c r="AI406" s="314">
        <f t="shared" si="112"/>
        <v>0</v>
      </c>
      <c r="AJ406" s="314">
        <f t="shared" si="121"/>
        <v>0</v>
      </c>
      <c r="AK406" s="317"/>
      <c r="AL406" s="315">
        <f t="shared" si="113"/>
        <v>0</v>
      </c>
      <c r="AN406" s="546">
        <f t="shared" si="114"/>
        <v>0</v>
      </c>
      <c r="AO406" s="314"/>
      <c r="AP406" s="318"/>
    </row>
    <row r="407" spans="2:42">
      <c r="B407" s="296"/>
      <c r="C407" s="299"/>
      <c r="D407" s="298"/>
      <c r="E407" s="299"/>
      <c r="F407" s="299"/>
      <c r="G407" s="300"/>
      <c r="H407" s="303"/>
      <c r="I407" s="301">
        <f t="shared" si="105"/>
        <v>0</v>
      </c>
      <c r="J407" s="302">
        <f t="shared" si="115"/>
        <v>0</v>
      </c>
      <c r="K407" s="304">
        <f t="shared" si="106"/>
        <v>0</v>
      </c>
      <c r="L407" s="305">
        <f>IF(H407=0,0,IF(OR(E407=$AT$5,E407=$AT$6),AA407,IF(F407="MXN",1/HLOOKUP(YEAR(G407)+(MONTH(G407)/100),TC!$5:$37,DAY(G407)+2,FALSE),VLOOKUP(F407,Equivalencia!$5:$23,((MAX(Equivalencia!$3:$3)-YEAR(G407))*14)+MONTH(G407)+2,FALSE))))</f>
        <v>0</v>
      </c>
      <c r="M407" s="306">
        <f t="shared" si="107"/>
        <v>0</v>
      </c>
      <c r="N407" s="305">
        <f>IF(G407=0,0,(IF(OR(E407=$AT$5,E407=$AT$6),AC407,HLOOKUP(YEAR(G407)+(MONTH(G407)/100),TC!$5:$37,DAY(G407)+2,FALSE))))</f>
        <v>0</v>
      </c>
      <c r="O407" s="307">
        <f t="shared" si="116"/>
        <v>0</v>
      </c>
      <c r="P407" s="552">
        <f>IF(G407=0,0,VLOOKUP(YEAR(G407),INPC!$B$4:$P$30,MONTH(G407)+2))</f>
        <v>0</v>
      </c>
      <c r="Q407" s="552">
        <f>IF(X407=0,0,IF(OR(E407=$AT$10,E407=$AT$9),VLOOKUP(YEAR(X407),INPC!$B$4:$P$30,MONTH(X407)+1),VLOOKUP(YEAR(X407),INPC!$B$4:$P$30,MONTH(X407)+2,0)))</f>
        <v>0</v>
      </c>
      <c r="R407" s="309">
        <f t="shared" si="108"/>
        <v>0</v>
      </c>
      <c r="S407" s="310">
        <f t="shared" si="117"/>
        <v>0</v>
      </c>
      <c r="T407" s="547">
        <f t="shared" si="118"/>
        <v>0</v>
      </c>
      <c r="U407" s="311"/>
      <c r="V407" s="312"/>
      <c r="W407" s="299"/>
      <c r="X407" s="300"/>
      <c r="Y407" s="299"/>
      <c r="Z407" s="303"/>
      <c r="AA407" s="305">
        <f>IF(Z407=0,0,IF(Y407="MXN",1/HLOOKUP(YEAR(X407)+(MONTH(X407)/100),TC!$5:$37,DAY(X407)+2,FALSE),VLOOKUP(Y407,Equivalencia!$1:$23,((MAX(Equivalencia!$3:$3)-YEAR(X407))*14)+MONTH(X407)+2,FALSE)))</f>
        <v>0</v>
      </c>
      <c r="AB407" s="306">
        <f t="shared" si="119"/>
        <v>0</v>
      </c>
      <c r="AC407" s="305">
        <f>+IF(X407=0,0,HLOOKUP(YEAR(X407)+(MONTH(X407)/100),TC!$5:$37,DAY(X407)+2,FALSE))</f>
        <v>0</v>
      </c>
      <c r="AD407" s="307">
        <f t="shared" si="120"/>
        <v>0</v>
      </c>
      <c r="AE407" s="314">
        <f t="shared" si="109"/>
        <v>0</v>
      </c>
      <c r="AF407" s="315">
        <f t="shared" si="110"/>
        <v>0</v>
      </c>
      <c r="AG407" s="316">
        <f t="shared" si="111"/>
        <v>0</v>
      </c>
      <c r="AH407" s="314">
        <v>1</v>
      </c>
      <c r="AI407" s="314">
        <f t="shared" si="112"/>
        <v>0</v>
      </c>
      <c r="AJ407" s="314">
        <f t="shared" si="121"/>
        <v>0</v>
      </c>
      <c r="AK407" s="317"/>
      <c r="AL407" s="315">
        <f t="shared" si="113"/>
        <v>0</v>
      </c>
      <c r="AN407" s="546">
        <f t="shared" si="114"/>
        <v>0</v>
      </c>
      <c r="AO407" s="314"/>
      <c r="AP407" s="318"/>
    </row>
    <row r="408" spans="2:42">
      <c r="B408" s="296"/>
      <c r="C408" s="299"/>
      <c r="D408" s="298"/>
      <c r="E408" s="299"/>
      <c r="F408" s="299"/>
      <c r="G408" s="300"/>
      <c r="H408" s="303"/>
      <c r="I408" s="301">
        <f t="shared" si="105"/>
        <v>0</v>
      </c>
      <c r="J408" s="302">
        <f t="shared" si="115"/>
        <v>0</v>
      </c>
      <c r="K408" s="304">
        <f t="shared" si="106"/>
        <v>0</v>
      </c>
      <c r="L408" s="305">
        <f>IF(H408=0,0,IF(OR(E408=$AT$5,E408=$AT$6),AA408,IF(F408="MXN",1/HLOOKUP(YEAR(G408)+(MONTH(G408)/100),TC!$5:$37,DAY(G408)+2,FALSE),VLOOKUP(F408,Equivalencia!$5:$23,((MAX(Equivalencia!$3:$3)-YEAR(G408))*14)+MONTH(G408)+2,FALSE))))</f>
        <v>0</v>
      </c>
      <c r="M408" s="306">
        <f t="shared" si="107"/>
        <v>0</v>
      </c>
      <c r="N408" s="305">
        <f>IF(G408=0,0,(IF(OR(E408=$AT$5,E408=$AT$6),AC408,HLOOKUP(YEAR(G408)+(MONTH(G408)/100),TC!$5:$37,DAY(G408)+2,FALSE))))</f>
        <v>0</v>
      </c>
      <c r="O408" s="307">
        <f t="shared" si="116"/>
        <v>0</v>
      </c>
      <c r="P408" s="552">
        <f>IF(G408=0,0,VLOOKUP(YEAR(G408),INPC!$B$4:$P$30,MONTH(G408)+2))</f>
        <v>0</v>
      </c>
      <c r="Q408" s="552">
        <f>IF(X408=0,0,IF(OR(E408=$AT$10,E408=$AT$9),VLOOKUP(YEAR(X408),INPC!$B$4:$P$30,MONTH(X408)+1),VLOOKUP(YEAR(X408),INPC!$B$4:$P$30,MONTH(X408)+2,0)))</f>
        <v>0</v>
      </c>
      <c r="R408" s="309">
        <f t="shared" si="108"/>
        <v>0</v>
      </c>
      <c r="S408" s="310">
        <f t="shared" si="117"/>
        <v>0</v>
      </c>
      <c r="T408" s="547">
        <f t="shared" si="118"/>
        <v>0</v>
      </c>
      <c r="U408" s="311"/>
      <c r="V408" s="312"/>
      <c r="W408" s="299"/>
      <c r="X408" s="300"/>
      <c r="Y408" s="299"/>
      <c r="Z408" s="303"/>
      <c r="AA408" s="305">
        <f>IF(Z408=0,0,IF(Y408="MXN",1/HLOOKUP(YEAR(X408)+(MONTH(X408)/100),TC!$5:$37,DAY(X408)+2,FALSE),VLOOKUP(Y408,Equivalencia!$1:$23,((MAX(Equivalencia!$3:$3)-YEAR(X408))*14)+MONTH(X408)+2,FALSE)))</f>
        <v>0</v>
      </c>
      <c r="AB408" s="306">
        <f t="shared" si="119"/>
        <v>0</v>
      </c>
      <c r="AC408" s="305">
        <f>+IF(X408=0,0,HLOOKUP(YEAR(X408)+(MONTH(X408)/100),TC!$5:$37,DAY(X408)+2,FALSE))</f>
        <v>0</v>
      </c>
      <c r="AD408" s="307">
        <f t="shared" si="120"/>
        <v>0</v>
      </c>
      <c r="AE408" s="314">
        <f t="shared" si="109"/>
        <v>0</v>
      </c>
      <c r="AF408" s="315">
        <f t="shared" si="110"/>
        <v>0</v>
      </c>
      <c r="AG408" s="316">
        <f t="shared" si="111"/>
        <v>0</v>
      </c>
      <c r="AH408" s="314">
        <v>1</v>
      </c>
      <c r="AI408" s="314">
        <f t="shared" si="112"/>
        <v>0</v>
      </c>
      <c r="AJ408" s="314">
        <f t="shared" si="121"/>
        <v>0</v>
      </c>
      <c r="AK408" s="317"/>
      <c r="AL408" s="315">
        <f t="shared" si="113"/>
        <v>0</v>
      </c>
      <c r="AN408" s="546">
        <f t="shared" si="114"/>
        <v>0</v>
      </c>
      <c r="AO408" s="314"/>
      <c r="AP408" s="318"/>
    </row>
    <row r="409" spans="2:42">
      <c r="B409" s="296"/>
      <c r="C409" s="299"/>
      <c r="D409" s="298"/>
      <c r="E409" s="299"/>
      <c r="F409" s="299"/>
      <c r="G409" s="300"/>
      <c r="H409" s="303"/>
      <c r="I409" s="301">
        <f t="shared" si="105"/>
        <v>0</v>
      </c>
      <c r="J409" s="302">
        <f t="shared" si="115"/>
        <v>0</v>
      </c>
      <c r="K409" s="304">
        <f t="shared" si="106"/>
        <v>0</v>
      </c>
      <c r="L409" s="305">
        <f>IF(H409=0,0,IF(OR(E409=$AT$5,E409=$AT$6),AA409,IF(F409="MXN",1/HLOOKUP(YEAR(G409)+(MONTH(G409)/100),TC!$5:$37,DAY(G409)+2,FALSE),VLOOKUP(F409,Equivalencia!$5:$23,((MAX(Equivalencia!$3:$3)-YEAR(G409))*14)+MONTH(G409)+2,FALSE))))</f>
        <v>0</v>
      </c>
      <c r="M409" s="306">
        <f t="shared" si="107"/>
        <v>0</v>
      </c>
      <c r="N409" s="305">
        <f>IF(G409=0,0,(IF(OR(E409=$AT$5,E409=$AT$6),AC409,HLOOKUP(YEAR(G409)+(MONTH(G409)/100),TC!$5:$37,DAY(G409)+2,FALSE))))</f>
        <v>0</v>
      </c>
      <c r="O409" s="307">
        <f t="shared" si="116"/>
        <v>0</v>
      </c>
      <c r="P409" s="552">
        <f>IF(G409=0,0,VLOOKUP(YEAR(G409),INPC!$B$4:$P$30,MONTH(G409)+2))</f>
        <v>0</v>
      </c>
      <c r="Q409" s="552">
        <f>IF(X409=0,0,IF(OR(E409=$AT$10,E409=$AT$9),VLOOKUP(YEAR(X409),INPC!$B$4:$P$30,MONTH(X409)+1),VLOOKUP(YEAR(X409),INPC!$B$4:$P$30,MONTH(X409)+2,0)))</f>
        <v>0</v>
      </c>
      <c r="R409" s="309">
        <f t="shared" si="108"/>
        <v>0</v>
      </c>
      <c r="S409" s="310">
        <f t="shared" si="117"/>
        <v>0</v>
      </c>
      <c r="T409" s="547">
        <f t="shared" si="118"/>
        <v>0</v>
      </c>
      <c r="U409" s="311"/>
      <c r="V409" s="312"/>
      <c r="W409" s="299"/>
      <c r="X409" s="300"/>
      <c r="Y409" s="299"/>
      <c r="Z409" s="303"/>
      <c r="AA409" s="305">
        <f>IF(Z409=0,0,IF(Y409="MXN",1/HLOOKUP(YEAR(X409)+(MONTH(X409)/100),TC!$5:$37,DAY(X409)+2,FALSE),VLOOKUP(Y409,Equivalencia!$1:$23,((MAX(Equivalencia!$3:$3)-YEAR(X409))*14)+MONTH(X409)+2,FALSE)))</f>
        <v>0</v>
      </c>
      <c r="AB409" s="306">
        <f t="shared" si="119"/>
        <v>0</v>
      </c>
      <c r="AC409" s="305">
        <f>+IF(X409=0,0,HLOOKUP(YEAR(X409)+(MONTH(X409)/100),TC!$5:$37,DAY(X409)+2,FALSE))</f>
        <v>0</v>
      </c>
      <c r="AD409" s="307">
        <f t="shared" si="120"/>
        <v>0</v>
      </c>
      <c r="AE409" s="314">
        <f t="shared" si="109"/>
        <v>0</v>
      </c>
      <c r="AF409" s="315">
        <f t="shared" si="110"/>
        <v>0</v>
      </c>
      <c r="AG409" s="316">
        <f t="shared" si="111"/>
        <v>0</v>
      </c>
      <c r="AH409" s="314">
        <v>1</v>
      </c>
      <c r="AI409" s="314">
        <f t="shared" si="112"/>
        <v>0</v>
      </c>
      <c r="AJ409" s="314">
        <f t="shared" si="121"/>
        <v>0</v>
      </c>
      <c r="AK409" s="317"/>
      <c r="AL409" s="315">
        <f t="shared" si="113"/>
        <v>0</v>
      </c>
      <c r="AN409" s="546">
        <f t="shared" si="114"/>
        <v>0</v>
      </c>
      <c r="AO409" s="314"/>
      <c r="AP409" s="318"/>
    </row>
    <row r="410" spans="2:42">
      <c r="B410" s="296"/>
      <c r="C410" s="299"/>
      <c r="D410" s="298"/>
      <c r="E410" s="299"/>
      <c r="F410" s="299"/>
      <c r="G410" s="300"/>
      <c r="H410" s="303"/>
      <c r="I410" s="301">
        <f t="shared" si="105"/>
        <v>0</v>
      </c>
      <c r="J410" s="302">
        <f t="shared" si="115"/>
        <v>0</v>
      </c>
      <c r="K410" s="304">
        <f t="shared" si="106"/>
        <v>0</v>
      </c>
      <c r="L410" s="305">
        <f>IF(H410=0,0,IF(OR(E410=$AT$5,E410=$AT$6),AA410,IF(F410="MXN",1/HLOOKUP(YEAR(G410)+(MONTH(G410)/100),TC!$5:$37,DAY(G410)+2,FALSE),VLOOKUP(F410,Equivalencia!$5:$23,((MAX(Equivalencia!$3:$3)-YEAR(G410))*14)+MONTH(G410)+2,FALSE))))</f>
        <v>0</v>
      </c>
      <c r="M410" s="306">
        <f t="shared" si="107"/>
        <v>0</v>
      </c>
      <c r="N410" s="305">
        <f>IF(G410=0,0,(IF(OR(E410=$AT$5,E410=$AT$6),AC410,HLOOKUP(YEAR(G410)+(MONTH(G410)/100),TC!$5:$37,DAY(G410)+2,FALSE))))</f>
        <v>0</v>
      </c>
      <c r="O410" s="307">
        <f t="shared" si="116"/>
        <v>0</v>
      </c>
      <c r="P410" s="552">
        <f>IF(G410=0,0,VLOOKUP(YEAR(G410),INPC!$B$4:$P$30,MONTH(G410)+2))</f>
        <v>0</v>
      </c>
      <c r="Q410" s="552">
        <f>IF(X410=0,0,IF(OR(E410=$AT$10,E410=$AT$9),VLOOKUP(YEAR(X410),INPC!$B$4:$P$30,MONTH(X410)+1),VLOOKUP(YEAR(X410),INPC!$B$4:$P$30,MONTH(X410)+2,0)))</f>
        <v>0</v>
      </c>
      <c r="R410" s="309">
        <f t="shared" si="108"/>
        <v>0</v>
      </c>
      <c r="S410" s="310">
        <f t="shared" si="117"/>
        <v>0</v>
      </c>
      <c r="T410" s="547">
        <f t="shared" si="118"/>
        <v>0</v>
      </c>
      <c r="U410" s="311"/>
      <c r="V410" s="312"/>
      <c r="W410" s="299"/>
      <c r="X410" s="300"/>
      <c r="Y410" s="299"/>
      <c r="Z410" s="303"/>
      <c r="AA410" s="305">
        <f>IF(Z410=0,0,IF(Y410="MXN",1/HLOOKUP(YEAR(X410)+(MONTH(X410)/100),TC!$5:$37,DAY(X410)+2,FALSE),VLOOKUP(Y410,Equivalencia!$1:$23,((MAX(Equivalencia!$3:$3)-YEAR(X410))*14)+MONTH(X410)+2,FALSE)))</f>
        <v>0</v>
      </c>
      <c r="AB410" s="306">
        <f t="shared" si="119"/>
        <v>0</v>
      </c>
      <c r="AC410" s="305">
        <f>+IF(X410=0,0,HLOOKUP(YEAR(X410)+(MONTH(X410)/100),TC!$5:$37,DAY(X410)+2,FALSE))</f>
        <v>0</v>
      </c>
      <c r="AD410" s="307">
        <f t="shared" si="120"/>
        <v>0</v>
      </c>
      <c r="AE410" s="314">
        <f t="shared" si="109"/>
        <v>0</v>
      </c>
      <c r="AF410" s="315">
        <f t="shared" si="110"/>
        <v>0</v>
      </c>
      <c r="AG410" s="316">
        <f t="shared" si="111"/>
        <v>0</v>
      </c>
      <c r="AH410" s="314">
        <v>1</v>
      </c>
      <c r="AI410" s="314">
        <f t="shared" si="112"/>
        <v>0</v>
      </c>
      <c r="AJ410" s="314">
        <f t="shared" si="121"/>
        <v>0</v>
      </c>
      <c r="AK410" s="317"/>
      <c r="AL410" s="315">
        <f t="shared" si="113"/>
        <v>0</v>
      </c>
      <c r="AN410" s="546">
        <f t="shared" si="114"/>
        <v>0</v>
      </c>
      <c r="AO410" s="314"/>
      <c r="AP410" s="318"/>
    </row>
    <row r="411" spans="2:42">
      <c r="B411" s="296"/>
      <c r="C411" s="299"/>
      <c r="D411" s="298"/>
      <c r="E411" s="299"/>
      <c r="F411" s="299"/>
      <c r="G411" s="300"/>
      <c r="H411" s="303"/>
      <c r="I411" s="301">
        <f t="shared" si="105"/>
        <v>0</v>
      </c>
      <c r="J411" s="302">
        <f t="shared" si="115"/>
        <v>0</v>
      </c>
      <c r="K411" s="304">
        <f t="shared" si="106"/>
        <v>0</v>
      </c>
      <c r="L411" s="305">
        <f>IF(H411=0,0,IF(OR(E411=$AT$5,E411=$AT$6),AA411,IF(F411="MXN",1/HLOOKUP(YEAR(G411)+(MONTH(G411)/100),TC!$5:$37,DAY(G411)+2,FALSE),VLOOKUP(F411,Equivalencia!$5:$23,((MAX(Equivalencia!$3:$3)-YEAR(G411))*14)+MONTH(G411)+2,FALSE))))</f>
        <v>0</v>
      </c>
      <c r="M411" s="306">
        <f t="shared" si="107"/>
        <v>0</v>
      </c>
      <c r="N411" s="305">
        <f>IF(G411=0,0,(IF(OR(E411=$AT$5,E411=$AT$6),AC411,HLOOKUP(YEAR(G411)+(MONTH(G411)/100),TC!$5:$37,DAY(G411)+2,FALSE))))</f>
        <v>0</v>
      </c>
      <c r="O411" s="307">
        <f t="shared" si="116"/>
        <v>0</v>
      </c>
      <c r="P411" s="552">
        <f>IF(G411=0,0,VLOOKUP(YEAR(G411),INPC!$B$4:$P$30,MONTH(G411)+2))</f>
        <v>0</v>
      </c>
      <c r="Q411" s="552">
        <f>IF(X411=0,0,IF(OR(E411=$AT$10,E411=$AT$9),VLOOKUP(YEAR(X411),INPC!$B$4:$P$30,MONTH(X411)+1),VLOOKUP(YEAR(X411),INPC!$B$4:$P$30,MONTH(X411)+2,0)))</f>
        <v>0</v>
      </c>
      <c r="R411" s="309">
        <f t="shared" si="108"/>
        <v>0</v>
      </c>
      <c r="S411" s="310">
        <f t="shared" si="117"/>
        <v>0</v>
      </c>
      <c r="T411" s="547">
        <f t="shared" si="118"/>
        <v>0</v>
      </c>
      <c r="U411" s="311"/>
      <c r="V411" s="312"/>
      <c r="W411" s="299"/>
      <c r="X411" s="300"/>
      <c r="Y411" s="299"/>
      <c r="Z411" s="303"/>
      <c r="AA411" s="305">
        <f>IF(Z411=0,0,IF(Y411="MXN",1/HLOOKUP(YEAR(X411)+(MONTH(X411)/100),TC!$5:$37,DAY(X411)+2,FALSE),VLOOKUP(Y411,Equivalencia!$1:$23,((MAX(Equivalencia!$3:$3)-YEAR(X411))*14)+MONTH(X411)+2,FALSE)))</f>
        <v>0</v>
      </c>
      <c r="AB411" s="306">
        <f t="shared" si="119"/>
        <v>0</v>
      </c>
      <c r="AC411" s="305">
        <f>+IF(X411=0,0,HLOOKUP(YEAR(X411)+(MONTH(X411)/100),TC!$5:$37,DAY(X411)+2,FALSE))</f>
        <v>0</v>
      </c>
      <c r="AD411" s="307">
        <f t="shared" si="120"/>
        <v>0</v>
      </c>
      <c r="AE411" s="314">
        <f t="shared" si="109"/>
        <v>0</v>
      </c>
      <c r="AF411" s="315">
        <f t="shared" si="110"/>
        <v>0</v>
      </c>
      <c r="AG411" s="316">
        <f t="shared" si="111"/>
        <v>0</v>
      </c>
      <c r="AH411" s="314">
        <v>1</v>
      </c>
      <c r="AI411" s="314">
        <f t="shared" si="112"/>
        <v>0</v>
      </c>
      <c r="AJ411" s="314">
        <f t="shared" si="121"/>
        <v>0</v>
      </c>
      <c r="AK411" s="317"/>
      <c r="AL411" s="315">
        <f t="shared" si="113"/>
        <v>0</v>
      </c>
      <c r="AN411" s="546">
        <f t="shared" si="114"/>
        <v>0</v>
      </c>
      <c r="AO411" s="314"/>
      <c r="AP411" s="318"/>
    </row>
    <row r="412" spans="2:42">
      <c r="B412" s="296"/>
      <c r="C412" s="299"/>
      <c r="D412" s="298"/>
      <c r="E412" s="299"/>
      <c r="F412" s="299"/>
      <c r="G412" s="300"/>
      <c r="H412" s="303"/>
      <c r="I412" s="301">
        <f t="shared" si="105"/>
        <v>0</v>
      </c>
      <c r="J412" s="302">
        <f t="shared" si="115"/>
        <v>0</v>
      </c>
      <c r="K412" s="304">
        <f t="shared" si="106"/>
        <v>0</v>
      </c>
      <c r="L412" s="305">
        <f>IF(H412=0,0,IF(OR(E412=$AT$5,E412=$AT$6),AA412,IF(F412="MXN",1/HLOOKUP(YEAR(G412)+(MONTH(G412)/100),TC!$5:$37,DAY(G412)+2,FALSE),VLOOKUP(F412,Equivalencia!$5:$23,((MAX(Equivalencia!$3:$3)-YEAR(G412))*14)+MONTH(G412)+2,FALSE))))</f>
        <v>0</v>
      </c>
      <c r="M412" s="306">
        <f t="shared" si="107"/>
        <v>0</v>
      </c>
      <c r="N412" s="305">
        <f>IF(G412=0,0,(IF(OR(E412=$AT$5,E412=$AT$6),AC412,HLOOKUP(YEAR(G412)+(MONTH(G412)/100),TC!$5:$37,DAY(G412)+2,FALSE))))</f>
        <v>0</v>
      </c>
      <c r="O412" s="307">
        <f t="shared" si="116"/>
        <v>0</v>
      </c>
      <c r="P412" s="552">
        <f>IF(G412=0,0,VLOOKUP(YEAR(G412),INPC!$B$4:$P$30,MONTH(G412)+2))</f>
        <v>0</v>
      </c>
      <c r="Q412" s="552">
        <f>IF(X412=0,0,IF(OR(E412=$AT$10,E412=$AT$9),VLOOKUP(YEAR(X412),INPC!$B$4:$P$30,MONTH(X412)+1),VLOOKUP(YEAR(X412),INPC!$B$4:$P$30,MONTH(X412)+2,0)))</f>
        <v>0</v>
      </c>
      <c r="R412" s="309">
        <f t="shared" si="108"/>
        <v>0</v>
      </c>
      <c r="S412" s="310">
        <f t="shared" si="117"/>
        <v>0</v>
      </c>
      <c r="T412" s="547">
        <f t="shared" si="118"/>
        <v>0</v>
      </c>
      <c r="U412" s="311"/>
      <c r="V412" s="312"/>
      <c r="W412" s="299"/>
      <c r="X412" s="300"/>
      <c r="Y412" s="299"/>
      <c r="Z412" s="303"/>
      <c r="AA412" s="305">
        <f>IF(Z412=0,0,IF(Y412="MXN",1/HLOOKUP(YEAR(X412)+(MONTH(X412)/100),TC!$5:$37,DAY(X412)+2,FALSE),VLOOKUP(Y412,Equivalencia!$1:$23,((MAX(Equivalencia!$3:$3)-YEAR(X412))*14)+MONTH(X412)+2,FALSE)))</f>
        <v>0</v>
      </c>
      <c r="AB412" s="306">
        <f t="shared" si="119"/>
        <v>0</v>
      </c>
      <c r="AC412" s="305">
        <f>+IF(X412=0,0,HLOOKUP(YEAR(X412)+(MONTH(X412)/100),TC!$5:$37,DAY(X412)+2,FALSE))</f>
        <v>0</v>
      </c>
      <c r="AD412" s="307">
        <f t="shared" si="120"/>
        <v>0</v>
      </c>
      <c r="AE412" s="314">
        <f t="shared" si="109"/>
        <v>0</v>
      </c>
      <c r="AF412" s="315">
        <f t="shared" si="110"/>
        <v>0</v>
      </c>
      <c r="AG412" s="316">
        <f t="shared" si="111"/>
        <v>0</v>
      </c>
      <c r="AH412" s="314">
        <v>1</v>
      </c>
      <c r="AI412" s="314">
        <f t="shared" si="112"/>
        <v>0</v>
      </c>
      <c r="AJ412" s="314">
        <f t="shared" si="121"/>
        <v>0</v>
      </c>
      <c r="AK412" s="317"/>
      <c r="AL412" s="315">
        <f t="shared" si="113"/>
        <v>0</v>
      </c>
      <c r="AN412" s="546">
        <f t="shared" si="114"/>
        <v>0</v>
      </c>
      <c r="AO412" s="314"/>
      <c r="AP412" s="318"/>
    </row>
    <row r="413" spans="2:42">
      <c r="B413" s="296"/>
      <c r="C413" s="299"/>
      <c r="D413" s="298"/>
      <c r="E413" s="299"/>
      <c r="F413" s="299"/>
      <c r="G413" s="300"/>
      <c r="H413" s="303"/>
      <c r="I413" s="301">
        <f t="shared" si="105"/>
        <v>0</v>
      </c>
      <c r="J413" s="302">
        <f t="shared" si="115"/>
        <v>0</v>
      </c>
      <c r="K413" s="304">
        <f t="shared" si="106"/>
        <v>0</v>
      </c>
      <c r="L413" s="305">
        <f>IF(H413=0,0,IF(OR(E413=$AT$5,E413=$AT$6),AA413,IF(F413="MXN",1/HLOOKUP(YEAR(G413)+(MONTH(G413)/100),TC!$5:$37,DAY(G413)+2,FALSE),VLOOKUP(F413,Equivalencia!$5:$23,((MAX(Equivalencia!$3:$3)-YEAR(G413))*14)+MONTH(G413)+2,FALSE))))</f>
        <v>0</v>
      </c>
      <c r="M413" s="306">
        <f t="shared" si="107"/>
        <v>0</v>
      </c>
      <c r="N413" s="305">
        <f>IF(G413=0,0,(IF(OR(E413=$AT$5,E413=$AT$6),AC413,HLOOKUP(YEAR(G413)+(MONTH(G413)/100),TC!$5:$37,DAY(G413)+2,FALSE))))</f>
        <v>0</v>
      </c>
      <c r="O413" s="307">
        <f t="shared" si="116"/>
        <v>0</v>
      </c>
      <c r="P413" s="552">
        <f>IF(G413=0,0,VLOOKUP(YEAR(G413),INPC!$B$4:$P$30,MONTH(G413)+2))</f>
        <v>0</v>
      </c>
      <c r="Q413" s="552">
        <f>IF(X413=0,0,IF(OR(E413=$AT$10,E413=$AT$9),VLOOKUP(YEAR(X413),INPC!$B$4:$P$30,MONTH(X413)+1),VLOOKUP(YEAR(X413),INPC!$B$4:$P$30,MONTH(X413)+2,0)))</f>
        <v>0</v>
      </c>
      <c r="R413" s="309">
        <f t="shared" si="108"/>
        <v>0</v>
      </c>
      <c r="S413" s="310">
        <f t="shared" si="117"/>
        <v>0</v>
      </c>
      <c r="T413" s="547">
        <f t="shared" si="118"/>
        <v>0</v>
      </c>
      <c r="U413" s="311"/>
      <c r="V413" s="312"/>
      <c r="W413" s="299"/>
      <c r="X413" s="300"/>
      <c r="Y413" s="299"/>
      <c r="Z413" s="303"/>
      <c r="AA413" s="305">
        <f>IF(Z413=0,0,IF(Y413="MXN",1/HLOOKUP(YEAR(X413)+(MONTH(X413)/100),TC!$5:$37,DAY(X413)+2,FALSE),VLOOKUP(Y413,Equivalencia!$1:$23,((MAX(Equivalencia!$3:$3)-YEAR(X413))*14)+MONTH(X413)+2,FALSE)))</f>
        <v>0</v>
      </c>
      <c r="AB413" s="306">
        <f t="shared" si="119"/>
        <v>0</v>
      </c>
      <c r="AC413" s="305">
        <f>+IF(X413=0,0,HLOOKUP(YEAR(X413)+(MONTH(X413)/100),TC!$5:$37,DAY(X413)+2,FALSE))</f>
        <v>0</v>
      </c>
      <c r="AD413" s="307">
        <f t="shared" si="120"/>
        <v>0</v>
      </c>
      <c r="AE413" s="314">
        <f t="shared" si="109"/>
        <v>0</v>
      </c>
      <c r="AF413" s="315">
        <f t="shared" si="110"/>
        <v>0</v>
      </c>
      <c r="AG413" s="316">
        <f t="shared" si="111"/>
        <v>0</v>
      </c>
      <c r="AH413" s="314">
        <v>1</v>
      </c>
      <c r="AI413" s="314">
        <f t="shared" si="112"/>
        <v>0</v>
      </c>
      <c r="AJ413" s="314">
        <f t="shared" si="121"/>
        <v>0</v>
      </c>
      <c r="AK413" s="317"/>
      <c r="AL413" s="315">
        <f t="shared" si="113"/>
        <v>0</v>
      </c>
      <c r="AN413" s="546">
        <f t="shared" si="114"/>
        <v>0</v>
      </c>
      <c r="AO413" s="314"/>
      <c r="AP413" s="318"/>
    </row>
    <row r="414" spans="2:42">
      <c r="B414" s="296"/>
      <c r="C414" s="299"/>
      <c r="D414" s="298"/>
      <c r="E414" s="299"/>
      <c r="F414" s="299"/>
      <c r="G414" s="300"/>
      <c r="H414" s="303"/>
      <c r="I414" s="301">
        <f t="shared" si="105"/>
        <v>0</v>
      </c>
      <c r="J414" s="302">
        <f t="shared" si="115"/>
        <v>0</v>
      </c>
      <c r="K414" s="304">
        <f t="shared" si="106"/>
        <v>0</v>
      </c>
      <c r="L414" s="305">
        <f>IF(H414=0,0,IF(OR(E414=$AT$5,E414=$AT$6),AA414,IF(F414="MXN",1/HLOOKUP(YEAR(G414)+(MONTH(G414)/100),TC!$5:$37,DAY(G414)+2,FALSE),VLOOKUP(F414,Equivalencia!$5:$23,((MAX(Equivalencia!$3:$3)-YEAR(G414))*14)+MONTH(G414)+2,FALSE))))</f>
        <v>0</v>
      </c>
      <c r="M414" s="306">
        <f t="shared" si="107"/>
        <v>0</v>
      </c>
      <c r="N414" s="305">
        <f>IF(G414=0,0,(IF(OR(E414=$AT$5,E414=$AT$6),AC414,HLOOKUP(YEAR(G414)+(MONTH(G414)/100),TC!$5:$37,DAY(G414)+2,FALSE))))</f>
        <v>0</v>
      </c>
      <c r="O414" s="307">
        <f t="shared" si="116"/>
        <v>0</v>
      </c>
      <c r="P414" s="552">
        <f>IF(G414=0,0,VLOOKUP(YEAR(G414),INPC!$B$4:$P$30,MONTH(G414)+2))</f>
        <v>0</v>
      </c>
      <c r="Q414" s="552">
        <f>IF(X414=0,0,IF(OR(E414=$AT$10,E414=$AT$9),VLOOKUP(YEAR(X414),INPC!$B$4:$P$30,MONTH(X414)+1),VLOOKUP(YEAR(X414),INPC!$B$4:$P$30,MONTH(X414)+2,0)))</f>
        <v>0</v>
      </c>
      <c r="R414" s="309">
        <f t="shared" si="108"/>
        <v>0</v>
      </c>
      <c r="S414" s="310">
        <f t="shared" si="117"/>
        <v>0</v>
      </c>
      <c r="T414" s="547">
        <f t="shared" si="118"/>
        <v>0</v>
      </c>
      <c r="U414" s="311"/>
      <c r="V414" s="312"/>
      <c r="W414" s="299"/>
      <c r="X414" s="300"/>
      <c r="Y414" s="299"/>
      <c r="Z414" s="303"/>
      <c r="AA414" s="305">
        <f>IF(Z414=0,0,IF(Y414="MXN",1/HLOOKUP(YEAR(X414)+(MONTH(X414)/100),TC!$5:$37,DAY(X414)+2,FALSE),VLOOKUP(Y414,Equivalencia!$1:$23,((MAX(Equivalencia!$3:$3)-YEAR(X414))*14)+MONTH(X414)+2,FALSE)))</f>
        <v>0</v>
      </c>
      <c r="AB414" s="306">
        <f t="shared" si="119"/>
        <v>0</v>
      </c>
      <c r="AC414" s="305">
        <f>+IF(X414=0,0,HLOOKUP(YEAR(X414)+(MONTH(X414)/100),TC!$5:$37,DAY(X414)+2,FALSE))</f>
        <v>0</v>
      </c>
      <c r="AD414" s="307">
        <f t="shared" si="120"/>
        <v>0</v>
      </c>
      <c r="AE414" s="314">
        <f t="shared" si="109"/>
        <v>0</v>
      </c>
      <c r="AF414" s="315">
        <f t="shared" si="110"/>
        <v>0</v>
      </c>
      <c r="AG414" s="316">
        <f t="shared" si="111"/>
        <v>0</v>
      </c>
      <c r="AH414" s="314">
        <v>1</v>
      </c>
      <c r="AI414" s="314">
        <f t="shared" si="112"/>
        <v>0</v>
      </c>
      <c r="AJ414" s="314">
        <f t="shared" si="121"/>
        <v>0</v>
      </c>
      <c r="AK414" s="317"/>
      <c r="AL414" s="315">
        <f t="shared" si="113"/>
        <v>0</v>
      </c>
      <c r="AN414" s="546">
        <f t="shared" si="114"/>
        <v>0</v>
      </c>
      <c r="AO414" s="314"/>
      <c r="AP414" s="318"/>
    </row>
    <row r="415" spans="2:42">
      <c r="B415" s="296"/>
      <c r="C415" s="299"/>
      <c r="D415" s="298"/>
      <c r="E415" s="299"/>
      <c r="F415" s="299"/>
      <c r="G415" s="300"/>
      <c r="H415" s="303"/>
      <c r="I415" s="301">
        <f t="shared" si="105"/>
        <v>0</v>
      </c>
      <c r="J415" s="302">
        <f t="shared" si="115"/>
        <v>0</v>
      </c>
      <c r="K415" s="304">
        <f t="shared" si="106"/>
        <v>0</v>
      </c>
      <c r="L415" s="305">
        <f>IF(H415=0,0,IF(OR(E415=$AT$5,E415=$AT$6),AA415,IF(F415="MXN",1/HLOOKUP(YEAR(G415)+(MONTH(G415)/100),TC!$5:$37,DAY(G415)+2,FALSE),VLOOKUP(F415,Equivalencia!$5:$23,((MAX(Equivalencia!$3:$3)-YEAR(G415))*14)+MONTH(G415)+2,FALSE))))</f>
        <v>0</v>
      </c>
      <c r="M415" s="306">
        <f t="shared" si="107"/>
        <v>0</v>
      </c>
      <c r="N415" s="305">
        <f>IF(G415=0,0,(IF(OR(E415=$AT$5,E415=$AT$6),AC415,HLOOKUP(YEAR(G415)+(MONTH(G415)/100),TC!$5:$37,DAY(G415)+2,FALSE))))</f>
        <v>0</v>
      </c>
      <c r="O415" s="307">
        <f t="shared" si="116"/>
        <v>0</v>
      </c>
      <c r="P415" s="552">
        <f>IF(G415=0,0,VLOOKUP(YEAR(G415),INPC!$B$4:$P$30,MONTH(G415)+2))</f>
        <v>0</v>
      </c>
      <c r="Q415" s="552">
        <f>IF(X415=0,0,IF(OR(E415=$AT$10,E415=$AT$9),VLOOKUP(YEAR(X415),INPC!$B$4:$P$30,MONTH(X415)+1),VLOOKUP(YEAR(X415),INPC!$B$4:$P$30,MONTH(X415)+2,0)))</f>
        <v>0</v>
      </c>
      <c r="R415" s="309">
        <f t="shared" si="108"/>
        <v>0</v>
      </c>
      <c r="S415" s="310">
        <f t="shared" si="117"/>
        <v>0</v>
      </c>
      <c r="T415" s="547">
        <f t="shared" si="118"/>
        <v>0</v>
      </c>
      <c r="U415" s="311"/>
      <c r="V415" s="312"/>
      <c r="W415" s="299"/>
      <c r="X415" s="300"/>
      <c r="Y415" s="299"/>
      <c r="Z415" s="303"/>
      <c r="AA415" s="305">
        <f>IF(Z415=0,0,IF(Y415="MXN",1/HLOOKUP(YEAR(X415)+(MONTH(X415)/100),TC!$5:$37,DAY(X415)+2,FALSE),VLOOKUP(Y415,Equivalencia!$1:$23,((MAX(Equivalencia!$3:$3)-YEAR(X415))*14)+MONTH(X415)+2,FALSE)))</f>
        <v>0</v>
      </c>
      <c r="AB415" s="306">
        <f t="shared" si="119"/>
        <v>0</v>
      </c>
      <c r="AC415" s="305">
        <f>+IF(X415=0,0,HLOOKUP(YEAR(X415)+(MONTH(X415)/100),TC!$5:$37,DAY(X415)+2,FALSE))</f>
        <v>0</v>
      </c>
      <c r="AD415" s="307">
        <f t="shared" si="120"/>
        <v>0</v>
      </c>
      <c r="AE415" s="314">
        <f t="shared" si="109"/>
        <v>0</v>
      </c>
      <c r="AF415" s="315">
        <f t="shared" si="110"/>
        <v>0</v>
      </c>
      <c r="AG415" s="316">
        <f t="shared" si="111"/>
        <v>0</v>
      </c>
      <c r="AH415" s="314">
        <v>1</v>
      </c>
      <c r="AI415" s="314">
        <f t="shared" si="112"/>
        <v>0</v>
      </c>
      <c r="AJ415" s="314">
        <f t="shared" si="121"/>
        <v>0</v>
      </c>
      <c r="AK415" s="317"/>
      <c r="AL415" s="315">
        <f t="shared" si="113"/>
        <v>0</v>
      </c>
      <c r="AN415" s="546">
        <f t="shared" si="114"/>
        <v>0</v>
      </c>
      <c r="AO415" s="314"/>
      <c r="AP415" s="318"/>
    </row>
    <row r="416" spans="2:42">
      <c r="B416" s="296"/>
      <c r="C416" s="299"/>
      <c r="D416" s="298"/>
      <c r="E416" s="299"/>
      <c r="F416" s="299"/>
      <c r="G416" s="300"/>
      <c r="H416" s="303"/>
      <c r="I416" s="301">
        <f t="shared" si="105"/>
        <v>0</v>
      </c>
      <c r="J416" s="302">
        <f t="shared" si="115"/>
        <v>0</v>
      </c>
      <c r="K416" s="304">
        <f t="shared" si="106"/>
        <v>0</v>
      </c>
      <c r="L416" s="305">
        <f>IF(H416=0,0,IF(OR(E416=$AT$5,E416=$AT$6),AA416,IF(F416="MXN",1/HLOOKUP(YEAR(G416)+(MONTH(G416)/100),TC!$5:$37,DAY(G416)+2,FALSE),VLOOKUP(F416,Equivalencia!$5:$23,((MAX(Equivalencia!$3:$3)-YEAR(G416))*14)+MONTH(G416)+2,FALSE))))</f>
        <v>0</v>
      </c>
      <c r="M416" s="306">
        <f t="shared" si="107"/>
        <v>0</v>
      </c>
      <c r="N416" s="305">
        <f>IF(G416=0,0,(IF(OR(E416=$AT$5,E416=$AT$6),AC416,HLOOKUP(YEAR(G416)+(MONTH(G416)/100),TC!$5:$37,DAY(G416)+2,FALSE))))</f>
        <v>0</v>
      </c>
      <c r="O416" s="307">
        <f t="shared" si="116"/>
        <v>0</v>
      </c>
      <c r="P416" s="552">
        <f>IF(G416=0,0,VLOOKUP(YEAR(G416),INPC!$B$4:$P$30,MONTH(G416)+2))</f>
        <v>0</v>
      </c>
      <c r="Q416" s="552">
        <f>IF(X416=0,0,IF(OR(E416=$AT$10,E416=$AT$9),VLOOKUP(YEAR(X416),INPC!$B$4:$P$30,MONTH(X416)+1),VLOOKUP(YEAR(X416),INPC!$B$4:$P$30,MONTH(X416)+2,0)))</f>
        <v>0</v>
      </c>
      <c r="R416" s="309">
        <f t="shared" si="108"/>
        <v>0</v>
      </c>
      <c r="S416" s="310">
        <f t="shared" si="117"/>
        <v>0</v>
      </c>
      <c r="T416" s="547">
        <f t="shared" si="118"/>
        <v>0</v>
      </c>
      <c r="U416" s="311"/>
      <c r="V416" s="312"/>
      <c r="W416" s="299"/>
      <c r="X416" s="300"/>
      <c r="Y416" s="299"/>
      <c r="Z416" s="303"/>
      <c r="AA416" s="305">
        <f>IF(Z416=0,0,IF(Y416="MXN",1/HLOOKUP(YEAR(X416)+(MONTH(X416)/100),TC!$5:$37,DAY(X416)+2,FALSE),VLOOKUP(Y416,Equivalencia!$1:$23,((MAX(Equivalencia!$3:$3)-YEAR(X416))*14)+MONTH(X416)+2,FALSE)))</f>
        <v>0</v>
      </c>
      <c r="AB416" s="306">
        <f t="shared" si="119"/>
        <v>0</v>
      </c>
      <c r="AC416" s="305">
        <f>+IF(X416=0,0,HLOOKUP(YEAR(X416)+(MONTH(X416)/100),TC!$5:$37,DAY(X416)+2,FALSE))</f>
        <v>0</v>
      </c>
      <c r="AD416" s="307">
        <f t="shared" si="120"/>
        <v>0</v>
      </c>
      <c r="AE416" s="314">
        <f t="shared" si="109"/>
        <v>0</v>
      </c>
      <c r="AF416" s="315">
        <f t="shared" si="110"/>
        <v>0</v>
      </c>
      <c r="AG416" s="316">
        <f t="shared" si="111"/>
        <v>0</v>
      </c>
      <c r="AH416" s="314">
        <v>1</v>
      </c>
      <c r="AI416" s="314">
        <f t="shared" si="112"/>
        <v>0</v>
      </c>
      <c r="AJ416" s="314">
        <f t="shared" si="121"/>
        <v>0</v>
      </c>
      <c r="AK416" s="317"/>
      <c r="AL416" s="315">
        <f t="shared" si="113"/>
        <v>0</v>
      </c>
      <c r="AN416" s="546">
        <f t="shared" si="114"/>
        <v>0</v>
      </c>
      <c r="AO416" s="314"/>
      <c r="AP416" s="318"/>
    </row>
    <row r="417" spans="2:42">
      <c r="B417" s="296"/>
      <c r="C417" s="299"/>
      <c r="D417" s="298"/>
      <c r="E417" s="299"/>
      <c r="F417" s="299"/>
      <c r="G417" s="300"/>
      <c r="H417" s="303"/>
      <c r="I417" s="301">
        <f t="shared" si="105"/>
        <v>0</v>
      </c>
      <c r="J417" s="302">
        <f t="shared" si="115"/>
        <v>0</v>
      </c>
      <c r="K417" s="304">
        <f t="shared" si="106"/>
        <v>0</v>
      </c>
      <c r="L417" s="305">
        <f>IF(H417=0,0,IF(OR(E417=$AT$5,E417=$AT$6),AA417,IF(F417="MXN",1/HLOOKUP(YEAR(G417)+(MONTH(G417)/100),TC!$5:$37,DAY(G417)+2,FALSE),VLOOKUP(F417,Equivalencia!$5:$23,((MAX(Equivalencia!$3:$3)-YEAR(G417))*14)+MONTH(G417)+2,FALSE))))</f>
        <v>0</v>
      </c>
      <c r="M417" s="306">
        <f t="shared" si="107"/>
        <v>0</v>
      </c>
      <c r="N417" s="305">
        <f>IF(G417=0,0,(IF(OR(E417=$AT$5,E417=$AT$6),AC417,HLOOKUP(YEAR(G417)+(MONTH(G417)/100),TC!$5:$37,DAY(G417)+2,FALSE))))</f>
        <v>0</v>
      </c>
      <c r="O417" s="307">
        <f t="shared" si="116"/>
        <v>0</v>
      </c>
      <c r="P417" s="552">
        <f>IF(G417=0,0,VLOOKUP(YEAR(G417),INPC!$B$4:$P$30,MONTH(G417)+2))</f>
        <v>0</v>
      </c>
      <c r="Q417" s="552">
        <f>IF(X417=0,0,IF(OR(E417=$AT$10,E417=$AT$9),VLOOKUP(YEAR(X417),INPC!$B$4:$P$30,MONTH(X417)+1),VLOOKUP(YEAR(X417),INPC!$B$4:$P$30,MONTH(X417)+2,0)))</f>
        <v>0</v>
      </c>
      <c r="R417" s="309">
        <f t="shared" si="108"/>
        <v>0</v>
      </c>
      <c r="S417" s="310">
        <f t="shared" si="117"/>
        <v>0</v>
      </c>
      <c r="T417" s="547">
        <f t="shared" si="118"/>
        <v>0</v>
      </c>
      <c r="U417" s="311"/>
      <c r="V417" s="312"/>
      <c r="W417" s="299"/>
      <c r="X417" s="300"/>
      <c r="Y417" s="299"/>
      <c r="Z417" s="303"/>
      <c r="AA417" s="305">
        <f>IF(Z417=0,0,IF(Y417="MXN",1/HLOOKUP(YEAR(X417)+(MONTH(X417)/100),TC!$5:$37,DAY(X417)+2,FALSE),VLOOKUP(Y417,Equivalencia!$1:$23,((MAX(Equivalencia!$3:$3)-YEAR(X417))*14)+MONTH(X417)+2,FALSE)))</f>
        <v>0</v>
      </c>
      <c r="AB417" s="306">
        <f t="shared" si="119"/>
        <v>0</v>
      </c>
      <c r="AC417" s="305">
        <f>+IF(X417=0,0,HLOOKUP(YEAR(X417)+(MONTH(X417)/100),TC!$5:$37,DAY(X417)+2,FALSE))</f>
        <v>0</v>
      </c>
      <c r="AD417" s="307">
        <f t="shared" si="120"/>
        <v>0</v>
      </c>
      <c r="AE417" s="314">
        <f t="shared" si="109"/>
        <v>0</v>
      </c>
      <c r="AF417" s="315">
        <f t="shared" si="110"/>
        <v>0</v>
      </c>
      <c r="AG417" s="316">
        <f t="shared" si="111"/>
        <v>0</v>
      </c>
      <c r="AH417" s="314">
        <v>1</v>
      </c>
      <c r="AI417" s="314">
        <f t="shared" si="112"/>
        <v>0</v>
      </c>
      <c r="AJ417" s="314">
        <f t="shared" si="121"/>
        <v>0</v>
      </c>
      <c r="AK417" s="317"/>
      <c r="AL417" s="315">
        <f t="shared" si="113"/>
        <v>0</v>
      </c>
      <c r="AN417" s="546">
        <f t="shared" si="114"/>
        <v>0</v>
      </c>
      <c r="AO417" s="314"/>
      <c r="AP417" s="318"/>
    </row>
    <row r="418" spans="2:42">
      <c r="B418" s="296"/>
      <c r="C418" s="299"/>
      <c r="D418" s="298"/>
      <c r="E418" s="299"/>
      <c r="F418" s="299"/>
      <c r="G418" s="300"/>
      <c r="H418" s="303"/>
      <c r="I418" s="301">
        <f t="shared" si="105"/>
        <v>0</v>
      </c>
      <c r="J418" s="302">
        <f t="shared" si="115"/>
        <v>0</v>
      </c>
      <c r="K418" s="304">
        <f t="shared" si="106"/>
        <v>0</v>
      </c>
      <c r="L418" s="305">
        <f>IF(H418=0,0,IF(OR(E418=$AT$5,E418=$AT$6),AA418,IF(F418="MXN",1/HLOOKUP(YEAR(G418)+(MONTH(G418)/100),TC!$5:$37,DAY(G418)+2,FALSE),VLOOKUP(F418,Equivalencia!$5:$23,((MAX(Equivalencia!$3:$3)-YEAR(G418))*14)+MONTH(G418)+2,FALSE))))</f>
        <v>0</v>
      </c>
      <c r="M418" s="306">
        <f t="shared" si="107"/>
        <v>0</v>
      </c>
      <c r="N418" s="305">
        <f>IF(G418=0,0,(IF(OR(E418=$AT$5,E418=$AT$6),AC418,HLOOKUP(YEAR(G418)+(MONTH(G418)/100),TC!$5:$37,DAY(G418)+2,FALSE))))</f>
        <v>0</v>
      </c>
      <c r="O418" s="307">
        <f t="shared" si="116"/>
        <v>0</v>
      </c>
      <c r="P418" s="552">
        <f>IF(G418=0,0,VLOOKUP(YEAR(G418),INPC!$B$4:$P$30,MONTH(G418)+2))</f>
        <v>0</v>
      </c>
      <c r="Q418" s="552">
        <f>IF(X418=0,0,IF(OR(E418=$AT$10,E418=$AT$9),VLOOKUP(YEAR(X418),INPC!$B$4:$P$30,MONTH(X418)+1),VLOOKUP(YEAR(X418),INPC!$B$4:$P$30,MONTH(X418)+2,0)))</f>
        <v>0</v>
      </c>
      <c r="R418" s="309">
        <f t="shared" si="108"/>
        <v>0</v>
      </c>
      <c r="S418" s="310">
        <f t="shared" si="117"/>
        <v>0</v>
      </c>
      <c r="T418" s="547">
        <f t="shared" si="118"/>
        <v>0</v>
      </c>
      <c r="U418" s="311"/>
      <c r="V418" s="312"/>
      <c r="W418" s="299"/>
      <c r="X418" s="300"/>
      <c r="Y418" s="299"/>
      <c r="Z418" s="303"/>
      <c r="AA418" s="305">
        <f>IF(Z418=0,0,IF(Y418="MXN",1/HLOOKUP(YEAR(X418)+(MONTH(X418)/100),TC!$5:$37,DAY(X418)+2,FALSE),VLOOKUP(Y418,Equivalencia!$1:$23,((MAX(Equivalencia!$3:$3)-YEAR(X418))*14)+MONTH(X418)+2,FALSE)))</f>
        <v>0</v>
      </c>
      <c r="AB418" s="306">
        <f t="shared" si="119"/>
        <v>0</v>
      </c>
      <c r="AC418" s="305">
        <f>+IF(X418=0,0,HLOOKUP(YEAR(X418)+(MONTH(X418)/100),TC!$5:$37,DAY(X418)+2,FALSE))</f>
        <v>0</v>
      </c>
      <c r="AD418" s="307">
        <f t="shared" si="120"/>
        <v>0</v>
      </c>
      <c r="AE418" s="314">
        <f t="shared" si="109"/>
        <v>0</v>
      </c>
      <c r="AF418" s="315">
        <f t="shared" si="110"/>
        <v>0</v>
      </c>
      <c r="AG418" s="316">
        <f t="shared" si="111"/>
        <v>0</v>
      </c>
      <c r="AH418" s="314">
        <v>1</v>
      </c>
      <c r="AI418" s="314">
        <f t="shared" si="112"/>
        <v>0</v>
      </c>
      <c r="AJ418" s="314">
        <f t="shared" si="121"/>
        <v>0</v>
      </c>
      <c r="AK418" s="317"/>
      <c r="AL418" s="315">
        <f t="shared" si="113"/>
        <v>0</v>
      </c>
      <c r="AN418" s="546">
        <f t="shared" si="114"/>
        <v>0</v>
      </c>
      <c r="AO418" s="314"/>
      <c r="AP418" s="318"/>
    </row>
    <row r="419" spans="2:42">
      <c r="B419" s="296"/>
      <c r="C419" s="299"/>
      <c r="D419" s="298"/>
      <c r="E419" s="299"/>
      <c r="F419" s="299"/>
      <c r="G419" s="300"/>
      <c r="H419" s="303"/>
      <c r="I419" s="301">
        <f t="shared" si="105"/>
        <v>0</v>
      </c>
      <c r="J419" s="302">
        <f t="shared" si="115"/>
        <v>0</v>
      </c>
      <c r="K419" s="304">
        <f t="shared" si="106"/>
        <v>0</v>
      </c>
      <c r="L419" s="305">
        <f>IF(H419=0,0,IF(OR(E419=$AT$5,E419=$AT$6),AA419,IF(F419="MXN",1/HLOOKUP(YEAR(G419)+(MONTH(G419)/100),TC!$5:$37,DAY(G419)+2,FALSE),VLOOKUP(F419,Equivalencia!$5:$23,((MAX(Equivalencia!$3:$3)-YEAR(G419))*14)+MONTH(G419)+2,FALSE))))</f>
        <v>0</v>
      </c>
      <c r="M419" s="306">
        <f t="shared" si="107"/>
        <v>0</v>
      </c>
      <c r="N419" s="305">
        <f>IF(G419=0,0,(IF(OR(E419=$AT$5,E419=$AT$6),AC419,HLOOKUP(YEAR(G419)+(MONTH(G419)/100),TC!$5:$37,DAY(G419)+2,FALSE))))</f>
        <v>0</v>
      </c>
      <c r="O419" s="307">
        <f t="shared" si="116"/>
        <v>0</v>
      </c>
      <c r="P419" s="552">
        <f>IF(G419=0,0,VLOOKUP(YEAR(G419),INPC!$B$4:$P$30,MONTH(G419)+2))</f>
        <v>0</v>
      </c>
      <c r="Q419" s="552">
        <f>IF(X419=0,0,IF(OR(E419=$AT$10,E419=$AT$9),VLOOKUP(YEAR(X419),INPC!$B$4:$P$30,MONTH(X419)+1),VLOOKUP(YEAR(X419),INPC!$B$4:$P$30,MONTH(X419)+2,0)))</f>
        <v>0</v>
      </c>
      <c r="R419" s="309">
        <f t="shared" si="108"/>
        <v>0</v>
      </c>
      <c r="S419" s="310">
        <f t="shared" si="117"/>
        <v>0</v>
      </c>
      <c r="T419" s="547">
        <f t="shared" si="118"/>
        <v>0</v>
      </c>
      <c r="U419" s="311"/>
      <c r="V419" s="312"/>
      <c r="W419" s="299"/>
      <c r="X419" s="300"/>
      <c r="Y419" s="299"/>
      <c r="Z419" s="303"/>
      <c r="AA419" s="305">
        <f>IF(Z419=0,0,IF(Y419="MXN",1/HLOOKUP(YEAR(X419)+(MONTH(X419)/100),TC!$5:$37,DAY(X419)+2,FALSE),VLOOKUP(Y419,Equivalencia!$1:$23,((MAX(Equivalencia!$3:$3)-YEAR(X419))*14)+MONTH(X419)+2,FALSE)))</f>
        <v>0</v>
      </c>
      <c r="AB419" s="306">
        <f t="shared" si="119"/>
        <v>0</v>
      </c>
      <c r="AC419" s="305">
        <f>+IF(X419=0,0,HLOOKUP(YEAR(X419)+(MONTH(X419)/100),TC!$5:$37,DAY(X419)+2,FALSE))</f>
        <v>0</v>
      </c>
      <c r="AD419" s="307">
        <f t="shared" si="120"/>
        <v>0</v>
      </c>
      <c r="AE419" s="314">
        <f t="shared" si="109"/>
        <v>0</v>
      </c>
      <c r="AF419" s="315">
        <f t="shared" si="110"/>
        <v>0</v>
      </c>
      <c r="AG419" s="316">
        <f t="shared" si="111"/>
        <v>0</v>
      </c>
      <c r="AH419" s="314">
        <v>1</v>
      </c>
      <c r="AI419" s="314">
        <f t="shared" si="112"/>
        <v>0</v>
      </c>
      <c r="AJ419" s="314">
        <f t="shared" si="121"/>
        <v>0</v>
      </c>
      <c r="AK419" s="317"/>
      <c r="AL419" s="315">
        <f t="shared" si="113"/>
        <v>0</v>
      </c>
      <c r="AN419" s="546">
        <f t="shared" si="114"/>
        <v>0</v>
      </c>
      <c r="AO419" s="314"/>
      <c r="AP419" s="318"/>
    </row>
    <row r="420" spans="2:42">
      <c r="B420" s="296"/>
      <c r="C420" s="299"/>
      <c r="D420" s="298"/>
      <c r="E420" s="299"/>
      <c r="F420" s="299"/>
      <c r="G420" s="300"/>
      <c r="H420" s="303"/>
      <c r="I420" s="301">
        <f t="shared" si="105"/>
        <v>0</v>
      </c>
      <c r="J420" s="302">
        <f t="shared" si="115"/>
        <v>0</v>
      </c>
      <c r="K420" s="304">
        <f t="shared" si="106"/>
        <v>0</v>
      </c>
      <c r="L420" s="305">
        <f>IF(H420=0,0,IF(OR(E420=$AT$5,E420=$AT$6),AA420,IF(F420="MXN",1/HLOOKUP(YEAR(G420)+(MONTH(G420)/100),TC!$5:$37,DAY(G420)+2,FALSE),VLOOKUP(F420,Equivalencia!$5:$23,((MAX(Equivalencia!$3:$3)-YEAR(G420))*14)+MONTH(G420)+2,FALSE))))</f>
        <v>0</v>
      </c>
      <c r="M420" s="306">
        <f t="shared" si="107"/>
        <v>0</v>
      </c>
      <c r="N420" s="305">
        <f>IF(G420=0,0,(IF(OR(E420=$AT$5,E420=$AT$6),AC420,HLOOKUP(YEAR(G420)+(MONTH(G420)/100),TC!$5:$37,DAY(G420)+2,FALSE))))</f>
        <v>0</v>
      </c>
      <c r="O420" s="307">
        <f t="shared" si="116"/>
        <v>0</v>
      </c>
      <c r="P420" s="552">
        <f>IF(G420=0,0,VLOOKUP(YEAR(G420),INPC!$B$4:$P$30,MONTH(G420)+2))</f>
        <v>0</v>
      </c>
      <c r="Q420" s="552">
        <f>IF(X420=0,0,IF(OR(E420=$AT$10,E420=$AT$9),VLOOKUP(YEAR(X420),INPC!$B$4:$P$30,MONTH(X420)+1),VLOOKUP(YEAR(X420),INPC!$B$4:$P$30,MONTH(X420)+2,0)))</f>
        <v>0</v>
      </c>
      <c r="R420" s="309">
        <f t="shared" si="108"/>
        <v>0</v>
      </c>
      <c r="S420" s="310">
        <f t="shared" si="117"/>
        <v>0</v>
      </c>
      <c r="T420" s="547">
        <f t="shared" si="118"/>
        <v>0</v>
      </c>
      <c r="U420" s="311"/>
      <c r="V420" s="312"/>
      <c r="W420" s="299"/>
      <c r="X420" s="300"/>
      <c r="Y420" s="299"/>
      <c r="Z420" s="303"/>
      <c r="AA420" s="305">
        <f>IF(Z420=0,0,IF(Y420="MXN",1/HLOOKUP(YEAR(X420)+(MONTH(X420)/100),TC!$5:$37,DAY(X420)+2,FALSE),VLOOKUP(Y420,Equivalencia!$1:$23,((MAX(Equivalencia!$3:$3)-YEAR(X420))*14)+MONTH(X420)+2,FALSE)))</f>
        <v>0</v>
      </c>
      <c r="AB420" s="306">
        <f t="shared" si="119"/>
        <v>0</v>
      </c>
      <c r="AC420" s="305">
        <f>+IF(X420=0,0,HLOOKUP(YEAR(X420)+(MONTH(X420)/100),TC!$5:$37,DAY(X420)+2,FALSE))</f>
        <v>0</v>
      </c>
      <c r="AD420" s="307">
        <f t="shared" si="120"/>
        <v>0</v>
      </c>
      <c r="AE420" s="314">
        <f t="shared" si="109"/>
        <v>0</v>
      </c>
      <c r="AF420" s="315">
        <f t="shared" si="110"/>
        <v>0</v>
      </c>
      <c r="AG420" s="316">
        <f t="shared" si="111"/>
        <v>0</v>
      </c>
      <c r="AH420" s="314">
        <v>1</v>
      </c>
      <c r="AI420" s="314">
        <f t="shared" si="112"/>
        <v>0</v>
      </c>
      <c r="AJ420" s="314">
        <f t="shared" si="121"/>
        <v>0</v>
      </c>
      <c r="AK420" s="317"/>
      <c r="AL420" s="315">
        <f t="shared" si="113"/>
        <v>0</v>
      </c>
      <c r="AN420" s="546">
        <f t="shared" si="114"/>
        <v>0</v>
      </c>
      <c r="AO420" s="314"/>
      <c r="AP420" s="318"/>
    </row>
    <row r="421" spans="2:42">
      <c r="B421" s="296"/>
      <c r="C421" s="299"/>
      <c r="D421" s="298"/>
      <c r="E421" s="299"/>
      <c r="F421" s="299"/>
      <c r="G421" s="300"/>
      <c r="H421" s="303"/>
      <c r="I421" s="301">
        <f t="shared" si="105"/>
        <v>0</v>
      </c>
      <c r="J421" s="302">
        <f t="shared" si="115"/>
        <v>0</v>
      </c>
      <c r="K421" s="304">
        <f t="shared" si="106"/>
        <v>0</v>
      </c>
      <c r="L421" s="305">
        <f>IF(H421=0,0,IF(OR(E421=$AT$5,E421=$AT$6),AA421,IF(F421="MXN",1/HLOOKUP(YEAR(G421)+(MONTH(G421)/100),TC!$5:$37,DAY(G421)+2,FALSE),VLOOKUP(F421,Equivalencia!$5:$23,((MAX(Equivalencia!$3:$3)-YEAR(G421))*14)+MONTH(G421)+2,FALSE))))</f>
        <v>0</v>
      </c>
      <c r="M421" s="306">
        <f t="shared" si="107"/>
        <v>0</v>
      </c>
      <c r="N421" s="305">
        <f>IF(G421=0,0,(IF(OR(E421=$AT$5,E421=$AT$6),AC421,HLOOKUP(YEAR(G421)+(MONTH(G421)/100),TC!$5:$37,DAY(G421)+2,FALSE))))</f>
        <v>0</v>
      </c>
      <c r="O421" s="307">
        <f t="shared" si="116"/>
        <v>0</v>
      </c>
      <c r="P421" s="552">
        <f>IF(G421=0,0,VLOOKUP(YEAR(G421),INPC!$B$4:$P$30,MONTH(G421)+2))</f>
        <v>0</v>
      </c>
      <c r="Q421" s="552">
        <f>IF(X421=0,0,IF(OR(E421=$AT$10,E421=$AT$9),VLOOKUP(YEAR(X421),INPC!$B$4:$P$30,MONTH(X421)+1),VLOOKUP(YEAR(X421),INPC!$B$4:$P$30,MONTH(X421)+2,0)))</f>
        <v>0</v>
      </c>
      <c r="R421" s="309">
        <f t="shared" si="108"/>
        <v>0</v>
      </c>
      <c r="S421" s="310">
        <f t="shared" si="117"/>
        <v>0</v>
      </c>
      <c r="T421" s="547">
        <f t="shared" si="118"/>
        <v>0</v>
      </c>
      <c r="U421" s="311"/>
      <c r="V421" s="312"/>
      <c r="W421" s="299"/>
      <c r="X421" s="300"/>
      <c r="Y421" s="299"/>
      <c r="Z421" s="303"/>
      <c r="AA421" s="305">
        <f>IF(Z421=0,0,IF(Y421="MXN",1/HLOOKUP(YEAR(X421)+(MONTH(X421)/100),TC!$5:$37,DAY(X421)+2,FALSE),VLOOKUP(Y421,Equivalencia!$1:$23,((MAX(Equivalencia!$3:$3)-YEAR(X421))*14)+MONTH(X421)+2,FALSE)))</f>
        <v>0</v>
      </c>
      <c r="AB421" s="306">
        <f t="shared" si="119"/>
        <v>0</v>
      </c>
      <c r="AC421" s="305">
        <f>+IF(X421=0,0,HLOOKUP(YEAR(X421)+(MONTH(X421)/100),TC!$5:$37,DAY(X421)+2,FALSE))</f>
        <v>0</v>
      </c>
      <c r="AD421" s="307">
        <f t="shared" si="120"/>
        <v>0</v>
      </c>
      <c r="AE421" s="314">
        <f t="shared" si="109"/>
        <v>0</v>
      </c>
      <c r="AF421" s="315">
        <f t="shared" si="110"/>
        <v>0</v>
      </c>
      <c r="AG421" s="316">
        <f t="shared" si="111"/>
        <v>0</v>
      </c>
      <c r="AH421" s="314">
        <v>1</v>
      </c>
      <c r="AI421" s="314">
        <f t="shared" si="112"/>
        <v>0</v>
      </c>
      <c r="AJ421" s="314">
        <f t="shared" si="121"/>
        <v>0</v>
      </c>
      <c r="AK421" s="317"/>
      <c r="AL421" s="315">
        <f t="shared" si="113"/>
        <v>0</v>
      </c>
      <c r="AN421" s="546">
        <f t="shared" si="114"/>
        <v>0</v>
      </c>
      <c r="AO421" s="314"/>
      <c r="AP421" s="318"/>
    </row>
    <row r="422" spans="2:42">
      <c r="B422" s="296"/>
      <c r="C422" s="299"/>
      <c r="D422" s="298"/>
      <c r="E422" s="299"/>
      <c r="F422" s="299"/>
      <c r="G422" s="300"/>
      <c r="H422" s="303"/>
      <c r="I422" s="301">
        <f t="shared" si="105"/>
        <v>0</v>
      </c>
      <c r="J422" s="302">
        <f t="shared" si="115"/>
        <v>0</v>
      </c>
      <c r="K422" s="304">
        <f t="shared" si="106"/>
        <v>0</v>
      </c>
      <c r="L422" s="305">
        <f>IF(H422=0,0,IF(OR(E422=$AT$5,E422=$AT$6),AA422,IF(F422="MXN",1/HLOOKUP(YEAR(G422)+(MONTH(G422)/100),TC!$5:$37,DAY(G422)+2,FALSE),VLOOKUP(F422,Equivalencia!$5:$23,((MAX(Equivalencia!$3:$3)-YEAR(G422))*14)+MONTH(G422)+2,FALSE))))</f>
        <v>0</v>
      </c>
      <c r="M422" s="306">
        <f t="shared" si="107"/>
        <v>0</v>
      </c>
      <c r="N422" s="305">
        <f>IF(G422=0,0,(IF(OR(E422=$AT$5,E422=$AT$6),AC422,HLOOKUP(YEAR(G422)+(MONTH(G422)/100),TC!$5:$37,DAY(G422)+2,FALSE))))</f>
        <v>0</v>
      </c>
      <c r="O422" s="307">
        <f t="shared" si="116"/>
        <v>0</v>
      </c>
      <c r="P422" s="552">
        <f>IF(G422=0,0,VLOOKUP(YEAR(G422),INPC!$B$4:$P$30,MONTH(G422)+2))</f>
        <v>0</v>
      </c>
      <c r="Q422" s="552">
        <f>IF(X422=0,0,IF(OR(E422=$AT$10,E422=$AT$9),VLOOKUP(YEAR(X422),INPC!$B$4:$P$30,MONTH(X422)+1),VLOOKUP(YEAR(X422),INPC!$B$4:$P$30,MONTH(X422)+2,0)))</f>
        <v>0</v>
      </c>
      <c r="R422" s="309">
        <f t="shared" si="108"/>
        <v>0</v>
      </c>
      <c r="S422" s="310">
        <f t="shared" si="117"/>
        <v>0</v>
      </c>
      <c r="T422" s="547">
        <f t="shared" si="118"/>
        <v>0</v>
      </c>
      <c r="U422" s="311"/>
      <c r="V422" s="312"/>
      <c r="W422" s="299"/>
      <c r="X422" s="300"/>
      <c r="Y422" s="299"/>
      <c r="Z422" s="303"/>
      <c r="AA422" s="305">
        <f>IF(Z422=0,0,IF(Y422="MXN",1/HLOOKUP(YEAR(X422)+(MONTH(X422)/100),TC!$5:$37,DAY(X422)+2,FALSE),VLOOKUP(Y422,Equivalencia!$1:$23,((MAX(Equivalencia!$3:$3)-YEAR(X422))*14)+MONTH(X422)+2,FALSE)))</f>
        <v>0</v>
      </c>
      <c r="AB422" s="306">
        <f t="shared" si="119"/>
        <v>0</v>
      </c>
      <c r="AC422" s="305">
        <f>+IF(X422=0,0,HLOOKUP(YEAR(X422)+(MONTH(X422)/100),TC!$5:$37,DAY(X422)+2,FALSE))</f>
        <v>0</v>
      </c>
      <c r="AD422" s="307">
        <f t="shared" si="120"/>
        <v>0</v>
      </c>
      <c r="AE422" s="314">
        <f t="shared" si="109"/>
        <v>0</v>
      </c>
      <c r="AF422" s="315">
        <f t="shared" si="110"/>
        <v>0</v>
      </c>
      <c r="AG422" s="316">
        <f t="shared" si="111"/>
        <v>0</v>
      </c>
      <c r="AH422" s="314">
        <v>1</v>
      </c>
      <c r="AI422" s="314">
        <f t="shared" si="112"/>
        <v>0</v>
      </c>
      <c r="AJ422" s="314">
        <f t="shared" si="121"/>
        <v>0</v>
      </c>
      <c r="AK422" s="317"/>
      <c r="AL422" s="315">
        <f t="shared" si="113"/>
        <v>0</v>
      </c>
      <c r="AN422" s="546">
        <f t="shared" si="114"/>
        <v>0</v>
      </c>
      <c r="AO422" s="314"/>
      <c r="AP422" s="318"/>
    </row>
    <row r="423" spans="2:42">
      <c r="B423" s="296"/>
      <c r="C423" s="299"/>
      <c r="D423" s="298"/>
      <c r="E423" s="299"/>
      <c r="F423" s="299"/>
      <c r="G423" s="300"/>
      <c r="H423" s="303"/>
      <c r="I423" s="301">
        <f t="shared" si="105"/>
        <v>0</v>
      </c>
      <c r="J423" s="302">
        <f t="shared" si="115"/>
        <v>0</v>
      </c>
      <c r="K423" s="304">
        <f t="shared" si="106"/>
        <v>0</v>
      </c>
      <c r="L423" s="305">
        <f>IF(H423=0,0,IF(OR(E423=$AT$5,E423=$AT$6),AA423,IF(F423="MXN",1/HLOOKUP(YEAR(G423)+(MONTH(G423)/100),TC!$5:$37,DAY(G423)+2,FALSE),VLOOKUP(F423,Equivalencia!$5:$23,((MAX(Equivalencia!$3:$3)-YEAR(G423))*14)+MONTH(G423)+2,FALSE))))</f>
        <v>0</v>
      </c>
      <c r="M423" s="306">
        <f t="shared" si="107"/>
        <v>0</v>
      </c>
      <c r="N423" s="305">
        <f>IF(G423=0,0,(IF(OR(E423=$AT$5,E423=$AT$6),AC423,HLOOKUP(YEAR(G423)+(MONTH(G423)/100),TC!$5:$37,DAY(G423)+2,FALSE))))</f>
        <v>0</v>
      </c>
      <c r="O423" s="307">
        <f t="shared" si="116"/>
        <v>0</v>
      </c>
      <c r="P423" s="552">
        <f>IF(G423=0,0,VLOOKUP(YEAR(G423),INPC!$B$4:$P$30,MONTH(G423)+2))</f>
        <v>0</v>
      </c>
      <c r="Q423" s="552">
        <f>IF(X423=0,0,IF(OR(E423=$AT$10,E423=$AT$9),VLOOKUP(YEAR(X423),INPC!$B$4:$P$30,MONTH(X423)+1),VLOOKUP(YEAR(X423),INPC!$B$4:$P$30,MONTH(X423)+2,0)))</f>
        <v>0</v>
      </c>
      <c r="R423" s="309">
        <f t="shared" si="108"/>
        <v>0</v>
      </c>
      <c r="S423" s="310">
        <f t="shared" si="117"/>
        <v>0</v>
      </c>
      <c r="T423" s="547">
        <f t="shared" si="118"/>
        <v>0</v>
      </c>
      <c r="U423" s="311"/>
      <c r="V423" s="312"/>
      <c r="W423" s="299"/>
      <c r="X423" s="300"/>
      <c r="Y423" s="299"/>
      <c r="Z423" s="303"/>
      <c r="AA423" s="305">
        <f>IF(Z423=0,0,IF(Y423="MXN",1/HLOOKUP(YEAR(X423)+(MONTH(X423)/100),TC!$5:$37,DAY(X423)+2,FALSE),VLOOKUP(Y423,Equivalencia!$1:$23,((MAX(Equivalencia!$3:$3)-YEAR(X423))*14)+MONTH(X423)+2,FALSE)))</f>
        <v>0</v>
      </c>
      <c r="AB423" s="306">
        <f t="shared" si="119"/>
        <v>0</v>
      </c>
      <c r="AC423" s="305">
        <f>+IF(X423=0,0,HLOOKUP(YEAR(X423)+(MONTH(X423)/100),TC!$5:$37,DAY(X423)+2,FALSE))</f>
        <v>0</v>
      </c>
      <c r="AD423" s="307">
        <f t="shared" si="120"/>
        <v>0</v>
      </c>
      <c r="AE423" s="314">
        <f t="shared" si="109"/>
        <v>0</v>
      </c>
      <c r="AF423" s="315">
        <f t="shared" si="110"/>
        <v>0</v>
      </c>
      <c r="AG423" s="316">
        <f t="shared" si="111"/>
        <v>0</v>
      </c>
      <c r="AH423" s="314">
        <v>1</v>
      </c>
      <c r="AI423" s="314">
        <f t="shared" si="112"/>
        <v>0</v>
      </c>
      <c r="AJ423" s="314">
        <f t="shared" si="121"/>
        <v>0</v>
      </c>
      <c r="AK423" s="317"/>
      <c r="AL423" s="315">
        <f t="shared" si="113"/>
        <v>0</v>
      </c>
      <c r="AN423" s="546">
        <f t="shared" si="114"/>
        <v>0</v>
      </c>
      <c r="AO423" s="314"/>
      <c r="AP423" s="318"/>
    </row>
    <row r="424" spans="2:42">
      <c r="B424" s="296"/>
      <c r="C424" s="299"/>
      <c r="D424" s="298"/>
      <c r="E424" s="299"/>
      <c r="F424" s="299"/>
      <c r="G424" s="300"/>
      <c r="H424" s="303"/>
      <c r="I424" s="301">
        <f t="shared" si="105"/>
        <v>0</v>
      </c>
      <c r="J424" s="302">
        <f t="shared" si="115"/>
        <v>0</v>
      </c>
      <c r="K424" s="304">
        <f t="shared" si="106"/>
        <v>0</v>
      </c>
      <c r="L424" s="305">
        <f>IF(H424=0,0,IF(OR(E424=$AT$5,E424=$AT$6),AA424,IF(F424="MXN",1/HLOOKUP(YEAR(G424)+(MONTH(G424)/100),TC!$5:$37,DAY(G424)+2,FALSE),VLOOKUP(F424,Equivalencia!$5:$23,((MAX(Equivalencia!$3:$3)-YEAR(G424))*14)+MONTH(G424)+2,FALSE))))</f>
        <v>0</v>
      </c>
      <c r="M424" s="306">
        <f t="shared" si="107"/>
        <v>0</v>
      </c>
      <c r="N424" s="305">
        <f>IF(G424=0,0,(IF(OR(E424=$AT$5,E424=$AT$6),AC424,HLOOKUP(YEAR(G424)+(MONTH(G424)/100),TC!$5:$37,DAY(G424)+2,FALSE))))</f>
        <v>0</v>
      </c>
      <c r="O424" s="307">
        <f t="shared" si="116"/>
        <v>0</v>
      </c>
      <c r="P424" s="552">
        <f>IF(G424=0,0,VLOOKUP(YEAR(G424),INPC!$B$4:$P$30,MONTH(G424)+2))</f>
        <v>0</v>
      </c>
      <c r="Q424" s="552">
        <f>IF(X424=0,0,IF(OR(E424=$AT$10,E424=$AT$9),VLOOKUP(YEAR(X424),INPC!$B$4:$P$30,MONTH(X424)+1),VLOOKUP(YEAR(X424),INPC!$B$4:$P$30,MONTH(X424)+2,0)))</f>
        <v>0</v>
      </c>
      <c r="R424" s="309">
        <f t="shared" si="108"/>
        <v>0</v>
      </c>
      <c r="S424" s="310">
        <f t="shared" si="117"/>
        <v>0</v>
      </c>
      <c r="T424" s="547">
        <f t="shared" si="118"/>
        <v>0</v>
      </c>
      <c r="U424" s="311"/>
      <c r="V424" s="312"/>
      <c r="W424" s="299"/>
      <c r="X424" s="300"/>
      <c r="Y424" s="299"/>
      <c r="Z424" s="303"/>
      <c r="AA424" s="305">
        <f>IF(Z424=0,0,IF(Y424="MXN",1/HLOOKUP(YEAR(X424)+(MONTH(X424)/100),TC!$5:$37,DAY(X424)+2,FALSE),VLOOKUP(Y424,Equivalencia!$1:$23,((MAX(Equivalencia!$3:$3)-YEAR(X424))*14)+MONTH(X424)+2,FALSE)))</f>
        <v>0</v>
      </c>
      <c r="AB424" s="306">
        <f t="shared" si="119"/>
        <v>0</v>
      </c>
      <c r="AC424" s="305">
        <f>+IF(X424=0,0,HLOOKUP(YEAR(X424)+(MONTH(X424)/100),TC!$5:$37,DAY(X424)+2,FALSE))</f>
        <v>0</v>
      </c>
      <c r="AD424" s="307">
        <f t="shared" si="120"/>
        <v>0</v>
      </c>
      <c r="AE424" s="314">
        <f t="shared" si="109"/>
        <v>0</v>
      </c>
      <c r="AF424" s="315">
        <f t="shared" si="110"/>
        <v>0</v>
      </c>
      <c r="AG424" s="316">
        <f t="shared" si="111"/>
        <v>0</v>
      </c>
      <c r="AH424" s="314">
        <v>1</v>
      </c>
      <c r="AI424" s="314">
        <f t="shared" si="112"/>
        <v>0</v>
      </c>
      <c r="AJ424" s="314">
        <f t="shared" si="121"/>
        <v>0</v>
      </c>
      <c r="AK424" s="317"/>
      <c r="AL424" s="315">
        <f t="shared" si="113"/>
        <v>0</v>
      </c>
      <c r="AN424" s="546">
        <f t="shared" si="114"/>
        <v>0</v>
      </c>
      <c r="AO424" s="314"/>
      <c r="AP424" s="318"/>
    </row>
    <row r="425" spans="2:42">
      <c r="B425" s="296"/>
      <c r="C425" s="299"/>
      <c r="D425" s="298"/>
      <c r="E425" s="299"/>
      <c r="F425" s="299"/>
      <c r="G425" s="300"/>
      <c r="H425" s="303"/>
      <c r="I425" s="301">
        <f t="shared" si="105"/>
        <v>0</v>
      </c>
      <c r="J425" s="302">
        <f t="shared" si="115"/>
        <v>0</v>
      </c>
      <c r="K425" s="304">
        <f t="shared" si="106"/>
        <v>0</v>
      </c>
      <c r="L425" s="305">
        <f>IF(H425=0,0,IF(OR(E425=$AT$5,E425=$AT$6),AA425,IF(F425="MXN",1/HLOOKUP(YEAR(G425)+(MONTH(G425)/100),TC!$5:$37,DAY(G425)+2,FALSE),VLOOKUP(F425,Equivalencia!$5:$23,((MAX(Equivalencia!$3:$3)-YEAR(G425))*14)+MONTH(G425)+2,FALSE))))</f>
        <v>0</v>
      </c>
      <c r="M425" s="306">
        <f t="shared" si="107"/>
        <v>0</v>
      </c>
      <c r="N425" s="305">
        <f>IF(G425=0,0,(IF(OR(E425=$AT$5,E425=$AT$6),AC425,HLOOKUP(YEAR(G425)+(MONTH(G425)/100),TC!$5:$37,DAY(G425)+2,FALSE))))</f>
        <v>0</v>
      </c>
      <c r="O425" s="307">
        <f t="shared" si="116"/>
        <v>0</v>
      </c>
      <c r="P425" s="552">
        <f>IF(G425=0,0,VLOOKUP(YEAR(G425),INPC!$B$4:$P$30,MONTH(G425)+2))</f>
        <v>0</v>
      </c>
      <c r="Q425" s="552">
        <f>IF(X425=0,0,IF(OR(E425=$AT$10,E425=$AT$9),VLOOKUP(YEAR(X425),INPC!$B$4:$P$30,MONTH(X425)+1),VLOOKUP(YEAR(X425),INPC!$B$4:$P$30,MONTH(X425)+2,0)))</f>
        <v>0</v>
      </c>
      <c r="R425" s="309">
        <f t="shared" si="108"/>
        <v>0</v>
      </c>
      <c r="S425" s="310">
        <f t="shared" si="117"/>
        <v>0</v>
      </c>
      <c r="T425" s="547">
        <f t="shared" si="118"/>
        <v>0</v>
      </c>
      <c r="U425" s="311"/>
      <c r="V425" s="312"/>
      <c r="W425" s="299"/>
      <c r="X425" s="300"/>
      <c r="Y425" s="299"/>
      <c r="Z425" s="303"/>
      <c r="AA425" s="305">
        <f>IF(Z425=0,0,IF(Y425="MXN",1/HLOOKUP(YEAR(X425)+(MONTH(X425)/100),TC!$5:$37,DAY(X425)+2,FALSE),VLOOKUP(Y425,Equivalencia!$1:$23,((MAX(Equivalencia!$3:$3)-YEAR(X425))*14)+MONTH(X425)+2,FALSE)))</f>
        <v>0</v>
      </c>
      <c r="AB425" s="306">
        <f t="shared" si="119"/>
        <v>0</v>
      </c>
      <c r="AC425" s="305">
        <f>+IF(X425=0,0,HLOOKUP(YEAR(X425)+(MONTH(X425)/100),TC!$5:$37,DAY(X425)+2,FALSE))</f>
        <v>0</v>
      </c>
      <c r="AD425" s="307">
        <f t="shared" si="120"/>
        <v>0</v>
      </c>
      <c r="AE425" s="314">
        <f t="shared" si="109"/>
        <v>0</v>
      </c>
      <c r="AF425" s="315">
        <f t="shared" si="110"/>
        <v>0</v>
      </c>
      <c r="AG425" s="316">
        <f t="shared" si="111"/>
        <v>0</v>
      </c>
      <c r="AH425" s="314">
        <v>1</v>
      </c>
      <c r="AI425" s="314">
        <f t="shared" si="112"/>
        <v>0</v>
      </c>
      <c r="AJ425" s="314">
        <f t="shared" si="121"/>
        <v>0</v>
      </c>
      <c r="AK425" s="317"/>
      <c r="AL425" s="315">
        <f t="shared" si="113"/>
        <v>0</v>
      </c>
      <c r="AN425" s="546">
        <f t="shared" si="114"/>
        <v>0</v>
      </c>
      <c r="AO425" s="314"/>
      <c r="AP425" s="318"/>
    </row>
    <row r="426" spans="2:42">
      <c r="B426" s="296"/>
      <c r="C426" s="299"/>
      <c r="D426" s="298"/>
      <c r="E426" s="299"/>
      <c r="F426" s="299"/>
      <c r="G426" s="300"/>
      <c r="H426" s="303"/>
      <c r="I426" s="301">
        <f t="shared" si="105"/>
        <v>0</v>
      </c>
      <c r="J426" s="302">
        <f t="shared" si="115"/>
        <v>0</v>
      </c>
      <c r="K426" s="304">
        <f t="shared" si="106"/>
        <v>0</v>
      </c>
      <c r="L426" s="305">
        <f>IF(H426=0,0,IF(OR(E426=$AT$5,E426=$AT$6),AA426,IF(F426="MXN",1/HLOOKUP(YEAR(G426)+(MONTH(G426)/100),TC!$5:$37,DAY(G426)+2,FALSE),VLOOKUP(F426,Equivalencia!$5:$23,((MAX(Equivalencia!$3:$3)-YEAR(G426))*14)+MONTH(G426)+2,FALSE))))</f>
        <v>0</v>
      </c>
      <c r="M426" s="306">
        <f t="shared" si="107"/>
        <v>0</v>
      </c>
      <c r="N426" s="305">
        <f>IF(G426=0,0,(IF(OR(E426=$AT$5,E426=$AT$6),AC426,HLOOKUP(YEAR(G426)+(MONTH(G426)/100),TC!$5:$37,DAY(G426)+2,FALSE))))</f>
        <v>0</v>
      </c>
      <c r="O426" s="307">
        <f t="shared" si="116"/>
        <v>0</v>
      </c>
      <c r="P426" s="552">
        <f>IF(G426=0,0,VLOOKUP(YEAR(G426),INPC!$B$4:$P$30,MONTH(G426)+2))</f>
        <v>0</v>
      </c>
      <c r="Q426" s="552">
        <f>IF(X426=0,0,IF(OR(E426=$AT$10,E426=$AT$9),VLOOKUP(YEAR(X426),INPC!$B$4:$P$30,MONTH(X426)+1),VLOOKUP(YEAR(X426),INPC!$B$4:$P$30,MONTH(X426)+2,0)))</f>
        <v>0</v>
      </c>
      <c r="R426" s="309">
        <f t="shared" si="108"/>
        <v>0</v>
      </c>
      <c r="S426" s="310">
        <f t="shared" si="117"/>
        <v>0</v>
      </c>
      <c r="T426" s="547">
        <f t="shared" si="118"/>
        <v>0</v>
      </c>
      <c r="U426" s="311"/>
      <c r="V426" s="312"/>
      <c r="W426" s="299"/>
      <c r="X426" s="300"/>
      <c r="Y426" s="299"/>
      <c r="Z426" s="303"/>
      <c r="AA426" s="305">
        <f>IF(Z426=0,0,IF(Y426="MXN",1/HLOOKUP(YEAR(X426)+(MONTH(X426)/100),TC!$5:$37,DAY(X426)+2,FALSE),VLOOKUP(Y426,Equivalencia!$1:$23,((MAX(Equivalencia!$3:$3)-YEAR(X426))*14)+MONTH(X426)+2,FALSE)))</f>
        <v>0</v>
      </c>
      <c r="AB426" s="306">
        <f t="shared" si="119"/>
        <v>0</v>
      </c>
      <c r="AC426" s="305">
        <f>+IF(X426=0,0,HLOOKUP(YEAR(X426)+(MONTH(X426)/100),TC!$5:$37,DAY(X426)+2,FALSE))</f>
        <v>0</v>
      </c>
      <c r="AD426" s="307">
        <f t="shared" si="120"/>
        <v>0</v>
      </c>
      <c r="AE426" s="314">
        <f t="shared" si="109"/>
        <v>0</v>
      </c>
      <c r="AF426" s="315">
        <f t="shared" si="110"/>
        <v>0</v>
      </c>
      <c r="AG426" s="316">
        <f t="shared" si="111"/>
        <v>0</v>
      </c>
      <c r="AH426" s="314">
        <v>1</v>
      </c>
      <c r="AI426" s="314">
        <f t="shared" si="112"/>
        <v>0</v>
      </c>
      <c r="AJ426" s="314">
        <f t="shared" si="121"/>
        <v>0</v>
      </c>
      <c r="AK426" s="317"/>
      <c r="AL426" s="315">
        <f t="shared" si="113"/>
        <v>0</v>
      </c>
      <c r="AN426" s="546">
        <f t="shared" si="114"/>
        <v>0</v>
      </c>
      <c r="AO426" s="314"/>
      <c r="AP426" s="318"/>
    </row>
    <row r="427" spans="2:42">
      <c r="B427" s="296"/>
      <c r="C427" s="299"/>
      <c r="D427" s="298"/>
      <c r="E427" s="299"/>
      <c r="F427" s="299"/>
      <c r="G427" s="300"/>
      <c r="H427" s="303"/>
      <c r="I427" s="301">
        <f t="shared" si="105"/>
        <v>0</v>
      </c>
      <c r="J427" s="302">
        <f t="shared" si="115"/>
        <v>0</v>
      </c>
      <c r="K427" s="304">
        <f t="shared" si="106"/>
        <v>0</v>
      </c>
      <c r="L427" s="305">
        <f>IF(H427=0,0,IF(OR(E427=$AT$5,E427=$AT$6),AA427,IF(F427="MXN",1/HLOOKUP(YEAR(G427)+(MONTH(G427)/100),TC!$5:$37,DAY(G427)+2,FALSE),VLOOKUP(F427,Equivalencia!$5:$23,((MAX(Equivalencia!$3:$3)-YEAR(G427))*14)+MONTH(G427)+2,FALSE))))</f>
        <v>0</v>
      </c>
      <c r="M427" s="306">
        <f t="shared" si="107"/>
        <v>0</v>
      </c>
      <c r="N427" s="305">
        <f>IF(G427=0,0,(IF(OR(E427=$AT$5,E427=$AT$6),AC427,HLOOKUP(YEAR(G427)+(MONTH(G427)/100),TC!$5:$37,DAY(G427)+2,FALSE))))</f>
        <v>0</v>
      </c>
      <c r="O427" s="307">
        <f t="shared" si="116"/>
        <v>0</v>
      </c>
      <c r="P427" s="552">
        <f>IF(G427=0,0,VLOOKUP(YEAR(G427),INPC!$B$4:$P$30,MONTH(G427)+2))</f>
        <v>0</v>
      </c>
      <c r="Q427" s="552">
        <f>IF(X427=0,0,IF(OR(E427=$AT$10,E427=$AT$9),VLOOKUP(YEAR(X427),INPC!$B$4:$P$30,MONTH(X427)+1),VLOOKUP(YEAR(X427),INPC!$B$4:$P$30,MONTH(X427)+2,0)))</f>
        <v>0</v>
      </c>
      <c r="R427" s="309">
        <f t="shared" si="108"/>
        <v>0</v>
      </c>
      <c r="S427" s="310">
        <f t="shared" si="117"/>
        <v>0</v>
      </c>
      <c r="T427" s="547">
        <f t="shared" si="118"/>
        <v>0</v>
      </c>
      <c r="U427" s="311"/>
      <c r="V427" s="312"/>
      <c r="W427" s="299"/>
      <c r="X427" s="300"/>
      <c r="Y427" s="299"/>
      <c r="Z427" s="303"/>
      <c r="AA427" s="305">
        <f>IF(Z427=0,0,IF(Y427="MXN",1/HLOOKUP(YEAR(X427)+(MONTH(X427)/100),TC!$5:$37,DAY(X427)+2,FALSE),VLOOKUP(Y427,Equivalencia!$1:$23,((MAX(Equivalencia!$3:$3)-YEAR(X427))*14)+MONTH(X427)+2,FALSE)))</f>
        <v>0</v>
      </c>
      <c r="AB427" s="306">
        <f t="shared" si="119"/>
        <v>0</v>
      </c>
      <c r="AC427" s="305">
        <f>+IF(X427=0,0,HLOOKUP(YEAR(X427)+(MONTH(X427)/100),TC!$5:$37,DAY(X427)+2,FALSE))</f>
        <v>0</v>
      </c>
      <c r="AD427" s="307">
        <f t="shared" si="120"/>
        <v>0</v>
      </c>
      <c r="AE427" s="314">
        <f t="shared" si="109"/>
        <v>0</v>
      </c>
      <c r="AF427" s="315">
        <f t="shared" si="110"/>
        <v>0</v>
      </c>
      <c r="AG427" s="316">
        <f t="shared" si="111"/>
        <v>0</v>
      </c>
      <c r="AH427" s="314">
        <v>1</v>
      </c>
      <c r="AI427" s="314">
        <f t="shared" si="112"/>
        <v>0</v>
      </c>
      <c r="AJ427" s="314">
        <f t="shared" si="121"/>
        <v>0</v>
      </c>
      <c r="AK427" s="317"/>
      <c r="AL427" s="315">
        <f t="shared" si="113"/>
        <v>0</v>
      </c>
      <c r="AN427" s="546">
        <f t="shared" si="114"/>
        <v>0</v>
      </c>
      <c r="AO427" s="314"/>
      <c r="AP427" s="318"/>
    </row>
    <row r="428" spans="2:42">
      <c r="B428" s="296"/>
      <c r="C428" s="299"/>
      <c r="D428" s="298"/>
      <c r="E428" s="299"/>
      <c r="F428" s="299"/>
      <c r="G428" s="300"/>
      <c r="H428" s="303"/>
      <c r="I428" s="301">
        <f t="shared" si="105"/>
        <v>0</v>
      </c>
      <c r="J428" s="302">
        <f t="shared" si="115"/>
        <v>0</v>
      </c>
      <c r="K428" s="304">
        <f t="shared" si="106"/>
        <v>0</v>
      </c>
      <c r="L428" s="305">
        <f>IF(H428=0,0,IF(OR(E428=$AT$5,E428=$AT$6),AA428,IF(F428="MXN",1/HLOOKUP(YEAR(G428)+(MONTH(G428)/100),TC!$5:$37,DAY(G428)+2,FALSE),VLOOKUP(F428,Equivalencia!$5:$23,((MAX(Equivalencia!$3:$3)-YEAR(G428))*14)+MONTH(G428)+2,FALSE))))</f>
        <v>0</v>
      </c>
      <c r="M428" s="306">
        <f t="shared" si="107"/>
        <v>0</v>
      </c>
      <c r="N428" s="305">
        <f>IF(G428=0,0,(IF(OR(E428=$AT$5,E428=$AT$6),AC428,HLOOKUP(YEAR(G428)+(MONTH(G428)/100),TC!$5:$37,DAY(G428)+2,FALSE))))</f>
        <v>0</v>
      </c>
      <c r="O428" s="307">
        <f t="shared" si="116"/>
        <v>0</v>
      </c>
      <c r="P428" s="552">
        <f>IF(G428=0,0,VLOOKUP(YEAR(G428),INPC!$B$4:$P$30,MONTH(G428)+2))</f>
        <v>0</v>
      </c>
      <c r="Q428" s="552">
        <f>IF(X428=0,0,IF(OR(E428=$AT$10,E428=$AT$9),VLOOKUP(YEAR(X428),INPC!$B$4:$P$30,MONTH(X428)+1),VLOOKUP(YEAR(X428),INPC!$B$4:$P$30,MONTH(X428)+2,0)))</f>
        <v>0</v>
      </c>
      <c r="R428" s="309">
        <f t="shared" si="108"/>
        <v>0</v>
      </c>
      <c r="S428" s="310">
        <f t="shared" si="117"/>
        <v>0</v>
      </c>
      <c r="T428" s="547">
        <f t="shared" si="118"/>
        <v>0</v>
      </c>
      <c r="U428" s="311"/>
      <c r="V428" s="312"/>
      <c r="W428" s="299"/>
      <c r="X428" s="300"/>
      <c r="Y428" s="299"/>
      <c r="Z428" s="303"/>
      <c r="AA428" s="305">
        <f>IF(Z428=0,0,IF(Y428="MXN",1/HLOOKUP(YEAR(X428)+(MONTH(X428)/100),TC!$5:$37,DAY(X428)+2,FALSE),VLOOKUP(Y428,Equivalencia!$1:$23,((MAX(Equivalencia!$3:$3)-YEAR(X428))*14)+MONTH(X428)+2,FALSE)))</f>
        <v>0</v>
      </c>
      <c r="AB428" s="306">
        <f t="shared" si="119"/>
        <v>0</v>
      </c>
      <c r="AC428" s="305">
        <f>+IF(X428=0,0,HLOOKUP(YEAR(X428)+(MONTH(X428)/100),TC!$5:$37,DAY(X428)+2,FALSE))</f>
        <v>0</v>
      </c>
      <c r="AD428" s="307">
        <f t="shared" si="120"/>
        <v>0</v>
      </c>
      <c r="AE428" s="314">
        <f t="shared" si="109"/>
        <v>0</v>
      </c>
      <c r="AF428" s="315">
        <f t="shared" si="110"/>
        <v>0</v>
      </c>
      <c r="AG428" s="316">
        <f t="shared" si="111"/>
        <v>0</v>
      </c>
      <c r="AH428" s="314">
        <v>1</v>
      </c>
      <c r="AI428" s="314">
        <f t="shared" si="112"/>
        <v>0</v>
      </c>
      <c r="AJ428" s="314">
        <f t="shared" si="121"/>
        <v>0</v>
      </c>
      <c r="AK428" s="317"/>
      <c r="AL428" s="315">
        <f t="shared" si="113"/>
        <v>0</v>
      </c>
      <c r="AN428" s="546">
        <f t="shared" si="114"/>
        <v>0</v>
      </c>
      <c r="AO428" s="314"/>
      <c r="AP428" s="318"/>
    </row>
    <row r="429" spans="2:42">
      <c r="B429" s="296"/>
      <c r="C429" s="299"/>
      <c r="D429" s="298"/>
      <c r="E429" s="299"/>
      <c r="F429" s="299"/>
      <c r="G429" s="300"/>
      <c r="H429" s="303"/>
      <c r="I429" s="301">
        <f t="shared" si="105"/>
        <v>0</v>
      </c>
      <c r="J429" s="302">
        <f t="shared" si="115"/>
        <v>0</v>
      </c>
      <c r="K429" s="304">
        <f t="shared" si="106"/>
        <v>0</v>
      </c>
      <c r="L429" s="305">
        <f>IF(H429=0,0,IF(OR(E429=$AT$5,E429=$AT$6),AA429,IF(F429="MXN",1/HLOOKUP(YEAR(G429)+(MONTH(G429)/100),TC!$5:$37,DAY(G429)+2,FALSE),VLOOKUP(F429,Equivalencia!$5:$23,((MAX(Equivalencia!$3:$3)-YEAR(G429))*14)+MONTH(G429)+2,FALSE))))</f>
        <v>0</v>
      </c>
      <c r="M429" s="306">
        <f t="shared" si="107"/>
        <v>0</v>
      </c>
      <c r="N429" s="305">
        <f>IF(G429=0,0,(IF(OR(E429=$AT$5,E429=$AT$6),AC429,HLOOKUP(YEAR(G429)+(MONTH(G429)/100),TC!$5:$37,DAY(G429)+2,FALSE))))</f>
        <v>0</v>
      </c>
      <c r="O429" s="307">
        <f t="shared" si="116"/>
        <v>0</v>
      </c>
      <c r="P429" s="552">
        <f>IF(G429=0,0,VLOOKUP(YEAR(G429),INPC!$B$4:$P$30,MONTH(G429)+2))</f>
        <v>0</v>
      </c>
      <c r="Q429" s="552">
        <f>IF(X429=0,0,IF(OR(E429=$AT$10,E429=$AT$9),VLOOKUP(YEAR(X429),INPC!$B$4:$P$30,MONTH(X429)+1),VLOOKUP(YEAR(X429),INPC!$B$4:$P$30,MONTH(X429)+2,0)))</f>
        <v>0</v>
      </c>
      <c r="R429" s="309">
        <f t="shared" si="108"/>
        <v>0</v>
      </c>
      <c r="S429" s="310">
        <f t="shared" si="117"/>
        <v>0</v>
      </c>
      <c r="T429" s="547">
        <f t="shared" si="118"/>
        <v>0</v>
      </c>
      <c r="U429" s="311"/>
      <c r="V429" s="312"/>
      <c r="W429" s="299"/>
      <c r="X429" s="300"/>
      <c r="Y429" s="299"/>
      <c r="Z429" s="303"/>
      <c r="AA429" s="305">
        <f>IF(Z429=0,0,IF(Y429="MXN",1/HLOOKUP(YEAR(X429)+(MONTH(X429)/100),TC!$5:$37,DAY(X429)+2,FALSE),VLOOKUP(Y429,Equivalencia!$1:$23,((MAX(Equivalencia!$3:$3)-YEAR(X429))*14)+MONTH(X429)+2,FALSE)))</f>
        <v>0</v>
      </c>
      <c r="AB429" s="306">
        <f t="shared" si="119"/>
        <v>0</v>
      </c>
      <c r="AC429" s="305">
        <f>+IF(X429=0,0,HLOOKUP(YEAR(X429)+(MONTH(X429)/100),TC!$5:$37,DAY(X429)+2,FALSE))</f>
        <v>0</v>
      </c>
      <c r="AD429" s="307">
        <f t="shared" si="120"/>
        <v>0</v>
      </c>
      <c r="AE429" s="314">
        <f t="shared" si="109"/>
        <v>0</v>
      </c>
      <c r="AF429" s="315">
        <f t="shared" si="110"/>
        <v>0</v>
      </c>
      <c r="AG429" s="316">
        <f t="shared" si="111"/>
        <v>0</v>
      </c>
      <c r="AH429" s="314">
        <v>1</v>
      </c>
      <c r="AI429" s="314">
        <f t="shared" si="112"/>
        <v>0</v>
      </c>
      <c r="AJ429" s="314">
        <f t="shared" si="121"/>
        <v>0</v>
      </c>
      <c r="AK429" s="317"/>
      <c r="AL429" s="315">
        <f t="shared" si="113"/>
        <v>0</v>
      </c>
      <c r="AN429" s="546">
        <f t="shared" si="114"/>
        <v>0</v>
      </c>
      <c r="AO429" s="314"/>
      <c r="AP429" s="318"/>
    </row>
    <row r="430" spans="2:42">
      <c r="B430" s="296"/>
      <c r="C430" s="299"/>
      <c r="D430" s="298"/>
      <c r="E430" s="299"/>
      <c r="F430" s="299"/>
      <c r="G430" s="300"/>
      <c r="H430" s="303"/>
      <c r="I430" s="301">
        <f t="shared" si="105"/>
        <v>0</v>
      </c>
      <c r="J430" s="302">
        <f t="shared" si="115"/>
        <v>0</v>
      </c>
      <c r="K430" s="304">
        <f t="shared" si="106"/>
        <v>0</v>
      </c>
      <c r="L430" s="305">
        <f>IF(H430=0,0,IF(OR(E430=$AT$5,E430=$AT$6),AA430,IF(F430="MXN",1/HLOOKUP(YEAR(G430)+(MONTH(G430)/100),TC!$5:$37,DAY(G430)+2,FALSE),VLOOKUP(F430,Equivalencia!$5:$23,((MAX(Equivalencia!$3:$3)-YEAR(G430))*14)+MONTH(G430)+2,FALSE))))</f>
        <v>0</v>
      </c>
      <c r="M430" s="306">
        <f t="shared" si="107"/>
        <v>0</v>
      </c>
      <c r="N430" s="305">
        <f>IF(G430=0,0,(IF(OR(E430=$AT$5,E430=$AT$6),AC430,HLOOKUP(YEAR(G430)+(MONTH(G430)/100),TC!$5:$37,DAY(G430)+2,FALSE))))</f>
        <v>0</v>
      </c>
      <c r="O430" s="307">
        <f t="shared" si="116"/>
        <v>0</v>
      </c>
      <c r="P430" s="552">
        <f>IF(G430=0,0,VLOOKUP(YEAR(G430),INPC!$B$4:$P$30,MONTH(G430)+2))</f>
        <v>0</v>
      </c>
      <c r="Q430" s="552">
        <f>IF(X430=0,0,IF(OR(E430=$AT$10,E430=$AT$9),VLOOKUP(YEAR(X430),INPC!$B$4:$P$30,MONTH(X430)+1),VLOOKUP(YEAR(X430),INPC!$B$4:$P$30,MONTH(X430)+2,0)))</f>
        <v>0</v>
      </c>
      <c r="R430" s="309">
        <f t="shared" si="108"/>
        <v>0</v>
      </c>
      <c r="S430" s="310">
        <f t="shared" si="117"/>
        <v>0</v>
      </c>
      <c r="T430" s="547">
        <f t="shared" si="118"/>
        <v>0</v>
      </c>
      <c r="U430" s="311"/>
      <c r="V430" s="312"/>
      <c r="W430" s="299"/>
      <c r="X430" s="300"/>
      <c r="Y430" s="299"/>
      <c r="Z430" s="303"/>
      <c r="AA430" s="305">
        <f>IF(Z430=0,0,IF(Y430="MXN",1/HLOOKUP(YEAR(X430)+(MONTH(X430)/100),TC!$5:$37,DAY(X430)+2,FALSE),VLOOKUP(Y430,Equivalencia!$1:$23,((MAX(Equivalencia!$3:$3)-YEAR(X430))*14)+MONTH(X430)+2,FALSE)))</f>
        <v>0</v>
      </c>
      <c r="AB430" s="306">
        <f t="shared" si="119"/>
        <v>0</v>
      </c>
      <c r="AC430" s="305">
        <f>+IF(X430=0,0,HLOOKUP(YEAR(X430)+(MONTH(X430)/100),TC!$5:$37,DAY(X430)+2,FALSE))</f>
        <v>0</v>
      </c>
      <c r="AD430" s="307">
        <f t="shared" si="120"/>
        <v>0</v>
      </c>
      <c r="AE430" s="314">
        <f t="shared" si="109"/>
        <v>0</v>
      </c>
      <c r="AF430" s="315">
        <f t="shared" si="110"/>
        <v>0</v>
      </c>
      <c r="AG430" s="316">
        <f t="shared" si="111"/>
        <v>0</v>
      </c>
      <c r="AH430" s="314">
        <v>1</v>
      </c>
      <c r="AI430" s="314">
        <f t="shared" si="112"/>
        <v>0</v>
      </c>
      <c r="AJ430" s="314">
        <f t="shared" si="121"/>
        <v>0</v>
      </c>
      <c r="AK430" s="317"/>
      <c r="AL430" s="315">
        <f t="shared" si="113"/>
        <v>0</v>
      </c>
      <c r="AN430" s="546">
        <f t="shared" si="114"/>
        <v>0</v>
      </c>
      <c r="AO430" s="314"/>
      <c r="AP430" s="318"/>
    </row>
    <row r="431" spans="2:42">
      <c r="B431" s="296"/>
      <c r="C431" s="299"/>
      <c r="D431" s="298"/>
      <c r="E431" s="299"/>
      <c r="F431" s="299"/>
      <c r="G431" s="300"/>
      <c r="H431" s="303"/>
      <c r="I431" s="301">
        <f t="shared" si="105"/>
        <v>0</v>
      </c>
      <c r="J431" s="302">
        <f t="shared" si="115"/>
        <v>0</v>
      </c>
      <c r="K431" s="304">
        <f t="shared" si="106"/>
        <v>0</v>
      </c>
      <c r="L431" s="305">
        <f>IF(H431=0,0,IF(OR(E431=$AT$5,E431=$AT$6),AA431,IF(F431="MXN",1/HLOOKUP(YEAR(G431)+(MONTH(G431)/100),TC!$5:$37,DAY(G431)+2,FALSE),VLOOKUP(F431,Equivalencia!$5:$23,((MAX(Equivalencia!$3:$3)-YEAR(G431))*14)+MONTH(G431)+2,FALSE))))</f>
        <v>0</v>
      </c>
      <c r="M431" s="306">
        <f t="shared" si="107"/>
        <v>0</v>
      </c>
      <c r="N431" s="305">
        <f>IF(G431=0,0,(IF(OR(E431=$AT$5,E431=$AT$6),AC431,HLOOKUP(YEAR(G431)+(MONTH(G431)/100),TC!$5:$37,DAY(G431)+2,FALSE))))</f>
        <v>0</v>
      </c>
      <c r="O431" s="307">
        <f t="shared" si="116"/>
        <v>0</v>
      </c>
      <c r="P431" s="552">
        <f>IF(G431=0,0,VLOOKUP(YEAR(G431),INPC!$B$4:$P$30,MONTH(G431)+2))</f>
        <v>0</v>
      </c>
      <c r="Q431" s="552">
        <f>IF(X431=0,0,IF(OR(E431=$AT$10,E431=$AT$9),VLOOKUP(YEAR(X431),INPC!$B$4:$P$30,MONTH(X431)+1),VLOOKUP(YEAR(X431),INPC!$B$4:$P$30,MONTH(X431)+2,0)))</f>
        <v>0</v>
      </c>
      <c r="R431" s="309">
        <f t="shared" si="108"/>
        <v>0</v>
      </c>
      <c r="S431" s="310">
        <f t="shared" si="117"/>
        <v>0</v>
      </c>
      <c r="T431" s="547">
        <f t="shared" si="118"/>
        <v>0</v>
      </c>
      <c r="U431" s="311"/>
      <c r="V431" s="312"/>
      <c r="W431" s="299"/>
      <c r="X431" s="300"/>
      <c r="Y431" s="299"/>
      <c r="Z431" s="303"/>
      <c r="AA431" s="305">
        <f>IF(Z431=0,0,IF(Y431="MXN",1/HLOOKUP(YEAR(X431)+(MONTH(X431)/100),TC!$5:$37,DAY(X431)+2,FALSE),VLOOKUP(Y431,Equivalencia!$1:$23,((MAX(Equivalencia!$3:$3)-YEAR(X431))*14)+MONTH(X431)+2,FALSE)))</f>
        <v>0</v>
      </c>
      <c r="AB431" s="306">
        <f t="shared" si="119"/>
        <v>0</v>
      </c>
      <c r="AC431" s="305">
        <f>+IF(X431=0,0,HLOOKUP(YEAR(X431)+(MONTH(X431)/100),TC!$5:$37,DAY(X431)+2,FALSE))</f>
        <v>0</v>
      </c>
      <c r="AD431" s="307">
        <f t="shared" si="120"/>
        <v>0</v>
      </c>
      <c r="AE431" s="314">
        <f t="shared" si="109"/>
        <v>0</v>
      </c>
      <c r="AF431" s="315">
        <f t="shared" si="110"/>
        <v>0</v>
      </c>
      <c r="AG431" s="316">
        <f t="shared" si="111"/>
        <v>0</v>
      </c>
      <c r="AH431" s="314">
        <v>1</v>
      </c>
      <c r="AI431" s="314">
        <f t="shared" si="112"/>
        <v>0</v>
      </c>
      <c r="AJ431" s="314">
        <f t="shared" si="121"/>
        <v>0</v>
      </c>
      <c r="AK431" s="317"/>
      <c r="AL431" s="315">
        <f t="shared" si="113"/>
        <v>0</v>
      </c>
      <c r="AN431" s="546">
        <f t="shared" si="114"/>
        <v>0</v>
      </c>
      <c r="AO431" s="314"/>
      <c r="AP431" s="318"/>
    </row>
    <row r="432" spans="2:42">
      <c r="B432" s="296"/>
      <c r="C432" s="299"/>
      <c r="D432" s="298"/>
      <c r="E432" s="299"/>
      <c r="F432" s="299"/>
      <c r="G432" s="300"/>
      <c r="H432" s="303"/>
      <c r="I432" s="301">
        <f t="shared" si="105"/>
        <v>0</v>
      </c>
      <c r="J432" s="302">
        <f t="shared" si="115"/>
        <v>0</v>
      </c>
      <c r="K432" s="304">
        <f t="shared" si="106"/>
        <v>0</v>
      </c>
      <c r="L432" s="305">
        <f>IF(H432=0,0,IF(OR(E432=$AT$5,E432=$AT$6),AA432,IF(F432="MXN",1/HLOOKUP(YEAR(G432)+(MONTH(G432)/100),TC!$5:$37,DAY(G432)+2,FALSE),VLOOKUP(F432,Equivalencia!$5:$23,((MAX(Equivalencia!$3:$3)-YEAR(G432))*14)+MONTH(G432)+2,FALSE))))</f>
        <v>0</v>
      </c>
      <c r="M432" s="306">
        <f t="shared" si="107"/>
        <v>0</v>
      </c>
      <c r="N432" s="305">
        <f>IF(G432=0,0,(IF(OR(E432=$AT$5,E432=$AT$6),AC432,HLOOKUP(YEAR(G432)+(MONTH(G432)/100),TC!$5:$37,DAY(G432)+2,FALSE))))</f>
        <v>0</v>
      </c>
      <c r="O432" s="307">
        <f t="shared" si="116"/>
        <v>0</v>
      </c>
      <c r="P432" s="552">
        <f>IF(G432=0,0,VLOOKUP(YEAR(G432),INPC!$B$4:$P$30,MONTH(G432)+2))</f>
        <v>0</v>
      </c>
      <c r="Q432" s="552">
        <f>IF(X432=0,0,IF(OR(E432=$AT$10,E432=$AT$9),VLOOKUP(YEAR(X432),INPC!$B$4:$P$30,MONTH(X432)+1),VLOOKUP(YEAR(X432),INPC!$B$4:$P$30,MONTH(X432)+2,0)))</f>
        <v>0</v>
      </c>
      <c r="R432" s="309">
        <f t="shared" si="108"/>
        <v>0</v>
      </c>
      <c r="S432" s="310">
        <f t="shared" si="117"/>
        <v>0</v>
      </c>
      <c r="T432" s="547">
        <f t="shared" si="118"/>
        <v>0</v>
      </c>
      <c r="U432" s="311"/>
      <c r="V432" s="312"/>
      <c r="W432" s="299"/>
      <c r="X432" s="300"/>
      <c r="Y432" s="299"/>
      <c r="Z432" s="303"/>
      <c r="AA432" s="305">
        <f>IF(Z432=0,0,IF(Y432="MXN",1/HLOOKUP(YEAR(X432)+(MONTH(X432)/100),TC!$5:$37,DAY(X432)+2,FALSE),VLOOKUP(Y432,Equivalencia!$1:$23,((MAX(Equivalencia!$3:$3)-YEAR(X432))*14)+MONTH(X432)+2,FALSE)))</f>
        <v>0</v>
      </c>
      <c r="AB432" s="306">
        <f t="shared" si="119"/>
        <v>0</v>
      </c>
      <c r="AC432" s="305">
        <f>+IF(X432=0,0,HLOOKUP(YEAR(X432)+(MONTH(X432)/100),TC!$5:$37,DAY(X432)+2,FALSE))</f>
        <v>0</v>
      </c>
      <c r="AD432" s="307">
        <f t="shared" si="120"/>
        <v>0</v>
      </c>
      <c r="AE432" s="314">
        <f t="shared" si="109"/>
        <v>0</v>
      </c>
      <c r="AF432" s="315">
        <f t="shared" si="110"/>
        <v>0</v>
      </c>
      <c r="AG432" s="316">
        <f t="shared" si="111"/>
        <v>0</v>
      </c>
      <c r="AH432" s="314">
        <v>1</v>
      </c>
      <c r="AI432" s="314">
        <f t="shared" si="112"/>
        <v>0</v>
      </c>
      <c r="AJ432" s="314">
        <f t="shared" si="121"/>
        <v>0</v>
      </c>
      <c r="AK432" s="317"/>
      <c r="AL432" s="315">
        <f t="shared" si="113"/>
        <v>0</v>
      </c>
      <c r="AN432" s="546">
        <f t="shared" si="114"/>
        <v>0</v>
      </c>
      <c r="AO432" s="314"/>
      <c r="AP432" s="318"/>
    </row>
    <row r="433" spans="2:42">
      <c r="B433" s="296"/>
      <c r="C433" s="299"/>
      <c r="D433" s="298"/>
      <c r="E433" s="299"/>
      <c r="F433" s="299"/>
      <c r="G433" s="300"/>
      <c r="H433" s="303"/>
      <c r="I433" s="301">
        <f t="shared" si="105"/>
        <v>0</v>
      </c>
      <c r="J433" s="302">
        <f t="shared" si="115"/>
        <v>0</v>
      </c>
      <c r="K433" s="304">
        <f t="shared" si="106"/>
        <v>0</v>
      </c>
      <c r="L433" s="305">
        <f>IF(H433=0,0,IF(OR(E433=$AT$5,E433=$AT$6),AA433,IF(F433="MXN",1/HLOOKUP(YEAR(G433)+(MONTH(G433)/100),TC!$5:$37,DAY(G433)+2,FALSE),VLOOKUP(F433,Equivalencia!$5:$23,((MAX(Equivalencia!$3:$3)-YEAR(G433))*14)+MONTH(G433)+2,FALSE))))</f>
        <v>0</v>
      </c>
      <c r="M433" s="306">
        <f t="shared" si="107"/>
        <v>0</v>
      </c>
      <c r="N433" s="305">
        <f>IF(G433=0,0,(IF(OR(E433=$AT$5,E433=$AT$6),AC433,HLOOKUP(YEAR(G433)+(MONTH(G433)/100),TC!$5:$37,DAY(G433)+2,FALSE))))</f>
        <v>0</v>
      </c>
      <c r="O433" s="307">
        <f t="shared" si="116"/>
        <v>0</v>
      </c>
      <c r="P433" s="552">
        <f>IF(G433=0,0,VLOOKUP(YEAR(G433),INPC!$B$4:$P$30,MONTH(G433)+2))</f>
        <v>0</v>
      </c>
      <c r="Q433" s="552">
        <f>IF(X433=0,0,IF(OR(E433=$AT$10,E433=$AT$9),VLOOKUP(YEAR(X433),INPC!$B$4:$P$30,MONTH(X433)+1),VLOOKUP(YEAR(X433),INPC!$B$4:$P$30,MONTH(X433)+2,0)))</f>
        <v>0</v>
      </c>
      <c r="R433" s="309">
        <f t="shared" si="108"/>
        <v>0</v>
      </c>
      <c r="S433" s="310">
        <f t="shared" si="117"/>
        <v>0</v>
      </c>
      <c r="T433" s="547">
        <f t="shared" si="118"/>
        <v>0</v>
      </c>
      <c r="U433" s="311"/>
      <c r="V433" s="312"/>
      <c r="W433" s="299"/>
      <c r="X433" s="300"/>
      <c r="Y433" s="299"/>
      <c r="Z433" s="303"/>
      <c r="AA433" s="305">
        <f>IF(Z433=0,0,IF(Y433="MXN",1/HLOOKUP(YEAR(X433)+(MONTH(X433)/100),TC!$5:$37,DAY(X433)+2,FALSE),VLOOKUP(Y433,Equivalencia!$1:$23,((MAX(Equivalencia!$3:$3)-YEAR(X433))*14)+MONTH(X433)+2,FALSE)))</f>
        <v>0</v>
      </c>
      <c r="AB433" s="306">
        <f t="shared" si="119"/>
        <v>0</v>
      </c>
      <c r="AC433" s="305">
        <f>+IF(X433=0,0,HLOOKUP(YEAR(X433)+(MONTH(X433)/100),TC!$5:$37,DAY(X433)+2,FALSE))</f>
        <v>0</v>
      </c>
      <c r="AD433" s="307">
        <f t="shared" si="120"/>
        <v>0</v>
      </c>
      <c r="AE433" s="314">
        <f t="shared" si="109"/>
        <v>0</v>
      </c>
      <c r="AF433" s="315">
        <f t="shared" si="110"/>
        <v>0</v>
      </c>
      <c r="AG433" s="316">
        <f t="shared" si="111"/>
        <v>0</v>
      </c>
      <c r="AH433" s="314">
        <v>1</v>
      </c>
      <c r="AI433" s="314">
        <f t="shared" si="112"/>
        <v>0</v>
      </c>
      <c r="AJ433" s="314">
        <f t="shared" si="121"/>
        <v>0</v>
      </c>
      <c r="AK433" s="317"/>
      <c r="AL433" s="315">
        <f t="shared" si="113"/>
        <v>0</v>
      </c>
      <c r="AN433" s="546">
        <f t="shared" si="114"/>
        <v>0</v>
      </c>
      <c r="AO433" s="314"/>
      <c r="AP433" s="318"/>
    </row>
    <row r="434" spans="2:42">
      <c r="B434" s="296"/>
      <c r="C434" s="299"/>
      <c r="D434" s="298"/>
      <c r="E434" s="299"/>
      <c r="F434" s="299"/>
      <c r="G434" s="300"/>
      <c r="H434" s="303"/>
      <c r="I434" s="301">
        <f t="shared" si="105"/>
        <v>0</v>
      </c>
      <c r="J434" s="302">
        <f t="shared" si="115"/>
        <v>0</v>
      </c>
      <c r="K434" s="304">
        <f t="shared" si="106"/>
        <v>0</v>
      </c>
      <c r="L434" s="305">
        <f>IF(H434=0,0,IF(OR(E434=$AT$5,E434=$AT$6),AA434,IF(F434="MXN",1/HLOOKUP(YEAR(G434)+(MONTH(G434)/100),TC!$5:$37,DAY(G434)+2,FALSE),VLOOKUP(F434,Equivalencia!$5:$23,((MAX(Equivalencia!$3:$3)-YEAR(G434))*14)+MONTH(G434)+2,FALSE))))</f>
        <v>0</v>
      </c>
      <c r="M434" s="306">
        <f t="shared" si="107"/>
        <v>0</v>
      </c>
      <c r="N434" s="305">
        <f>IF(G434=0,0,(IF(OR(E434=$AT$5,E434=$AT$6),AC434,HLOOKUP(YEAR(G434)+(MONTH(G434)/100),TC!$5:$37,DAY(G434)+2,FALSE))))</f>
        <v>0</v>
      </c>
      <c r="O434" s="307">
        <f t="shared" si="116"/>
        <v>0</v>
      </c>
      <c r="P434" s="552">
        <f>IF(G434=0,0,VLOOKUP(YEAR(G434),INPC!$B$4:$P$30,MONTH(G434)+2))</f>
        <v>0</v>
      </c>
      <c r="Q434" s="552">
        <f>IF(X434=0,0,IF(OR(E434=$AT$10,E434=$AT$9),VLOOKUP(YEAR(X434),INPC!$B$4:$P$30,MONTH(X434)+1),VLOOKUP(YEAR(X434),INPC!$B$4:$P$30,MONTH(X434)+2,0)))</f>
        <v>0</v>
      </c>
      <c r="R434" s="309">
        <f t="shared" si="108"/>
        <v>0</v>
      </c>
      <c r="S434" s="310">
        <f t="shared" si="117"/>
        <v>0</v>
      </c>
      <c r="T434" s="547">
        <f t="shared" si="118"/>
        <v>0</v>
      </c>
      <c r="U434" s="311"/>
      <c r="V434" s="312"/>
      <c r="W434" s="299"/>
      <c r="X434" s="300"/>
      <c r="Y434" s="299"/>
      <c r="Z434" s="303"/>
      <c r="AA434" s="305">
        <f>IF(Z434=0,0,IF(Y434="MXN",1/HLOOKUP(YEAR(X434)+(MONTH(X434)/100),TC!$5:$37,DAY(X434)+2,FALSE),VLOOKUP(Y434,Equivalencia!$1:$23,((MAX(Equivalencia!$3:$3)-YEAR(X434))*14)+MONTH(X434)+2,FALSE)))</f>
        <v>0</v>
      </c>
      <c r="AB434" s="306">
        <f t="shared" si="119"/>
        <v>0</v>
      </c>
      <c r="AC434" s="305">
        <f>+IF(X434=0,0,HLOOKUP(YEAR(X434)+(MONTH(X434)/100),TC!$5:$37,DAY(X434)+2,FALSE))</f>
        <v>0</v>
      </c>
      <c r="AD434" s="307">
        <f t="shared" si="120"/>
        <v>0</v>
      </c>
      <c r="AE434" s="314">
        <f t="shared" si="109"/>
        <v>0</v>
      </c>
      <c r="AF434" s="315">
        <f t="shared" si="110"/>
        <v>0</v>
      </c>
      <c r="AG434" s="316">
        <f t="shared" si="111"/>
        <v>0</v>
      </c>
      <c r="AH434" s="314">
        <v>1</v>
      </c>
      <c r="AI434" s="314">
        <f t="shared" si="112"/>
        <v>0</v>
      </c>
      <c r="AJ434" s="314">
        <f t="shared" si="121"/>
        <v>0</v>
      </c>
      <c r="AK434" s="317"/>
      <c r="AL434" s="315">
        <f t="shared" si="113"/>
        <v>0</v>
      </c>
      <c r="AN434" s="546">
        <f t="shared" si="114"/>
        <v>0</v>
      </c>
      <c r="AO434" s="314"/>
      <c r="AP434" s="318"/>
    </row>
    <row r="435" spans="2:42">
      <c r="B435" s="296"/>
      <c r="C435" s="299"/>
      <c r="D435" s="298"/>
      <c r="E435" s="299"/>
      <c r="F435" s="299"/>
      <c r="G435" s="300"/>
      <c r="H435" s="303"/>
      <c r="I435" s="301">
        <f t="shared" si="105"/>
        <v>0</v>
      </c>
      <c r="J435" s="302">
        <f t="shared" si="115"/>
        <v>0</v>
      </c>
      <c r="K435" s="304">
        <f t="shared" si="106"/>
        <v>0</v>
      </c>
      <c r="L435" s="305">
        <f>IF(H435=0,0,IF(OR(E435=$AT$5,E435=$AT$6),AA435,IF(F435="MXN",1/HLOOKUP(YEAR(G435)+(MONTH(G435)/100),TC!$5:$37,DAY(G435)+2,FALSE),VLOOKUP(F435,Equivalencia!$5:$23,((MAX(Equivalencia!$3:$3)-YEAR(G435))*14)+MONTH(G435)+2,FALSE))))</f>
        <v>0</v>
      </c>
      <c r="M435" s="306">
        <f t="shared" si="107"/>
        <v>0</v>
      </c>
      <c r="N435" s="305">
        <f>IF(G435=0,0,(IF(OR(E435=$AT$5,E435=$AT$6),AC435,HLOOKUP(YEAR(G435)+(MONTH(G435)/100),TC!$5:$37,DAY(G435)+2,FALSE))))</f>
        <v>0</v>
      </c>
      <c r="O435" s="307">
        <f t="shared" si="116"/>
        <v>0</v>
      </c>
      <c r="P435" s="552">
        <f>IF(G435=0,0,VLOOKUP(YEAR(G435),INPC!$B$4:$P$30,MONTH(G435)+2))</f>
        <v>0</v>
      </c>
      <c r="Q435" s="552">
        <f>IF(X435=0,0,IF(OR(E435=$AT$10,E435=$AT$9),VLOOKUP(YEAR(X435),INPC!$B$4:$P$30,MONTH(X435)+1),VLOOKUP(YEAR(X435),INPC!$B$4:$P$30,MONTH(X435)+2,0)))</f>
        <v>0</v>
      </c>
      <c r="R435" s="309">
        <f t="shared" si="108"/>
        <v>0</v>
      </c>
      <c r="S435" s="310">
        <f t="shared" si="117"/>
        <v>0</v>
      </c>
      <c r="T435" s="547">
        <f t="shared" si="118"/>
        <v>0</v>
      </c>
      <c r="U435" s="311"/>
      <c r="V435" s="312"/>
      <c r="W435" s="299"/>
      <c r="X435" s="300"/>
      <c r="Y435" s="299"/>
      <c r="Z435" s="303"/>
      <c r="AA435" s="305">
        <f>IF(Z435=0,0,IF(Y435="MXN",1/HLOOKUP(YEAR(X435)+(MONTH(X435)/100),TC!$5:$37,DAY(X435)+2,FALSE),VLOOKUP(Y435,Equivalencia!$1:$23,((MAX(Equivalencia!$3:$3)-YEAR(X435))*14)+MONTH(X435)+2,FALSE)))</f>
        <v>0</v>
      </c>
      <c r="AB435" s="306">
        <f t="shared" si="119"/>
        <v>0</v>
      </c>
      <c r="AC435" s="305">
        <f>+IF(X435=0,0,HLOOKUP(YEAR(X435)+(MONTH(X435)/100),TC!$5:$37,DAY(X435)+2,FALSE))</f>
        <v>0</v>
      </c>
      <c r="AD435" s="307">
        <f t="shared" si="120"/>
        <v>0</v>
      </c>
      <c r="AE435" s="314">
        <f t="shared" si="109"/>
        <v>0</v>
      </c>
      <c r="AF435" s="315">
        <f t="shared" si="110"/>
        <v>0</v>
      </c>
      <c r="AG435" s="316">
        <f t="shared" si="111"/>
        <v>0</v>
      </c>
      <c r="AH435" s="314">
        <v>1</v>
      </c>
      <c r="AI435" s="314">
        <f t="shared" si="112"/>
        <v>0</v>
      </c>
      <c r="AJ435" s="314">
        <f t="shared" si="121"/>
        <v>0</v>
      </c>
      <c r="AK435" s="317"/>
      <c r="AL435" s="315">
        <f t="shared" si="113"/>
        <v>0</v>
      </c>
      <c r="AN435" s="546">
        <f t="shared" si="114"/>
        <v>0</v>
      </c>
      <c r="AO435" s="314"/>
      <c r="AP435" s="318"/>
    </row>
    <row r="436" spans="2:42">
      <c r="B436" s="296"/>
      <c r="C436" s="299"/>
      <c r="D436" s="298"/>
      <c r="E436" s="299"/>
      <c r="F436" s="299"/>
      <c r="G436" s="300"/>
      <c r="H436" s="303"/>
      <c r="I436" s="301">
        <f t="shared" si="105"/>
        <v>0</v>
      </c>
      <c r="J436" s="302">
        <f t="shared" si="115"/>
        <v>0</v>
      </c>
      <c r="K436" s="304">
        <f t="shared" si="106"/>
        <v>0</v>
      </c>
      <c r="L436" s="305">
        <f>IF(H436=0,0,IF(OR(E436=$AT$5,E436=$AT$6),AA436,IF(F436="MXN",1/HLOOKUP(YEAR(G436)+(MONTH(G436)/100),TC!$5:$37,DAY(G436)+2,FALSE),VLOOKUP(F436,Equivalencia!$5:$23,((MAX(Equivalencia!$3:$3)-YEAR(G436))*14)+MONTH(G436)+2,FALSE))))</f>
        <v>0</v>
      </c>
      <c r="M436" s="306">
        <f t="shared" si="107"/>
        <v>0</v>
      </c>
      <c r="N436" s="305">
        <f>IF(G436=0,0,(IF(OR(E436=$AT$5,E436=$AT$6),AC436,HLOOKUP(YEAR(G436)+(MONTH(G436)/100),TC!$5:$37,DAY(G436)+2,FALSE))))</f>
        <v>0</v>
      </c>
      <c r="O436" s="307">
        <f t="shared" si="116"/>
        <v>0</v>
      </c>
      <c r="P436" s="552">
        <f>IF(G436=0,0,VLOOKUP(YEAR(G436),INPC!$B$4:$P$30,MONTH(G436)+2))</f>
        <v>0</v>
      </c>
      <c r="Q436" s="552">
        <f>IF(X436=0,0,IF(OR(E436=$AT$10,E436=$AT$9),VLOOKUP(YEAR(X436),INPC!$B$4:$P$30,MONTH(X436)+1),VLOOKUP(YEAR(X436),INPC!$B$4:$P$30,MONTH(X436)+2,0)))</f>
        <v>0</v>
      </c>
      <c r="R436" s="309">
        <f t="shared" si="108"/>
        <v>0</v>
      </c>
      <c r="S436" s="310">
        <f t="shared" si="117"/>
        <v>0</v>
      </c>
      <c r="T436" s="547">
        <f t="shared" si="118"/>
        <v>0</v>
      </c>
      <c r="U436" s="311"/>
      <c r="V436" s="312"/>
      <c r="W436" s="299"/>
      <c r="X436" s="300"/>
      <c r="Y436" s="299"/>
      <c r="Z436" s="303"/>
      <c r="AA436" s="305">
        <f>IF(Z436=0,0,IF(Y436="MXN",1/HLOOKUP(YEAR(X436)+(MONTH(X436)/100),TC!$5:$37,DAY(X436)+2,FALSE),VLOOKUP(Y436,Equivalencia!$1:$23,((MAX(Equivalencia!$3:$3)-YEAR(X436))*14)+MONTH(X436)+2,FALSE)))</f>
        <v>0</v>
      </c>
      <c r="AB436" s="306">
        <f t="shared" si="119"/>
        <v>0</v>
      </c>
      <c r="AC436" s="305">
        <f>+IF(X436=0,0,HLOOKUP(YEAR(X436)+(MONTH(X436)/100),TC!$5:$37,DAY(X436)+2,FALSE))</f>
        <v>0</v>
      </c>
      <c r="AD436" s="307">
        <f t="shared" si="120"/>
        <v>0</v>
      </c>
      <c r="AE436" s="314">
        <f t="shared" si="109"/>
        <v>0</v>
      </c>
      <c r="AF436" s="315">
        <f t="shared" si="110"/>
        <v>0</v>
      </c>
      <c r="AG436" s="316">
        <f t="shared" si="111"/>
        <v>0</v>
      </c>
      <c r="AH436" s="314">
        <v>1</v>
      </c>
      <c r="AI436" s="314">
        <f t="shared" si="112"/>
        <v>0</v>
      </c>
      <c r="AJ436" s="314">
        <f t="shared" si="121"/>
        <v>0</v>
      </c>
      <c r="AK436" s="317"/>
      <c r="AL436" s="315">
        <f t="shared" si="113"/>
        <v>0</v>
      </c>
      <c r="AN436" s="546">
        <f t="shared" si="114"/>
        <v>0</v>
      </c>
      <c r="AO436" s="314"/>
      <c r="AP436" s="318"/>
    </row>
    <row r="437" spans="2:42">
      <c r="B437" s="296"/>
      <c r="C437" s="299"/>
      <c r="D437" s="298"/>
      <c r="E437" s="299"/>
      <c r="F437" s="299"/>
      <c r="G437" s="300"/>
      <c r="H437" s="303"/>
      <c r="I437" s="301">
        <f t="shared" si="105"/>
        <v>0</v>
      </c>
      <c r="J437" s="302">
        <f t="shared" si="115"/>
        <v>0</v>
      </c>
      <c r="K437" s="304">
        <f t="shared" si="106"/>
        <v>0</v>
      </c>
      <c r="L437" s="305">
        <f>IF(H437=0,0,IF(OR(E437=$AT$5,E437=$AT$6),AA437,IF(F437="MXN",1/HLOOKUP(YEAR(G437)+(MONTH(G437)/100),TC!$5:$37,DAY(G437)+2,FALSE),VLOOKUP(F437,Equivalencia!$5:$23,((MAX(Equivalencia!$3:$3)-YEAR(G437))*14)+MONTH(G437)+2,FALSE))))</f>
        <v>0</v>
      </c>
      <c r="M437" s="306">
        <f t="shared" si="107"/>
        <v>0</v>
      </c>
      <c r="N437" s="305">
        <f>IF(G437=0,0,(IF(OR(E437=$AT$5,E437=$AT$6),AC437,HLOOKUP(YEAR(G437)+(MONTH(G437)/100),TC!$5:$37,DAY(G437)+2,FALSE))))</f>
        <v>0</v>
      </c>
      <c r="O437" s="307">
        <f t="shared" si="116"/>
        <v>0</v>
      </c>
      <c r="P437" s="552">
        <f>IF(G437=0,0,VLOOKUP(YEAR(G437),INPC!$B$4:$P$30,MONTH(G437)+2))</f>
        <v>0</v>
      </c>
      <c r="Q437" s="552">
        <f>IF(X437=0,0,IF(OR(E437=$AT$10,E437=$AT$9),VLOOKUP(YEAR(X437),INPC!$B$4:$P$30,MONTH(X437)+1),VLOOKUP(YEAR(X437),INPC!$B$4:$P$30,MONTH(X437)+2,0)))</f>
        <v>0</v>
      </c>
      <c r="R437" s="309">
        <f t="shared" si="108"/>
        <v>0</v>
      </c>
      <c r="S437" s="310">
        <f t="shared" si="117"/>
        <v>0</v>
      </c>
      <c r="T437" s="547">
        <f t="shared" si="118"/>
        <v>0</v>
      </c>
      <c r="U437" s="311"/>
      <c r="V437" s="312"/>
      <c r="W437" s="299"/>
      <c r="X437" s="300"/>
      <c r="Y437" s="299"/>
      <c r="Z437" s="303"/>
      <c r="AA437" s="305">
        <f>IF(Z437=0,0,IF(Y437="MXN",1/HLOOKUP(YEAR(X437)+(MONTH(X437)/100),TC!$5:$37,DAY(X437)+2,FALSE),VLOOKUP(Y437,Equivalencia!$1:$23,((MAX(Equivalencia!$3:$3)-YEAR(X437))*14)+MONTH(X437)+2,FALSE)))</f>
        <v>0</v>
      </c>
      <c r="AB437" s="306">
        <f t="shared" si="119"/>
        <v>0</v>
      </c>
      <c r="AC437" s="305">
        <f>+IF(X437=0,0,HLOOKUP(YEAR(X437)+(MONTH(X437)/100),TC!$5:$37,DAY(X437)+2,FALSE))</f>
        <v>0</v>
      </c>
      <c r="AD437" s="307">
        <f t="shared" si="120"/>
        <v>0</v>
      </c>
      <c r="AE437" s="314">
        <f t="shared" si="109"/>
        <v>0</v>
      </c>
      <c r="AF437" s="315">
        <f t="shared" si="110"/>
        <v>0</v>
      </c>
      <c r="AG437" s="316">
        <f t="shared" si="111"/>
        <v>0</v>
      </c>
      <c r="AH437" s="314">
        <v>1</v>
      </c>
      <c r="AI437" s="314">
        <f t="shared" si="112"/>
        <v>0</v>
      </c>
      <c r="AJ437" s="314">
        <f t="shared" si="121"/>
        <v>0</v>
      </c>
      <c r="AK437" s="317"/>
      <c r="AL437" s="315">
        <f t="shared" si="113"/>
        <v>0</v>
      </c>
      <c r="AN437" s="546">
        <f t="shared" si="114"/>
        <v>0</v>
      </c>
      <c r="AO437" s="314"/>
      <c r="AP437" s="318"/>
    </row>
    <row r="438" spans="2:42">
      <c r="B438" s="296"/>
      <c r="C438" s="299"/>
      <c r="D438" s="298"/>
      <c r="E438" s="299"/>
      <c r="F438" s="299"/>
      <c r="G438" s="300"/>
      <c r="H438" s="303"/>
      <c r="I438" s="301">
        <f t="shared" si="105"/>
        <v>0</v>
      </c>
      <c r="J438" s="302">
        <f t="shared" si="115"/>
        <v>0</v>
      </c>
      <c r="K438" s="304">
        <f t="shared" si="106"/>
        <v>0</v>
      </c>
      <c r="L438" s="305">
        <f>IF(H438=0,0,IF(OR(E438=$AT$5,E438=$AT$6),AA438,IF(F438="MXN",1/HLOOKUP(YEAR(G438)+(MONTH(G438)/100),TC!$5:$37,DAY(G438)+2,FALSE),VLOOKUP(F438,Equivalencia!$5:$23,((MAX(Equivalencia!$3:$3)-YEAR(G438))*14)+MONTH(G438)+2,FALSE))))</f>
        <v>0</v>
      </c>
      <c r="M438" s="306">
        <f t="shared" si="107"/>
        <v>0</v>
      </c>
      <c r="N438" s="305">
        <f>IF(G438=0,0,(IF(OR(E438=$AT$5,E438=$AT$6),AC438,HLOOKUP(YEAR(G438)+(MONTH(G438)/100),TC!$5:$37,DAY(G438)+2,FALSE))))</f>
        <v>0</v>
      </c>
      <c r="O438" s="307">
        <f t="shared" si="116"/>
        <v>0</v>
      </c>
      <c r="P438" s="552">
        <f>IF(G438=0,0,VLOOKUP(YEAR(G438),INPC!$B$4:$P$30,MONTH(G438)+2))</f>
        <v>0</v>
      </c>
      <c r="Q438" s="552">
        <f>IF(X438=0,0,IF(OR(E438=$AT$10,E438=$AT$9),VLOOKUP(YEAR(X438),INPC!$B$4:$P$30,MONTH(X438)+1),VLOOKUP(YEAR(X438),INPC!$B$4:$P$30,MONTH(X438)+2,0)))</f>
        <v>0</v>
      </c>
      <c r="R438" s="309">
        <f t="shared" si="108"/>
        <v>0</v>
      </c>
      <c r="S438" s="310">
        <f t="shared" si="117"/>
        <v>0</v>
      </c>
      <c r="T438" s="547">
        <f t="shared" si="118"/>
        <v>0</v>
      </c>
      <c r="U438" s="311"/>
      <c r="V438" s="312"/>
      <c r="W438" s="299"/>
      <c r="X438" s="300"/>
      <c r="Y438" s="299"/>
      <c r="Z438" s="303"/>
      <c r="AA438" s="305">
        <f>IF(Z438=0,0,IF(Y438="MXN",1/HLOOKUP(YEAR(X438)+(MONTH(X438)/100),TC!$5:$37,DAY(X438)+2,FALSE),VLOOKUP(Y438,Equivalencia!$1:$23,((MAX(Equivalencia!$3:$3)-YEAR(X438))*14)+MONTH(X438)+2,FALSE)))</f>
        <v>0</v>
      </c>
      <c r="AB438" s="306">
        <f t="shared" si="119"/>
        <v>0</v>
      </c>
      <c r="AC438" s="305">
        <f>+IF(X438=0,0,HLOOKUP(YEAR(X438)+(MONTH(X438)/100),TC!$5:$37,DAY(X438)+2,FALSE))</f>
        <v>0</v>
      </c>
      <c r="AD438" s="307">
        <f t="shared" si="120"/>
        <v>0</v>
      </c>
      <c r="AE438" s="314">
        <f t="shared" si="109"/>
        <v>0</v>
      </c>
      <c r="AF438" s="315">
        <f t="shared" si="110"/>
        <v>0</v>
      </c>
      <c r="AG438" s="316">
        <f t="shared" si="111"/>
        <v>0</v>
      </c>
      <c r="AH438" s="314">
        <v>1</v>
      </c>
      <c r="AI438" s="314">
        <f t="shared" si="112"/>
        <v>0</v>
      </c>
      <c r="AJ438" s="314">
        <f t="shared" si="121"/>
        <v>0</v>
      </c>
      <c r="AK438" s="317"/>
      <c r="AL438" s="315">
        <f t="shared" si="113"/>
        <v>0</v>
      </c>
      <c r="AN438" s="546">
        <f t="shared" si="114"/>
        <v>0</v>
      </c>
      <c r="AO438" s="314"/>
      <c r="AP438" s="318"/>
    </row>
    <row r="439" spans="2:42">
      <c r="B439" s="296"/>
      <c r="C439" s="299"/>
      <c r="D439" s="298"/>
      <c r="E439" s="299"/>
      <c r="F439" s="299"/>
      <c r="G439" s="300"/>
      <c r="H439" s="303"/>
      <c r="I439" s="301">
        <f t="shared" si="105"/>
        <v>0</v>
      </c>
      <c r="J439" s="302">
        <f t="shared" si="115"/>
        <v>0</v>
      </c>
      <c r="K439" s="304">
        <f t="shared" si="106"/>
        <v>0</v>
      </c>
      <c r="L439" s="305">
        <f>IF(H439=0,0,IF(OR(E439=$AT$5,E439=$AT$6),AA439,IF(F439="MXN",1/HLOOKUP(YEAR(G439)+(MONTH(G439)/100),TC!$5:$37,DAY(G439)+2,FALSE),VLOOKUP(F439,Equivalencia!$5:$23,((MAX(Equivalencia!$3:$3)-YEAR(G439))*14)+MONTH(G439)+2,FALSE))))</f>
        <v>0</v>
      </c>
      <c r="M439" s="306">
        <f t="shared" si="107"/>
        <v>0</v>
      </c>
      <c r="N439" s="305">
        <f>IF(G439=0,0,(IF(OR(E439=$AT$5,E439=$AT$6),AC439,HLOOKUP(YEAR(G439)+(MONTH(G439)/100),TC!$5:$37,DAY(G439)+2,FALSE))))</f>
        <v>0</v>
      </c>
      <c r="O439" s="307">
        <f t="shared" si="116"/>
        <v>0</v>
      </c>
      <c r="P439" s="552">
        <f>IF(G439=0,0,VLOOKUP(YEAR(G439),INPC!$B$4:$P$30,MONTH(G439)+2))</f>
        <v>0</v>
      </c>
      <c r="Q439" s="552">
        <f>IF(X439=0,0,IF(OR(E439=$AT$10,E439=$AT$9),VLOOKUP(YEAR(X439),INPC!$B$4:$P$30,MONTH(X439)+1),VLOOKUP(YEAR(X439),INPC!$B$4:$P$30,MONTH(X439)+2,0)))</f>
        <v>0</v>
      </c>
      <c r="R439" s="309">
        <f t="shared" si="108"/>
        <v>0</v>
      </c>
      <c r="S439" s="310">
        <f t="shared" si="117"/>
        <v>0</v>
      </c>
      <c r="T439" s="547">
        <f t="shared" si="118"/>
        <v>0</v>
      </c>
      <c r="U439" s="311"/>
      <c r="V439" s="312"/>
      <c r="W439" s="299"/>
      <c r="X439" s="300"/>
      <c r="Y439" s="299"/>
      <c r="Z439" s="303"/>
      <c r="AA439" s="305">
        <f>IF(Z439=0,0,IF(Y439="MXN",1/HLOOKUP(YEAR(X439)+(MONTH(X439)/100),TC!$5:$37,DAY(X439)+2,FALSE),VLOOKUP(Y439,Equivalencia!$1:$23,((MAX(Equivalencia!$3:$3)-YEAR(X439))*14)+MONTH(X439)+2,FALSE)))</f>
        <v>0</v>
      </c>
      <c r="AB439" s="306">
        <f t="shared" si="119"/>
        <v>0</v>
      </c>
      <c r="AC439" s="305">
        <f>+IF(X439=0,0,HLOOKUP(YEAR(X439)+(MONTH(X439)/100),TC!$5:$37,DAY(X439)+2,FALSE))</f>
        <v>0</v>
      </c>
      <c r="AD439" s="307">
        <f t="shared" si="120"/>
        <v>0</v>
      </c>
      <c r="AE439" s="314">
        <f t="shared" si="109"/>
        <v>0</v>
      </c>
      <c r="AF439" s="315">
        <f t="shared" si="110"/>
        <v>0</v>
      </c>
      <c r="AG439" s="316">
        <f t="shared" si="111"/>
        <v>0</v>
      </c>
      <c r="AH439" s="314">
        <v>1</v>
      </c>
      <c r="AI439" s="314">
        <f t="shared" si="112"/>
        <v>0</v>
      </c>
      <c r="AJ439" s="314">
        <f t="shared" si="121"/>
        <v>0</v>
      </c>
      <c r="AK439" s="317"/>
      <c r="AL439" s="315">
        <f t="shared" si="113"/>
        <v>0</v>
      </c>
      <c r="AN439" s="546">
        <f t="shared" si="114"/>
        <v>0</v>
      </c>
      <c r="AO439" s="314"/>
      <c r="AP439" s="318"/>
    </row>
    <row r="440" spans="2:42">
      <c r="B440" s="296"/>
      <c r="C440" s="299"/>
      <c r="D440" s="298"/>
      <c r="E440" s="299"/>
      <c r="F440" s="299"/>
      <c r="G440" s="300"/>
      <c r="H440" s="303"/>
      <c r="I440" s="301">
        <f t="shared" si="105"/>
        <v>0</v>
      </c>
      <c r="J440" s="302">
        <f t="shared" si="115"/>
        <v>0</v>
      </c>
      <c r="K440" s="304">
        <f t="shared" si="106"/>
        <v>0</v>
      </c>
      <c r="L440" s="305">
        <f>IF(H440=0,0,IF(OR(E440=$AT$5,E440=$AT$6),AA440,IF(F440="MXN",1/HLOOKUP(YEAR(G440)+(MONTH(G440)/100),TC!$5:$37,DAY(G440)+2,FALSE),VLOOKUP(F440,Equivalencia!$5:$23,((MAX(Equivalencia!$3:$3)-YEAR(G440))*14)+MONTH(G440)+2,FALSE))))</f>
        <v>0</v>
      </c>
      <c r="M440" s="306">
        <f t="shared" si="107"/>
        <v>0</v>
      </c>
      <c r="N440" s="305">
        <f>IF(G440=0,0,(IF(OR(E440=$AT$5,E440=$AT$6),AC440,HLOOKUP(YEAR(G440)+(MONTH(G440)/100),TC!$5:$37,DAY(G440)+2,FALSE))))</f>
        <v>0</v>
      </c>
      <c r="O440" s="307">
        <f t="shared" si="116"/>
        <v>0</v>
      </c>
      <c r="P440" s="552">
        <f>IF(G440=0,0,VLOOKUP(YEAR(G440),INPC!$B$4:$P$30,MONTH(G440)+2))</f>
        <v>0</v>
      </c>
      <c r="Q440" s="552">
        <f>IF(X440=0,0,IF(OR(E440=$AT$10,E440=$AT$9),VLOOKUP(YEAR(X440),INPC!$B$4:$P$30,MONTH(X440)+1),VLOOKUP(YEAR(X440),INPC!$B$4:$P$30,MONTH(X440)+2,0)))</f>
        <v>0</v>
      </c>
      <c r="R440" s="309">
        <f t="shared" si="108"/>
        <v>0</v>
      </c>
      <c r="S440" s="310">
        <f t="shared" si="117"/>
        <v>0</v>
      </c>
      <c r="T440" s="547">
        <f t="shared" si="118"/>
        <v>0</v>
      </c>
      <c r="U440" s="311"/>
      <c r="V440" s="312"/>
      <c r="W440" s="299"/>
      <c r="X440" s="300"/>
      <c r="Y440" s="299"/>
      <c r="Z440" s="303"/>
      <c r="AA440" s="305">
        <f>IF(Z440=0,0,IF(Y440="MXN",1/HLOOKUP(YEAR(X440)+(MONTH(X440)/100),TC!$5:$37,DAY(X440)+2,FALSE),VLOOKUP(Y440,Equivalencia!$1:$23,((MAX(Equivalencia!$3:$3)-YEAR(X440))*14)+MONTH(X440)+2,FALSE)))</f>
        <v>0</v>
      </c>
      <c r="AB440" s="306">
        <f t="shared" si="119"/>
        <v>0</v>
      </c>
      <c r="AC440" s="305">
        <f>+IF(X440=0,0,HLOOKUP(YEAR(X440)+(MONTH(X440)/100),TC!$5:$37,DAY(X440)+2,FALSE))</f>
        <v>0</v>
      </c>
      <c r="AD440" s="307">
        <f t="shared" si="120"/>
        <v>0</v>
      </c>
      <c r="AE440" s="314">
        <f t="shared" si="109"/>
        <v>0</v>
      </c>
      <c r="AF440" s="315">
        <f t="shared" si="110"/>
        <v>0</v>
      </c>
      <c r="AG440" s="316">
        <f t="shared" si="111"/>
        <v>0</v>
      </c>
      <c r="AH440" s="314">
        <v>1</v>
      </c>
      <c r="AI440" s="314">
        <f t="shared" si="112"/>
        <v>0</v>
      </c>
      <c r="AJ440" s="314">
        <f t="shared" si="121"/>
        <v>0</v>
      </c>
      <c r="AK440" s="317"/>
      <c r="AL440" s="315">
        <f t="shared" si="113"/>
        <v>0</v>
      </c>
      <c r="AN440" s="546">
        <f t="shared" si="114"/>
        <v>0</v>
      </c>
      <c r="AO440" s="314"/>
      <c r="AP440" s="318"/>
    </row>
    <row r="441" spans="2:42">
      <c r="B441" s="296"/>
      <c r="C441" s="299"/>
      <c r="D441" s="298"/>
      <c r="E441" s="299"/>
      <c r="F441" s="299"/>
      <c r="G441" s="300"/>
      <c r="H441" s="303"/>
      <c r="I441" s="301">
        <f t="shared" si="105"/>
        <v>0</v>
      </c>
      <c r="J441" s="302">
        <f t="shared" si="115"/>
        <v>0</v>
      </c>
      <c r="K441" s="304">
        <f t="shared" si="106"/>
        <v>0</v>
      </c>
      <c r="L441" s="305">
        <f>IF(H441=0,0,IF(OR(E441=$AT$5,E441=$AT$6),AA441,IF(F441="MXN",1/HLOOKUP(YEAR(G441)+(MONTH(G441)/100),TC!$5:$37,DAY(G441)+2,FALSE),VLOOKUP(F441,Equivalencia!$5:$23,((MAX(Equivalencia!$3:$3)-YEAR(G441))*14)+MONTH(G441)+2,FALSE))))</f>
        <v>0</v>
      </c>
      <c r="M441" s="306">
        <f t="shared" si="107"/>
        <v>0</v>
      </c>
      <c r="N441" s="305">
        <f>IF(G441=0,0,(IF(OR(E441=$AT$5,E441=$AT$6),AC441,HLOOKUP(YEAR(G441)+(MONTH(G441)/100),TC!$5:$37,DAY(G441)+2,FALSE))))</f>
        <v>0</v>
      </c>
      <c r="O441" s="307">
        <f t="shared" si="116"/>
        <v>0</v>
      </c>
      <c r="P441" s="552">
        <f>IF(G441=0,0,VLOOKUP(YEAR(G441),INPC!$B$4:$P$30,MONTH(G441)+2))</f>
        <v>0</v>
      </c>
      <c r="Q441" s="552">
        <f>IF(X441=0,0,IF(OR(E441=$AT$10,E441=$AT$9),VLOOKUP(YEAR(X441),INPC!$B$4:$P$30,MONTH(X441)+1),VLOOKUP(YEAR(X441),INPC!$B$4:$P$30,MONTH(X441)+2,0)))</f>
        <v>0</v>
      </c>
      <c r="R441" s="309">
        <f t="shared" si="108"/>
        <v>0</v>
      </c>
      <c r="S441" s="310">
        <f t="shared" si="117"/>
        <v>0</v>
      </c>
      <c r="T441" s="547">
        <f t="shared" si="118"/>
        <v>0</v>
      </c>
      <c r="U441" s="311"/>
      <c r="V441" s="312"/>
      <c r="W441" s="299"/>
      <c r="X441" s="300"/>
      <c r="Y441" s="299"/>
      <c r="Z441" s="303"/>
      <c r="AA441" s="305">
        <f>IF(Z441=0,0,IF(Y441="MXN",1/HLOOKUP(YEAR(X441)+(MONTH(X441)/100),TC!$5:$37,DAY(X441)+2,FALSE),VLOOKUP(Y441,Equivalencia!$1:$23,((MAX(Equivalencia!$3:$3)-YEAR(X441))*14)+MONTH(X441)+2,FALSE)))</f>
        <v>0</v>
      </c>
      <c r="AB441" s="306">
        <f t="shared" si="119"/>
        <v>0</v>
      </c>
      <c r="AC441" s="305">
        <f>+IF(X441=0,0,HLOOKUP(YEAR(X441)+(MONTH(X441)/100),TC!$5:$37,DAY(X441)+2,FALSE))</f>
        <v>0</v>
      </c>
      <c r="AD441" s="307">
        <f t="shared" si="120"/>
        <v>0</v>
      </c>
      <c r="AE441" s="314">
        <f t="shared" si="109"/>
        <v>0</v>
      </c>
      <c r="AF441" s="315">
        <f t="shared" si="110"/>
        <v>0</v>
      </c>
      <c r="AG441" s="316">
        <f t="shared" si="111"/>
        <v>0</v>
      </c>
      <c r="AH441" s="314">
        <v>1</v>
      </c>
      <c r="AI441" s="314">
        <f t="shared" si="112"/>
        <v>0</v>
      </c>
      <c r="AJ441" s="314">
        <f t="shared" si="121"/>
        <v>0</v>
      </c>
      <c r="AK441" s="317"/>
      <c r="AL441" s="315">
        <f t="shared" si="113"/>
        <v>0</v>
      </c>
      <c r="AN441" s="546">
        <f t="shared" si="114"/>
        <v>0</v>
      </c>
      <c r="AO441" s="314"/>
      <c r="AP441" s="318"/>
    </row>
    <row r="442" spans="2:42">
      <c r="B442" s="296"/>
      <c r="C442" s="299"/>
      <c r="D442" s="298"/>
      <c r="E442" s="299"/>
      <c r="F442" s="299"/>
      <c r="G442" s="300"/>
      <c r="H442" s="303"/>
      <c r="I442" s="301">
        <f t="shared" si="105"/>
        <v>0</v>
      </c>
      <c r="J442" s="302">
        <f t="shared" si="115"/>
        <v>0</v>
      </c>
      <c r="K442" s="304">
        <f t="shared" si="106"/>
        <v>0</v>
      </c>
      <c r="L442" s="305">
        <f>IF(H442=0,0,IF(OR(E442=$AT$5,E442=$AT$6),AA442,IF(F442="MXN",1/HLOOKUP(YEAR(G442)+(MONTH(G442)/100),TC!$5:$37,DAY(G442)+2,FALSE),VLOOKUP(F442,Equivalencia!$5:$23,((MAX(Equivalencia!$3:$3)-YEAR(G442))*14)+MONTH(G442)+2,FALSE))))</f>
        <v>0</v>
      </c>
      <c r="M442" s="306">
        <f t="shared" si="107"/>
        <v>0</v>
      </c>
      <c r="N442" s="305">
        <f>IF(G442=0,0,(IF(OR(E442=$AT$5,E442=$AT$6),AC442,HLOOKUP(YEAR(G442)+(MONTH(G442)/100),TC!$5:$37,DAY(G442)+2,FALSE))))</f>
        <v>0</v>
      </c>
      <c r="O442" s="307">
        <f t="shared" si="116"/>
        <v>0</v>
      </c>
      <c r="P442" s="552">
        <f>IF(G442=0,0,VLOOKUP(YEAR(G442),INPC!$B$4:$P$30,MONTH(G442)+2))</f>
        <v>0</v>
      </c>
      <c r="Q442" s="552">
        <f>IF(X442=0,0,IF(OR(E442=$AT$10,E442=$AT$9),VLOOKUP(YEAR(X442),INPC!$B$4:$P$30,MONTH(X442)+1),VLOOKUP(YEAR(X442),INPC!$B$4:$P$30,MONTH(X442)+2,0)))</f>
        <v>0</v>
      </c>
      <c r="R442" s="309">
        <f t="shared" si="108"/>
        <v>0</v>
      </c>
      <c r="S442" s="310">
        <f t="shared" si="117"/>
        <v>0</v>
      </c>
      <c r="T442" s="547">
        <f t="shared" si="118"/>
        <v>0</v>
      </c>
      <c r="U442" s="311"/>
      <c r="V442" s="312"/>
      <c r="W442" s="299"/>
      <c r="X442" s="300"/>
      <c r="Y442" s="299"/>
      <c r="Z442" s="303"/>
      <c r="AA442" s="305">
        <f>IF(Z442=0,0,IF(Y442="MXN",1/HLOOKUP(YEAR(X442)+(MONTH(X442)/100),TC!$5:$37,DAY(X442)+2,FALSE),VLOOKUP(Y442,Equivalencia!$1:$23,((MAX(Equivalencia!$3:$3)-YEAR(X442))*14)+MONTH(X442)+2,FALSE)))</f>
        <v>0</v>
      </c>
      <c r="AB442" s="306">
        <f t="shared" si="119"/>
        <v>0</v>
      </c>
      <c r="AC442" s="305">
        <f>+IF(X442=0,0,HLOOKUP(YEAR(X442)+(MONTH(X442)/100),TC!$5:$37,DAY(X442)+2,FALSE))</f>
        <v>0</v>
      </c>
      <c r="AD442" s="307">
        <f t="shared" si="120"/>
        <v>0</v>
      </c>
      <c r="AE442" s="314">
        <f t="shared" si="109"/>
        <v>0</v>
      </c>
      <c r="AF442" s="315">
        <f t="shared" si="110"/>
        <v>0</v>
      </c>
      <c r="AG442" s="316">
        <f t="shared" si="111"/>
        <v>0</v>
      </c>
      <c r="AH442" s="314">
        <v>1</v>
      </c>
      <c r="AI442" s="314">
        <f t="shared" si="112"/>
        <v>0</v>
      </c>
      <c r="AJ442" s="314">
        <f t="shared" si="121"/>
        <v>0</v>
      </c>
      <c r="AK442" s="317"/>
      <c r="AL442" s="315">
        <f t="shared" si="113"/>
        <v>0</v>
      </c>
      <c r="AN442" s="546">
        <f t="shared" si="114"/>
        <v>0</v>
      </c>
      <c r="AO442" s="314"/>
      <c r="AP442" s="318"/>
    </row>
    <row r="443" spans="2:42">
      <c r="B443" s="296"/>
      <c r="C443" s="299"/>
      <c r="D443" s="298"/>
      <c r="E443" s="299"/>
      <c r="F443" s="299"/>
      <c r="G443" s="300"/>
      <c r="H443" s="303"/>
      <c r="I443" s="301">
        <f t="shared" si="105"/>
        <v>0</v>
      </c>
      <c r="J443" s="302">
        <f t="shared" si="115"/>
        <v>0</v>
      </c>
      <c r="K443" s="304">
        <f t="shared" si="106"/>
        <v>0</v>
      </c>
      <c r="L443" s="305">
        <f>IF(H443=0,0,IF(OR(E443=$AT$5,E443=$AT$6),AA443,IF(F443="MXN",1/HLOOKUP(YEAR(G443)+(MONTH(G443)/100),TC!$5:$37,DAY(G443)+2,FALSE),VLOOKUP(F443,Equivalencia!$5:$23,((MAX(Equivalencia!$3:$3)-YEAR(G443))*14)+MONTH(G443)+2,FALSE))))</f>
        <v>0</v>
      </c>
      <c r="M443" s="306">
        <f t="shared" si="107"/>
        <v>0</v>
      </c>
      <c r="N443" s="305">
        <f>IF(G443=0,0,(IF(OR(E443=$AT$5,E443=$AT$6),AC443,HLOOKUP(YEAR(G443)+(MONTH(G443)/100),TC!$5:$37,DAY(G443)+2,FALSE))))</f>
        <v>0</v>
      </c>
      <c r="O443" s="307">
        <f t="shared" si="116"/>
        <v>0</v>
      </c>
      <c r="P443" s="552">
        <f>IF(G443=0,0,VLOOKUP(YEAR(G443),INPC!$B$4:$P$30,MONTH(G443)+2))</f>
        <v>0</v>
      </c>
      <c r="Q443" s="552">
        <f>IF(X443=0,0,IF(OR(E443=$AT$10,E443=$AT$9),VLOOKUP(YEAR(X443),INPC!$B$4:$P$30,MONTH(X443)+1),VLOOKUP(YEAR(X443),INPC!$B$4:$P$30,MONTH(X443)+2,0)))</f>
        <v>0</v>
      </c>
      <c r="R443" s="309">
        <f t="shared" si="108"/>
        <v>0</v>
      </c>
      <c r="S443" s="310">
        <f t="shared" si="117"/>
        <v>0</v>
      </c>
      <c r="T443" s="547">
        <f t="shared" si="118"/>
        <v>0</v>
      </c>
      <c r="U443" s="311"/>
      <c r="V443" s="312"/>
      <c r="W443" s="299"/>
      <c r="X443" s="300"/>
      <c r="Y443" s="299"/>
      <c r="Z443" s="303"/>
      <c r="AA443" s="305">
        <f>IF(Z443=0,0,IF(Y443="MXN",1/HLOOKUP(YEAR(X443)+(MONTH(X443)/100),TC!$5:$37,DAY(X443)+2,FALSE),VLOOKUP(Y443,Equivalencia!$1:$23,((MAX(Equivalencia!$3:$3)-YEAR(X443))*14)+MONTH(X443)+2,FALSE)))</f>
        <v>0</v>
      </c>
      <c r="AB443" s="306">
        <f t="shared" si="119"/>
        <v>0</v>
      </c>
      <c r="AC443" s="305">
        <f>+IF(X443=0,0,HLOOKUP(YEAR(X443)+(MONTH(X443)/100),TC!$5:$37,DAY(X443)+2,FALSE))</f>
        <v>0</v>
      </c>
      <c r="AD443" s="307">
        <f t="shared" si="120"/>
        <v>0</v>
      </c>
      <c r="AE443" s="314">
        <f t="shared" si="109"/>
        <v>0</v>
      </c>
      <c r="AF443" s="315">
        <f t="shared" si="110"/>
        <v>0</v>
      </c>
      <c r="AG443" s="316">
        <f t="shared" si="111"/>
        <v>0</v>
      </c>
      <c r="AH443" s="314">
        <v>1</v>
      </c>
      <c r="AI443" s="314">
        <f t="shared" si="112"/>
        <v>0</v>
      </c>
      <c r="AJ443" s="314">
        <f t="shared" si="121"/>
        <v>0</v>
      </c>
      <c r="AK443" s="317"/>
      <c r="AL443" s="315">
        <f t="shared" si="113"/>
        <v>0</v>
      </c>
      <c r="AN443" s="546">
        <f t="shared" si="114"/>
        <v>0</v>
      </c>
      <c r="AO443" s="314"/>
      <c r="AP443" s="318"/>
    </row>
    <row r="444" spans="2:42">
      <c r="B444" s="296"/>
      <c r="C444" s="299"/>
      <c r="D444" s="298"/>
      <c r="E444" s="299"/>
      <c r="F444" s="299"/>
      <c r="G444" s="300"/>
      <c r="H444" s="303"/>
      <c r="I444" s="301">
        <f t="shared" si="105"/>
        <v>0</v>
      </c>
      <c r="J444" s="302">
        <f t="shared" si="115"/>
        <v>0</v>
      </c>
      <c r="K444" s="304">
        <f t="shared" si="106"/>
        <v>0</v>
      </c>
      <c r="L444" s="305">
        <f>IF(H444=0,0,IF(OR(E444=$AT$5,E444=$AT$6),AA444,IF(F444="MXN",1/HLOOKUP(YEAR(G444)+(MONTH(G444)/100),TC!$5:$37,DAY(G444)+2,FALSE),VLOOKUP(F444,Equivalencia!$5:$23,((MAX(Equivalencia!$3:$3)-YEAR(G444))*14)+MONTH(G444)+2,FALSE))))</f>
        <v>0</v>
      </c>
      <c r="M444" s="306">
        <f t="shared" si="107"/>
        <v>0</v>
      </c>
      <c r="N444" s="305">
        <f>IF(G444=0,0,(IF(OR(E444=$AT$5,E444=$AT$6),AC444,HLOOKUP(YEAR(G444)+(MONTH(G444)/100),TC!$5:$37,DAY(G444)+2,FALSE))))</f>
        <v>0</v>
      </c>
      <c r="O444" s="307">
        <f t="shared" si="116"/>
        <v>0</v>
      </c>
      <c r="P444" s="552">
        <f>IF(G444=0,0,VLOOKUP(YEAR(G444),INPC!$B$4:$P$30,MONTH(G444)+2))</f>
        <v>0</v>
      </c>
      <c r="Q444" s="552">
        <f>IF(X444=0,0,IF(OR(E444=$AT$10,E444=$AT$9),VLOOKUP(YEAR(X444),INPC!$B$4:$P$30,MONTH(X444)+1),VLOOKUP(YEAR(X444),INPC!$B$4:$P$30,MONTH(X444)+2,0)))</f>
        <v>0</v>
      </c>
      <c r="R444" s="309">
        <f t="shared" si="108"/>
        <v>0</v>
      </c>
      <c r="S444" s="310">
        <f t="shared" si="117"/>
        <v>0</v>
      </c>
      <c r="T444" s="547">
        <f t="shared" si="118"/>
        <v>0</v>
      </c>
      <c r="U444" s="311"/>
      <c r="V444" s="312"/>
      <c r="W444" s="299"/>
      <c r="X444" s="300"/>
      <c r="Y444" s="299"/>
      <c r="Z444" s="303"/>
      <c r="AA444" s="305">
        <f>IF(Z444=0,0,IF(Y444="MXN",1/HLOOKUP(YEAR(X444)+(MONTH(X444)/100),TC!$5:$37,DAY(X444)+2,FALSE),VLOOKUP(Y444,Equivalencia!$1:$23,((MAX(Equivalencia!$3:$3)-YEAR(X444))*14)+MONTH(X444)+2,FALSE)))</f>
        <v>0</v>
      </c>
      <c r="AB444" s="306">
        <f t="shared" si="119"/>
        <v>0</v>
      </c>
      <c r="AC444" s="305">
        <f>+IF(X444=0,0,HLOOKUP(YEAR(X444)+(MONTH(X444)/100),TC!$5:$37,DAY(X444)+2,FALSE))</f>
        <v>0</v>
      </c>
      <c r="AD444" s="307">
        <f t="shared" si="120"/>
        <v>0</v>
      </c>
      <c r="AE444" s="314">
        <f t="shared" si="109"/>
        <v>0</v>
      </c>
      <c r="AF444" s="315">
        <f t="shared" si="110"/>
        <v>0</v>
      </c>
      <c r="AG444" s="316">
        <f t="shared" si="111"/>
        <v>0</v>
      </c>
      <c r="AH444" s="314">
        <v>1</v>
      </c>
      <c r="AI444" s="314">
        <f t="shared" si="112"/>
        <v>0</v>
      </c>
      <c r="AJ444" s="314">
        <f t="shared" si="121"/>
        <v>0</v>
      </c>
      <c r="AK444" s="317"/>
      <c r="AL444" s="315">
        <f t="shared" si="113"/>
        <v>0</v>
      </c>
      <c r="AN444" s="546">
        <f t="shared" si="114"/>
        <v>0</v>
      </c>
      <c r="AO444" s="314"/>
      <c r="AP444" s="318"/>
    </row>
    <row r="445" spans="2:42">
      <c r="B445" s="296"/>
      <c r="C445" s="299"/>
      <c r="D445" s="298"/>
      <c r="E445" s="299"/>
      <c r="F445" s="299"/>
      <c r="G445" s="300"/>
      <c r="H445" s="303"/>
      <c r="I445" s="301">
        <f t="shared" si="105"/>
        <v>0</v>
      </c>
      <c r="J445" s="302">
        <f t="shared" si="115"/>
        <v>0</v>
      </c>
      <c r="K445" s="304">
        <f t="shared" si="106"/>
        <v>0</v>
      </c>
      <c r="L445" s="305">
        <f>IF(H445=0,0,IF(OR(E445=$AT$5,E445=$AT$6),AA445,IF(F445="MXN",1/HLOOKUP(YEAR(G445)+(MONTH(G445)/100),TC!$5:$37,DAY(G445)+2,FALSE),VLOOKUP(F445,Equivalencia!$5:$23,((MAX(Equivalencia!$3:$3)-YEAR(G445))*14)+MONTH(G445)+2,FALSE))))</f>
        <v>0</v>
      </c>
      <c r="M445" s="306">
        <f t="shared" si="107"/>
        <v>0</v>
      </c>
      <c r="N445" s="305">
        <f>IF(G445=0,0,(IF(OR(E445=$AT$5,E445=$AT$6),AC445,HLOOKUP(YEAR(G445)+(MONTH(G445)/100),TC!$5:$37,DAY(G445)+2,FALSE))))</f>
        <v>0</v>
      </c>
      <c r="O445" s="307">
        <f t="shared" si="116"/>
        <v>0</v>
      </c>
      <c r="P445" s="552">
        <f>IF(G445=0,0,VLOOKUP(YEAR(G445),INPC!$B$4:$P$30,MONTH(G445)+2))</f>
        <v>0</v>
      </c>
      <c r="Q445" s="552">
        <f>IF(X445=0,0,IF(OR(E445=$AT$10,E445=$AT$9),VLOOKUP(YEAR(X445),INPC!$B$4:$P$30,MONTH(X445)+1),VLOOKUP(YEAR(X445),INPC!$B$4:$P$30,MONTH(X445)+2,0)))</f>
        <v>0</v>
      </c>
      <c r="R445" s="309">
        <f t="shared" si="108"/>
        <v>0</v>
      </c>
      <c r="S445" s="310">
        <f t="shared" si="117"/>
        <v>0</v>
      </c>
      <c r="T445" s="547">
        <f t="shared" si="118"/>
        <v>0</v>
      </c>
      <c r="U445" s="311"/>
      <c r="V445" s="312"/>
      <c r="W445" s="299"/>
      <c r="X445" s="300"/>
      <c r="Y445" s="299"/>
      <c r="Z445" s="303"/>
      <c r="AA445" s="305">
        <f>IF(Z445=0,0,IF(Y445="MXN",1/HLOOKUP(YEAR(X445)+(MONTH(X445)/100),TC!$5:$37,DAY(X445)+2,FALSE),VLOOKUP(Y445,Equivalencia!$1:$23,((MAX(Equivalencia!$3:$3)-YEAR(X445))*14)+MONTH(X445)+2,FALSE)))</f>
        <v>0</v>
      </c>
      <c r="AB445" s="306">
        <f t="shared" si="119"/>
        <v>0</v>
      </c>
      <c r="AC445" s="305">
        <f>+IF(X445=0,0,HLOOKUP(YEAR(X445)+(MONTH(X445)/100),TC!$5:$37,DAY(X445)+2,FALSE))</f>
        <v>0</v>
      </c>
      <c r="AD445" s="307">
        <f t="shared" si="120"/>
        <v>0</v>
      </c>
      <c r="AE445" s="314">
        <f t="shared" si="109"/>
        <v>0</v>
      </c>
      <c r="AF445" s="315">
        <f t="shared" si="110"/>
        <v>0</v>
      </c>
      <c r="AG445" s="316">
        <f t="shared" si="111"/>
        <v>0</v>
      </c>
      <c r="AH445" s="314">
        <v>1</v>
      </c>
      <c r="AI445" s="314">
        <f t="shared" si="112"/>
        <v>0</v>
      </c>
      <c r="AJ445" s="314">
        <f t="shared" si="121"/>
        <v>0</v>
      </c>
      <c r="AK445" s="317"/>
      <c r="AL445" s="315">
        <f t="shared" si="113"/>
        <v>0</v>
      </c>
      <c r="AN445" s="546">
        <f t="shared" si="114"/>
        <v>0</v>
      </c>
      <c r="AO445" s="314"/>
      <c r="AP445" s="318"/>
    </row>
    <row r="446" spans="2:42">
      <c r="B446" s="296"/>
      <c r="C446" s="299"/>
      <c r="D446" s="298"/>
      <c r="E446" s="299"/>
      <c r="F446" s="299"/>
      <c r="G446" s="300"/>
      <c r="H446" s="303"/>
      <c r="I446" s="301">
        <f t="shared" si="105"/>
        <v>0</v>
      </c>
      <c r="J446" s="302">
        <f t="shared" si="115"/>
        <v>0</v>
      </c>
      <c r="K446" s="304">
        <f t="shared" si="106"/>
        <v>0</v>
      </c>
      <c r="L446" s="305">
        <f>IF(H446=0,0,IF(OR(E446=$AT$5,E446=$AT$6),AA446,IF(F446="MXN",1/HLOOKUP(YEAR(G446)+(MONTH(G446)/100),TC!$5:$37,DAY(G446)+2,FALSE),VLOOKUP(F446,Equivalencia!$5:$23,((MAX(Equivalencia!$3:$3)-YEAR(G446))*14)+MONTH(G446)+2,FALSE))))</f>
        <v>0</v>
      </c>
      <c r="M446" s="306">
        <f t="shared" si="107"/>
        <v>0</v>
      </c>
      <c r="N446" s="305">
        <f>IF(G446=0,0,(IF(OR(E446=$AT$5,E446=$AT$6),AC446,HLOOKUP(YEAR(G446)+(MONTH(G446)/100),TC!$5:$37,DAY(G446)+2,FALSE))))</f>
        <v>0</v>
      </c>
      <c r="O446" s="307">
        <f t="shared" si="116"/>
        <v>0</v>
      </c>
      <c r="P446" s="552">
        <f>IF(G446=0,0,VLOOKUP(YEAR(G446),INPC!$B$4:$P$30,MONTH(G446)+2))</f>
        <v>0</v>
      </c>
      <c r="Q446" s="552">
        <f>IF(X446=0,0,IF(OR(E446=$AT$10,E446=$AT$9),VLOOKUP(YEAR(X446),INPC!$B$4:$P$30,MONTH(X446)+1),VLOOKUP(YEAR(X446),INPC!$B$4:$P$30,MONTH(X446)+2,0)))</f>
        <v>0</v>
      </c>
      <c r="R446" s="309">
        <f t="shared" si="108"/>
        <v>0</v>
      </c>
      <c r="S446" s="310">
        <f t="shared" si="117"/>
        <v>0</v>
      </c>
      <c r="T446" s="547">
        <f t="shared" si="118"/>
        <v>0</v>
      </c>
      <c r="U446" s="311"/>
      <c r="V446" s="312"/>
      <c r="W446" s="299"/>
      <c r="X446" s="300"/>
      <c r="Y446" s="299"/>
      <c r="Z446" s="303"/>
      <c r="AA446" s="305">
        <f>IF(Z446=0,0,IF(Y446="MXN",1/HLOOKUP(YEAR(X446)+(MONTH(X446)/100),TC!$5:$37,DAY(X446)+2,FALSE),VLOOKUP(Y446,Equivalencia!$1:$23,((MAX(Equivalencia!$3:$3)-YEAR(X446))*14)+MONTH(X446)+2,FALSE)))</f>
        <v>0</v>
      </c>
      <c r="AB446" s="306">
        <f t="shared" si="119"/>
        <v>0</v>
      </c>
      <c r="AC446" s="305">
        <f>+IF(X446=0,0,HLOOKUP(YEAR(X446)+(MONTH(X446)/100),TC!$5:$37,DAY(X446)+2,FALSE))</f>
        <v>0</v>
      </c>
      <c r="AD446" s="307">
        <f t="shared" si="120"/>
        <v>0</v>
      </c>
      <c r="AE446" s="314">
        <f t="shared" si="109"/>
        <v>0</v>
      </c>
      <c r="AF446" s="315">
        <f t="shared" si="110"/>
        <v>0</v>
      </c>
      <c r="AG446" s="316">
        <f t="shared" si="111"/>
        <v>0</v>
      </c>
      <c r="AH446" s="314">
        <v>1</v>
      </c>
      <c r="AI446" s="314">
        <f t="shared" si="112"/>
        <v>0</v>
      </c>
      <c r="AJ446" s="314">
        <f t="shared" si="121"/>
        <v>0</v>
      </c>
      <c r="AK446" s="317"/>
      <c r="AL446" s="315">
        <f t="shared" si="113"/>
        <v>0</v>
      </c>
      <c r="AN446" s="546">
        <f t="shared" si="114"/>
        <v>0</v>
      </c>
      <c r="AO446" s="314"/>
      <c r="AP446" s="318"/>
    </row>
    <row r="447" spans="2:42">
      <c r="B447" s="296"/>
      <c r="C447" s="299"/>
      <c r="D447" s="298"/>
      <c r="E447" s="299"/>
      <c r="F447" s="299"/>
      <c r="G447" s="300"/>
      <c r="H447" s="303"/>
      <c r="I447" s="301">
        <f t="shared" si="105"/>
        <v>0</v>
      </c>
      <c r="J447" s="302">
        <f t="shared" si="115"/>
        <v>0</v>
      </c>
      <c r="K447" s="304">
        <f t="shared" si="106"/>
        <v>0</v>
      </c>
      <c r="L447" s="305">
        <f>IF(H447=0,0,IF(OR(E447=$AT$5,E447=$AT$6),AA447,IF(F447="MXN",1/HLOOKUP(YEAR(G447)+(MONTH(G447)/100),TC!$5:$37,DAY(G447)+2,FALSE),VLOOKUP(F447,Equivalencia!$5:$23,((MAX(Equivalencia!$3:$3)-YEAR(G447))*14)+MONTH(G447)+2,FALSE))))</f>
        <v>0</v>
      </c>
      <c r="M447" s="306">
        <f t="shared" si="107"/>
        <v>0</v>
      </c>
      <c r="N447" s="305">
        <f>IF(G447=0,0,(IF(OR(E447=$AT$5,E447=$AT$6),AC447,HLOOKUP(YEAR(G447)+(MONTH(G447)/100),TC!$5:$37,DAY(G447)+2,FALSE))))</f>
        <v>0</v>
      </c>
      <c r="O447" s="307">
        <f t="shared" si="116"/>
        <v>0</v>
      </c>
      <c r="P447" s="552">
        <f>IF(G447=0,0,VLOOKUP(YEAR(G447),INPC!$B$4:$P$30,MONTH(G447)+2))</f>
        <v>0</v>
      </c>
      <c r="Q447" s="552">
        <f>IF(X447=0,0,IF(OR(E447=$AT$10,E447=$AT$9),VLOOKUP(YEAR(X447),INPC!$B$4:$P$30,MONTH(X447)+1),VLOOKUP(YEAR(X447),INPC!$B$4:$P$30,MONTH(X447)+2,0)))</f>
        <v>0</v>
      </c>
      <c r="R447" s="309">
        <f t="shared" si="108"/>
        <v>0</v>
      </c>
      <c r="S447" s="310">
        <f t="shared" si="117"/>
        <v>0</v>
      </c>
      <c r="T447" s="547">
        <f t="shared" si="118"/>
        <v>0</v>
      </c>
      <c r="U447" s="311"/>
      <c r="V447" s="312"/>
      <c r="W447" s="299"/>
      <c r="X447" s="300"/>
      <c r="Y447" s="299"/>
      <c r="Z447" s="303"/>
      <c r="AA447" s="305">
        <f>IF(Z447=0,0,IF(Y447="MXN",1/HLOOKUP(YEAR(X447)+(MONTH(X447)/100),TC!$5:$37,DAY(X447)+2,FALSE),VLOOKUP(Y447,Equivalencia!$1:$23,((MAX(Equivalencia!$3:$3)-YEAR(X447))*14)+MONTH(X447)+2,FALSE)))</f>
        <v>0</v>
      </c>
      <c r="AB447" s="306">
        <f t="shared" si="119"/>
        <v>0</v>
      </c>
      <c r="AC447" s="305">
        <f>+IF(X447=0,0,HLOOKUP(YEAR(X447)+(MONTH(X447)/100),TC!$5:$37,DAY(X447)+2,FALSE))</f>
        <v>0</v>
      </c>
      <c r="AD447" s="307">
        <f t="shared" si="120"/>
        <v>0</v>
      </c>
      <c r="AE447" s="314">
        <f t="shared" si="109"/>
        <v>0</v>
      </c>
      <c r="AF447" s="315">
        <f t="shared" si="110"/>
        <v>0</v>
      </c>
      <c r="AG447" s="316">
        <f t="shared" si="111"/>
        <v>0</v>
      </c>
      <c r="AH447" s="314">
        <v>1</v>
      </c>
      <c r="AI447" s="314">
        <f t="shared" si="112"/>
        <v>0</v>
      </c>
      <c r="AJ447" s="314">
        <f t="shared" si="121"/>
        <v>0</v>
      </c>
      <c r="AK447" s="317"/>
      <c r="AL447" s="315">
        <f t="shared" si="113"/>
        <v>0</v>
      </c>
      <c r="AN447" s="546">
        <f t="shared" si="114"/>
        <v>0</v>
      </c>
      <c r="AO447" s="314"/>
      <c r="AP447" s="318"/>
    </row>
    <row r="448" spans="2:42">
      <c r="B448" s="296"/>
      <c r="C448" s="299"/>
      <c r="D448" s="298"/>
      <c r="E448" s="299"/>
      <c r="F448" s="299"/>
      <c r="G448" s="300"/>
      <c r="H448" s="303"/>
      <c r="I448" s="301">
        <f t="shared" si="105"/>
        <v>0</v>
      </c>
      <c r="J448" s="302">
        <f t="shared" si="115"/>
        <v>0</v>
      </c>
      <c r="K448" s="304">
        <f t="shared" si="106"/>
        <v>0</v>
      </c>
      <c r="L448" s="305">
        <f>IF(H448=0,0,IF(OR(E448=$AT$5,E448=$AT$6),AA448,IF(F448="MXN",1/HLOOKUP(YEAR(G448)+(MONTH(G448)/100),TC!$5:$37,DAY(G448)+2,FALSE),VLOOKUP(F448,Equivalencia!$5:$23,((MAX(Equivalencia!$3:$3)-YEAR(G448))*14)+MONTH(G448)+2,FALSE))))</f>
        <v>0</v>
      </c>
      <c r="M448" s="306">
        <f t="shared" si="107"/>
        <v>0</v>
      </c>
      <c r="N448" s="305">
        <f>IF(G448=0,0,(IF(OR(E448=$AT$5,E448=$AT$6),AC448,HLOOKUP(YEAR(G448)+(MONTH(G448)/100),TC!$5:$37,DAY(G448)+2,FALSE))))</f>
        <v>0</v>
      </c>
      <c r="O448" s="307">
        <f t="shared" si="116"/>
        <v>0</v>
      </c>
      <c r="P448" s="552">
        <f>IF(G448=0,0,VLOOKUP(YEAR(G448),INPC!$B$4:$P$30,MONTH(G448)+2))</f>
        <v>0</v>
      </c>
      <c r="Q448" s="552">
        <f>IF(X448=0,0,IF(OR(E448=$AT$10,E448=$AT$9),VLOOKUP(YEAR(X448),INPC!$B$4:$P$30,MONTH(X448)+1),VLOOKUP(YEAR(X448),INPC!$B$4:$P$30,MONTH(X448)+2,0)))</f>
        <v>0</v>
      </c>
      <c r="R448" s="309">
        <f t="shared" si="108"/>
        <v>0</v>
      </c>
      <c r="S448" s="310">
        <f t="shared" si="117"/>
        <v>0</v>
      </c>
      <c r="T448" s="547">
        <f t="shared" si="118"/>
        <v>0</v>
      </c>
      <c r="U448" s="311"/>
      <c r="V448" s="312"/>
      <c r="W448" s="299"/>
      <c r="X448" s="300"/>
      <c r="Y448" s="299"/>
      <c r="Z448" s="303"/>
      <c r="AA448" s="305">
        <f>IF(Z448=0,0,IF(Y448="MXN",1/HLOOKUP(YEAR(X448)+(MONTH(X448)/100),TC!$5:$37,DAY(X448)+2,FALSE),VLOOKUP(Y448,Equivalencia!$1:$23,((MAX(Equivalencia!$3:$3)-YEAR(X448))*14)+MONTH(X448)+2,FALSE)))</f>
        <v>0</v>
      </c>
      <c r="AB448" s="306">
        <f t="shared" si="119"/>
        <v>0</v>
      </c>
      <c r="AC448" s="305">
        <f>+IF(X448=0,0,HLOOKUP(YEAR(X448)+(MONTH(X448)/100),TC!$5:$37,DAY(X448)+2,FALSE))</f>
        <v>0</v>
      </c>
      <c r="AD448" s="307">
        <f t="shared" si="120"/>
        <v>0</v>
      </c>
      <c r="AE448" s="314">
        <f t="shared" si="109"/>
        <v>0</v>
      </c>
      <c r="AF448" s="315">
        <f t="shared" si="110"/>
        <v>0</v>
      </c>
      <c r="AG448" s="316">
        <f t="shared" si="111"/>
        <v>0</v>
      </c>
      <c r="AH448" s="314">
        <v>1</v>
      </c>
      <c r="AI448" s="314">
        <f t="shared" si="112"/>
        <v>0</v>
      </c>
      <c r="AJ448" s="314">
        <f t="shared" si="121"/>
        <v>0</v>
      </c>
      <c r="AK448" s="317"/>
      <c r="AL448" s="315">
        <f t="shared" si="113"/>
        <v>0</v>
      </c>
      <c r="AN448" s="546">
        <f t="shared" si="114"/>
        <v>0</v>
      </c>
      <c r="AO448" s="314"/>
      <c r="AP448" s="318"/>
    </row>
    <row r="449" spans="2:42">
      <c r="B449" s="296"/>
      <c r="C449" s="299"/>
      <c r="D449" s="298"/>
      <c r="E449" s="299"/>
      <c r="F449" s="299"/>
      <c r="G449" s="300"/>
      <c r="H449" s="303"/>
      <c r="I449" s="301">
        <f t="shared" si="105"/>
        <v>0</v>
      </c>
      <c r="J449" s="302">
        <f t="shared" si="115"/>
        <v>0</v>
      </c>
      <c r="K449" s="304">
        <f t="shared" si="106"/>
        <v>0</v>
      </c>
      <c r="L449" s="305">
        <f>IF(H449=0,0,IF(OR(E449=$AT$5,E449=$AT$6),AA449,IF(F449="MXN",1/HLOOKUP(YEAR(G449)+(MONTH(G449)/100),TC!$5:$37,DAY(G449)+2,FALSE),VLOOKUP(F449,Equivalencia!$5:$23,((MAX(Equivalencia!$3:$3)-YEAR(G449))*14)+MONTH(G449)+2,FALSE))))</f>
        <v>0</v>
      </c>
      <c r="M449" s="306">
        <f t="shared" si="107"/>
        <v>0</v>
      </c>
      <c r="N449" s="305">
        <f>IF(G449=0,0,(IF(OR(E449=$AT$5,E449=$AT$6),AC449,HLOOKUP(YEAR(G449)+(MONTH(G449)/100),TC!$5:$37,DAY(G449)+2,FALSE))))</f>
        <v>0</v>
      </c>
      <c r="O449" s="307">
        <f t="shared" si="116"/>
        <v>0</v>
      </c>
      <c r="P449" s="552">
        <f>IF(G449=0,0,VLOOKUP(YEAR(G449),INPC!$B$4:$P$30,MONTH(G449)+2))</f>
        <v>0</v>
      </c>
      <c r="Q449" s="552">
        <f>IF(X449=0,0,IF(OR(E449=$AT$10,E449=$AT$9),VLOOKUP(YEAR(X449),INPC!$B$4:$P$30,MONTH(X449)+1),VLOOKUP(YEAR(X449),INPC!$B$4:$P$30,MONTH(X449)+2,0)))</f>
        <v>0</v>
      </c>
      <c r="R449" s="309">
        <f t="shared" si="108"/>
        <v>0</v>
      </c>
      <c r="S449" s="310">
        <f t="shared" si="117"/>
        <v>0</v>
      </c>
      <c r="T449" s="547">
        <f t="shared" si="118"/>
        <v>0</v>
      </c>
      <c r="U449" s="311"/>
      <c r="V449" s="312"/>
      <c r="W449" s="299"/>
      <c r="X449" s="300"/>
      <c r="Y449" s="299"/>
      <c r="Z449" s="303"/>
      <c r="AA449" s="305">
        <f>IF(Z449=0,0,IF(Y449="MXN",1/HLOOKUP(YEAR(X449)+(MONTH(X449)/100),TC!$5:$37,DAY(X449)+2,FALSE),VLOOKUP(Y449,Equivalencia!$1:$23,((MAX(Equivalencia!$3:$3)-YEAR(X449))*14)+MONTH(X449)+2,FALSE)))</f>
        <v>0</v>
      </c>
      <c r="AB449" s="306">
        <f t="shared" si="119"/>
        <v>0</v>
      </c>
      <c r="AC449" s="305">
        <f>+IF(X449=0,0,HLOOKUP(YEAR(X449)+(MONTH(X449)/100),TC!$5:$37,DAY(X449)+2,FALSE))</f>
        <v>0</v>
      </c>
      <c r="AD449" s="307">
        <f t="shared" si="120"/>
        <v>0</v>
      </c>
      <c r="AE449" s="314">
        <f t="shared" si="109"/>
        <v>0</v>
      </c>
      <c r="AF449" s="315">
        <f t="shared" si="110"/>
        <v>0</v>
      </c>
      <c r="AG449" s="316">
        <f t="shared" si="111"/>
        <v>0</v>
      </c>
      <c r="AH449" s="314">
        <v>1</v>
      </c>
      <c r="AI449" s="314">
        <f t="shared" si="112"/>
        <v>0</v>
      </c>
      <c r="AJ449" s="314">
        <f t="shared" si="121"/>
        <v>0</v>
      </c>
      <c r="AK449" s="317"/>
      <c r="AL449" s="315">
        <f t="shared" si="113"/>
        <v>0</v>
      </c>
      <c r="AN449" s="546">
        <f t="shared" si="114"/>
        <v>0</v>
      </c>
      <c r="AO449" s="314"/>
      <c r="AP449" s="318"/>
    </row>
    <row r="450" spans="2:42">
      <c r="B450" s="296"/>
      <c r="C450" s="299"/>
      <c r="D450" s="298"/>
      <c r="E450" s="299"/>
      <c r="F450" s="299"/>
      <c r="G450" s="300"/>
      <c r="H450" s="303"/>
      <c r="I450" s="301">
        <f t="shared" ref="I450:I500" si="122">IF(D450=0,0,IF(OR(E450=$AT$9,E450=$AT$10),"Ingresos Sección II LISR (SIC &amp; BMV)","Ingresos Sección I LISR"))</f>
        <v>0</v>
      </c>
      <c r="J450" s="302">
        <f t="shared" si="115"/>
        <v>0</v>
      </c>
      <c r="K450" s="304">
        <f t="shared" ref="K450:K500" si="123">IF(H450=0,0,H450/J450)</f>
        <v>0</v>
      </c>
      <c r="L450" s="305">
        <f>IF(H450=0,0,IF(OR(E450=$AT$5,E450=$AT$6),AA450,IF(F450="MXN",1/HLOOKUP(YEAR(G450)+(MONTH(G450)/100),TC!$5:$37,DAY(G450)+2,FALSE),VLOOKUP(F450,Equivalencia!$5:$23,((MAX(Equivalencia!$3:$3)-YEAR(G450))*14)+MONTH(G450)+2,FALSE))))</f>
        <v>0</v>
      </c>
      <c r="M450" s="306">
        <f t="shared" ref="M450:M500" si="124">+H450*L450</f>
        <v>0</v>
      </c>
      <c r="N450" s="305">
        <f>IF(G450=0,0,(IF(OR(E450=$AT$5,E450=$AT$6),AC450,HLOOKUP(YEAR(G450)+(MONTH(G450)/100),TC!$5:$37,DAY(G450)+2,FALSE))))</f>
        <v>0</v>
      </c>
      <c r="O450" s="307">
        <f t="shared" si="116"/>
        <v>0</v>
      </c>
      <c r="P450" s="552">
        <f>IF(G450=0,0,VLOOKUP(YEAR(G450),INPC!$B$4:$P$30,MONTH(G450)+2))</f>
        <v>0</v>
      </c>
      <c r="Q450" s="552">
        <f>IF(X450=0,0,IF(OR(E450=$AT$10,E450=$AT$9),VLOOKUP(YEAR(X450),INPC!$B$4:$P$30,MONTH(X450)+1),VLOOKUP(YEAR(X450),INPC!$B$4:$P$30,MONTH(X450)+2,0)))</f>
        <v>0</v>
      </c>
      <c r="R450" s="309">
        <f t="shared" ref="R450:R500" si="125">IF(H450=0,0,IF(OR(E450=$AT$5,E450=$AT$6),1,IF(TRUNC(Q450/P450,4)&gt;=1,TRUNC(Q450/P450,4),1)))</f>
        <v>0</v>
      </c>
      <c r="S450" s="310">
        <f t="shared" si="117"/>
        <v>0</v>
      </c>
      <c r="T450" s="547">
        <f t="shared" si="118"/>
        <v>0</v>
      </c>
      <c r="U450" s="311"/>
      <c r="V450" s="312"/>
      <c r="W450" s="299"/>
      <c r="X450" s="300"/>
      <c r="Y450" s="299"/>
      <c r="Z450" s="303"/>
      <c r="AA450" s="305">
        <f>IF(Z450=0,0,IF(Y450="MXN",1/HLOOKUP(YEAR(X450)+(MONTH(X450)/100),TC!$5:$37,DAY(X450)+2,FALSE),VLOOKUP(Y450,Equivalencia!$1:$23,((MAX(Equivalencia!$3:$3)-YEAR(X450))*14)+MONTH(X450)+2,FALSE)))</f>
        <v>0</v>
      </c>
      <c r="AB450" s="306">
        <f t="shared" si="119"/>
        <v>0</v>
      </c>
      <c r="AC450" s="305">
        <f>+IF(X450=0,0,HLOOKUP(YEAR(X450)+(MONTH(X450)/100),TC!$5:$37,DAY(X450)+2,FALSE))</f>
        <v>0</v>
      </c>
      <c r="AD450" s="307">
        <f t="shared" si="120"/>
        <v>0</v>
      </c>
      <c r="AE450" s="314">
        <f t="shared" ref="AE450:AE500" si="126">+V450*T450</f>
        <v>0</v>
      </c>
      <c r="AF450" s="315">
        <f t="shared" ref="AF450:AF500" si="127">IF(E450=$AT$11,0,AD450-AE450)</f>
        <v>0</v>
      </c>
      <c r="AG450" s="316">
        <f t="shared" ref="AG450:AG500" si="128">+IF(AND(AF450&lt;0,OR(E450=$AT$5,E450=$AT$6)),1,((X450-G450)/365))</f>
        <v>0</v>
      </c>
      <c r="AH450" s="314">
        <v>1</v>
      </c>
      <c r="AI450" s="314">
        <f t="shared" ref="AI450:AI500" si="129">+IF(OR(E450=$AT$9,E450=$AT$10),AF450,+AF450/AH450)</f>
        <v>0</v>
      </c>
      <c r="AJ450" s="314">
        <f t="shared" si="121"/>
        <v>0</v>
      </c>
      <c r="AK450" s="317"/>
      <c r="AL450" s="315">
        <f t="shared" ref="AL450:AL500" si="130">+AB450-M450</f>
        <v>0</v>
      </c>
      <c r="AN450" s="546">
        <f t="shared" ref="AN450:AN500" si="131">IF(AL450=0,0,AL450/H450)</f>
        <v>0</v>
      </c>
      <c r="AO450" s="314"/>
      <c r="AP450" s="318"/>
    </row>
    <row r="451" spans="2:42">
      <c r="B451" s="296"/>
      <c r="C451" s="299"/>
      <c r="D451" s="298"/>
      <c r="E451" s="299"/>
      <c r="F451" s="299"/>
      <c r="G451" s="300"/>
      <c r="H451" s="303"/>
      <c r="I451" s="301">
        <f t="shared" si="122"/>
        <v>0</v>
      </c>
      <c r="J451" s="302">
        <f t="shared" ref="J451:J500" si="132">+V451</f>
        <v>0</v>
      </c>
      <c r="K451" s="304">
        <f t="shared" si="123"/>
        <v>0</v>
      </c>
      <c r="L451" s="305">
        <f>IF(H451=0,0,IF(OR(E451=$AT$5,E451=$AT$6),AA451,IF(F451="MXN",1/HLOOKUP(YEAR(G451)+(MONTH(G451)/100),TC!$5:$37,DAY(G451)+2,FALSE),VLOOKUP(F451,Equivalencia!$5:$23,((MAX(Equivalencia!$3:$3)-YEAR(G451))*14)+MONTH(G451)+2,FALSE))))</f>
        <v>0</v>
      </c>
      <c r="M451" s="306">
        <f t="shared" si="124"/>
        <v>0</v>
      </c>
      <c r="N451" s="305">
        <f>IF(G451=0,0,(IF(OR(E451=$AT$5,E451=$AT$6),AC451,HLOOKUP(YEAR(G451)+(MONTH(G451)/100),TC!$5:$37,DAY(G451)+2,FALSE))))</f>
        <v>0</v>
      </c>
      <c r="O451" s="307">
        <f t="shared" ref="O451:O500" si="133">+M451*N451</f>
        <v>0</v>
      </c>
      <c r="P451" s="552">
        <f>IF(G451=0,0,VLOOKUP(YEAR(G451),INPC!$B$4:$P$30,MONTH(G451)+2))</f>
        <v>0</v>
      </c>
      <c r="Q451" s="552">
        <f>IF(X451=0,0,IF(OR(E451=$AT$10,E451=$AT$9),VLOOKUP(YEAR(X451),INPC!$B$4:$P$30,MONTH(X451)+1),VLOOKUP(YEAR(X451),INPC!$B$4:$P$30,MONTH(X451)+2,0)))</f>
        <v>0</v>
      </c>
      <c r="R451" s="309">
        <f t="shared" si="125"/>
        <v>0</v>
      </c>
      <c r="S451" s="310">
        <f t="shared" ref="S451:S500" si="134">+R451*O451</f>
        <v>0</v>
      </c>
      <c r="T451" s="547">
        <f t="shared" ref="T451:T500" si="135">IF(V451=0,0,S451/V451)</f>
        <v>0</v>
      </c>
      <c r="U451" s="311"/>
      <c r="V451" s="312"/>
      <c r="W451" s="299"/>
      <c r="X451" s="300"/>
      <c r="Y451" s="299"/>
      <c r="Z451" s="303"/>
      <c r="AA451" s="305">
        <f>IF(Z451=0,0,IF(Y451="MXN",1/HLOOKUP(YEAR(X451)+(MONTH(X451)/100),TC!$5:$37,DAY(X451)+2,FALSE),VLOOKUP(Y451,Equivalencia!$1:$23,((MAX(Equivalencia!$3:$3)-YEAR(X451))*14)+MONTH(X451)+2,FALSE)))</f>
        <v>0</v>
      </c>
      <c r="AB451" s="306">
        <f t="shared" ref="AB451:AB500" si="136">+AA451*Z451</f>
        <v>0</v>
      </c>
      <c r="AC451" s="305">
        <f>+IF(X451=0,0,HLOOKUP(YEAR(X451)+(MONTH(X451)/100),TC!$5:$37,DAY(X451)+2,FALSE))</f>
        <v>0</v>
      </c>
      <c r="AD451" s="307">
        <f t="shared" ref="AD451:AD500" si="137">+AC451*AB451</f>
        <v>0</v>
      </c>
      <c r="AE451" s="314">
        <f t="shared" si="126"/>
        <v>0</v>
      </c>
      <c r="AF451" s="315">
        <f t="shared" si="127"/>
        <v>0</v>
      </c>
      <c r="AG451" s="316">
        <f t="shared" si="128"/>
        <v>0</v>
      </c>
      <c r="AH451" s="314">
        <v>1</v>
      </c>
      <c r="AI451" s="314">
        <f t="shared" si="129"/>
        <v>0</v>
      </c>
      <c r="AJ451" s="314">
        <f t="shared" ref="AJ451:AJ500" si="138">+AF451-AI451</f>
        <v>0</v>
      </c>
      <c r="AK451" s="317"/>
      <c r="AL451" s="315">
        <f t="shared" si="130"/>
        <v>0</v>
      </c>
      <c r="AN451" s="546">
        <f t="shared" si="131"/>
        <v>0</v>
      </c>
      <c r="AO451" s="314"/>
      <c r="AP451" s="318"/>
    </row>
    <row r="452" spans="2:42">
      <c r="B452" s="296"/>
      <c r="C452" s="299"/>
      <c r="D452" s="298"/>
      <c r="E452" s="299"/>
      <c r="F452" s="299"/>
      <c r="G452" s="300"/>
      <c r="H452" s="303"/>
      <c r="I452" s="301">
        <f t="shared" si="122"/>
        <v>0</v>
      </c>
      <c r="J452" s="302">
        <f t="shared" si="132"/>
        <v>0</v>
      </c>
      <c r="K452" s="304">
        <f t="shared" si="123"/>
        <v>0</v>
      </c>
      <c r="L452" s="305">
        <f>IF(H452=0,0,IF(OR(E452=$AT$5,E452=$AT$6),AA452,IF(F452="MXN",1/HLOOKUP(YEAR(G452)+(MONTH(G452)/100),TC!$5:$37,DAY(G452)+2,FALSE),VLOOKUP(F452,Equivalencia!$5:$23,((MAX(Equivalencia!$3:$3)-YEAR(G452))*14)+MONTH(G452)+2,FALSE))))</f>
        <v>0</v>
      </c>
      <c r="M452" s="306">
        <f t="shared" si="124"/>
        <v>0</v>
      </c>
      <c r="N452" s="305">
        <f>IF(G452=0,0,(IF(OR(E452=$AT$5,E452=$AT$6),AC452,HLOOKUP(YEAR(G452)+(MONTH(G452)/100),TC!$5:$37,DAY(G452)+2,FALSE))))</f>
        <v>0</v>
      </c>
      <c r="O452" s="307">
        <f t="shared" si="133"/>
        <v>0</v>
      </c>
      <c r="P452" s="552">
        <f>IF(G452=0,0,VLOOKUP(YEAR(G452),INPC!$B$4:$P$30,MONTH(G452)+2))</f>
        <v>0</v>
      </c>
      <c r="Q452" s="552">
        <f>IF(X452=0,0,IF(OR(E452=$AT$10,E452=$AT$9),VLOOKUP(YEAR(X452),INPC!$B$4:$P$30,MONTH(X452)+1),VLOOKUP(YEAR(X452),INPC!$B$4:$P$30,MONTH(X452)+2,0)))</f>
        <v>0</v>
      </c>
      <c r="R452" s="309">
        <f t="shared" si="125"/>
        <v>0</v>
      </c>
      <c r="S452" s="310">
        <f t="shared" si="134"/>
        <v>0</v>
      </c>
      <c r="T452" s="547">
        <f t="shared" si="135"/>
        <v>0</v>
      </c>
      <c r="U452" s="311"/>
      <c r="V452" s="312"/>
      <c r="W452" s="299"/>
      <c r="X452" s="300"/>
      <c r="Y452" s="299"/>
      <c r="Z452" s="303"/>
      <c r="AA452" s="305">
        <f>IF(Z452=0,0,IF(Y452="MXN",1/HLOOKUP(YEAR(X452)+(MONTH(X452)/100),TC!$5:$37,DAY(X452)+2,FALSE),VLOOKUP(Y452,Equivalencia!$1:$23,((MAX(Equivalencia!$3:$3)-YEAR(X452))*14)+MONTH(X452)+2,FALSE)))</f>
        <v>0</v>
      </c>
      <c r="AB452" s="306">
        <f t="shared" si="136"/>
        <v>0</v>
      </c>
      <c r="AC452" s="305">
        <f>+IF(X452=0,0,HLOOKUP(YEAR(X452)+(MONTH(X452)/100),TC!$5:$37,DAY(X452)+2,FALSE))</f>
        <v>0</v>
      </c>
      <c r="AD452" s="307">
        <f t="shared" si="137"/>
        <v>0</v>
      </c>
      <c r="AE452" s="314">
        <f t="shared" si="126"/>
        <v>0</v>
      </c>
      <c r="AF452" s="315">
        <f t="shared" si="127"/>
        <v>0</v>
      </c>
      <c r="AG452" s="316">
        <f t="shared" si="128"/>
        <v>0</v>
      </c>
      <c r="AH452" s="314">
        <v>1</v>
      </c>
      <c r="AI452" s="314">
        <f t="shared" si="129"/>
        <v>0</v>
      </c>
      <c r="AJ452" s="314">
        <f t="shared" si="138"/>
        <v>0</v>
      </c>
      <c r="AK452" s="317"/>
      <c r="AL452" s="315">
        <f t="shared" si="130"/>
        <v>0</v>
      </c>
      <c r="AN452" s="546">
        <f t="shared" si="131"/>
        <v>0</v>
      </c>
      <c r="AO452" s="314"/>
      <c r="AP452" s="318"/>
    </row>
    <row r="453" spans="2:42">
      <c r="B453" s="296"/>
      <c r="C453" s="299"/>
      <c r="D453" s="298"/>
      <c r="E453" s="299"/>
      <c r="F453" s="299"/>
      <c r="G453" s="300"/>
      <c r="H453" s="303"/>
      <c r="I453" s="301">
        <f t="shared" si="122"/>
        <v>0</v>
      </c>
      <c r="J453" s="302">
        <f t="shared" si="132"/>
        <v>0</v>
      </c>
      <c r="K453" s="304">
        <f t="shared" si="123"/>
        <v>0</v>
      </c>
      <c r="L453" s="305">
        <f>IF(H453=0,0,IF(OR(E453=$AT$5,E453=$AT$6),AA453,IF(F453="MXN",1/HLOOKUP(YEAR(G453)+(MONTH(G453)/100),TC!$5:$37,DAY(G453)+2,FALSE),VLOOKUP(F453,Equivalencia!$5:$23,((MAX(Equivalencia!$3:$3)-YEAR(G453))*14)+MONTH(G453)+2,FALSE))))</f>
        <v>0</v>
      </c>
      <c r="M453" s="306">
        <f t="shared" si="124"/>
        <v>0</v>
      </c>
      <c r="N453" s="305">
        <f>IF(G453=0,0,(IF(OR(E453=$AT$5,E453=$AT$6),AC453,HLOOKUP(YEAR(G453)+(MONTH(G453)/100),TC!$5:$37,DAY(G453)+2,FALSE))))</f>
        <v>0</v>
      </c>
      <c r="O453" s="307">
        <f t="shared" si="133"/>
        <v>0</v>
      </c>
      <c r="P453" s="552">
        <f>IF(G453=0,0,VLOOKUP(YEAR(G453),INPC!$B$4:$P$30,MONTH(G453)+2))</f>
        <v>0</v>
      </c>
      <c r="Q453" s="552">
        <f>IF(X453=0,0,IF(OR(E453=$AT$10,E453=$AT$9),VLOOKUP(YEAR(X453),INPC!$B$4:$P$30,MONTH(X453)+1),VLOOKUP(YEAR(X453),INPC!$B$4:$P$30,MONTH(X453)+2,0)))</f>
        <v>0</v>
      </c>
      <c r="R453" s="309">
        <f t="shared" si="125"/>
        <v>0</v>
      </c>
      <c r="S453" s="310">
        <f t="shared" si="134"/>
        <v>0</v>
      </c>
      <c r="T453" s="547">
        <f t="shared" si="135"/>
        <v>0</v>
      </c>
      <c r="U453" s="311"/>
      <c r="V453" s="312"/>
      <c r="W453" s="299"/>
      <c r="X453" s="300"/>
      <c r="Y453" s="299"/>
      <c r="Z453" s="303"/>
      <c r="AA453" s="305">
        <f>IF(Z453=0,0,IF(Y453="MXN",1/HLOOKUP(YEAR(X453)+(MONTH(X453)/100),TC!$5:$37,DAY(X453)+2,FALSE),VLOOKUP(Y453,Equivalencia!$1:$23,((MAX(Equivalencia!$3:$3)-YEAR(X453))*14)+MONTH(X453)+2,FALSE)))</f>
        <v>0</v>
      </c>
      <c r="AB453" s="306">
        <f t="shared" si="136"/>
        <v>0</v>
      </c>
      <c r="AC453" s="305">
        <f>+IF(X453=0,0,HLOOKUP(YEAR(X453)+(MONTH(X453)/100),TC!$5:$37,DAY(X453)+2,FALSE))</f>
        <v>0</v>
      </c>
      <c r="AD453" s="307">
        <f t="shared" si="137"/>
        <v>0</v>
      </c>
      <c r="AE453" s="314">
        <f t="shared" si="126"/>
        <v>0</v>
      </c>
      <c r="AF453" s="315">
        <f t="shared" si="127"/>
        <v>0</v>
      </c>
      <c r="AG453" s="316">
        <f t="shared" si="128"/>
        <v>0</v>
      </c>
      <c r="AH453" s="314">
        <v>1</v>
      </c>
      <c r="AI453" s="314">
        <f t="shared" si="129"/>
        <v>0</v>
      </c>
      <c r="AJ453" s="314">
        <f t="shared" si="138"/>
        <v>0</v>
      </c>
      <c r="AK453" s="317"/>
      <c r="AL453" s="315">
        <f t="shared" si="130"/>
        <v>0</v>
      </c>
      <c r="AN453" s="546">
        <f t="shared" si="131"/>
        <v>0</v>
      </c>
      <c r="AO453" s="314"/>
      <c r="AP453" s="318"/>
    </row>
    <row r="454" spans="2:42">
      <c r="B454" s="296"/>
      <c r="C454" s="299"/>
      <c r="D454" s="298"/>
      <c r="E454" s="299"/>
      <c r="F454" s="299"/>
      <c r="G454" s="300"/>
      <c r="H454" s="303"/>
      <c r="I454" s="301">
        <f t="shared" si="122"/>
        <v>0</v>
      </c>
      <c r="J454" s="302">
        <f t="shared" si="132"/>
        <v>0</v>
      </c>
      <c r="K454" s="304">
        <f t="shared" si="123"/>
        <v>0</v>
      </c>
      <c r="L454" s="305">
        <f>IF(H454=0,0,IF(OR(E454=$AT$5,E454=$AT$6),AA454,IF(F454="MXN",1/HLOOKUP(YEAR(G454)+(MONTH(G454)/100),TC!$5:$37,DAY(G454)+2,FALSE),VLOOKUP(F454,Equivalencia!$5:$23,((MAX(Equivalencia!$3:$3)-YEAR(G454))*14)+MONTH(G454)+2,FALSE))))</f>
        <v>0</v>
      </c>
      <c r="M454" s="306">
        <f t="shared" si="124"/>
        <v>0</v>
      </c>
      <c r="N454" s="305">
        <f>IF(G454=0,0,(IF(OR(E454=$AT$5,E454=$AT$6),AC454,HLOOKUP(YEAR(G454)+(MONTH(G454)/100),TC!$5:$37,DAY(G454)+2,FALSE))))</f>
        <v>0</v>
      </c>
      <c r="O454" s="307">
        <f t="shared" si="133"/>
        <v>0</v>
      </c>
      <c r="P454" s="552">
        <f>IF(G454=0,0,VLOOKUP(YEAR(G454),INPC!$B$4:$P$30,MONTH(G454)+2))</f>
        <v>0</v>
      </c>
      <c r="Q454" s="552">
        <f>IF(X454=0,0,IF(OR(E454=$AT$10,E454=$AT$9),VLOOKUP(YEAR(X454),INPC!$B$4:$P$30,MONTH(X454)+1),VLOOKUP(YEAR(X454),INPC!$B$4:$P$30,MONTH(X454)+2,0)))</f>
        <v>0</v>
      </c>
      <c r="R454" s="309">
        <f t="shared" si="125"/>
        <v>0</v>
      </c>
      <c r="S454" s="310">
        <f t="shared" si="134"/>
        <v>0</v>
      </c>
      <c r="T454" s="547">
        <f t="shared" si="135"/>
        <v>0</v>
      </c>
      <c r="U454" s="311"/>
      <c r="V454" s="312"/>
      <c r="W454" s="299"/>
      <c r="X454" s="300"/>
      <c r="Y454" s="299"/>
      <c r="Z454" s="303"/>
      <c r="AA454" s="305">
        <f>IF(Z454=0,0,IF(Y454="MXN",1/HLOOKUP(YEAR(X454)+(MONTH(X454)/100),TC!$5:$37,DAY(X454)+2,FALSE),VLOOKUP(Y454,Equivalencia!$1:$23,((MAX(Equivalencia!$3:$3)-YEAR(X454))*14)+MONTH(X454)+2,FALSE)))</f>
        <v>0</v>
      </c>
      <c r="AB454" s="306">
        <f t="shared" si="136"/>
        <v>0</v>
      </c>
      <c r="AC454" s="305">
        <f>+IF(X454=0,0,HLOOKUP(YEAR(X454)+(MONTH(X454)/100),TC!$5:$37,DAY(X454)+2,FALSE))</f>
        <v>0</v>
      </c>
      <c r="AD454" s="307">
        <f t="shared" si="137"/>
        <v>0</v>
      </c>
      <c r="AE454" s="314">
        <f t="shared" si="126"/>
        <v>0</v>
      </c>
      <c r="AF454" s="315">
        <f t="shared" si="127"/>
        <v>0</v>
      </c>
      <c r="AG454" s="316">
        <f t="shared" si="128"/>
        <v>0</v>
      </c>
      <c r="AH454" s="314">
        <v>1</v>
      </c>
      <c r="AI454" s="314">
        <f t="shared" si="129"/>
        <v>0</v>
      </c>
      <c r="AJ454" s="314">
        <f t="shared" si="138"/>
        <v>0</v>
      </c>
      <c r="AK454" s="317"/>
      <c r="AL454" s="315">
        <f t="shared" si="130"/>
        <v>0</v>
      </c>
      <c r="AN454" s="546">
        <f t="shared" si="131"/>
        <v>0</v>
      </c>
      <c r="AO454" s="314"/>
      <c r="AP454" s="318"/>
    </row>
    <row r="455" spans="2:42">
      <c r="B455" s="296"/>
      <c r="C455" s="299"/>
      <c r="D455" s="298"/>
      <c r="E455" s="299"/>
      <c r="F455" s="299"/>
      <c r="G455" s="300"/>
      <c r="H455" s="303"/>
      <c r="I455" s="301">
        <f t="shared" si="122"/>
        <v>0</v>
      </c>
      <c r="J455" s="302">
        <f t="shared" si="132"/>
        <v>0</v>
      </c>
      <c r="K455" s="304">
        <f t="shared" si="123"/>
        <v>0</v>
      </c>
      <c r="L455" s="305">
        <f>IF(H455=0,0,IF(OR(E455=$AT$5,E455=$AT$6),AA455,IF(F455="MXN",1/HLOOKUP(YEAR(G455)+(MONTH(G455)/100),TC!$5:$37,DAY(G455)+2,FALSE),VLOOKUP(F455,Equivalencia!$5:$23,((MAX(Equivalencia!$3:$3)-YEAR(G455))*14)+MONTH(G455)+2,FALSE))))</f>
        <v>0</v>
      </c>
      <c r="M455" s="306">
        <f t="shared" si="124"/>
        <v>0</v>
      </c>
      <c r="N455" s="305">
        <f>IF(G455=0,0,(IF(OR(E455=$AT$5,E455=$AT$6),AC455,HLOOKUP(YEAR(G455)+(MONTH(G455)/100),TC!$5:$37,DAY(G455)+2,FALSE))))</f>
        <v>0</v>
      </c>
      <c r="O455" s="307">
        <f t="shared" si="133"/>
        <v>0</v>
      </c>
      <c r="P455" s="552">
        <f>IF(G455=0,0,VLOOKUP(YEAR(G455),INPC!$B$4:$P$30,MONTH(G455)+2))</f>
        <v>0</v>
      </c>
      <c r="Q455" s="552">
        <f>IF(X455=0,0,IF(OR(E455=$AT$10,E455=$AT$9),VLOOKUP(YEAR(X455),INPC!$B$4:$P$30,MONTH(X455)+1),VLOOKUP(YEAR(X455),INPC!$B$4:$P$30,MONTH(X455)+2,0)))</f>
        <v>0</v>
      </c>
      <c r="R455" s="309">
        <f t="shared" si="125"/>
        <v>0</v>
      </c>
      <c r="S455" s="310">
        <f t="shared" si="134"/>
        <v>0</v>
      </c>
      <c r="T455" s="547">
        <f t="shared" si="135"/>
        <v>0</v>
      </c>
      <c r="U455" s="311"/>
      <c r="V455" s="312"/>
      <c r="W455" s="299"/>
      <c r="X455" s="300"/>
      <c r="Y455" s="299"/>
      <c r="Z455" s="303"/>
      <c r="AA455" s="305">
        <f>IF(Z455=0,0,IF(Y455="MXN",1/HLOOKUP(YEAR(X455)+(MONTH(X455)/100),TC!$5:$37,DAY(X455)+2,FALSE),VLOOKUP(Y455,Equivalencia!$1:$23,((MAX(Equivalencia!$3:$3)-YEAR(X455))*14)+MONTH(X455)+2,FALSE)))</f>
        <v>0</v>
      </c>
      <c r="AB455" s="306">
        <f t="shared" si="136"/>
        <v>0</v>
      </c>
      <c r="AC455" s="305">
        <f>+IF(X455=0,0,HLOOKUP(YEAR(X455)+(MONTH(X455)/100),TC!$5:$37,DAY(X455)+2,FALSE))</f>
        <v>0</v>
      </c>
      <c r="AD455" s="307">
        <f t="shared" si="137"/>
        <v>0</v>
      </c>
      <c r="AE455" s="314">
        <f t="shared" si="126"/>
        <v>0</v>
      </c>
      <c r="AF455" s="315">
        <f t="shared" si="127"/>
        <v>0</v>
      </c>
      <c r="AG455" s="316">
        <f t="shared" si="128"/>
        <v>0</v>
      </c>
      <c r="AH455" s="314">
        <v>1</v>
      </c>
      <c r="AI455" s="314">
        <f t="shared" si="129"/>
        <v>0</v>
      </c>
      <c r="AJ455" s="314">
        <f t="shared" si="138"/>
        <v>0</v>
      </c>
      <c r="AK455" s="317"/>
      <c r="AL455" s="315">
        <f t="shared" si="130"/>
        <v>0</v>
      </c>
      <c r="AN455" s="546">
        <f t="shared" si="131"/>
        <v>0</v>
      </c>
      <c r="AO455" s="314"/>
      <c r="AP455" s="318"/>
    </row>
    <row r="456" spans="2:42">
      <c r="B456" s="296"/>
      <c r="C456" s="299"/>
      <c r="D456" s="298"/>
      <c r="E456" s="299"/>
      <c r="F456" s="299"/>
      <c r="G456" s="300"/>
      <c r="H456" s="303"/>
      <c r="I456" s="301">
        <f t="shared" si="122"/>
        <v>0</v>
      </c>
      <c r="J456" s="302">
        <f t="shared" si="132"/>
        <v>0</v>
      </c>
      <c r="K456" s="304">
        <f t="shared" si="123"/>
        <v>0</v>
      </c>
      <c r="L456" s="305">
        <f>IF(H456=0,0,IF(OR(E456=$AT$5,E456=$AT$6),AA456,IF(F456="MXN",1/HLOOKUP(YEAR(G456)+(MONTH(G456)/100),TC!$5:$37,DAY(G456)+2,FALSE),VLOOKUP(F456,Equivalencia!$5:$23,((MAX(Equivalencia!$3:$3)-YEAR(G456))*14)+MONTH(G456)+2,FALSE))))</f>
        <v>0</v>
      </c>
      <c r="M456" s="306">
        <f t="shared" si="124"/>
        <v>0</v>
      </c>
      <c r="N456" s="305">
        <f>IF(G456=0,0,(IF(OR(E456=$AT$5,E456=$AT$6),AC456,HLOOKUP(YEAR(G456)+(MONTH(G456)/100),TC!$5:$37,DAY(G456)+2,FALSE))))</f>
        <v>0</v>
      </c>
      <c r="O456" s="307">
        <f t="shared" si="133"/>
        <v>0</v>
      </c>
      <c r="P456" s="552">
        <f>IF(G456=0,0,VLOOKUP(YEAR(G456),INPC!$B$4:$P$30,MONTH(G456)+2))</f>
        <v>0</v>
      </c>
      <c r="Q456" s="552">
        <f>IF(X456=0,0,IF(OR(E456=$AT$10,E456=$AT$9),VLOOKUP(YEAR(X456),INPC!$B$4:$P$30,MONTH(X456)+1),VLOOKUP(YEAR(X456),INPC!$B$4:$P$30,MONTH(X456)+2,0)))</f>
        <v>0</v>
      </c>
      <c r="R456" s="309">
        <f t="shared" si="125"/>
        <v>0</v>
      </c>
      <c r="S456" s="310">
        <f t="shared" si="134"/>
        <v>0</v>
      </c>
      <c r="T456" s="547">
        <f t="shared" si="135"/>
        <v>0</v>
      </c>
      <c r="U456" s="311"/>
      <c r="V456" s="312"/>
      <c r="W456" s="299"/>
      <c r="X456" s="300"/>
      <c r="Y456" s="299"/>
      <c r="Z456" s="303"/>
      <c r="AA456" s="305">
        <f>IF(Z456=0,0,IF(Y456="MXN",1/HLOOKUP(YEAR(X456)+(MONTH(X456)/100),TC!$5:$37,DAY(X456)+2,FALSE),VLOOKUP(Y456,Equivalencia!$1:$23,((MAX(Equivalencia!$3:$3)-YEAR(X456))*14)+MONTH(X456)+2,FALSE)))</f>
        <v>0</v>
      </c>
      <c r="AB456" s="306">
        <f t="shared" si="136"/>
        <v>0</v>
      </c>
      <c r="AC456" s="305">
        <f>+IF(X456=0,0,HLOOKUP(YEAR(X456)+(MONTH(X456)/100),TC!$5:$37,DAY(X456)+2,FALSE))</f>
        <v>0</v>
      </c>
      <c r="AD456" s="307">
        <f t="shared" si="137"/>
        <v>0</v>
      </c>
      <c r="AE456" s="314">
        <f t="shared" si="126"/>
        <v>0</v>
      </c>
      <c r="AF456" s="315">
        <f t="shared" si="127"/>
        <v>0</v>
      </c>
      <c r="AG456" s="316">
        <f t="shared" si="128"/>
        <v>0</v>
      </c>
      <c r="AH456" s="314">
        <v>1</v>
      </c>
      <c r="AI456" s="314">
        <f t="shared" si="129"/>
        <v>0</v>
      </c>
      <c r="AJ456" s="314">
        <f t="shared" si="138"/>
        <v>0</v>
      </c>
      <c r="AK456" s="317"/>
      <c r="AL456" s="315">
        <f t="shared" si="130"/>
        <v>0</v>
      </c>
      <c r="AN456" s="546">
        <f t="shared" si="131"/>
        <v>0</v>
      </c>
      <c r="AO456" s="314"/>
      <c r="AP456" s="318"/>
    </row>
    <row r="457" spans="2:42">
      <c r="B457" s="296"/>
      <c r="C457" s="299"/>
      <c r="D457" s="298"/>
      <c r="E457" s="299"/>
      <c r="F457" s="299"/>
      <c r="G457" s="300"/>
      <c r="H457" s="303"/>
      <c r="I457" s="301">
        <f t="shared" si="122"/>
        <v>0</v>
      </c>
      <c r="J457" s="302">
        <f t="shared" si="132"/>
        <v>0</v>
      </c>
      <c r="K457" s="304">
        <f t="shared" si="123"/>
        <v>0</v>
      </c>
      <c r="L457" s="305">
        <f>IF(H457=0,0,IF(OR(E457=$AT$5,E457=$AT$6),AA457,IF(F457="MXN",1/HLOOKUP(YEAR(G457)+(MONTH(G457)/100),TC!$5:$37,DAY(G457)+2,FALSE),VLOOKUP(F457,Equivalencia!$5:$23,((MAX(Equivalencia!$3:$3)-YEAR(G457))*14)+MONTH(G457)+2,FALSE))))</f>
        <v>0</v>
      </c>
      <c r="M457" s="306">
        <f t="shared" si="124"/>
        <v>0</v>
      </c>
      <c r="N457" s="305">
        <f>IF(G457=0,0,(IF(OR(E457=$AT$5,E457=$AT$6),AC457,HLOOKUP(YEAR(G457)+(MONTH(G457)/100),TC!$5:$37,DAY(G457)+2,FALSE))))</f>
        <v>0</v>
      </c>
      <c r="O457" s="307">
        <f t="shared" si="133"/>
        <v>0</v>
      </c>
      <c r="P457" s="552">
        <f>IF(G457=0,0,VLOOKUP(YEAR(G457),INPC!$B$4:$P$30,MONTH(G457)+2))</f>
        <v>0</v>
      </c>
      <c r="Q457" s="552">
        <f>IF(X457=0,0,IF(OR(E457=$AT$10,E457=$AT$9),VLOOKUP(YEAR(X457),INPC!$B$4:$P$30,MONTH(X457)+1),VLOOKUP(YEAR(X457),INPC!$B$4:$P$30,MONTH(X457)+2,0)))</f>
        <v>0</v>
      </c>
      <c r="R457" s="309">
        <f t="shared" si="125"/>
        <v>0</v>
      </c>
      <c r="S457" s="310">
        <f t="shared" si="134"/>
        <v>0</v>
      </c>
      <c r="T457" s="547">
        <f t="shared" si="135"/>
        <v>0</v>
      </c>
      <c r="U457" s="311"/>
      <c r="V457" s="312"/>
      <c r="W457" s="299"/>
      <c r="X457" s="300"/>
      <c r="Y457" s="299"/>
      <c r="Z457" s="303"/>
      <c r="AA457" s="305">
        <f>IF(Z457=0,0,IF(Y457="MXN",1/HLOOKUP(YEAR(X457)+(MONTH(X457)/100),TC!$5:$37,DAY(X457)+2,FALSE),VLOOKUP(Y457,Equivalencia!$1:$23,((MAX(Equivalencia!$3:$3)-YEAR(X457))*14)+MONTH(X457)+2,FALSE)))</f>
        <v>0</v>
      </c>
      <c r="AB457" s="306">
        <f t="shared" si="136"/>
        <v>0</v>
      </c>
      <c r="AC457" s="305">
        <f>+IF(X457=0,0,HLOOKUP(YEAR(X457)+(MONTH(X457)/100),TC!$5:$37,DAY(X457)+2,FALSE))</f>
        <v>0</v>
      </c>
      <c r="AD457" s="307">
        <f t="shared" si="137"/>
        <v>0</v>
      </c>
      <c r="AE457" s="314">
        <f t="shared" si="126"/>
        <v>0</v>
      </c>
      <c r="AF457" s="315">
        <f t="shared" si="127"/>
        <v>0</v>
      </c>
      <c r="AG457" s="316">
        <f t="shared" si="128"/>
        <v>0</v>
      </c>
      <c r="AH457" s="314">
        <v>1</v>
      </c>
      <c r="AI457" s="314">
        <f t="shared" si="129"/>
        <v>0</v>
      </c>
      <c r="AJ457" s="314">
        <f t="shared" si="138"/>
        <v>0</v>
      </c>
      <c r="AK457" s="317"/>
      <c r="AL457" s="315">
        <f t="shared" si="130"/>
        <v>0</v>
      </c>
      <c r="AN457" s="546">
        <f t="shared" si="131"/>
        <v>0</v>
      </c>
      <c r="AO457" s="314"/>
      <c r="AP457" s="318"/>
    </row>
    <row r="458" spans="2:42">
      <c r="B458" s="296"/>
      <c r="C458" s="299"/>
      <c r="D458" s="298"/>
      <c r="E458" s="299"/>
      <c r="F458" s="299"/>
      <c r="G458" s="300"/>
      <c r="H458" s="303"/>
      <c r="I458" s="301">
        <f t="shared" si="122"/>
        <v>0</v>
      </c>
      <c r="J458" s="302">
        <f t="shared" si="132"/>
        <v>0</v>
      </c>
      <c r="K458" s="304">
        <f t="shared" si="123"/>
        <v>0</v>
      </c>
      <c r="L458" s="305">
        <f>IF(H458=0,0,IF(OR(E458=$AT$5,E458=$AT$6),AA458,IF(F458="MXN",1/HLOOKUP(YEAR(G458)+(MONTH(G458)/100),TC!$5:$37,DAY(G458)+2,FALSE),VLOOKUP(F458,Equivalencia!$5:$23,((MAX(Equivalencia!$3:$3)-YEAR(G458))*14)+MONTH(G458)+2,FALSE))))</f>
        <v>0</v>
      </c>
      <c r="M458" s="306">
        <f t="shared" si="124"/>
        <v>0</v>
      </c>
      <c r="N458" s="305">
        <f>IF(G458=0,0,(IF(OR(E458=$AT$5,E458=$AT$6),AC458,HLOOKUP(YEAR(G458)+(MONTH(G458)/100),TC!$5:$37,DAY(G458)+2,FALSE))))</f>
        <v>0</v>
      </c>
      <c r="O458" s="307">
        <f t="shared" si="133"/>
        <v>0</v>
      </c>
      <c r="P458" s="552">
        <f>IF(G458=0,0,VLOOKUP(YEAR(G458),INPC!$B$4:$P$30,MONTH(G458)+2))</f>
        <v>0</v>
      </c>
      <c r="Q458" s="552">
        <f>IF(X458=0,0,IF(OR(E458=$AT$10,E458=$AT$9),VLOOKUP(YEAR(X458),INPC!$B$4:$P$30,MONTH(X458)+1),VLOOKUP(YEAR(X458),INPC!$B$4:$P$30,MONTH(X458)+2,0)))</f>
        <v>0</v>
      </c>
      <c r="R458" s="309">
        <f t="shared" si="125"/>
        <v>0</v>
      </c>
      <c r="S458" s="310">
        <f t="shared" si="134"/>
        <v>0</v>
      </c>
      <c r="T458" s="547">
        <f t="shared" si="135"/>
        <v>0</v>
      </c>
      <c r="U458" s="311"/>
      <c r="V458" s="312"/>
      <c r="W458" s="299"/>
      <c r="X458" s="300"/>
      <c r="Y458" s="299"/>
      <c r="Z458" s="303"/>
      <c r="AA458" s="305">
        <f>IF(Z458=0,0,IF(Y458="MXN",1/HLOOKUP(YEAR(X458)+(MONTH(X458)/100),TC!$5:$37,DAY(X458)+2,FALSE),VLOOKUP(Y458,Equivalencia!$1:$23,((MAX(Equivalencia!$3:$3)-YEAR(X458))*14)+MONTH(X458)+2,FALSE)))</f>
        <v>0</v>
      </c>
      <c r="AB458" s="306">
        <f t="shared" si="136"/>
        <v>0</v>
      </c>
      <c r="AC458" s="305">
        <f>+IF(X458=0,0,HLOOKUP(YEAR(X458)+(MONTH(X458)/100),TC!$5:$37,DAY(X458)+2,FALSE))</f>
        <v>0</v>
      </c>
      <c r="AD458" s="307">
        <f t="shared" si="137"/>
        <v>0</v>
      </c>
      <c r="AE458" s="314">
        <f t="shared" si="126"/>
        <v>0</v>
      </c>
      <c r="AF458" s="315">
        <f t="shared" si="127"/>
        <v>0</v>
      </c>
      <c r="AG458" s="316">
        <f t="shared" si="128"/>
        <v>0</v>
      </c>
      <c r="AH458" s="314">
        <v>1</v>
      </c>
      <c r="AI458" s="314">
        <f t="shared" si="129"/>
        <v>0</v>
      </c>
      <c r="AJ458" s="314">
        <f t="shared" si="138"/>
        <v>0</v>
      </c>
      <c r="AK458" s="317"/>
      <c r="AL458" s="315">
        <f t="shared" si="130"/>
        <v>0</v>
      </c>
      <c r="AN458" s="546">
        <f t="shared" si="131"/>
        <v>0</v>
      </c>
      <c r="AO458" s="314"/>
      <c r="AP458" s="318"/>
    </row>
    <row r="459" spans="2:42">
      <c r="B459" s="296"/>
      <c r="C459" s="299"/>
      <c r="D459" s="298"/>
      <c r="E459" s="299"/>
      <c r="F459" s="299"/>
      <c r="G459" s="300"/>
      <c r="H459" s="303"/>
      <c r="I459" s="301">
        <f t="shared" si="122"/>
        <v>0</v>
      </c>
      <c r="J459" s="302">
        <f t="shared" si="132"/>
        <v>0</v>
      </c>
      <c r="K459" s="304">
        <f t="shared" si="123"/>
        <v>0</v>
      </c>
      <c r="L459" s="305">
        <f>IF(H459=0,0,IF(OR(E459=$AT$5,E459=$AT$6),AA459,IF(F459="MXN",1/HLOOKUP(YEAR(G459)+(MONTH(G459)/100),TC!$5:$37,DAY(G459)+2,FALSE),VLOOKUP(F459,Equivalencia!$5:$23,((MAX(Equivalencia!$3:$3)-YEAR(G459))*14)+MONTH(G459)+2,FALSE))))</f>
        <v>0</v>
      </c>
      <c r="M459" s="306">
        <f t="shared" si="124"/>
        <v>0</v>
      </c>
      <c r="N459" s="305">
        <f>IF(G459=0,0,(IF(OR(E459=$AT$5,E459=$AT$6),AC459,HLOOKUP(YEAR(G459)+(MONTH(G459)/100),TC!$5:$37,DAY(G459)+2,FALSE))))</f>
        <v>0</v>
      </c>
      <c r="O459" s="307">
        <f t="shared" si="133"/>
        <v>0</v>
      </c>
      <c r="P459" s="552">
        <f>IF(G459=0,0,VLOOKUP(YEAR(G459),INPC!$B$4:$P$30,MONTH(G459)+2))</f>
        <v>0</v>
      </c>
      <c r="Q459" s="552">
        <f>IF(X459=0,0,IF(OR(E459=$AT$10,E459=$AT$9),VLOOKUP(YEAR(X459),INPC!$B$4:$P$30,MONTH(X459)+1),VLOOKUP(YEAR(X459),INPC!$B$4:$P$30,MONTH(X459)+2,0)))</f>
        <v>0</v>
      </c>
      <c r="R459" s="309">
        <f t="shared" si="125"/>
        <v>0</v>
      </c>
      <c r="S459" s="310">
        <f t="shared" si="134"/>
        <v>0</v>
      </c>
      <c r="T459" s="547">
        <f t="shared" si="135"/>
        <v>0</v>
      </c>
      <c r="U459" s="311"/>
      <c r="V459" s="312"/>
      <c r="W459" s="299"/>
      <c r="X459" s="300"/>
      <c r="Y459" s="299"/>
      <c r="Z459" s="303"/>
      <c r="AA459" s="305">
        <f>IF(Z459=0,0,IF(Y459="MXN",1/HLOOKUP(YEAR(X459)+(MONTH(X459)/100),TC!$5:$37,DAY(X459)+2,FALSE),VLOOKUP(Y459,Equivalencia!$1:$23,((MAX(Equivalencia!$3:$3)-YEAR(X459))*14)+MONTH(X459)+2,FALSE)))</f>
        <v>0</v>
      </c>
      <c r="AB459" s="306">
        <f t="shared" si="136"/>
        <v>0</v>
      </c>
      <c r="AC459" s="305">
        <f>+IF(X459=0,0,HLOOKUP(YEAR(X459)+(MONTH(X459)/100),TC!$5:$37,DAY(X459)+2,FALSE))</f>
        <v>0</v>
      </c>
      <c r="AD459" s="307">
        <f t="shared" si="137"/>
        <v>0</v>
      </c>
      <c r="AE459" s="314">
        <f t="shared" si="126"/>
        <v>0</v>
      </c>
      <c r="AF459" s="315">
        <f t="shared" si="127"/>
        <v>0</v>
      </c>
      <c r="AG459" s="316">
        <f t="shared" si="128"/>
        <v>0</v>
      </c>
      <c r="AH459" s="314">
        <v>1</v>
      </c>
      <c r="AI459" s="314">
        <f t="shared" si="129"/>
        <v>0</v>
      </c>
      <c r="AJ459" s="314">
        <f t="shared" si="138"/>
        <v>0</v>
      </c>
      <c r="AK459" s="317"/>
      <c r="AL459" s="315">
        <f t="shared" si="130"/>
        <v>0</v>
      </c>
      <c r="AN459" s="546">
        <f t="shared" si="131"/>
        <v>0</v>
      </c>
      <c r="AO459" s="314"/>
      <c r="AP459" s="318"/>
    </row>
    <row r="460" spans="2:42">
      <c r="B460" s="296"/>
      <c r="C460" s="299"/>
      <c r="D460" s="298"/>
      <c r="E460" s="299"/>
      <c r="F460" s="299"/>
      <c r="G460" s="300"/>
      <c r="H460" s="303"/>
      <c r="I460" s="301">
        <f t="shared" si="122"/>
        <v>0</v>
      </c>
      <c r="J460" s="302">
        <f t="shared" si="132"/>
        <v>0</v>
      </c>
      <c r="K460" s="304">
        <f t="shared" si="123"/>
        <v>0</v>
      </c>
      <c r="L460" s="305">
        <f>IF(H460=0,0,IF(OR(E460=$AT$5,E460=$AT$6),AA460,IF(F460="MXN",1/HLOOKUP(YEAR(G460)+(MONTH(G460)/100),TC!$5:$37,DAY(G460)+2,FALSE),VLOOKUP(F460,Equivalencia!$5:$23,((MAX(Equivalencia!$3:$3)-YEAR(G460))*14)+MONTH(G460)+2,FALSE))))</f>
        <v>0</v>
      </c>
      <c r="M460" s="306">
        <f t="shared" si="124"/>
        <v>0</v>
      </c>
      <c r="N460" s="305">
        <f>IF(G460=0,0,(IF(OR(E460=$AT$5,E460=$AT$6),AC460,HLOOKUP(YEAR(G460)+(MONTH(G460)/100),TC!$5:$37,DAY(G460)+2,FALSE))))</f>
        <v>0</v>
      </c>
      <c r="O460" s="307">
        <f t="shared" si="133"/>
        <v>0</v>
      </c>
      <c r="P460" s="552">
        <f>IF(G460=0,0,VLOOKUP(YEAR(G460),INPC!$B$4:$P$30,MONTH(G460)+2))</f>
        <v>0</v>
      </c>
      <c r="Q460" s="552">
        <f>IF(X460=0,0,IF(OR(E460=$AT$10,E460=$AT$9),VLOOKUP(YEAR(X460),INPC!$B$4:$P$30,MONTH(X460)+1),VLOOKUP(YEAR(X460),INPC!$B$4:$P$30,MONTH(X460)+2,0)))</f>
        <v>0</v>
      </c>
      <c r="R460" s="309">
        <f t="shared" si="125"/>
        <v>0</v>
      </c>
      <c r="S460" s="310">
        <f t="shared" si="134"/>
        <v>0</v>
      </c>
      <c r="T460" s="547">
        <f t="shared" si="135"/>
        <v>0</v>
      </c>
      <c r="U460" s="311"/>
      <c r="V460" s="312"/>
      <c r="W460" s="299"/>
      <c r="X460" s="300"/>
      <c r="Y460" s="299"/>
      <c r="Z460" s="303"/>
      <c r="AA460" s="305">
        <f>IF(Z460=0,0,IF(Y460="MXN",1/HLOOKUP(YEAR(X460)+(MONTH(X460)/100),TC!$5:$37,DAY(X460)+2,FALSE),VLOOKUP(Y460,Equivalencia!$1:$23,((MAX(Equivalencia!$3:$3)-YEAR(X460))*14)+MONTH(X460)+2,FALSE)))</f>
        <v>0</v>
      </c>
      <c r="AB460" s="306">
        <f t="shared" si="136"/>
        <v>0</v>
      </c>
      <c r="AC460" s="305">
        <f>+IF(X460=0,0,HLOOKUP(YEAR(X460)+(MONTH(X460)/100),TC!$5:$37,DAY(X460)+2,FALSE))</f>
        <v>0</v>
      </c>
      <c r="AD460" s="307">
        <f t="shared" si="137"/>
        <v>0</v>
      </c>
      <c r="AE460" s="314">
        <f t="shared" si="126"/>
        <v>0</v>
      </c>
      <c r="AF460" s="315">
        <f t="shared" si="127"/>
        <v>0</v>
      </c>
      <c r="AG460" s="316">
        <f t="shared" si="128"/>
        <v>0</v>
      </c>
      <c r="AH460" s="314">
        <v>1</v>
      </c>
      <c r="AI460" s="314">
        <f t="shared" si="129"/>
        <v>0</v>
      </c>
      <c r="AJ460" s="314">
        <f t="shared" si="138"/>
        <v>0</v>
      </c>
      <c r="AK460" s="317"/>
      <c r="AL460" s="315">
        <f t="shared" si="130"/>
        <v>0</v>
      </c>
      <c r="AN460" s="546">
        <f t="shared" si="131"/>
        <v>0</v>
      </c>
      <c r="AO460" s="314"/>
      <c r="AP460" s="318"/>
    </row>
    <row r="461" spans="2:42">
      <c r="B461" s="296"/>
      <c r="C461" s="299"/>
      <c r="D461" s="298"/>
      <c r="E461" s="299"/>
      <c r="F461" s="299"/>
      <c r="G461" s="300"/>
      <c r="H461" s="303"/>
      <c r="I461" s="301">
        <f t="shared" si="122"/>
        <v>0</v>
      </c>
      <c r="J461" s="302">
        <f t="shared" si="132"/>
        <v>0</v>
      </c>
      <c r="K461" s="304">
        <f t="shared" si="123"/>
        <v>0</v>
      </c>
      <c r="L461" s="305">
        <f>IF(H461=0,0,IF(OR(E461=$AT$5,E461=$AT$6),AA461,IF(F461="MXN",1/HLOOKUP(YEAR(G461)+(MONTH(G461)/100),TC!$5:$37,DAY(G461)+2,FALSE),VLOOKUP(F461,Equivalencia!$5:$23,((MAX(Equivalencia!$3:$3)-YEAR(G461))*14)+MONTH(G461)+2,FALSE))))</f>
        <v>0</v>
      </c>
      <c r="M461" s="306">
        <f t="shared" si="124"/>
        <v>0</v>
      </c>
      <c r="N461" s="305">
        <f>IF(G461=0,0,(IF(OR(E461=$AT$5,E461=$AT$6),AC461,HLOOKUP(YEAR(G461)+(MONTH(G461)/100),TC!$5:$37,DAY(G461)+2,FALSE))))</f>
        <v>0</v>
      </c>
      <c r="O461" s="307">
        <f t="shared" si="133"/>
        <v>0</v>
      </c>
      <c r="P461" s="552">
        <f>IF(G461=0,0,VLOOKUP(YEAR(G461),INPC!$B$4:$P$30,MONTH(G461)+2))</f>
        <v>0</v>
      </c>
      <c r="Q461" s="552">
        <f>IF(X461=0,0,IF(OR(E461=$AT$10,E461=$AT$9),VLOOKUP(YEAR(X461),INPC!$B$4:$P$30,MONTH(X461)+1),VLOOKUP(YEAR(X461),INPC!$B$4:$P$30,MONTH(X461)+2,0)))</f>
        <v>0</v>
      </c>
      <c r="R461" s="309">
        <f t="shared" si="125"/>
        <v>0</v>
      </c>
      <c r="S461" s="310">
        <f t="shared" si="134"/>
        <v>0</v>
      </c>
      <c r="T461" s="547">
        <f t="shared" si="135"/>
        <v>0</v>
      </c>
      <c r="U461" s="311"/>
      <c r="V461" s="312"/>
      <c r="W461" s="299"/>
      <c r="X461" s="300"/>
      <c r="Y461" s="299"/>
      <c r="Z461" s="303"/>
      <c r="AA461" s="305">
        <f>IF(Z461=0,0,IF(Y461="MXN",1/HLOOKUP(YEAR(X461)+(MONTH(X461)/100),TC!$5:$37,DAY(X461)+2,FALSE),VLOOKUP(Y461,Equivalencia!$1:$23,((MAX(Equivalencia!$3:$3)-YEAR(X461))*14)+MONTH(X461)+2,FALSE)))</f>
        <v>0</v>
      </c>
      <c r="AB461" s="306">
        <f t="shared" si="136"/>
        <v>0</v>
      </c>
      <c r="AC461" s="305">
        <f>+IF(X461=0,0,HLOOKUP(YEAR(X461)+(MONTH(X461)/100),TC!$5:$37,DAY(X461)+2,FALSE))</f>
        <v>0</v>
      </c>
      <c r="AD461" s="307">
        <f t="shared" si="137"/>
        <v>0</v>
      </c>
      <c r="AE461" s="314">
        <f t="shared" si="126"/>
        <v>0</v>
      </c>
      <c r="AF461" s="315">
        <f t="shared" si="127"/>
        <v>0</v>
      </c>
      <c r="AG461" s="316">
        <f t="shared" si="128"/>
        <v>0</v>
      </c>
      <c r="AH461" s="314">
        <v>1</v>
      </c>
      <c r="AI461" s="314">
        <f t="shared" si="129"/>
        <v>0</v>
      </c>
      <c r="AJ461" s="314">
        <f t="shared" si="138"/>
        <v>0</v>
      </c>
      <c r="AK461" s="317"/>
      <c r="AL461" s="315">
        <f t="shared" si="130"/>
        <v>0</v>
      </c>
      <c r="AN461" s="546">
        <f t="shared" si="131"/>
        <v>0</v>
      </c>
      <c r="AO461" s="314"/>
      <c r="AP461" s="318"/>
    </row>
    <row r="462" spans="2:42">
      <c r="B462" s="296"/>
      <c r="C462" s="299"/>
      <c r="D462" s="298"/>
      <c r="E462" s="299"/>
      <c r="F462" s="299"/>
      <c r="G462" s="300"/>
      <c r="H462" s="303"/>
      <c r="I462" s="301">
        <f t="shared" si="122"/>
        <v>0</v>
      </c>
      <c r="J462" s="302">
        <f t="shared" si="132"/>
        <v>0</v>
      </c>
      <c r="K462" s="304">
        <f t="shared" si="123"/>
        <v>0</v>
      </c>
      <c r="L462" s="305">
        <f>IF(H462=0,0,IF(OR(E462=$AT$5,E462=$AT$6),AA462,IF(F462="MXN",1/HLOOKUP(YEAR(G462)+(MONTH(G462)/100),TC!$5:$37,DAY(G462)+2,FALSE),VLOOKUP(F462,Equivalencia!$5:$23,((MAX(Equivalencia!$3:$3)-YEAR(G462))*14)+MONTH(G462)+2,FALSE))))</f>
        <v>0</v>
      </c>
      <c r="M462" s="306">
        <f t="shared" si="124"/>
        <v>0</v>
      </c>
      <c r="N462" s="305">
        <f>IF(G462=0,0,(IF(OR(E462=$AT$5,E462=$AT$6),AC462,HLOOKUP(YEAR(G462)+(MONTH(G462)/100),TC!$5:$37,DAY(G462)+2,FALSE))))</f>
        <v>0</v>
      </c>
      <c r="O462" s="307">
        <f t="shared" si="133"/>
        <v>0</v>
      </c>
      <c r="P462" s="552">
        <f>IF(G462=0,0,VLOOKUP(YEAR(G462),INPC!$B$4:$P$30,MONTH(G462)+2))</f>
        <v>0</v>
      </c>
      <c r="Q462" s="552">
        <f>IF(X462=0,0,IF(OR(E462=$AT$10,E462=$AT$9),VLOOKUP(YEAR(X462),INPC!$B$4:$P$30,MONTH(X462)+1),VLOOKUP(YEAR(X462),INPC!$B$4:$P$30,MONTH(X462)+2,0)))</f>
        <v>0</v>
      </c>
      <c r="R462" s="309">
        <f t="shared" si="125"/>
        <v>0</v>
      </c>
      <c r="S462" s="310">
        <f t="shared" si="134"/>
        <v>0</v>
      </c>
      <c r="T462" s="547">
        <f t="shared" si="135"/>
        <v>0</v>
      </c>
      <c r="U462" s="311"/>
      <c r="V462" s="312"/>
      <c r="W462" s="299"/>
      <c r="X462" s="300"/>
      <c r="Y462" s="299"/>
      <c r="Z462" s="303"/>
      <c r="AA462" s="305">
        <f>IF(Z462=0,0,IF(Y462="MXN",1/HLOOKUP(YEAR(X462)+(MONTH(X462)/100),TC!$5:$37,DAY(X462)+2,FALSE),VLOOKUP(Y462,Equivalencia!$1:$23,((MAX(Equivalencia!$3:$3)-YEAR(X462))*14)+MONTH(X462)+2,FALSE)))</f>
        <v>0</v>
      </c>
      <c r="AB462" s="306">
        <f t="shared" si="136"/>
        <v>0</v>
      </c>
      <c r="AC462" s="305">
        <f>+IF(X462=0,0,HLOOKUP(YEAR(X462)+(MONTH(X462)/100),TC!$5:$37,DAY(X462)+2,FALSE))</f>
        <v>0</v>
      </c>
      <c r="AD462" s="307">
        <f t="shared" si="137"/>
        <v>0</v>
      </c>
      <c r="AE462" s="314">
        <f t="shared" si="126"/>
        <v>0</v>
      </c>
      <c r="AF462" s="315">
        <f t="shared" si="127"/>
        <v>0</v>
      </c>
      <c r="AG462" s="316">
        <f t="shared" si="128"/>
        <v>0</v>
      </c>
      <c r="AH462" s="314">
        <v>1</v>
      </c>
      <c r="AI462" s="314">
        <f t="shared" si="129"/>
        <v>0</v>
      </c>
      <c r="AJ462" s="314">
        <f t="shared" si="138"/>
        <v>0</v>
      </c>
      <c r="AK462" s="317"/>
      <c r="AL462" s="315">
        <f t="shared" si="130"/>
        <v>0</v>
      </c>
      <c r="AN462" s="546">
        <f t="shared" si="131"/>
        <v>0</v>
      </c>
      <c r="AO462" s="314"/>
      <c r="AP462" s="318"/>
    </row>
    <row r="463" spans="2:42">
      <c r="B463" s="296"/>
      <c r="C463" s="299"/>
      <c r="D463" s="298"/>
      <c r="E463" s="299"/>
      <c r="F463" s="299"/>
      <c r="G463" s="300"/>
      <c r="H463" s="303"/>
      <c r="I463" s="301">
        <f t="shared" si="122"/>
        <v>0</v>
      </c>
      <c r="J463" s="302">
        <f t="shared" si="132"/>
        <v>0</v>
      </c>
      <c r="K463" s="304">
        <f t="shared" si="123"/>
        <v>0</v>
      </c>
      <c r="L463" s="305">
        <f>IF(H463=0,0,IF(OR(E463=$AT$5,E463=$AT$6),AA463,IF(F463="MXN",1/HLOOKUP(YEAR(G463)+(MONTH(G463)/100),TC!$5:$37,DAY(G463)+2,FALSE),VLOOKUP(F463,Equivalencia!$5:$23,((MAX(Equivalencia!$3:$3)-YEAR(G463))*14)+MONTH(G463)+2,FALSE))))</f>
        <v>0</v>
      </c>
      <c r="M463" s="306">
        <f t="shared" si="124"/>
        <v>0</v>
      </c>
      <c r="N463" s="305">
        <f>IF(G463=0,0,(IF(OR(E463=$AT$5,E463=$AT$6),AC463,HLOOKUP(YEAR(G463)+(MONTH(G463)/100),TC!$5:$37,DAY(G463)+2,FALSE))))</f>
        <v>0</v>
      </c>
      <c r="O463" s="307">
        <f t="shared" si="133"/>
        <v>0</v>
      </c>
      <c r="P463" s="552">
        <f>IF(G463=0,0,VLOOKUP(YEAR(G463),INPC!$B$4:$P$30,MONTH(G463)+2))</f>
        <v>0</v>
      </c>
      <c r="Q463" s="552">
        <f>IF(X463=0,0,IF(OR(E463=$AT$10,E463=$AT$9),VLOOKUP(YEAR(X463),INPC!$B$4:$P$30,MONTH(X463)+1),VLOOKUP(YEAR(X463),INPC!$B$4:$P$30,MONTH(X463)+2,0)))</f>
        <v>0</v>
      </c>
      <c r="R463" s="309">
        <f t="shared" si="125"/>
        <v>0</v>
      </c>
      <c r="S463" s="310">
        <f t="shared" si="134"/>
        <v>0</v>
      </c>
      <c r="T463" s="547">
        <f t="shared" si="135"/>
        <v>0</v>
      </c>
      <c r="U463" s="311"/>
      <c r="V463" s="312"/>
      <c r="W463" s="299"/>
      <c r="X463" s="300"/>
      <c r="Y463" s="299"/>
      <c r="Z463" s="303"/>
      <c r="AA463" s="305">
        <f>IF(Z463=0,0,IF(Y463="MXN",1/HLOOKUP(YEAR(X463)+(MONTH(X463)/100),TC!$5:$37,DAY(X463)+2,FALSE),VLOOKUP(Y463,Equivalencia!$1:$23,((MAX(Equivalencia!$3:$3)-YEAR(X463))*14)+MONTH(X463)+2,FALSE)))</f>
        <v>0</v>
      </c>
      <c r="AB463" s="306">
        <f t="shared" si="136"/>
        <v>0</v>
      </c>
      <c r="AC463" s="305">
        <f>+IF(X463=0,0,HLOOKUP(YEAR(X463)+(MONTH(X463)/100),TC!$5:$37,DAY(X463)+2,FALSE))</f>
        <v>0</v>
      </c>
      <c r="AD463" s="307">
        <f t="shared" si="137"/>
        <v>0</v>
      </c>
      <c r="AE463" s="314">
        <f t="shared" si="126"/>
        <v>0</v>
      </c>
      <c r="AF463" s="315">
        <f t="shared" si="127"/>
        <v>0</v>
      </c>
      <c r="AG463" s="316">
        <f t="shared" si="128"/>
        <v>0</v>
      </c>
      <c r="AH463" s="314">
        <v>1</v>
      </c>
      <c r="AI463" s="314">
        <f t="shared" si="129"/>
        <v>0</v>
      </c>
      <c r="AJ463" s="314">
        <f t="shared" si="138"/>
        <v>0</v>
      </c>
      <c r="AK463" s="317"/>
      <c r="AL463" s="315">
        <f t="shared" si="130"/>
        <v>0</v>
      </c>
      <c r="AN463" s="546">
        <f t="shared" si="131"/>
        <v>0</v>
      </c>
      <c r="AO463" s="314"/>
      <c r="AP463" s="318"/>
    </row>
    <row r="464" spans="2:42">
      <c r="B464" s="296"/>
      <c r="C464" s="299"/>
      <c r="D464" s="298"/>
      <c r="E464" s="299"/>
      <c r="F464" s="299"/>
      <c r="G464" s="300"/>
      <c r="H464" s="303"/>
      <c r="I464" s="301">
        <f t="shared" si="122"/>
        <v>0</v>
      </c>
      <c r="J464" s="302">
        <f t="shared" si="132"/>
        <v>0</v>
      </c>
      <c r="K464" s="304">
        <f t="shared" si="123"/>
        <v>0</v>
      </c>
      <c r="L464" s="305">
        <f>IF(H464=0,0,IF(OR(E464=$AT$5,E464=$AT$6),AA464,IF(F464="MXN",1/HLOOKUP(YEAR(G464)+(MONTH(G464)/100),TC!$5:$37,DAY(G464)+2,FALSE),VLOOKUP(F464,Equivalencia!$5:$23,((MAX(Equivalencia!$3:$3)-YEAR(G464))*14)+MONTH(G464)+2,FALSE))))</f>
        <v>0</v>
      </c>
      <c r="M464" s="306">
        <f t="shared" si="124"/>
        <v>0</v>
      </c>
      <c r="N464" s="305">
        <f>IF(G464=0,0,(IF(OR(E464=$AT$5,E464=$AT$6),AC464,HLOOKUP(YEAR(G464)+(MONTH(G464)/100),TC!$5:$37,DAY(G464)+2,FALSE))))</f>
        <v>0</v>
      </c>
      <c r="O464" s="307">
        <f t="shared" si="133"/>
        <v>0</v>
      </c>
      <c r="P464" s="552">
        <f>IF(G464=0,0,VLOOKUP(YEAR(G464),INPC!$B$4:$P$30,MONTH(G464)+2))</f>
        <v>0</v>
      </c>
      <c r="Q464" s="552">
        <f>IF(X464=0,0,IF(OR(E464=$AT$10,E464=$AT$9),VLOOKUP(YEAR(X464),INPC!$B$4:$P$30,MONTH(X464)+1),VLOOKUP(YEAR(X464),INPC!$B$4:$P$30,MONTH(X464)+2,0)))</f>
        <v>0</v>
      </c>
      <c r="R464" s="309">
        <f t="shared" si="125"/>
        <v>0</v>
      </c>
      <c r="S464" s="310">
        <f t="shared" si="134"/>
        <v>0</v>
      </c>
      <c r="T464" s="547">
        <f t="shared" si="135"/>
        <v>0</v>
      </c>
      <c r="U464" s="311"/>
      <c r="V464" s="312"/>
      <c r="W464" s="299"/>
      <c r="X464" s="300"/>
      <c r="Y464" s="299"/>
      <c r="Z464" s="303"/>
      <c r="AA464" s="305">
        <f>IF(Z464=0,0,IF(Y464="MXN",1/HLOOKUP(YEAR(X464)+(MONTH(X464)/100),TC!$5:$37,DAY(X464)+2,FALSE),VLOOKUP(Y464,Equivalencia!$1:$23,((MAX(Equivalencia!$3:$3)-YEAR(X464))*14)+MONTH(X464)+2,FALSE)))</f>
        <v>0</v>
      </c>
      <c r="AB464" s="306">
        <f t="shared" si="136"/>
        <v>0</v>
      </c>
      <c r="AC464" s="305">
        <f>+IF(X464=0,0,HLOOKUP(YEAR(X464)+(MONTH(X464)/100),TC!$5:$37,DAY(X464)+2,FALSE))</f>
        <v>0</v>
      </c>
      <c r="AD464" s="307">
        <f t="shared" si="137"/>
        <v>0</v>
      </c>
      <c r="AE464" s="314">
        <f t="shared" si="126"/>
        <v>0</v>
      </c>
      <c r="AF464" s="315">
        <f t="shared" si="127"/>
        <v>0</v>
      </c>
      <c r="AG464" s="316">
        <f t="shared" si="128"/>
        <v>0</v>
      </c>
      <c r="AH464" s="314">
        <v>1</v>
      </c>
      <c r="AI464" s="314">
        <f t="shared" si="129"/>
        <v>0</v>
      </c>
      <c r="AJ464" s="314">
        <f t="shared" si="138"/>
        <v>0</v>
      </c>
      <c r="AK464" s="317"/>
      <c r="AL464" s="315">
        <f t="shared" si="130"/>
        <v>0</v>
      </c>
      <c r="AN464" s="546">
        <f t="shared" si="131"/>
        <v>0</v>
      </c>
      <c r="AO464" s="314"/>
      <c r="AP464" s="318"/>
    </row>
    <row r="465" spans="2:42">
      <c r="B465" s="296"/>
      <c r="C465" s="299"/>
      <c r="D465" s="298"/>
      <c r="E465" s="299"/>
      <c r="F465" s="299"/>
      <c r="G465" s="300"/>
      <c r="H465" s="303"/>
      <c r="I465" s="301">
        <f t="shared" si="122"/>
        <v>0</v>
      </c>
      <c r="J465" s="302">
        <f t="shared" si="132"/>
        <v>0</v>
      </c>
      <c r="K465" s="304">
        <f t="shared" si="123"/>
        <v>0</v>
      </c>
      <c r="L465" s="305">
        <f>IF(H465=0,0,IF(OR(E465=$AT$5,E465=$AT$6),AA465,IF(F465="MXN",1/HLOOKUP(YEAR(G465)+(MONTH(G465)/100),TC!$5:$37,DAY(G465)+2,FALSE),VLOOKUP(F465,Equivalencia!$5:$23,((MAX(Equivalencia!$3:$3)-YEAR(G465))*14)+MONTH(G465)+2,FALSE))))</f>
        <v>0</v>
      </c>
      <c r="M465" s="306">
        <f t="shared" si="124"/>
        <v>0</v>
      </c>
      <c r="N465" s="305">
        <f>IF(G465=0,0,(IF(OR(E465=$AT$5,E465=$AT$6),AC465,HLOOKUP(YEAR(G465)+(MONTH(G465)/100),TC!$5:$37,DAY(G465)+2,FALSE))))</f>
        <v>0</v>
      </c>
      <c r="O465" s="307">
        <f t="shared" si="133"/>
        <v>0</v>
      </c>
      <c r="P465" s="552">
        <f>IF(G465=0,0,VLOOKUP(YEAR(G465),INPC!$B$4:$P$30,MONTH(G465)+2))</f>
        <v>0</v>
      </c>
      <c r="Q465" s="552">
        <f>IF(X465=0,0,IF(OR(E465=$AT$10,E465=$AT$9),VLOOKUP(YEAR(X465),INPC!$B$4:$P$30,MONTH(X465)+1),VLOOKUP(YEAR(X465),INPC!$B$4:$P$30,MONTH(X465)+2,0)))</f>
        <v>0</v>
      </c>
      <c r="R465" s="309">
        <f t="shared" si="125"/>
        <v>0</v>
      </c>
      <c r="S465" s="310">
        <f t="shared" si="134"/>
        <v>0</v>
      </c>
      <c r="T465" s="547">
        <f t="shared" si="135"/>
        <v>0</v>
      </c>
      <c r="U465" s="311"/>
      <c r="V465" s="312"/>
      <c r="W465" s="299"/>
      <c r="X465" s="300"/>
      <c r="Y465" s="299"/>
      <c r="Z465" s="303"/>
      <c r="AA465" s="305">
        <f>IF(Z465=0,0,IF(Y465="MXN",1/HLOOKUP(YEAR(X465)+(MONTH(X465)/100),TC!$5:$37,DAY(X465)+2,FALSE),VLOOKUP(Y465,Equivalencia!$1:$23,((MAX(Equivalencia!$3:$3)-YEAR(X465))*14)+MONTH(X465)+2,FALSE)))</f>
        <v>0</v>
      </c>
      <c r="AB465" s="306">
        <f t="shared" si="136"/>
        <v>0</v>
      </c>
      <c r="AC465" s="305">
        <f>+IF(X465=0,0,HLOOKUP(YEAR(X465)+(MONTH(X465)/100),TC!$5:$37,DAY(X465)+2,FALSE))</f>
        <v>0</v>
      </c>
      <c r="AD465" s="307">
        <f t="shared" si="137"/>
        <v>0</v>
      </c>
      <c r="AE465" s="314">
        <f t="shared" si="126"/>
        <v>0</v>
      </c>
      <c r="AF465" s="315">
        <f t="shared" si="127"/>
        <v>0</v>
      </c>
      <c r="AG465" s="316">
        <f t="shared" si="128"/>
        <v>0</v>
      </c>
      <c r="AH465" s="314">
        <v>1</v>
      </c>
      <c r="AI465" s="314">
        <f t="shared" si="129"/>
        <v>0</v>
      </c>
      <c r="AJ465" s="314">
        <f t="shared" si="138"/>
        <v>0</v>
      </c>
      <c r="AK465" s="317"/>
      <c r="AL465" s="315">
        <f t="shared" si="130"/>
        <v>0</v>
      </c>
      <c r="AN465" s="546">
        <f t="shared" si="131"/>
        <v>0</v>
      </c>
      <c r="AO465" s="314"/>
      <c r="AP465" s="318"/>
    </row>
    <row r="466" spans="2:42">
      <c r="B466" s="296"/>
      <c r="C466" s="299"/>
      <c r="D466" s="298"/>
      <c r="E466" s="299"/>
      <c r="F466" s="299"/>
      <c r="G466" s="300"/>
      <c r="H466" s="303"/>
      <c r="I466" s="301">
        <f t="shared" si="122"/>
        <v>0</v>
      </c>
      <c r="J466" s="302">
        <f t="shared" si="132"/>
        <v>0</v>
      </c>
      <c r="K466" s="304">
        <f t="shared" si="123"/>
        <v>0</v>
      </c>
      <c r="L466" s="305">
        <f>IF(H466=0,0,IF(OR(E466=$AT$5,E466=$AT$6),AA466,IF(F466="MXN",1/HLOOKUP(YEAR(G466)+(MONTH(G466)/100),TC!$5:$37,DAY(G466)+2,FALSE),VLOOKUP(F466,Equivalencia!$5:$23,((MAX(Equivalencia!$3:$3)-YEAR(G466))*14)+MONTH(G466)+2,FALSE))))</f>
        <v>0</v>
      </c>
      <c r="M466" s="306">
        <f t="shared" si="124"/>
        <v>0</v>
      </c>
      <c r="N466" s="305">
        <f>IF(G466=0,0,(IF(OR(E466=$AT$5,E466=$AT$6),AC466,HLOOKUP(YEAR(G466)+(MONTH(G466)/100),TC!$5:$37,DAY(G466)+2,FALSE))))</f>
        <v>0</v>
      </c>
      <c r="O466" s="307">
        <f t="shared" si="133"/>
        <v>0</v>
      </c>
      <c r="P466" s="552">
        <f>IF(G466=0,0,VLOOKUP(YEAR(G466),INPC!$B$4:$P$30,MONTH(G466)+2))</f>
        <v>0</v>
      </c>
      <c r="Q466" s="552">
        <f>IF(X466=0,0,IF(OR(E466=$AT$10,E466=$AT$9),VLOOKUP(YEAR(X466),INPC!$B$4:$P$30,MONTH(X466)+1),VLOOKUP(YEAR(X466),INPC!$B$4:$P$30,MONTH(X466)+2,0)))</f>
        <v>0</v>
      </c>
      <c r="R466" s="309">
        <f t="shared" si="125"/>
        <v>0</v>
      </c>
      <c r="S466" s="310">
        <f t="shared" si="134"/>
        <v>0</v>
      </c>
      <c r="T466" s="547">
        <f t="shared" si="135"/>
        <v>0</v>
      </c>
      <c r="U466" s="311"/>
      <c r="V466" s="312"/>
      <c r="W466" s="299"/>
      <c r="X466" s="300"/>
      <c r="Y466" s="299"/>
      <c r="Z466" s="303"/>
      <c r="AA466" s="305">
        <f>IF(Z466=0,0,IF(Y466="MXN",1/HLOOKUP(YEAR(X466)+(MONTH(X466)/100),TC!$5:$37,DAY(X466)+2,FALSE),VLOOKUP(Y466,Equivalencia!$1:$23,((MAX(Equivalencia!$3:$3)-YEAR(X466))*14)+MONTH(X466)+2,FALSE)))</f>
        <v>0</v>
      </c>
      <c r="AB466" s="306">
        <f t="shared" si="136"/>
        <v>0</v>
      </c>
      <c r="AC466" s="305">
        <f>+IF(X466=0,0,HLOOKUP(YEAR(X466)+(MONTH(X466)/100),TC!$5:$37,DAY(X466)+2,FALSE))</f>
        <v>0</v>
      </c>
      <c r="AD466" s="307">
        <f t="shared" si="137"/>
        <v>0</v>
      </c>
      <c r="AE466" s="314">
        <f t="shared" si="126"/>
        <v>0</v>
      </c>
      <c r="AF466" s="315">
        <f t="shared" si="127"/>
        <v>0</v>
      </c>
      <c r="AG466" s="316">
        <f t="shared" si="128"/>
        <v>0</v>
      </c>
      <c r="AH466" s="314">
        <v>1</v>
      </c>
      <c r="AI466" s="314">
        <f t="shared" si="129"/>
        <v>0</v>
      </c>
      <c r="AJ466" s="314">
        <f t="shared" si="138"/>
        <v>0</v>
      </c>
      <c r="AK466" s="317"/>
      <c r="AL466" s="315">
        <f t="shared" si="130"/>
        <v>0</v>
      </c>
      <c r="AN466" s="546">
        <f t="shared" si="131"/>
        <v>0</v>
      </c>
      <c r="AO466" s="314"/>
      <c r="AP466" s="318"/>
    </row>
    <row r="467" spans="2:42">
      <c r="B467" s="296"/>
      <c r="C467" s="299"/>
      <c r="D467" s="298"/>
      <c r="E467" s="299"/>
      <c r="F467" s="299"/>
      <c r="G467" s="300"/>
      <c r="H467" s="303"/>
      <c r="I467" s="301">
        <f t="shared" si="122"/>
        <v>0</v>
      </c>
      <c r="J467" s="302">
        <f t="shared" si="132"/>
        <v>0</v>
      </c>
      <c r="K467" s="304">
        <f t="shared" si="123"/>
        <v>0</v>
      </c>
      <c r="L467" s="305">
        <f>IF(H467=0,0,IF(OR(E467=$AT$5,E467=$AT$6),AA467,IF(F467="MXN",1/HLOOKUP(YEAR(G467)+(MONTH(G467)/100),TC!$5:$37,DAY(G467)+2,FALSE),VLOOKUP(F467,Equivalencia!$5:$23,((MAX(Equivalencia!$3:$3)-YEAR(G467))*14)+MONTH(G467)+2,FALSE))))</f>
        <v>0</v>
      </c>
      <c r="M467" s="306">
        <f t="shared" si="124"/>
        <v>0</v>
      </c>
      <c r="N467" s="305">
        <f>IF(G467=0,0,(IF(OR(E467=$AT$5,E467=$AT$6),AC467,HLOOKUP(YEAR(G467)+(MONTH(G467)/100),TC!$5:$37,DAY(G467)+2,FALSE))))</f>
        <v>0</v>
      </c>
      <c r="O467" s="307">
        <f t="shared" si="133"/>
        <v>0</v>
      </c>
      <c r="P467" s="552">
        <f>IF(G467=0,0,VLOOKUP(YEAR(G467),INPC!$B$4:$P$30,MONTH(G467)+2))</f>
        <v>0</v>
      </c>
      <c r="Q467" s="552">
        <f>IF(X467=0,0,IF(OR(E467=$AT$10,E467=$AT$9),VLOOKUP(YEAR(X467),INPC!$B$4:$P$30,MONTH(X467)+1),VLOOKUP(YEAR(X467),INPC!$B$4:$P$30,MONTH(X467)+2,0)))</f>
        <v>0</v>
      </c>
      <c r="R467" s="309">
        <f t="shared" si="125"/>
        <v>0</v>
      </c>
      <c r="S467" s="310">
        <f t="shared" si="134"/>
        <v>0</v>
      </c>
      <c r="T467" s="547">
        <f t="shared" si="135"/>
        <v>0</v>
      </c>
      <c r="U467" s="311"/>
      <c r="V467" s="312"/>
      <c r="W467" s="299"/>
      <c r="X467" s="300"/>
      <c r="Y467" s="299"/>
      <c r="Z467" s="303"/>
      <c r="AA467" s="305">
        <f>IF(Z467=0,0,IF(Y467="MXN",1/HLOOKUP(YEAR(X467)+(MONTH(X467)/100),TC!$5:$37,DAY(X467)+2,FALSE),VLOOKUP(Y467,Equivalencia!$1:$23,((MAX(Equivalencia!$3:$3)-YEAR(X467))*14)+MONTH(X467)+2,FALSE)))</f>
        <v>0</v>
      </c>
      <c r="AB467" s="306">
        <f t="shared" si="136"/>
        <v>0</v>
      </c>
      <c r="AC467" s="305">
        <f>+IF(X467=0,0,HLOOKUP(YEAR(X467)+(MONTH(X467)/100),TC!$5:$37,DAY(X467)+2,FALSE))</f>
        <v>0</v>
      </c>
      <c r="AD467" s="307">
        <f t="shared" si="137"/>
        <v>0</v>
      </c>
      <c r="AE467" s="314">
        <f t="shared" si="126"/>
        <v>0</v>
      </c>
      <c r="AF467" s="315">
        <f t="shared" si="127"/>
        <v>0</v>
      </c>
      <c r="AG467" s="316">
        <f t="shared" si="128"/>
        <v>0</v>
      </c>
      <c r="AH467" s="314">
        <v>1</v>
      </c>
      <c r="AI467" s="314">
        <f t="shared" si="129"/>
        <v>0</v>
      </c>
      <c r="AJ467" s="314">
        <f t="shared" si="138"/>
        <v>0</v>
      </c>
      <c r="AK467" s="317"/>
      <c r="AL467" s="315">
        <f t="shared" si="130"/>
        <v>0</v>
      </c>
      <c r="AN467" s="546">
        <f t="shared" si="131"/>
        <v>0</v>
      </c>
      <c r="AO467" s="314"/>
      <c r="AP467" s="318"/>
    </row>
    <row r="468" spans="2:42">
      <c r="B468" s="296"/>
      <c r="C468" s="299"/>
      <c r="D468" s="298"/>
      <c r="E468" s="299"/>
      <c r="F468" s="299"/>
      <c r="G468" s="300"/>
      <c r="H468" s="303"/>
      <c r="I468" s="301">
        <f t="shared" si="122"/>
        <v>0</v>
      </c>
      <c r="J468" s="302">
        <f t="shared" si="132"/>
        <v>0</v>
      </c>
      <c r="K468" s="304">
        <f t="shared" si="123"/>
        <v>0</v>
      </c>
      <c r="L468" s="305">
        <f>IF(H468=0,0,IF(OR(E468=$AT$5,E468=$AT$6),AA468,IF(F468="MXN",1/HLOOKUP(YEAR(G468)+(MONTH(G468)/100),TC!$5:$37,DAY(G468)+2,FALSE),VLOOKUP(F468,Equivalencia!$5:$23,((MAX(Equivalencia!$3:$3)-YEAR(G468))*14)+MONTH(G468)+2,FALSE))))</f>
        <v>0</v>
      </c>
      <c r="M468" s="306">
        <f t="shared" si="124"/>
        <v>0</v>
      </c>
      <c r="N468" s="305">
        <f>IF(G468=0,0,(IF(OR(E468=$AT$5,E468=$AT$6),AC468,HLOOKUP(YEAR(G468)+(MONTH(G468)/100),TC!$5:$37,DAY(G468)+2,FALSE))))</f>
        <v>0</v>
      </c>
      <c r="O468" s="307">
        <f t="shared" si="133"/>
        <v>0</v>
      </c>
      <c r="P468" s="552">
        <f>IF(G468=0,0,VLOOKUP(YEAR(G468),INPC!$B$4:$P$30,MONTH(G468)+2))</f>
        <v>0</v>
      </c>
      <c r="Q468" s="552">
        <f>IF(X468=0,0,IF(OR(E468=$AT$10,E468=$AT$9),VLOOKUP(YEAR(X468),INPC!$B$4:$P$30,MONTH(X468)+1),VLOOKUP(YEAR(X468),INPC!$B$4:$P$30,MONTH(X468)+2,0)))</f>
        <v>0</v>
      </c>
      <c r="R468" s="309">
        <f t="shared" si="125"/>
        <v>0</v>
      </c>
      <c r="S468" s="310">
        <f t="shared" si="134"/>
        <v>0</v>
      </c>
      <c r="T468" s="547">
        <f t="shared" si="135"/>
        <v>0</v>
      </c>
      <c r="U468" s="311"/>
      <c r="V468" s="312"/>
      <c r="W468" s="299"/>
      <c r="X468" s="300"/>
      <c r="Y468" s="299"/>
      <c r="Z468" s="303"/>
      <c r="AA468" s="305">
        <f>IF(Z468=0,0,IF(Y468="MXN",1/HLOOKUP(YEAR(X468)+(MONTH(X468)/100),TC!$5:$37,DAY(X468)+2,FALSE),VLOOKUP(Y468,Equivalencia!$1:$23,((MAX(Equivalencia!$3:$3)-YEAR(X468))*14)+MONTH(X468)+2,FALSE)))</f>
        <v>0</v>
      </c>
      <c r="AB468" s="306">
        <f t="shared" si="136"/>
        <v>0</v>
      </c>
      <c r="AC468" s="305">
        <f>+IF(X468=0,0,HLOOKUP(YEAR(X468)+(MONTH(X468)/100),TC!$5:$37,DAY(X468)+2,FALSE))</f>
        <v>0</v>
      </c>
      <c r="AD468" s="307">
        <f t="shared" si="137"/>
        <v>0</v>
      </c>
      <c r="AE468" s="314">
        <f t="shared" si="126"/>
        <v>0</v>
      </c>
      <c r="AF468" s="315">
        <f t="shared" si="127"/>
        <v>0</v>
      </c>
      <c r="AG468" s="316">
        <f t="shared" si="128"/>
        <v>0</v>
      </c>
      <c r="AH468" s="314">
        <v>1</v>
      </c>
      <c r="AI468" s="314">
        <f t="shared" si="129"/>
        <v>0</v>
      </c>
      <c r="AJ468" s="314">
        <f t="shared" si="138"/>
        <v>0</v>
      </c>
      <c r="AK468" s="317"/>
      <c r="AL468" s="315">
        <f t="shared" si="130"/>
        <v>0</v>
      </c>
      <c r="AN468" s="546">
        <f t="shared" si="131"/>
        <v>0</v>
      </c>
      <c r="AO468" s="314"/>
      <c r="AP468" s="318"/>
    </row>
    <row r="469" spans="2:42">
      <c r="B469" s="296"/>
      <c r="C469" s="299"/>
      <c r="D469" s="298"/>
      <c r="E469" s="299"/>
      <c r="F469" s="299"/>
      <c r="G469" s="300"/>
      <c r="H469" s="303"/>
      <c r="I469" s="301">
        <f t="shared" si="122"/>
        <v>0</v>
      </c>
      <c r="J469" s="302">
        <f t="shared" si="132"/>
        <v>0</v>
      </c>
      <c r="K469" s="304">
        <f t="shared" si="123"/>
        <v>0</v>
      </c>
      <c r="L469" s="305">
        <f>IF(H469=0,0,IF(OR(E469=$AT$5,E469=$AT$6),AA469,IF(F469="MXN",1/HLOOKUP(YEAR(G469)+(MONTH(G469)/100),TC!$5:$37,DAY(G469)+2,FALSE),VLOOKUP(F469,Equivalencia!$5:$23,((MAX(Equivalencia!$3:$3)-YEAR(G469))*14)+MONTH(G469)+2,FALSE))))</f>
        <v>0</v>
      </c>
      <c r="M469" s="306">
        <f t="shared" si="124"/>
        <v>0</v>
      </c>
      <c r="N469" s="305">
        <f>IF(G469=0,0,(IF(OR(E469=$AT$5,E469=$AT$6),AC469,HLOOKUP(YEAR(G469)+(MONTH(G469)/100),TC!$5:$37,DAY(G469)+2,FALSE))))</f>
        <v>0</v>
      </c>
      <c r="O469" s="307">
        <f t="shared" si="133"/>
        <v>0</v>
      </c>
      <c r="P469" s="552">
        <f>IF(G469=0,0,VLOOKUP(YEAR(G469),INPC!$B$4:$P$30,MONTH(G469)+2))</f>
        <v>0</v>
      </c>
      <c r="Q469" s="552">
        <f>IF(X469=0,0,IF(OR(E469=$AT$10,E469=$AT$9),VLOOKUP(YEAR(X469),INPC!$B$4:$P$30,MONTH(X469)+1),VLOOKUP(YEAR(X469),INPC!$B$4:$P$30,MONTH(X469)+2,0)))</f>
        <v>0</v>
      </c>
      <c r="R469" s="309">
        <f t="shared" si="125"/>
        <v>0</v>
      </c>
      <c r="S469" s="310">
        <f t="shared" si="134"/>
        <v>0</v>
      </c>
      <c r="T469" s="547">
        <f t="shared" si="135"/>
        <v>0</v>
      </c>
      <c r="U469" s="311"/>
      <c r="V469" s="312"/>
      <c r="W469" s="299"/>
      <c r="X469" s="300"/>
      <c r="Y469" s="299"/>
      <c r="Z469" s="303"/>
      <c r="AA469" s="305">
        <f>IF(Z469=0,0,IF(Y469="MXN",1/HLOOKUP(YEAR(X469)+(MONTH(X469)/100),TC!$5:$37,DAY(X469)+2,FALSE),VLOOKUP(Y469,Equivalencia!$1:$23,((MAX(Equivalencia!$3:$3)-YEAR(X469))*14)+MONTH(X469)+2,FALSE)))</f>
        <v>0</v>
      </c>
      <c r="AB469" s="306">
        <f t="shared" si="136"/>
        <v>0</v>
      </c>
      <c r="AC469" s="305">
        <f>+IF(X469=0,0,HLOOKUP(YEAR(X469)+(MONTH(X469)/100),TC!$5:$37,DAY(X469)+2,FALSE))</f>
        <v>0</v>
      </c>
      <c r="AD469" s="307">
        <f t="shared" si="137"/>
        <v>0</v>
      </c>
      <c r="AE469" s="314">
        <f t="shared" si="126"/>
        <v>0</v>
      </c>
      <c r="AF469" s="315">
        <f t="shared" si="127"/>
        <v>0</v>
      </c>
      <c r="AG469" s="316">
        <f t="shared" si="128"/>
        <v>0</v>
      </c>
      <c r="AH469" s="314">
        <v>1</v>
      </c>
      <c r="AI469" s="314">
        <f t="shared" si="129"/>
        <v>0</v>
      </c>
      <c r="AJ469" s="314">
        <f t="shared" si="138"/>
        <v>0</v>
      </c>
      <c r="AK469" s="317"/>
      <c r="AL469" s="315">
        <f t="shared" si="130"/>
        <v>0</v>
      </c>
      <c r="AN469" s="546">
        <f t="shared" si="131"/>
        <v>0</v>
      </c>
      <c r="AO469" s="314"/>
      <c r="AP469" s="318"/>
    </row>
    <row r="470" spans="2:42">
      <c r="B470" s="296"/>
      <c r="C470" s="299"/>
      <c r="D470" s="298"/>
      <c r="E470" s="299"/>
      <c r="F470" s="299"/>
      <c r="G470" s="300"/>
      <c r="H470" s="303"/>
      <c r="I470" s="301">
        <f t="shared" si="122"/>
        <v>0</v>
      </c>
      <c r="J470" s="302">
        <f t="shared" si="132"/>
        <v>0</v>
      </c>
      <c r="K470" s="304">
        <f t="shared" si="123"/>
        <v>0</v>
      </c>
      <c r="L470" s="305">
        <f>IF(H470=0,0,IF(OR(E470=$AT$5,E470=$AT$6),AA470,IF(F470="MXN",1/HLOOKUP(YEAR(G470)+(MONTH(G470)/100),TC!$5:$37,DAY(G470)+2,FALSE),VLOOKUP(F470,Equivalencia!$5:$23,((MAX(Equivalencia!$3:$3)-YEAR(G470))*14)+MONTH(G470)+2,FALSE))))</f>
        <v>0</v>
      </c>
      <c r="M470" s="306">
        <f t="shared" si="124"/>
        <v>0</v>
      </c>
      <c r="N470" s="305">
        <f>IF(G470=0,0,(IF(OR(E470=$AT$5,E470=$AT$6),AC470,HLOOKUP(YEAR(G470)+(MONTH(G470)/100),TC!$5:$37,DAY(G470)+2,FALSE))))</f>
        <v>0</v>
      </c>
      <c r="O470" s="307">
        <f t="shared" si="133"/>
        <v>0</v>
      </c>
      <c r="P470" s="552">
        <f>IF(G470=0,0,VLOOKUP(YEAR(G470),INPC!$B$4:$P$30,MONTH(G470)+2))</f>
        <v>0</v>
      </c>
      <c r="Q470" s="552">
        <f>IF(X470=0,0,IF(OR(E470=$AT$10,E470=$AT$9),VLOOKUP(YEAR(X470),INPC!$B$4:$P$30,MONTH(X470)+1),VLOOKUP(YEAR(X470),INPC!$B$4:$P$30,MONTH(X470)+2,0)))</f>
        <v>0</v>
      </c>
      <c r="R470" s="309">
        <f t="shared" si="125"/>
        <v>0</v>
      </c>
      <c r="S470" s="310">
        <f t="shared" si="134"/>
        <v>0</v>
      </c>
      <c r="T470" s="547">
        <f t="shared" si="135"/>
        <v>0</v>
      </c>
      <c r="U470" s="311"/>
      <c r="V470" s="312"/>
      <c r="W470" s="299"/>
      <c r="X470" s="300"/>
      <c r="Y470" s="299"/>
      <c r="Z470" s="303"/>
      <c r="AA470" s="305">
        <f>IF(Z470=0,0,IF(Y470="MXN",1/HLOOKUP(YEAR(X470)+(MONTH(X470)/100),TC!$5:$37,DAY(X470)+2,FALSE),VLOOKUP(Y470,Equivalencia!$1:$23,((MAX(Equivalencia!$3:$3)-YEAR(X470))*14)+MONTH(X470)+2,FALSE)))</f>
        <v>0</v>
      </c>
      <c r="AB470" s="306">
        <f t="shared" si="136"/>
        <v>0</v>
      </c>
      <c r="AC470" s="305">
        <f>+IF(X470=0,0,HLOOKUP(YEAR(X470)+(MONTH(X470)/100),TC!$5:$37,DAY(X470)+2,FALSE))</f>
        <v>0</v>
      </c>
      <c r="AD470" s="307">
        <f t="shared" si="137"/>
        <v>0</v>
      </c>
      <c r="AE470" s="314">
        <f t="shared" si="126"/>
        <v>0</v>
      </c>
      <c r="AF470" s="315">
        <f t="shared" si="127"/>
        <v>0</v>
      </c>
      <c r="AG470" s="316">
        <f t="shared" si="128"/>
        <v>0</v>
      </c>
      <c r="AH470" s="314">
        <v>1</v>
      </c>
      <c r="AI470" s="314">
        <f t="shared" si="129"/>
        <v>0</v>
      </c>
      <c r="AJ470" s="314">
        <f t="shared" si="138"/>
        <v>0</v>
      </c>
      <c r="AK470" s="317"/>
      <c r="AL470" s="315">
        <f t="shared" si="130"/>
        <v>0</v>
      </c>
      <c r="AN470" s="546">
        <f t="shared" si="131"/>
        <v>0</v>
      </c>
      <c r="AO470" s="314"/>
      <c r="AP470" s="318"/>
    </row>
    <row r="471" spans="2:42">
      <c r="B471" s="296"/>
      <c r="C471" s="299"/>
      <c r="D471" s="298"/>
      <c r="E471" s="299"/>
      <c r="F471" s="299"/>
      <c r="G471" s="300"/>
      <c r="H471" s="303"/>
      <c r="I471" s="301">
        <f t="shared" si="122"/>
        <v>0</v>
      </c>
      <c r="J471" s="302">
        <f t="shared" si="132"/>
        <v>0</v>
      </c>
      <c r="K471" s="304">
        <f t="shared" si="123"/>
        <v>0</v>
      </c>
      <c r="L471" s="305">
        <f>IF(H471=0,0,IF(OR(E471=$AT$5,E471=$AT$6),AA471,IF(F471="MXN",1/HLOOKUP(YEAR(G471)+(MONTH(G471)/100),TC!$5:$37,DAY(G471)+2,FALSE),VLOOKUP(F471,Equivalencia!$5:$23,((MAX(Equivalencia!$3:$3)-YEAR(G471))*14)+MONTH(G471)+2,FALSE))))</f>
        <v>0</v>
      </c>
      <c r="M471" s="306">
        <f t="shared" si="124"/>
        <v>0</v>
      </c>
      <c r="N471" s="305">
        <f>IF(G471=0,0,(IF(OR(E471=$AT$5,E471=$AT$6),AC471,HLOOKUP(YEAR(G471)+(MONTH(G471)/100),TC!$5:$37,DAY(G471)+2,FALSE))))</f>
        <v>0</v>
      </c>
      <c r="O471" s="307">
        <f t="shared" si="133"/>
        <v>0</v>
      </c>
      <c r="P471" s="552">
        <f>IF(G471=0,0,VLOOKUP(YEAR(G471),INPC!$B$4:$P$30,MONTH(G471)+2))</f>
        <v>0</v>
      </c>
      <c r="Q471" s="552">
        <f>IF(X471=0,0,IF(OR(E471=$AT$10,E471=$AT$9),VLOOKUP(YEAR(X471),INPC!$B$4:$P$30,MONTH(X471)+1),VLOOKUP(YEAR(X471),INPC!$B$4:$P$30,MONTH(X471)+2,0)))</f>
        <v>0</v>
      </c>
      <c r="R471" s="309">
        <f t="shared" si="125"/>
        <v>0</v>
      </c>
      <c r="S471" s="310">
        <f t="shared" si="134"/>
        <v>0</v>
      </c>
      <c r="T471" s="547">
        <f t="shared" si="135"/>
        <v>0</v>
      </c>
      <c r="U471" s="311"/>
      <c r="V471" s="312"/>
      <c r="W471" s="299"/>
      <c r="X471" s="300"/>
      <c r="Y471" s="299"/>
      <c r="Z471" s="303"/>
      <c r="AA471" s="305">
        <f>IF(Z471=0,0,IF(Y471="MXN",1/HLOOKUP(YEAR(X471)+(MONTH(X471)/100),TC!$5:$37,DAY(X471)+2,FALSE),VLOOKUP(Y471,Equivalencia!$1:$23,((MAX(Equivalencia!$3:$3)-YEAR(X471))*14)+MONTH(X471)+2,FALSE)))</f>
        <v>0</v>
      </c>
      <c r="AB471" s="306">
        <f t="shared" si="136"/>
        <v>0</v>
      </c>
      <c r="AC471" s="305">
        <f>+IF(X471=0,0,HLOOKUP(YEAR(X471)+(MONTH(X471)/100),TC!$5:$37,DAY(X471)+2,FALSE))</f>
        <v>0</v>
      </c>
      <c r="AD471" s="307">
        <f t="shared" si="137"/>
        <v>0</v>
      </c>
      <c r="AE471" s="314">
        <f t="shared" si="126"/>
        <v>0</v>
      </c>
      <c r="AF471" s="315">
        <f t="shared" si="127"/>
        <v>0</v>
      </c>
      <c r="AG471" s="316">
        <f t="shared" si="128"/>
        <v>0</v>
      </c>
      <c r="AH471" s="314">
        <v>1</v>
      </c>
      <c r="AI471" s="314">
        <f t="shared" si="129"/>
        <v>0</v>
      </c>
      <c r="AJ471" s="314">
        <f t="shared" si="138"/>
        <v>0</v>
      </c>
      <c r="AK471" s="317"/>
      <c r="AL471" s="315">
        <f t="shared" si="130"/>
        <v>0</v>
      </c>
      <c r="AN471" s="546">
        <f t="shared" si="131"/>
        <v>0</v>
      </c>
      <c r="AO471" s="314"/>
      <c r="AP471" s="318"/>
    </row>
    <row r="472" spans="2:42">
      <c r="B472" s="296"/>
      <c r="C472" s="299"/>
      <c r="D472" s="298"/>
      <c r="E472" s="299"/>
      <c r="F472" s="299"/>
      <c r="G472" s="300"/>
      <c r="H472" s="303"/>
      <c r="I472" s="301">
        <f t="shared" si="122"/>
        <v>0</v>
      </c>
      <c r="J472" s="302">
        <f t="shared" si="132"/>
        <v>0</v>
      </c>
      <c r="K472" s="304">
        <f t="shared" si="123"/>
        <v>0</v>
      </c>
      <c r="L472" s="305">
        <f>IF(H472=0,0,IF(OR(E472=$AT$5,E472=$AT$6),AA472,IF(F472="MXN",1/HLOOKUP(YEAR(G472)+(MONTH(G472)/100),TC!$5:$37,DAY(G472)+2,FALSE),VLOOKUP(F472,Equivalencia!$5:$23,((MAX(Equivalencia!$3:$3)-YEAR(G472))*14)+MONTH(G472)+2,FALSE))))</f>
        <v>0</v>
      </c>
      <c r="M472" s="306">
        <f t="shared" si="124"/>
        <v>0</v>
      </c>
      <c r="N472" s="305">
        <f>IF(G472=0,0,(IF(OR(E472=$AT$5,E472=$AT$6),AC472,HLOOKUP(YEAR(G472)+(MONTH(G472)/100),TC!$5:$37,DAY(G472)+2,FALSE))))</f>
        <v>0</v>
      </c>
      <c r="O472" s="307">
        <f t="shared" si="133"/>
        <v>0</v>
      </c>
      <c r="P472" s="552">
        <f>IF(G472=0,0,VLOOKUP(YEAR(G472),INPC!$B$4:$P$30,MONTH(G472)+2))</f>
        <v>0</v>
      </c>
      <c r="Q472" s="552">
        <f>IF(X472=0,0,IF(OR(E472=$AT$10,E472=$AT$9),VLOOKUP(YEAR(X472),INPC!$B$4:$P$30,MONTH(X472)+1),VLOOKUP(YEAR(X472),INPC!$B$4:$P$30,MONTH(X472)+2,0)))</f>
        <v>0</v>
      </c>
      <c r="R472" s="309">
        <f t="shared" si="125"/>
        <v>0</v>
      </c>
      <c r="S472" s="310">
        <f t="shared" si="134"/>
        <v>0</v>
      </c>
      <c r="T472" s="547">
        <f t="shared" si="135"/>
        <v>0</v>
      </c>
      <c r="U472" s="311"/>
      <c r="V472" s="312"/>
      <c r="W472" s="299"/>
      <c r="X472" s="300"/>
      <c r="Y472" s="299"/>
      <c r="Z472" s="303"/>
      <c r="AA472" s="305">
        <f>IF(Z472=0,0,IF(Y472="MXN",1/HLOOKUP(YEAR(X472)+(MONTH(X472)/100),TC!$5:$37,DAY(X472)+2,FALSE),VLOOKUP(Y472,Equivalencia!$1:$23,((MAX(Equivalencia!$3:$3)-YEAR(X472))*14)+MONTH(X472)+2,FALSE)))</f>
        <v>0</v>
      </c>
      <c r="AB472" s="306">
        <f t="shared" si="136"/>
        <v>0</v>
      </c>
      <c r="AC472" s="305">
        <f>+IF(X472=0,0,HLOOKUP(YEAR(X472)+(MONTH(X472)/100),TC!$5:$37,DAY(X472)+2,FALSE))</f>
        <v>0</v>
      </c>
      <c r="AD472" s="307">
        <f t="shared" si="137"/>
        <v>0</v>
      </c>
      <c r="AE472" s="314">
        <f t="shared" si="126"/>
        <v>0</v>
      </c>
      <c r="AF472" s="315">
        <f t="shared" si="127"/>
        <v>0</v>
      </c>
      <c r="AG472" s="316">
        <f t="shared" si="128"/>
        <v>0</v>
      </c>
      <c r="AH472" s="314">
        <v>1</v>
      </c>
      <c r="AI472" s="314">
        <f t="shared" si="129"/>
        <v>0</v>
      </c>
      <c r="AJ472" s="314">
        <f t="shared" si="138"/>
        <v>0</v>
      </c>
      <c r="AK472" s="317"/>
      <c r="AL472" s="315">
        <f t="shared" si="130"/>
        <v>0</v>
      </c>
      <c r="AN472" s="546">
        <f t="shared" si="131"/>
        <v>0</v>
      </c>
      <c r="AO472" s="314"/>
      <c r="AP472" s="318"/>
    </row>
    <row r="473" spans="2:42">
      <c r="B473" s="296"/>
      <c r="C473" s="299"/>
      <c r="D473" s="298"/>
      <c r="E473" s="299"/>
      <c r="F473" s="299"/>
      <c r="G473" s="300"/>
      <c r="H473" s="303"/>
      <c r="I473" s="301">
        <f t="shared" si="122"/>
        <v>0</v>
      </c>
      <c r="J473" s="302">
        <f t="shared" si="132"/>
        <v>0</v>
      </c>
      <c r="K473" s="304">
        <f t="shared" si="123"/>
        <v>0</v>
      </c>
      <c r="L473" s="305">
        <f>IF(H473=0,0,IF(OR(E473=$AT$5,E473=$AT$6),AA473,IF(F473="MXN",1/HLOOKUP(YEAR(G473)+(MONTH(G473)/100),TC!$5:$37,DAY(G473)+2,FALSE),VLOOKUP(F473,Equivalencia!$5:$23,((MAX(Equivalencia!$3:$3)-YEAR(G473))*14)+MONTH(G473)+2,FALSE))))</f>
        <v>0</v>
      </c>
      <c r="M473" s="306">
        <f t="shared" si="124"/>
        <v>0</v>
      </c>
      <c r="N473" s="305">
        <f>IF(G473=0,0,(IF(OR(E473=$AT$5,E473=$AT$6),AC473,HLOOKUP(YEAR(G473)+(MONTH(G473)/100),TC!$5:$37,DAY(G473)+2,FALSE))))</f>
        <v>0</v>
      </c>
      <c r="O473" s="307">
        <f t="shared" si="133"/>
        <v>0</v>
      </c>
      <c r="P473" s="552">
        <f>IF(G473=0,0,VLOOKUP(YEAR(G473),INPC!$B$4:$P$30,MONTH(G473)+2))</f>
        <v>0</v>
      </c>
      <c r="Q473" s="552">
        <f>IF(X473=0,0,IF(OR(E473=$AT$10,E473=$AT$9),VLOOKUP(YEAR(X473),INPC!$B$4:$P$30,MONTH(X473)+1),VLOOKUP(YEAR(X473),INPC!$B$4:$P$30,MONTH(X473)+2,0)))</f>
        <v>0</v>
      </c>
      <c r="R473" s="309">
        <f t="shared" si="125"/>
        <v>0</v>
      </c>
      <c r="S473" s="310">
        <f t="shared" si="134"/>
        <v>0</v>
      </c>
      <c r="T473" s="547">
        <f t="shared" si="135"/>
        <v>0</v>
      </c>
      <c r="U473" s="311"/>
      <c r="V473" s="312"/>
      <c r="W473" s="299"/>
      <c r="X473" s="300"/>
      <c r="Y473" s="299"/>
      <c r="Z473" s="303"/>
      <c r="AA473" s="305">
        <f>IF(Z473=0,0,IF(Y473="MXN",1/HLOOKUP(YEAR(X473)+(MONTH(X473)/100),TC!$5:$37,DAY(X473)+2,FALSE),VLOOKUP(Y473,Equivalencia!$1:$23,((MAX(Equivalencia!$3:$3)-YEAR(X473))*14)+MONTH(X473)+2,FALSE)))</f>
        <v>0</v>
      </c>
      <c r="AB473" s="306">
        <f t="shared" si="136"/>
        <v>0</v>
      </c>
      <c r="AC473" s="305">
        <f>+IF(X473=0,0,HLOOKUP(YEAR(X473)+(MONTH(X473)/100),TC!$5:$37,DAY(X473)+2,FALSE))</f>
        <v>0</v>
      </c>
      <c r="AD473" s="307">
        <f t="shared" si="137"/>
        <v>0</v>
      </c>
      <c r="AE473" s="314">
        <f t="shared" si="126"/>
        <v>0</v>
      </c>
      <c r="AF473" s="315">
        <f t="shared" si="127"/>
        <v>0</v>
      </c>
      <c r="AG473" s="316">
        <f t="shared" si="128"/>
        <v>0</v>
      </c>
      <c r="AH473" s="314">
        <v>1</v>
      </c>
      <c r="AI473" s="314">
        <f t="shared" si="129"/>
        <v>0</v>
      </c>
      <c r="AJ473" s="314">
        <f t="shared" si="138"/>
        <v>0</v>
      </c>
      <c r="AK473" s="317"/>
      <c r="AL473" s="315">
        <f t="shared" si="130"/>
        <v>0</v>
      </c>
      <c r="AN473" s="546">
        <f t="shared" si="131"/>
        <v>0</v>
      </c>
      <c r="AO473" s="314"/>
      <c r="AP473" s="318"/>
    </row>
    <row r="474" spans="2:42">
      <c r="B474" s="296"/>
      <c r="C474" s="299"/>
      <c r="D474" s="298"/>
      <c r="E474" s="299"/>
      <c r="F474" s="299"/>
      <c r="G474" s="300"/>
      <c r="H474" s="303"/>
      <c r="I474" s="301">
        <f t="shared" si="122"/>
        <v>0</v>
      </c>
      <c r="J474" s="302">
        <f t="shared" si="132"/>
        <v>0</v>
      </c>
      <c r="K474" s="304">
        <f t="shared" si="123"/>
        <v>0</v>
      </c>
      <c r="L474" s="305">
        <f>IF(H474=0,0,IF(OR(E474=$AT$5,E474=$AT$6),AA474,IF(F474="MXN",1/HLOOKUP(YEAR(G474)+(MONTH(G474)/100),TC!$5:$37,DAY(G474)+2,FALSE),VLOOKUP(F474,Equivalencia!$5:$23,((MAX(Equivalencia!$3:$3)-YEAR(G474))*14)+MONTH(G474)+2,FALSE))))</f>
        <v>0</v>
      </c>
      <c r="M474" s="306">
        <f t="shared" si="124"/>
        <v>0</v>
      </c>
      <c r="N474" s="305">
        <f>IF(G474=0,0,(IF(OR(E474=$AT$5,E474=$AT$6),AC474,HLOOKUP(YEAR(G474)+(MONTH(G474)/100),TC!$5:$37,DAY(G474)+2,FALSE))))</f>
        <v>0</v>
      </c>
      <c r="O474" s="307">
        <f t="shared" si="133"/>
        <v>0</v>
      </c>
      <c r="P474" s="552">
        <f>IF(G474=0,0,VLOOKUP(YEAR(G474),INPC!$B$4:$P$30,MONTH(G474)+2))</f>
        <v>0</v>
      </c>
      <c r="Q474" s="552">
        <f>IF(X474=0,0,IF(OR(E474=$AT$10,E474=$AT$9),VLOOKUP(YEAR(X474),INPC!$B$4:$P$30,MONTH(X474)+1),VLOOKUP(YEAR(X474),INPC!$B$4:$P$30,MONTH(X474)+2,0)))</f>
        <v>0</v>
      </c>
      <c r="R474" s="309">
        <f t="shared" si="125"/>
        <v>0</v>
      </c>
      <c r="S474" s="310">
        <f t="shared" si="134"/>
        <v>0</v>
      </c>
      <c r="T474" s="547">
        <f t="shared" si="135"/>
        <v>0</v>
      </c>
      <c r="U474" s="311"/>
      <c r="V474" s="312"/>
      <c r="W474" s="299"/>
      <c r="X474" s="300"/>
      <c r="Y474" s="299"/>
      <c r="Z474" s="303"/>
      <c r="AA474" s="305">
        <f>IF(Z474=0,0,IF(Y474="MXN",1/HLOOKUP(YEAR(X474)+(MONTH(X474)/100),TC!$5:$37,DAY(X474)+2,FALSE),VLOOKUP(Y474,Equivalencia!$1:$23,((MAX(Equivalencia!$3:$3)-YEAR(X474))*14)+MONTH(X474)+2,FALSE)))</f>
        <v>0</v>
      </c>
      <c r="AB474" s="306">
        <f t="shared" si="136"/>
        <v>0</v>
      </c>
      <c r="AC474" s="305">
        <f>+IF(X474=0,0,HLOOKUP(YEAR(X474)+(MONTH(X474)/100),TC!$5:$37,DAY(X474)+2,FALSE))</f>
        <v>0</v>
      </c>
      <c r="AD474" s="307">
        <f t="shared" si="137"/>
        <v>0</v>
      </c>
      <c r="AE474" s="314">
        <f t="shared" si="126"/>
        <v>0</v>
      </c>
      <c r="AF474" s="315">
        <f t="shared" si="127"/>
        <v>0</v>
      </c>
      <c r="AG474" s="316">
        <f t="shared" si="128"/>
        <v>0</v>
      </c>
      <c r="AH474" s="314">
        <v>1</v>
      </c>
      <c r="AI474" s="314">
        <f t="shared" si="129"/>
        <v>0</v>
      </c>
      <c r="AJ474" s="314">
        <f t="shared" si="138"/>
        <v>0</v>
      </c>
      <c r="AK474" s="317"/>
      <c r="AL474" s="315">
        <f t="shared" si="130"/>
        <v>0</v>
      </c>
      <c r="AN474" s="546">
        <f t="shared" si="131"/>
        <v>0</v>
      </c>
      <c r="AO474" s="314"/>
      <c r="AP474" s="318"/>
    </row>
    <row r="475" spans="2:42">
      <c r="B475" s="296"/>
      <c r="C475" s="299"/>
      <c r="D475" s="298"/>
      <c r="E475" s="299"/>
      <c r="F475" s="299"/>
      <c r="G475" s="300"/>
      <c r="H475" s="303"/>
      <c r="I475" s="301">
        <f t="shared" si="122"/>
        <v>0</v>
      </c>
      <c r="J475" s="302">
        <f t="shared" si="132"/>
        <v>0</v>
      </c>
      <c r="K475" s="304">
        <f t="shared" si="123"/>
        <v>0</v>
      </c>
      <c r="L475" s="305">
        <f>IF(H475=0,0,IF(OR(E475=$AT$5,E475=$AT$6),AA475,IF(F475="MXN",1/HLOOKUP(YEAR(G475)+(MONTH(G475)/100),TC!$5:$37,DAY(G475)+2,FALSE),VLOOKUP(F475,Equivalencia!$5:$23,((MAX(Equivalencia!$3:$3)-YEAR(G475))*14)+MONTH(G475)+2,FALSE))))</f>
        <v>0</v>
      </c>
      <c r="M475" s="306">
        <f t="shared" si="124"/>
        <v>0</v>
      </c>
      <c r="N475" s="305">
        <f>IF(G475=0,0,(IF(OR(E475=$AT$5,E475=$AT$6),AC475,HLOOKUP(YEAR(G475)+(MONTH(G475)/100),TC!$5:$37,DAY(G475)+2,FALSE))))</f>
        <v>0</v>
      </c>
      <c r="O475" s="307">
        <f t="shared" si="133"/>
        <v>0</v>
      </c>
      <c r="P475" s="552">
        <f>IF(G475=0,0,VLOOKUP(YEAR(G475),INPC!$B$4:$P$30,MONTH(G475)+2))</f>
        <v>0</v>
      </c>
      <c r="Q475" s="552">
        <f>IF(X475=0,0,IF(OR(E475=$AT$10,E475=$AT$9),VLOOKUP(YEAR(X475),INPC!$B$4:$P$30,MONTH(X475)+1),VLOOKUP(YEAR(X475),INPC!$B$4:$P$30,MONTH(X475)+2,0)))</f>
        <v>0</v>
      </c>
      <c r="R475" s="309">
        <f t="shared" si="125"/>
        <v>0</v>
      </c>
      <c r="S475" s="310">
        <f t="shared" si="134"/>
        <v>0</v>
      </c>
      <c r="T475" s="547">
        <f t="shared" si="135"/>
        <v>0</v>
      </c>
      <c r="U475" s="311"/>
      <c r="V475" s="312"/>
      <c r="W475" s="299"/>
      <c r="X475" s="300"/>
      <c r="Y475" s="299"/>
      <c r="Z475" s="303"/>
      <c r="AA475" s="305">
        <f>IF(Z475=0,0,IF(Y475="MXN",1/HLOOKUP(YEAR(X475)+(MONTH(X475)/100),TC!$5:$37,DAY(X475)+2,FALSE),VLOOKUP(Y475,Equivalencia!$1:$23,((MAX(Equivalencia!$3:$3)-YEAR(X475))*14)+MONTH(X475)+2,FALSE)))</f>
        <v>0</v>
      </c>
      <c r="AB475" s="306">
        <f t="shared" si="136"/>
        <v>0</v>
      </c>
      <c r="AC475" s="305">
        <f>+IF(X475=0,0,HLOOKUP(YEAR(X475)+(MONTH(X475)/100),TC!$5:$37,DAY(X475)+2,FALSE))</f>
        <v>0</v>
      </c>
      <c r="AD475" s="307">
        <f t="shared" si="137"/>
        <v>0</v>
      </c>
      <c r="AE475" s="314">
        <f t="shared" si="126"/>
        <v>0</v>
      </c>
      <c r="AF475" s="315">
        <f t="shared" si="127"/>
        <v>0</v>
      </c>
      <c r="AG475" s="316">
        <f t="shared" si="128"/>
        <v>0</v>
      </c>
      <c r="AH475" s="314">
        <v>1</v>
      </c>
      <c r="AI475" s="314">
        <f t="shared" si="129"/>
        <v>0</v>
      </c>
      <c r="AJ475" s="314">
        <f t="shared" si="138"/>
        <v>0</v>
      </c>
      <c r="AK475" s="317"/>
      <c r="AL475" s="315">
        <f t="shared" si="130"/>
        <v>0</v>
      </c>
      <c r="AN475" s="546">
        <f t="shared" si="131"/>
        <v>0</v>
      </c>
      <c r="AO475" s="314"/>
      <c r="AP475" s="318"/>
    </row>
    <row r="476" spans="2:42">
      <c r="B476" s="296"/>
      <c r="C476" s="299"/>
      <c r="D476" s="298"/>
      <c r="E476" s="299"/>
      <c r="F476" s="299"/>
      <c r="G476" s="300"/>
      <c r="H476" s="303"/>
      <c r="I476" s="301">
        <f t="shared" si="122"/>
        <v>0</v>
      </c>
      <c r="J476" s="302">
        <f t="shared" si="132"/>
        <v>0</v>
      </c>
      <c r="K476" s="304">
        <f t="shared" si="123"/>
        <v>0</v>
      </c>
      <c r="L476" s="305">
        <f>IF(H476=0,0,IF(OR(E476=$AT$5,E476=$AT$6),AA476,IF(F476="MXN",1/HLOOKUP(YEAR(G476)+(MONTH(G476)/100),TC!$5:$37,DAY(G476)+2,FALSE),VLOOKUP(F476,Equivalencia!$5:$23,((MAX(Equivalencia!$3:$3)-YEAR(G476))*14)+MONTH(G476)+2,FALSE))))</f>
        <v>0</v>
      </c>
      <c r="M476" s="306">
        <f t="shared" si="124"/>
        <v>0</v>
      </c>
      <c r="N476" s="305">
        <f>IF(G476=0,0,(IF(OR(E476=$AT$5,E476=$AT$6),AC476,HLOOKUP(YEAR(G476)+(MONTH(G476)/100),TC!$5:$37,DAY(G476)+2,FALSE))))</f>
        <v>0</v>
      </c>
      <c r="O476" s="307">
        <f t="shared" si="133"/>
        <v>0</v>
      </c>
      <c r="P476" s="552">
        <f>IF(G476=0,0,VLOOKUP(YEAR(G476),INPC!$B$4:$P$30,MONTH(G476)+2))</f>
        <v>0</v>
      </c>
      <c r="Q476" s="552">
        <f>IF(X476=0,0,IF(OR(E476=$AT$10,E476=$AT$9),VLOOKUP(YEAR(X476),INPC!$B$4:$P$30,MONTH(X476)+1),VLOOKUP(YEAR(X476),INPC!$B$4:$P$30,MONTH(X476)+2,0)))</f>
        <v>0</v>
      </c>
      <c r="R476" s="309">
        <f t="shared" si="125"/>
        <v>0</v>
      </c>
      <c r="S476" s="310">
        <f t="shared" si="134"/>
        <v>0</v>
      </c>
      <c r="T476" s="547">
        <f t="shared" si="135"/>
        <v>0</v>
      </c>
      <c r="U476" s="311"/>
      <c r="V476" s="312"/>
      <c r="W476" s="299"/>
      <c r="X476" s="300"/>
      <c r="Y476" s="299"/>
      <c r="Z476" s="303"/>
      <c r="AA476" s="305">
        <f>IF(Z476=0,0,IF(Y476="MXN",1/HLOOKUP(YEAR(X476)+(MONTH(X476)/100),TC!$5:$37,DAY(X476)+2,FALSE),VLOOKUP(Y476,Equivalencia!$1:$23,((MAX(Equivalencia!$3:$3)-YEAR(X476))*14)+MONTH(X476)+2,FALSE)))</f>
        <v>0</v>
      </c>
      <c r="AB476" s="306">
        <f t="shared" si="136"/>
        <v>0</v>
      </c>
      <c r="AC476" s="305">
        <f>+IF(X476=0,0,HLOOKUP(YEAR(X476)+(MONTH(X476)/100),TC!$5:$37,DAY(X476)+2,FALSE))</f>
        <v>0</v>
      </c>
      <c r="AD476" s="307">
        <f t="shared" si="137"/>
        <v>0</v>
      </c>
      <c r="AE476" s="314">
        <f t="shared" si="126"/>
        <v>0</v>
      </c>
      <c r="AF476" s="315">
        <f t="shared" si="127"/>
        <v>0</v>
      </c>
      <c r="AG476" s="316">
        <f t="shared" si="128"/>
        <v>0</v>
      </c>
      <c r="AH476" s="314">
        <v>1</v>
      </c>
      <c r="AI476" s="314">
        <f t="shared" si="129"/>
        <v>0</v>
      </c>
      <c r="AJ476" s="314">
        <f t="shared" si="138"/>
        <v>0</v>
      </c>
      <c r="AK476" s="317"/>
      <c r="AL476" s="315">
        <f t="shared" si="130"/>
        <v>0</v>
      </c>
      <c r="AN476" s="546">
        <f t="shared" si="131"/>
        <v>0</v>
      </c>
      <c r="AO476" s="314"/>
      <c r="AP476" s="318"/>
    </row>
    <row r="477" spans="2:42">
      <c r="B477" s="296"/>
      <c r="C477" s="299"/>
      <c r="D477" s="298"/>
      <c r="E477" s="299"/>
      <c r="F477" s="299"/>
      <c r="G477" s="300"/>
      <c r="H477" s="303"/>
      <c r="I477" s="301">
        <f t="shared" si="122"/>
        <v>0</v>
      </c>
      <c r="J477" s="302">
        <f t="shared" si="132"/>
        <v>0</v>
      </c>
      <c r="K477" s="304">
        <f t="shared" si="123"/>
        <v>0</v>
      </c>
      <c r="L477" s="305">
        <f>IF(H477=0,0,IF(OR(E477=$AT$5,E477=$AT$6),AA477,IF(F477="MXN",1/HLOOKUP(YEAR(G477)+(MONTH(G477)/100),TC!$5:$37,DAY(G477)+2,FALSE),VLOOKUP(F477,Equivalencia!$5:$23,((MAX(Equivalencia!$3:$3)-YEAR(G477))*14)+MONTH(G477)+2,FALSE))))</f>
        <v>0</v>
      </c>
      <c r="M477" s="306">
        <f t="shared" si="124"/>
        <v>0</v>
      </c>
      <c r="N477" s="305">
        <f>IF(G477=0,0,(IF(OR(E477=$AT$5,E477=$AT$6),AC477,HLOOKUP(YEAR(G477)+(MONTH(G477)/100),TC!$5:$37,DAY(G477)+2,FALSE))))</f>
        <v>0</v>
      </c>
      <c r="O477" s="307">
        <f t="shared" si="133"/>
        <v>0</v>
      </c>
      <c r="P477" s="552">
        <f>IF(G477=0,0,VLOOKUP(YEAR(G477),INPC!$B$4:$P$30,MONTH(G477)+2))</f>
        <v>0</v>
      </c>
      <c r="Q477" s="552">
        <f>IF(X477=0,0,IF(OR(E477=$AT$10,E477=$AT$9),VLOOKUP(YEAR(X477),INPC!$B$4:$P$30,MONTH(X477)+1),VLOOKUP(YEAR(X477),INPC!$B$4:$P$30,MONTH(X477)+2,0)))</f>
        <v>0</v>
      </c>
      <c r="R477" s="309">
        <f t="shared" si="125"/>
        <v>0</v>
      </c>
      <c r="S477" s="310">
        <f t="shared" si="134"/>
        <v>0</v>
      </c>
      <c r="T477" s="547">
        <f t="shared" si="135"/>
        <v>0</v>
      </c>
      <c r="U477" s="311"/>
      <c r="V477" s="312"/>
      <c r="W477" s="299"/>
      <c r="X477" s="300"/>
      <c r="Y477" s="299"/>
      <c r="Z477" s="303"/>
      <c r="AA477" s="305">
        <f>IF(Z477=0,0,IF(Y477="MXN",1/HLOOKUP(YEAR(X477)+(MONTH(X477)/100),TC!$5:$37,DAY(X477)+2,FALSE),VLOOKUP(Y477,Equivalencia!$1:$23,((MAX(Equivalencia!$3:$3)-YEAR(X477))*14)+MONTH(X477)+2,FALSE)))</f>
        <v>0</v>
      </c>
      <c r="AB477" s="306">
        <f t="shared" si="136"/>
        <v>0</v>
      </c>
      <c r="AC477" s="305">
        <f>+IF(X477=0,0,HLOOKUP(YEAR(X477)+(MONTH(X477)/100),TC!$5:$37,DAY(X477)+2,FALSE))</f>
        <v>0</v>
      </c>
      <c r="AD477" s="307">
        <f t="shared" si="137"/>
        <v>0</v>
      </c>
      <c r="AE477" s="314">
        <f t="shared" si="126"/>
        <v>0</v>
      </c>
      <c r="AF477" s="315">
        <f t="shared" si="127"/>
        <v>0</v>
      </c>
      <c r="AG477" s="316">
        <f t="shared" si="128"/>
        <v>0</v>
      </c>
      <c r="AH477" s="314">
        <v>1</v>
      </c>
      <c r="AI477" s="314">
        <f t="shared" si="129"/>
        <v>0</v>
      </c>
      <c r="AJ477" s="314">
        <f t="shared" si="138"/>
        <v>0</v>
      </c>
      <c r="AK477" s="317"/>
      <c r="AL477" s="315">
        <f t="shared" si="130"/>
        <v>0</v>
      </c>
      <c r="AN477" s="546">
        <f t="shared" si="131"/>
        <v>0</v>
      </c>
      <c r="AO477" s="314"/>
      <c r="AP477" s="318"/>
    </row>
    <row r="478" spans="2:42">
      <c r="B478" s="296"/>
      <c r="C478" s="299"/>
      <c r="D478" s="298"/>
      <c r="E478" s="299"/>
      <c r="F478" s="299"/>
      <c r="G478" s="300"/>
      <c r="H478" s="303"/>
      <c r="I478" s="301">
        <f t="shared" si="122"/>
        <v>0</v>
      </c>
      <c r="J478" s="302">
        <f t="shared" si="132"/>
        <v>0</v>
      </c>
      <c r="K478" s="304">
        <f t="shared" si="123"/>
        <v>0</v>
      </c>
      <c r="L478" s="305">
        <f>IF(H478=0,0,IF(OR(E478=$AT$5,E478=$AT$6),AA478,IF(F478="MXN",1/HLOOKUP(YEAR(G478)+(MONTH(G478)/100),TC!$5:$37,DAY(G478)+2,FALSE),VLOOKUP(F478,Equivalencia!$5:$23,((MAX(Equivalencia!$3:$3)-YEAR(G478))*14)+MONTH(G478)+2,FALSE))))</f>
        <v>0</v>
      </c>
      <c r="M478" s="306">
        <f t="shared" si="124"/>
        <v>0</v>
      </c>
      <c r="N478" s="305">
        <f>IF(G478=0,0,(IF(OR(E478=$AT$5,E478=$AT$6),AC478,HLOOKUP(YEAR(G478)+(MONTH(G478)/100),TC!$5:$37,DAY(G478)+2,FALSE))))</f>
        <v>0</v>
      </c>
      <c r="O478" s="307">
        <f t="shared" si="133"/>
        <v>0</v>
      </c>
      <c r="P478" s="552">
        <f>IF(G478=0,0,VLOOKUP(YEAR(G478),INPC!$B$4:$P$30,MONTH(G478)+2))</f>
        <v>0</v>
      </c>
      <c r="Q478" s="552">
        <f>IF(X478=0,0,IF(OR(E478=$AT$10,E478=$AT$9),VLOOKUP(YEAR(X478),INPC!$B$4:$P$30,MONTH(X478)+1),VLOOKUP(YEAR(X478),INPC!$B$4:$P$30,MONTH(X478)+2,0)))</f>
        <v>0</v>
      </c>
      <c r="R478" s="309">
        <f t="shared" si="125"/>
        <v>0</v>
      </c>
      <c r="S478" s="310">
        <f t="shared" si="134"/>
        <v>0</v>
      </c>
      <c r="T478" s="547">
        <f t="shared" si="135"/>
        <v>0</v>
      </c>
      <c r="U478" s="311"/>
      <c r="V478" s="312"/>
      <c r="W478" s="299"/>
      <c r="X478" s="300"/>
      <c r="Y478" s="299"/>
      <c r="Z478" s="303"/>
      <c r="AA478" s="305">
        <f>IF(Z478=0,0,IF(Y478="MXN",1/HLOOKUP(YEAR(X478)+(MONTH(X478)/100),TC!$5:$37,DAY(X478)+2,FALSE),VLOOKUP(Y478,Equivalencia!$1:$23,((MAX(Equivalencia!$3:$3)-YEAR(X478))*14)+MONTH(X478)+2,FALSE)))</f>
        <v>0</v>
      </c>
      <c r="AB478" s="306">
        <f t="shared" si="136"/>
        <v>0</v>
      </c>
      <c r="AC478" s="305">
        <f>+IF(X478=0,0,HLOOKUP(YEAR(X478)+(MONTH(X478)/100),TC!$5:$37,DAY(X478)+2,FALSE))</f>
        <v>0</v>
      </c>
      <c r="AD478" s="307">
        <f t="shared" si="137"/>
        <v>0</v>
      </c>
      <c r="AE478" s="314">
        <f t="shared" si="126"/>
        <v>0</v>
      </c>
      <c r="AF478" s="315">
        <f t="shared" si="127"/>
        <v>0</v>
      </c>
      <c r="AG478" s="316">
        <f t="shared" si="128"/>
        <v>0</v>
      </c>
      <c r="AH478" s="314">
        <v>1</v>
      </c>
      <c r="AI478" s="314">
        <f t="shared" si="129"/>
        <v>0</v>
      </c>
      <c r="AJ478" s="314">
        <f t="shared" si="138"/>
        <v>0</v>
      </c>
      <c r="AK478" s="317"/>
      <c r="AL478" s="315">
        <f t="shared" si="130"/>
        <v>0</v>
      </c>
      <c r="AN478" s="546">
        <f t="shared" si="131"/>
        <v>0</v>
      </c>
      <c r="AO478" s="314"/>
      <c r="AP478" s="318"/>
    </row>
    <row r="479" spans="2:42">
      <c r="B479" s="296"/>
      <c r="C479" s="299"/>
      <c r="D479" s="298"/>
      <c r="E479" s="299"/>
      <c r="F479" s="299"/>
      <c r="G479" s="300"/>
      <c r="H479" s="303"/>
      <c r="I479" s="301">
        <f t="shared" si="122"/>
        <v>0</v>
      </c>
      <c r="J479" s="302">
        <f t="shared" si="132"/>
        <v>0</v>
      </c>
      <c r="K479" s="304">
        <f t="shared" si="123"/>
        <v>0</v>
      </c>
      <c r="L479" s="305">
        <f>IF(H479=0,0,IF(OR(E479=$AT$5,E479=$AT$6),AA479,IF(F479="MXN",1/HLOOKUP(YEAR(G479)+(MONTH(G479)/100),TC!$5:$37,DAY(G479)+2,FALSE),VLOOKUP(F479,Equivalencia!$5:$23,((MAX(Equivalencia!$3:$3)-YEAR(G479))*14)+MONTH(G479)+2,FALSE))))</f>
        <v>0</v>
      </c>
      <c r="M479" s="306">
        <f t="shared" si="124"/>
        <v>0</v>
      </c>
      <c r="N479" s="305">
        <f>IF(G479=0,0,(IF(OR(E479=$AT$5,E479=$AT$6),AC479,HLOOKUP(YEAR(G479)+(MONTH(G479)/100),TC!$5:$37,DAY(G479)+2,FALSE))))</f>
        <v>0</v>
      </c>
      <c r="O479" s="307">
        <f t="shared" si="133"/>
        <v>0</v>
      </c>
      <c r="P479" s="552">
        <f>IF(G479=0,0,VLOOKUP(YEAR(G479),INPC!$B$4:$P$30,MONTH(G479)+2))</f>
        <v>0</v>
      </c>
      <c r="Q479" s="552">
        <f>IF(X479=0,0,IF(OR(E479=$AT$10,E479=$AT$9),VLOOKUP(YEAR(X479),INPC!$B$4:$P$30,MONTH(X479)+1),VLOOKUP(YEAR(X479),INPC!$B$4:$P$30,MONTH(X479)+2,0)))</f>
        <v>0</v>
      </c>
      <c r="R479" s="309">
        <f t="shared" si="125"/>
        <v>0</v>
      </c>
      <c r="S479" s="310">
        <f t="shared" si="134"/>
        <v>0</v>
      </c>
      <c r="T479" s="547">
        <f t="shared" si="135"/>
        <v>0</v>
      </c>
      <c r="U479" s="311"/>
      <c r="V479" s="312"/>
      <c r="W479" s="299"/>
      <c r="X479" s="300"/>
      <c r="Y479" s="299"/>
      <c r="Z479" s="303"/>
      <c r="AA479" s="305">
        <f>IF(Z479=0,0,IF(Y479="MXN",1/HLOOKUP(YEAR(X479)+(MONTH(X479)/100),TC!$5:$37,DAY(X479)+2,FALSE),VLOOKUP(Y479,Equivalencia!$1:$23,((MAX(Equivalencia!$3:$3)-YEAR(X479))*14)+MONTH(X479)+2,FALSE)))</f>
        <v>0</v>
      </c>
      <c r="AB479" s="306">
        <f t="shared" si="136"/>
        <v>0</v>
      </c>
      <c r="AC479" s="305">
        <f>+IF(X479=0,0,HLOOKUP(YEAR(X479)+(MONTH(X479)/100),TC!$5:$37,DAY(X479)+2,FALSE))</f>
        <v>0</v>
      </c>
      <c r="AD479" s="307">
        <f t="shared" si="137"/>
        <v>0</v>
      </c>
      <c r="AE479" s="314">
        <f t="shared" si="126"/>
        <v>0</v>
      </c>
      <c r="AF479" s="315">
        <f t="shared" si="127"/>
        <v>0</v>
      </c>
      <c r="AG479" s="316">
        <f t="shared" si="128"/>
        <v>0</v>
      </c>
      <c r="AH479" s="314">
        <v>1</v>
      </c>
      <c r="AI479" s="314">
        <f t="shared" si="129"/>
        <v>0</v>
      </c>
      <c r="AJ479" s="314">
        <f t="shared" si="138"/>
        <v>0</v>
      </c>
      <c r="AK479" s="317"/>
      <c r="AL479" s="315">
        <f t="shared" si="130"/>
        <v>0</v>
      </c>
      <c r="AN479" s="546">
        <f t="shared" si="131"/>
        <v>0</v>
      </c>
      <c r="AO479" s="314"/>
      <c r="AP479" s="318"/>
    </row>
    <row r="480" spans="2:42">
      <c r="B480" s="296"/>
      <c r="C480" s="299"/>
      <c r="D480" s="298"/>
      <c r="E480" s="299"/>
      <c r="F480" s="299"/>
      <c r="G480" s="300"/>
      <c r="H480" s="303"/>
      <c r="I480" s="301">
        <f t="shared" si="122"/>
        <v>0</v>
      </c>
      <c r="J480" s="302">
        <f t="shared" si="132"/>
        <v>0</v>
      </c>
      <c r="K480" s="304">
        <f t="shared" si="123"/>
        <v>0</v>
      </c>
      <c r="L480" s="305">
        <f>IF(H480=0,0,IF(OR(E480=$AT$5,E480=$AT$6),AA480,IF(F480="MXN",1/HLOOKUP(YEAR(G480)+(MONTH(G480)/100),TC!$5:$37,DAY(G480)+2,FALSE),VLOOKUP(F480,Equivalencia!$5:$23,((MAX(Equivalencia!$3:$3)-YEAR(G480))*14)+MONTH(G480)+2,FALSE))))</f>
        <v>0</v>
      </c>
      <c r="M480" s="306">
        <f t="shared" si="124"/>
        <v>0</v>
      </c>
      <c r="N480" s="305">
        <f>IF(G480=0,0,(IF(OR(E480=$AT$5,E480=$AT$6),AC480,HLOOKUP(YEAR(G480)+(MONTH(G480)/100),TC!$5:$37,DAY(G480)+2,FALSE))))</f>
        <v>0</v>
      </c>
      <c r="O480" s="307">
        <f t="shared" si="133"/>
        <v>0</v>
      </c>
      <c r="P480" s="552">
        <f>IF(G480=0,0,VLOOKUP(YEAR(G480),INPC!$B$4:$P$30,MONTH(G480)+2))</f>
        <v>0</v>
      </c>
      <c r="Q480" s="552">
        <f>IF(X480=0,0,IF(OR(E480=$AT$10,E480=$AT$9),VLOOKUP(YEAR(X480),INPC!$B$4:$P$30,MONTH(X480)+1),VLOOKUP(YEAR(X480),INPC!$B$4:$P$30,MONTH(X480)+2,0)))</f>
        <v>0</v>
      </c>
      <c r="R480" s="309">
        <f t="shared" si="125"/>
        <v>0</v>
      </c>
      <c r="S480" s="310">
        <f t="shared" si="134"/>
        <v>0</v>
      </c>
      <c r="T480" s="547">
        <f t="shared" si="135"/>
        <v>0</v>
      </c>
      <c r="U480" s="311"/>
      <c r="V480" s="312"/>
      <c r="W480" s="299"/>
      <c r="X480" s="300"/>
      <c r="Y480" s="299"/>
      <c r="Z480" s="303"/>
      <c r="AA480" s="305">
        <f>IF(Z480=0,0,IF(Y480="MXN",1/HLOOKUP(YEAR(X480)+(MONTH(X480)/100),TC!$5:$37,DAY(X480)+2,FALSE),VLOOKUP(Y480,Equivalencia!$1:$23,((MAX(Equivalencia!$3:$3)-YEAR(X480))*14)+MONTH(X480)+2,FALSE)))</f>
        <v>0</v>
      </c>
      <c r="AB480" s="306">
        <f t="shared" si="136"/>
        <v>0</v>
      </c>
      <c r="AC480" s="305">
        <f>+IF(X480=0,0,HLOOKUP(YEAR(X480)+(MONTH(X480)/100),TC!$5:$37,DAY(X480)+2,FALSE))</f>
        <v>0</v>
      </c>
      <c r="AD480" s="307">
        <f t="shared" si="137"/>
        <v>0</v>
      </c>
      <c r="AE480" s="314">
        <f t="shared" si="126"/>
        <v>0</v>
      </c>
      <c r="AF480" s="315">
        <f t="shared" si="127"/>
        <v>0</v>
      </c>
      <c r="AG480" s="316">
        <f t="shared" si="128"/>
        <v>0</v>
      </c>
      <c r="AH480" s="314">
        <v>1</v>
      </c>
      <c r="AI480" s="314">
        <f t="shared" si="129"/>
        <v>0</v>
      </c>
      <c r="AJ480" s="314">
        <f t="shared" si="138"/>
        <v>0</v>
      </c>
      <c r="AK480" s="317"/>
      <c r="AL480" s="315">
        <f t="shared" si="130"/>
        <v>0</v>
      </c>
      <c r="AN480" s="546">
        <f t="shared" si="131"/>
        <v>0</v>
      </c>
      <c r="AO480" s="314"/>
      <c r="AP480" s="318"/>
    </row>
    <row r="481" spans="2:42">
      <c r="B481" s="296"/>
      <c r="C481" s="299"/>
      <c r="D481" s="298"/>
      <c r="E481" s="299"/>
      <c r="F481" s="299"/>
      <c r="G481" s="300"/>
      <c r="H481" s="303"/>
      <c r="I481" s="301">
        <f t="shared" si="122"/>
        <v>0</v>
      </c>
      <c r="J481" s="302">
        <f t="shared" si="132"/>
        <v>0</v>
      </c>
      <c r="K481" s="304">
        <f t="shared" si="123"/>
        <v>0</v>
      </c>
      <c r="L481" s="305">
        <f>IF(H481=0,0,IF(OR(E481=$AT$5,E481=$AT$6),AA481,IF(F481="MXN",1/HLOOKUP(YEAR(G481)+(MONTH(G481)/100),TC!$5:$37,DAY(G481)+2,FALSE),VLOOKUP(F481,Equivalencia!$5:$23,((MAX(Equivalencia!$3:$3)-YEAR(G481))*14)+MONTH(G481)+2,FALSE))))</f>
        <v>0</v>
      </c>
      <c r="M481" s="306">
        <f t="shared" si="124"/>
        <v>0</v>
      </c>
      <c r="N481" s="305">
        <f>IF(G481=0,0,(IF(OR(E481=$AT$5,E481=$AT$6),AC481,HLOOKUP(YEAR(G481)+(MONTH(G481)/100),TC!$5:$37,DAY(G481)+2,FALSE))))</f>
        <v>0</v>
      </c>
      <c r="O481" s="307">
        <f t="shared" si="133"/>
        <v>0</v>
      </c>
      <c r="P481" s="552">
        <f>IF(G481=0,0,VLOOKUP(YEAR(G481),INPC!$B$4:$P$30,MONTH(G481)+2))</f>
        <v>0</v>
      </c>
      <c r="Q481" s="552">
        <f>IF(X481=0,0,IF(OR(E481=$AT$10,E481=$AT$9),VLOOKUP(YEAR(X481),INPC!$B$4:$P$30,MONTH(X481)+1),VLOOKUP(YEAR(X481),INPC!$B$4:$P$30,MONTH(X481)+2,0)))</f>
        <v>0</v>
      </c>
      <c r="R481" s="309">
        <f t="shared" si="125"/>
        <v>0</v>
      </c>
      <c r="S481" s="310">
        <f t="shared" si="134"/>
        <v>0</v>
      </c>
      <c r="T481" s="547">
        <f t="shared" si="135"/>
        <v>0</v>
      </c>
      <c r="U481" s="311"/>
      <c r="V481" s="312"/>
      <c r="W481" s="299"/>
      <c r="X481" s="300"/>
      <c r="Y481" s="299"/>
      <c r="Z481" s="303"/>
      <c r="AA481" s="305">
        <f>IF(Z481=0,0,IF(Y481="MXN",1/HLOOKUP(YEAR(X481)+(MONTH(X481)/100),TC!$5:$37,DAY(X481)+2,FALSE),VLOOKUP(Y481,Equivalencia!$1:$23,((MAX(Equivalencia!$3:$3)-YEAR(X481))*14)+MONTH(X481)+2,FALSE)))</f>
        <v>0</v>
      </c>
      <c r="AB481" s="306">
        <f t="shared" si="136"/>
        <v>0</v>
      </c>
      <c r="AC481" s="305">
        <f>+IF(X481=0,0,HLOOKUP(YEAR(X481)+(MONTH(X481)/100),TC!$5:$37,DAY(X481)+2,FALSE))</f>
        <v>0</v>
      </c>
      <c r="AD481" s="307">
        <f t="shared" si="137"/>
        <v>0</v>
      </c>
      <c r="AE481" s="314">
        <f t="shared" si="126"/>
        <v>0</v>
      </c>
      <c r="AF481" s="315">
        <f t="shared" si="127"/>
        <v>0</v>
      </c>
      <c r="AG481" s="316">
        <f t="shared" si="128"/>
        <v>0</v>
      </c>
      <c r="AH481" s="314">
        <v>1</v>
      </c>
      <c r="AI481" s="314">
        <f t="shared" si="129"/>
        <v>0</v>
      </c>
      <c r="AJ481" s="314">
        <f t="shared" si="138"/>
        <v>0</v>
      </c>
      <c r="AK481" s="317"/>
      <c r="AL481" s="315">
        <f t="shared" si="130"/>
        <v>0</v>
      </c>
      <c r="AN481" s="546">
        <f t="shared" si="131"/>
        <v>0</v>
      </c>
      <c r="AO481" s="314"/>
      <c r="AP481" s="318"/>
    </row>
    <row r="482" spans="2:42">
      <c r="B482" s="296"/>
      <c r="C482" s="299"/>
      <c r="D482" s="298"/>
      <c r="E482" s="299"/>
      <c r="F482" s="299"/>
      <c r="G482" s="300"/>
      <c r="H482" s="303"/>
      <c r="I482" s="301">
        <f t="shared" si="122"/>
        <v>0</v>
      </c>
      <c r="J482" s="302">
        <f t="shared" si="132"/>
        <v>0</v>
      </c>
      <c r="K482" s="304">
        <f t="shared" si="123"/>
        <v>0</v>
      </c>
      <c r="L482" s="305">
        <f>IF(H482=0,0,IF(OR(E482=$AT$5,E482=$AT$6),AA482,IF(F482="MXN",1/HLOOKUP(YEAR(G482)+(MONTH(G482)/100),TC!$5:$37,DAY(G482)+2,FALSE),VLOOKUP(F482,Equivalencia!$5:$23,((MAX(Equivalencia!$3:$3)-YEAR(G482))*14)+MONTH(G482)+2,FALSE))))</f>
        <v>0</v>
      </c>
      <c r="M482" s="306">
        <f t="shared" si="124"/>
        <v>0</v>
      </c>
      <c r="N482" s="305">
        <f>IF(G482=0,0,(IF(OR(E482=$AT$5,E482=$AT$6),AC482,HLOOKUP(YEAR(G482)+(MONTH(G482)/100),TC!$5:$37,DAY(G482)+2,FALSE))))</f>
        <v>0</v>
      </c>
      <c r="O482" s="307">
        <f t="shared" si="133"/>
        <v>0</v>
      </c>
      <c r="P482" s="552">
        <f>IF(G482=0,0,VLOOKUP(YEAR(G482),INPC!$B$4:$P$30,MONTH(G482)+2))</f>
        <v>0</v>
      </c>
      <c r="Q482" s="552">
        <f>IF(X482=0,0,IF(OR(E482=$AT$10,E482=$AT$9),VLOOKUP(YEAR(X482),INPC!$B$4:$P$30,MONTH(X482)+1),VLOOKUP(YEAR(X482),INPC!$B$4:$P$30,MONTH(X482)+2,0)))</f>
        <v>0</v>
      </c>
      <c r="R482" s="309">
        <f t="shared" si="125"/>
        <v>0</v>
      </c>
      <c r="S482" s="310">
        <f t="shared" si="134"/>
        <v>0</v>
      </c>
      <c r="T482" s="547">
        <f t="shared" si="135"/>
        <v>0</v>
      </c>
      <c r="U482" s="311"/>
      <c r="V482" s="312"/>
      <c r="W482" s="299"/>
      <c r="X482" s="300"/>
      <c r="Y482" s="299"/>
      <c r="Z482" s="303"/>
      <c r="AA482" s="305">
        <f>IF(Z482=0,0,IF(Y482="MXN",1/HLOOKUP(YEAR(X482)+(MONTH(X482)/100),TC!$5:$37,DAY(X482)+2,FALSE),VLOOKUP(Y482,Equivalencia!$1:$23,((MAX(Equivalencia!$3:$3)-YEAR(X482))*14)+MONTH(X482)+2,FALSE)))</f>
        <v>0</v>
      </c>
      <c r="AB482" s="306">
        <f t="shared" si="136"/>
        <v>0</v>
      </c>
      <c r="AC482" s="305">
        <f>+IF(X482=0,0,HLOOKUP(YEAR(X482)+(MONTH(X482)/100),TC!$5:$37,DAY(X482)+2,FALSE))</f>
        <v>0</v>
      </c>
      <c r="AD482" s="307">
        <f t="shared" si="137"/>
        <v>0</v>
      </c>
      <c r="AE482" s="314">
        <f t="shared" si="126"/>
        <v>0</v>
      </c>
      <c r="AF482" s="315">
        <f t="shared" si="127"/>
        <v>0</v>
      </c>
      <c r="AG482" s="316">
        <f t="shared" si="128"/>
        <v>0</v>
      </c>
      <c r="AH482" s="314">
        <v>1</v>
      </c>
      <c r="AI482" s="314">
        <f t="shared" si="129"/>
        <v>0</v>
      </c>
      <c r="AJ482" s="314">
        <f t="shared" si="138"/>
        <v>0</v>
      </c>
      <c r="AK482" s="317"/>
      <c r="AL482" s="315">
        <f t="shared" si="130"/>
        <v>0</v>
      </c>
      <c r="AN482" s="546">
        <f t="shared" si="131"/>
        <v>0</v>
      </c>
      <c r="AO482" s="314"/>
      <c r="AP482" s="318"/>
    </row>
    <row r="483" spans="2:42">
      <c r="B483" s="296"/>
      <c r="C483" s="299"/>
      <c r="D483" s="298"/>
      <c r="E483" s="299"/>
      <c r="F483" s="299"/>
      <c r="G483" s="300"/>
      <c r="H483" s="303"/>
      <c r="I483" s="301">
        <f t="shared" si="122"/>
        <v>0</v>
      </c>
      <c r="J483" s="302">
        <f t="shared" si="132"/>
        <v>0</v>
      </c>
      <c r="K483" s="304">
        <f t="shared" si="123"/>
        <v>0</v>
      </c>
      <c r="L483" s="305">
        <f>IF(H483=0,0,IF(OR(E483=$AT$5,E483=$AT$6),AA483,IF(F483="MXN",1/HLOOKUP(YEAR(G483)+(MONTH(G483)/100),TC!$5:$37,DAY(G483)+2,FALSE),VLOOKUP(F483,Equivalencia!$5:$23,((MAX(Equivalencia!$3:$3)-YEAR(G483))*14)+MONTH(G483)+2,FALSE))))</f>
        <v>0</v>
      </c>
      <c r="M483" s="306">
        <f t="shared" si="124"/>
        <v>0</v>
      </c>
      <c r="N483" s="305">
        <f>IF(G483=0,0,(IF(OR(E483=$AT$5,E483=$AT$6),AC483,HLOOKUP(YEAR(G483)+(MONTH(G483)/100),TC!$5:$37,DAY(G483)+2,FALSE))))</f>
        <v>0</v>
      </c>
      <c r="O483" s="307">
        <f t="shared" si="133"/>
        <v>0</v>
      </c>
      <c r="P483" s="552">
        <f>IF(G483=0,0,VLOOKUP(YEAR(G483),INPC!$B$4:$P$30,MONTH(G483)+2))</f>
        <v>0</v>
      </c>
      <c r="Q483" s="552">
        <f>IF(X483=0,0,IF(OR(E483=$AT$10,E483=$AT$9),VLOOKUP(YEAR(X483),INPC!$B$4:$P$30,MONTH(X483)+1),VLOOKUP(YEAR(X483),INPC!$B$4:$P$30,MONTH(X483)+2,0)))</f>
        <v>0</v>
      </c>
      <c r="R483" s="309">
        <f t="shared" si="125"/>
        <v>0</v>
      </c>
      <c r="S483" s="310">
        <f t="shared" si="134"/>
        <v>0</v>
      </c>
      <c r="T483" s="547">
        <f t="shared" si="135"/>
        <v>0</v>
      </c>
      <c r="U483" s="311"/>
      <c r="V483" s="312"/>
      <c r="W483" s="299"/>
      <c r="X483" s="300"/>
      <c r="Y483" s="299"/>
      <c r="Z483" s="303"/>
      <c r="AA483" s="305">
        <f>IF(Z483=0,0,IF(Y483="MXN",1/HLOOKUP(YEAR(X483)+(MONTH(X483)/100),TC!$5:$37,DAY(X483)+2,FALSE),VLOOKUP(Y483,Equivalencia!$1:$23,((MAX(Equivalencia!$3:$3)-YEAR(X483))*14)+MONTH(X483)+2,FALSE)))</f>
        <v>0</v>
      </c>
      <c r="AB483" s="306">
        <f t="shared" si="136"/>
        <v>0</v>
      </c>
      <c r="AC483" s="305">
        <f>+IF(X483=0,0,HLOOKUP(YEAR(X483)+(MONTH(X483)/100),TC!$5:$37,DAY(X483)+2,FALSE))</f>
        <v>0</v>
      </c>
      <c r="AD483" s="307">
        <f t="shared" si="137"/>
        <v>0</v>
      </c>
      <c r="AE483" s="314">
        <f t="shared" si="126"/>
        <v>0</v>
      </c>
      <c r="AF483" s="315">
        <f t="shared" si="127"/>
        <v>0</v>
      </c>
      <c r="AG483" s="316">
        <f t="shared" si="128"/>
        <v>0</v>
      </c>
      <c r="AH483" s="314">
        <v>1</v>
      </c>
      <c r="AI483" s="314">
        <f t="shared" si="129"/>
        <v>0</v>
      </c>
      <c r="AJ483" s="314">
        <f t="shared" si="138"/>
        <v>0</v>
      </c>
      <c r="AK483" s="317"/>
      <c r="AL483" s="315">
        <f t="shared" si="130"/>
        <v>0</v>
      </c>
      <c r="AN483" s="546">
        <f t="shared" si="131"/>
        <v>0</v>
      </c>
      <c r="AO483" s="314"/>
      <c r="AP483" s="318"/>
    </row>
    <row r="484" spans="2:42">
      <c r="B484" s="296"/>
      <c r="C484" s="299"/>
      <c r="D484" s="298"/>
      <c r="E484" s="299"/>
      <c r="F484" s="299"/>
      <c r="G484" s="300"/>
      <c r="H484" s="303"/>
      <c r="I484" s="301">
        <f t="shared" si="122"/>
        <v>0</v>
      </c>
      <c r="J484" s="302">
        <f t="shared" si="132"/>
        <v>0</v>
      </c>
      <c r="K484" s="304">
        <f t="shared" si="123"/>
        <v>0</v>
      </c>
      <c r="L484" s="305">
        <f>IF(H484=0,0,IF(OR(E484=$AT$5,E484=$AT$6),AA484,IF(F484="MXN",1/HLOOKUP(YEAR(G484)+(MONTH(G484)/100),TC!$5:$37,DAY(G484)+2,FALSE),VLOOKUP(F484,Equivalencia!$5:$23,((MAX(Equivalencia!$3:$3)-YEAR(G484))*14)+MONTH(G484)+2,FALSE))))</f>
        <v>0</v>
      </c>
      <c r="M484" s="306">
        <f t="shared" si="124"/>
        <v>0</v>
      </c>
      <c r="N484" s="305">
        <f>IF(G484=0,0,(IF(OR(E484=$AT$5,E484=$AT$6),AC484,HLOOKUP(YEAR(G484)+(MONTH(G484)/100),TC!$5:$37,DAY(G484)+2,FALSE))))</f>
        <v>0</v>
      </c>
      <c r="O484" s="307">
        <f t="shared" si="133"/>
        <v>0</v>
      </c>
      <c r="P484" s="552">
        <f>IF(G484=0,0,VLOOKUP(YEAR(G484),INPC!$B$4:$P$30,MONTH(G484)+2))</f>
        <v>0</v>
      </c>
      <c r="Q484" s="552">
        <f>IF(X484=0,0,IF(OR(E484=$AT$10,E484=$AT$9),VLOOKUP(YEAR(X484),INPC!$B$4:$P$30,MONTH(X484)+1),VLOOKUP(YEAR(X484),INPC!$B$4:$P$30,MONTH(X484)+2,0)))</f>
        <v>0</v>
      </c>
      <c r="R484" s="309">
        <f t="shared" si="125"/>
        <v>0</v>
      </c>
      <c r="S484" s="310">
        <f t="shared" si="134"/>
        <v>0</v>
      </c>
      <c r="T484" s="547">
        <f t="shared" si="135"/>
        <v>0</v>
      </c>
      <c r="U484" s="311"/>
      <c r="V484" s="312"/>
      <c r="W484" s="299"/>
      <c r="X484" s="300"/>
      <c r="Y484" s="299"/>
      <c r="Z484" s="303"/>
      <c r="AA484" s="305">
        <f>IF(Z484=0,0,IF(Y484="MXN",1/HLOOKUP(YEAR(X484)+(MONTH(X484)/100),TC!$5:$37,DAY(X484)+2,FALSE),VLOOKUP(Y484,Equivalencia!$1:$23,((MAX(Equivalencia!$3:$3)-YEAR(X484))*14)+MONTH(X484)+2,FALSE)))</f>
        <v>0</v>
      </c>
      <c r="AB484" s="306">
        <f t="shared" si="136"/>
        <v>0</v>
      </c>
      <c r="AC484" s="305">
        <f>+IF(X484=0,0,HLOOKUP(YEAR(X484)+(MONTH(X484)/100),TC!$5:$37,DAY(X484)+2,FALSE))</f>
        <v>0</v>
      </c>
      <c r="AD484" s="307">
        <f t="shared" si="137"/>
        <v>0</v>
      </c>
      <c r="AE484" s="314">
        <f t="shared" si="126"/>
        <v>0</v>
      </c>
      <c r="AF484" s="315">
        <f t="shared" si="127"/>
        <v>0</v>
      </c>
      <c r="AG484" s="316">
        <f t="shared" si="128"/>
        <v>0</v>
      </c>
      <c r="AH484" s="314">
        <v>1</v>
      </c>
      <c r="AI484" s="314">
        <f t="shared" si="129"/>
        <v>0</v>
      </c>
      <c r="AJ484" s="314">
        <f t="shared" si="138"/>
        <v>0</v>
      </c>
      <c r="AK484" s="317"/>
      <c r="AL484" s="315">
        <f t="shared" si="130"/>
        <v>0</v>
      </c>
      <c r="AN484" s="546">
        <f t="shared" si="131"/>
        <v>0</v>
      </c>
      <c r="AO484" s="314"/>
      <c r="AP484" s="318"/>
    </row>
    <row r="485" spans="2:42">
      <c r="B485" s="296"/>
      <c r="C485" s="299"/>
      <c r="D485" s="298"/>
      <c r="E485" s="299"/>
      <c r="F485" s="299"/>
      <c r="G485" s="300"/>
      <c r="H485" s="303"/>
      <c r="I485" s="301">
        <f t="shared" si="122"/>
        <v>0</v>
      </c>
      <c r="J485" s="302">
        <f t="shared" si="132"/>
        <v>0</v>
      </c>
      <c r="K485" s="304">
        <f t="shared" si="123"/>
        <v>0</v>
      </c>
      <c r="L485" s="305">
        <f>IF(H485=0,0,IF(OR(E485=$AT$5,E485=$AT$6),AA485,IF(F485="MXN",1/HLOOKUP(YEAR(G485)+(MONTH(G485)/100),TC!$5:$37,DAY(G485)+2,FALSE),VLOOKUP(F485,Equivalencia!$5:$23,((MAX(Equivalencia!$3:$3)-YEAR(G485))*14)+MONTH(G485)+2,FALSE))))</f>
        <v>0</v>
      </c>
      <c r="M485" s="306">
        <f t="shared" si="124"/>
        <v>0</v>
      </c>
      <c r="N485" s="305">
        <f>IF(G485=0,0,(IF(OR(E485=$AT$5,E485=$AT$6),AC485,HLOOKUP(YEAR(G485)+(MONTH(G485)/100),TC!$5:$37,DAY(G485)+2,FALSE))))</f>
        <v>0</v>
      </c>
      <c r="O485" s="307">
        <f t="shared" si="133"/>
        <v>0</v>
      </c>
      <c r="P485" s="552">
        <f>IF(G485=0,0,VLOOKUP(YEAR(G485),INPC!$B$4:$P$30,MONTH(G485)+2))</f>
        <v>0</v>
      </c>
      <c r="Q485" s="552">
        <f>IF(X485=0,0,IF(OR(E485=$AT$10,E485=$AT$9),VLOOKUP(YEAR(X485),INPC!$B$4:$P$30,MONTH(X485)+1),VLOOKUP(YEAR(X485),INPC!$B$4:$P$30,MONTH(X485)+2,0)))</f>
        <v>0</v>
      </c>
      <c r="R485" s="309">
        <f t="shared" si="125"/>
        <v>0</v>
      </c>
      <c r="S485" s="310">
        <f t="shared" si="134"/>
        <v>0</v>
      </c>
      <c r="T485" s="547">
        <f t="shared" si="135"/>
        <v>0</v>
      </c>
      <c r="U485" s="311"/>
      <c r="V485" s="312"/>
      <c r="W485" s="299"/>
      <c r="X485" s="300"/>
      <c r="Y485" s="299"/>
      <c r="Z485" s="303"/>
      <c r="AA485" s="305">
        <f>IF(Z485=0,0,IF(Y485="MXN",1/HLOOKUP(YEAR(X485)+(MONTH(X485)/100),TC!$5:$37,DAY(X485)+2,FALSE),VLOOKUP(Y485,Equivalencia!$1:$23,((MAX(Equivalencia!$3:$3)-YEAR(X485))*14)+MONTH(X485)+2,FALSE)))</f>
        <v>0</v>
      </c>
      <c r="AB485" s="306">
        <f t="shared" si="136"/>
        <v>0</v>
      </c>
      <c r="AC485" s="305">
        <f>+IF(X485=0,0,HLOOKUP(YEAR(X485)+(MONTH(X485)/100),TC!$5:$37,DAY(X485)+2,FALSE))</f>
        <v>0</v>
      </c>
      <c r="AD485" s="307">
        <f t="shared" si="137"/>
        <v>0</v>
      </c>
      <c r="AE485" s="314">
        <f t="shared" si="126"/>
        <v>0</v>
      </c>
      <c r="AF485" s="315">
        <f t="shared" si="127"/>
        <v>0</v>
      </c>
      <c r="AG485" s="316">
        <f t="shared" si="128"/>
        <v>0</v>
      </c>
      <c r="AH485" s="314">
        <v>1</v>
      </c>
      <c r="AI485" s="314">
        <f t="shared" si="129"/>
        <v>0</v>
      </c>
      <c r="AJ485" s="314">
        <f t="shared" si="138"/>
        <v>0</v>
      </c>
      <c r="AK485" s="317"/>
      <c r="AL485" s="315">
        <f t="shared" si="130"/>
        <v>0</v>
      </c>
      <c r="AN485" s="546">
        <f t="shared" si="131"/>
        <v>0</v>
      </c>
      <c r="AO485" s="314"/>
      <c r="AP485" s="318"/>
    </row>
    <row r="486" spans="2:42">
      <c r="B486" s="296"/>
      <c r="C486" s="299"/>
      <c r="D486" s="298"/>
      <c r="E486" s="299"/>
      <c r="F486" s="299"/>
      <c r="G486" s="300"/>
      <c r="H486" s="303"/>
      <c r="I486" s="301">
        <f t="shared" si="122"/>
        <v>0</v>
      </c>
      <c r="J486" s="302">
        <f t="shared" si="132"/>
        <v>0</v>
      </c>
      <c r="K486" s="304">
        <f t="shared" si="123"/>
        <v>0</v>
      </c>
      <c r="L486" s="305">
        <f>IF(H486=0,0,IF(OR(E486=$AT$5,E486=$AT$6),AA486,IF(F486="MXN",1/HLOOKUP(YEAR(G486)+(MONTH(G486)/100),TC!$5:$37,DAY(G486)+2,FALSE),VLOOKUP(F486,Equivalencia!$5:$23,((MAX(Equivalencia!$3:$3)-YEAR(G486))*14)+MONTH(G486)+2,FALSE))))</f>
        <v>0</v>
      </c>
      <c r="M486" s="306">
        <f t="shared" si="124"/>
        <v>0</v>
      </c>
      <c r="N486" s="305">
        <f>IF(G486=0,0,(IF(OR(E486=$AT$5,E486=$AT$6),AC486,HLOOKUP(YEAR(G486)+(MONTH(G486)/100),TC!$5:$37,DAY(G486)+2,FALSE))))</f>
        <v>0</v>
      </c>
      <c r="O486" s="307">
        <f t="shared" si="133"/>
        <v>0</v>
      </c>
      <c r="P486" s="552">
        <f>IF(G486=0,0,VLOOKUP(YEAR(G486),INPC!$B$4:$P$30,MONTH(G486)+2))</f>
        <v>0</v>
      </c>
      <c r="Q486" s="552">
        <f>IF(X486=0,0,IF(OR(E486=$AT$10,E486=$AT$9),VLOOKUP(YEAR(X486),INPC!$B$4:$P$30,MONTH(X486)+1),VLOOKUP(YEAR(X486),INPC!$B$4:$P$30,MONTH(X486)+2,0)))</f>
        <v>0</v>
      </c>
      <c r="R486" s="309">
        <f t="shared" si="125"/>
        <v>0</v>
      </c>
      <c r="S486" s="310">
        <f t="shared" si="134"/>
        <v>0</v>
      </c>
      <c r="T486" s="547">
        <f t="shared" si="135"/>
        <v>0</v>
      </c>
      <c r="U486" s="311"/>
      <c r="V486" s="312"/>
      <c r="W486" s="299"/>
      <c r="X486" s="300"/>
      <c r="Y486" s="299"/>
      <c r="Z486" s="303"/>
      <c r="AA486" s="305">
        <f>IF(Z486=0,0,IF(Y486="MXN",1/HLOOKUP(YEAR(X486)+(MONTH(X486)/100),TC!$5:$37,DAY(X486)+2,FALSE),VLOOKUP(Y486,Equivalencia!$1:$23,((MAX(Equivalencia!$3:$3)-YEAR(X486))*14)+MONTH(X486)+2,FALSE)))</f>
        <v>0</v>
      </c>
      <c r="AB486" s="306">
        <f t="shared" si="136"/>
        <v>0</v>
      </c>
      <c r="AC486" s="305">
        <f>+IF(X486=0,0,HLOOKUP(YEAR(X486)+(MONTH(X486)/100),TC!$5:$37,DAY(X486)+2,FALSE))</f>
        <v>0</v>
      </c>
      <c r="AD486" s="307">
        <f t="shared" si="137"/>
        <v>0</v>
      </c>
      <c r="AE486" s="314">
        <f t="shared" si="126"/>
        <v>0</v>
      </c>
      <c r="AF486" s="315">
        <f t="shared" si="127"/>
        <v>0</v>
      </c>
      <c r="AG486" s="316">
        <f t="shared" si="128"/>
        <v>0</v>
      </c>
      <c r="AH486" s="314">
        <v>1</v>
      </c>
      <c r="AI486" s="314">
        <f t="shared" si="129"/>
        <v>0</v>
      </c>
      <c r="AJ486" s="314">
        <f t="shared" si="138"/>
        <v>0</v>
      </c>
      <c r="AK486" s="317"/>
      <c r="AL486" s="315">
        <f t="shared" si="130"/>
        <v>0</v>
      </c>
      <c r="AN486" s="546">
        <f t="shared" si="131"/>
        <v>0</v>
      </c>
      <c r="AO486" s="314"/>
      <c r="AP486" s="318"/>
    </row>
    <row r="487" spans="2:42">
      <c r="B487" s="296"/>
      <c r="C487" s="299"/>
      <c r="D487" s="298"/>
      <c r="E487" s="299"/>
      <c r="F487" s="299"/>
      <c r="G487" s="300"/>
      <c r="H487" s="303"/>
      <c r="I487" s="301">
        <f t="shared" si="122"/>
        <v>0</v>
      </c>
      <c r="J487" s="302">
        <f t="shared" si="132"/>
        <v>0</v>
      </c>
      <c r="K487" s="304">
        <f t="shared" si="123"/>
        <v>0</v>
      </c>
      <c r="L487" s="305">
        <f>IF(H487=0,0,IF(OR(E487=$AT$5,E487=$AT$6),AA487,IF(F487="MXN",1/HLOOKUP(YEAR(G487)+(MONTH(G487)/100),TC!$5:$37,DAY(G487)+2,FALSE),VLOOKUP(F487,Equivalencia!$5:$23,((MAX(Equivalencia!$3:$3)-YEAR(G487))*14)+MONTH(G487)+2,FALSE))))</f>
        <v>0</v>
      </c>
      <c r="M487" s="306">
        <f t="shared" si="124"/>
        <v>0</v>
      </c>
      <c r="N487" s="305">
        <f>IF(G487=0,0,(IF(OR(E487=$AT$5,E487=$AT$6),AC487,HLOOKUP(YEAR(G487)+(MONTH(G487)/100),TC!$5:$37,DAY(G487)+2,FALSE))))</f>
        <v>0</v>
      </c>
      <c r="O487" s="307">
        <f t="shared" si="133"/>
        <v>0</v>
      </c>
      <c r="P487" s="552">
        <f>IF(G487=0,0,VLOOKUP(YEAR(G487),INPC!$B$4:$P$30,MONTH(G487)+2))</f>
        <v>0</v>
      </c>
      <c r="Q487" s="552">
        <f>IF(X487=0,0,IF(OR(E487=$AT$10,E487=$AT$9),VLOOKUP(YEAR(X487),INPC!$B$4:$P$30,MONTH(X487)+1),VLOOKUP(YEAR(X487),INPC!$B$4:$P$30,MONTH(X487)+2,0)))</f>
        <v>0</v>
      </c>
      <c r="R487" s="309">
        <f t="shared" si="125"/>
        <v>0</v>
      </c>
      <c r="S487" s="310">
        <f t="shared" si="134"/>
        <v>0</v>
      </c>
      <c r="T487" s="547">
        <f t="shared" si="135"/>
        <v>0</v>
      </c>
      <c r="U487" s="311"/>
      <c r="V487" s="312"/>
      <c r="W487" s="299"/>
      <c r="X487" s="300"/>
      <c r="Y487" s="299"/>
      <c r="Z487" s="303"/>
      <c r="AA487" s="305">
        <f>IF(Z487=0,0,IF(Y487="MXN",1/HLOOKUP(YEAR(X487)+(MONTH(X487)/100),TC!$5:$37,DAY(X487)+2,FALSE),VLOOKUP(Y487,Equivalencia!$1:$23,((MAX(Equivalencia!$3:$3)-YEAR(X487))*14)+MONTH(X487)+2,FALSE)))</f>
        <v>0</v>
      </c>
      <c r="AB487" s="306">
        <f t="shared" si="136"/>
        <v>0</v>
      </c>
      <c r="AC487" s="305">
        <f>+IF(X487=0,0,HLOOKUP(YEAR(X487)+(MONTH(X487)/100),TC!$5:$37,DAY(X487)+2,FALSE))</f>
        <v>0</v>
      </c>
      <c r="AD487" s="307">
        <f t="shared" si="137"/>
        <v>0</v>
      </c>
      <c r="AE487" s="314">
        <f t="shared" si="126"/>
        <v>0</v>
      </c>
      <c r="AF487" s="315">
        <f t="shared" si="127"/>
        <v>0</v>
      </c>
      <c r="AG487" s="316">
        <f t="shared" si="128"/>
        <v>0</v>
      </c>
      <c r="AH487" s="314">
        <v>1</v>
      </c>
      <c r="AI487" s="314">
        <f t="shared" si="129"/>
        <v>0</v>
      </c>
      <c r="AJ487" s="314">
        <f t="shared" si="138"/>
        <v>0</v>
      </c>
      <c r="AK487" s="317"/>
      <c r="AL487" s="315">
        <f t="shared" si="130"/>
        <v>0</v>
      </c>
      <c r="AN487" s="546">
        <f t="shared" si="131"/>
        <v>0</v>
      </c>
      <c r="AO487" s="314"/>
      <c r="AP487" s="318"/>
    </row>
    <row r="488" spans="2:42">
      <c r="B488" s="296"/>
      <c r="C488" s="299"/>
      <c r="D488" s="298"/>
      <c r="E488" s="299"/>
      <c r="F488" s="299"/>
      <c r="G488" s="300"/>
      <c r="H488" s="303"/>
      <c r="I488" s="301">
        <f t="shared" si="122"/>
        <v>0</v>
      </c>
      <c r="J488" s="302">
        <f t="shared" si="132"/>
        <v>0</v>
      </c>
      <c r="K488" s="304">
        <f t="shared" si="123"/>
        <v>0</v>
      </c>
      <c r="L488" s="305">
        <f>IF(H488=0,0,IF(OR(E488=$AT$5,E488=$AT$6),AA488,IF(F488="MXN",1/HLOOKUP(YEAR(G488)+(MONTH(G488)/100),TC!$5:$37,DAY(G488)+2,FALSE),VLOOKUP(F488,Equivalencia!$5:$23,((MAX(Equivalencia!$3:$3)-YEAR(G488))*14)+MONTH(G488)+2,FALSE))))</f>
        <v>0</v>
      </c>
      <c r="M488" s="306">
        <f t="shared" si="124"/>
        <v>0</v>
      </c>
      <c r="N488" s="305">
        <f>IF(G488=0,0,(IF(OR(E488=$AT$5,E488=$AT$6),AC488,HLOOKUP(YEAR(G488)+(MONTH(G488)/100),TC!$5:$37,DAY(G488)+2,FALSE))))</f>
        <v>0</v>
      </c>
      <c r="O488" s="307">
        <f t="shared" si="133"/>
        <v>0</v>
      </c>
      <c r="P488" s="552">
        <f>IF(G488=0,0,VLOOKUP(YEAR(G488),INPC!$B$4:$P$30,MONTH(G488)+2))</f>
        <v>0</v>
      </c>
      <c r="Q488" s="552">
        <f>IF(X488=0,0,IF(OR(E488=$AT$10,E488=$AT$9),VLOOKUP(YEAR(X488),INPC!$B$4:$P$30,MONTH(X488)+1),VLOOKUP(YEAR(X488),INPC!$B$4:$P$30,MONTH(X488)+2,0)))</f>
        <v>0</v>
      </c>
      <c r="R488" s="309">
        <f t="shared" si="125"/>
        <v>0</v>
      </c>
      <c r="S488" s="310">
        <f t="shared" si="134"/>
        <v>0</v>
      </c>
      <c r="T488" s="547">
        <f t="shared" si="135"/>
        <v>0</v>
      </c>
      <c r="U488" s="311"/>
      <c r="V488" s="312"/>
      <c r="W488" s="299"/>
      <c r="X488" s="300"/>
      <c r="Y488" s="299"/>
      <c r="Z488" s="303"/>
      <c r="AA488" s="305">
        <f>IF(Z488=0,0,IF(Y488="MXN",1/HLOOKUP(YEAR(X488)+(MONTH(X488)/100),TC!$5:$37,DAY(X488)+2,FALSE),VLOOKUP(Y488,Equivalencia!$1:$23,((MAX(Equivalencia!$3:$3)-YEAR(X488))*14)+MONTH(X488)+2,FALSE)))</f>
        <v>0</v>
      </c>
      <c r="AB488" s="306">
        <f t="shared" si="136"/>
        <v>0</v>
      </c>
      <c r="AC488" s="305">
        <f>+IF(X488=0,0,HLOOKUP(YEAR(X488)+(MONTH(X488)/100),TC!$5:$37,DAY(X488)+2,FALSE))</f>
        <v>0</v>
      </c>
      <c r="AD488" s="307">
        <f t="shared" si="137"/>
        <v>0</v>
      </c>
      <c r="AE488" s="314">
        <f t="shared" si="126"/>
        <v>0</v>
      </c>
      <c r="AF488" s="315">
        <f t="shared" si="127"/>
        <v>0</v>
      </c>
      <c r="AG488" s="316">
        <f t="shared" si="128"/>
        <v>0</v>
      </c>
      <c r="AH488" s="314">
        <v>1</v>
      </c>
      <c r="AI488" s="314">
        <f t="shared" si="129"/>
        <v>0</v>
      </c>
      <c r="AJ488" s="314">
        <f t="shared" si="138"/>
        <v>0</v>
      </c>
      <c r="AK488" s="317"/>
      <c r="AL488" s="315">
        <f t="shared" si="130"/>
        <v>0</v>
      </c>
      <c r="AN488" s="546">
        <f t="shared" si="131"/>
        <v>0</v>
      </c>
      <c r="AO488" s="314"/>
      <c r="AP488" s="318"/>
    </row>
    <row r="489" spans="2:42">
      <c r="B489" s="296"/>
      <c r="C489" s="299"/>
      <c r="D489" s="298"/>
      <c r="E489" s="299"/>
      <c r="F489" s="299"/>
      <c r="G489" s="300"/>
      <c r="H489" s="303"/>
      <c r="I489" s="301">
        <f t="shared" si="122"/>
        <v>0</v>
      </c>
      <c r="J489" s="302">
        <f t="shared" si="132"/>
        <v>0</v>
      </c>
      <c r="K489" s="304">
        <f t="shared" si="123"/>
        <v>0</v>
      </c>
      <c r="L489" s="305">
        <f>IF(H489=0,0,IF(OR(E489=$AT$5,E489=$AT$6),AA489,IF(F489="MXN",1/HLOOKUP(YEAR(G489)+(MONTH(G489)/100),TC!$5:$37,DAY(G489)+2,FALSE),VLOOKUP(F489,Equivalencia!$5:$23,((MAX(Equivalencia!$3:$3)-YEAR(G489))*14)+MONTH(G489)+2,FALSE))))</f>
        <v>0</v>
      </c>
      <c r="M489" s="306">
        <f t="shared" si="124"/>
        <v>0</v>
      </c>
      <c r="N489" s="305">
        <f>IF(G489=0,0,(IF(OR(E489=$AT$5,E489=$AT$6),AC489,HLOOKUP(YEAR(G489)+(MONTH(G489)/100),TC!$5:$37,DAY(G489)+2,FALSE))))</f>
        <v>0</v>
      </c>
      <c r="O489" s="307">
        <f t="shared" si="133"/>
        <v>0</v>
      </c>
      <c r="P489" s="552">
        <f>IF(G489=0,0,VLOOKUP(YEAR(G489),INPC!$B$4:$P$30,MONTH(G489)+2))</f>
        <v>0</v>
      </c>
      <c r="Q489" s="552">
        <f>IF(X489=0,0,IF(OR(E489=$AT$10,E489=$AT$9),VLOOKUP(YEAR(X489),INPC!$B$4:$P$30,MONTH(X489)+1),VLOOKUP(YEAR(X489),INPC!$B$4:$P$30,MONTH(X489)+2,0)))</f>
        <v>0</v>
      </c>
      <c r="R489" s="309">
        <f t="shared" si="125"/>
        <v>0</v>
      </c>
      <c r="S489" s="310">
        <f t="shared" si="134"/>
        <v>0</v>
      </c>
      <c r="T489" s="547">
        <f t="shared" si="135"/>
        <v>0</v>
      </c>
      <c r="U489" s="311"/>
      <c r="V489" s="312"/>
      <c r="W489" s="299"/>
      <c r="X489" s="300"/>
      <c r="Y489" s="299"/>
      <c r="Z489" s="303"/>
      <c r="AA489" s="305">
        <f>IF(Z489=0,0,IF(Y489="MXN",1/HLOOKUP(YEAR(X489)+(MONTH(X489)/100),TC!$5:$37,DAY(X489)+2,FALSE),VLOOKUP(Y489,Equivalencia!$1:$23,((MAX(Equivalencia!$3:$3)-YEAR(X489))*14)+MONTH(X489)+2,FALSE)))</f>
        <v>0</v>
      </c>
      <c r="AB489" s="306">
        <f t="shared" si="136"/>
        <v>0</v>
      </c>
      <c r="AC489" s="305">
        <f>+IF(X489=0,0,HLOOKUP(YEAR(X489)+(MONTH(X489)/100),TC!$5:$37,DAY(X489)+2,FALSE))</f>
        <v>0</v>
      </c>
      <c r="AD489" s="307">
        <f t="shared" si="137"/>
        <v>0</v>
      </c>
      <c r="AE489" s="314">
        <f t="shared" si="126"/>
        <v>0</v>
      </c>
      <c r="AF489" s="315">
        <f t="shared" si="127"/>
        <v>0</v>
      </c>
      <c r="AG489" s="316">
        <f t="shared" si="128"/>
        <v>0</v>
      </c>
      <c r="AH489" s="314">
        <v>1</v>
      </c>
      <c r="AI489" s="314">
        <f t="shared" si="129"/>
        <v>0</v>
      </c>
      <c r="AJ489" s="314">
        <f t="shared" si="138"/>
        <v>0</v>
      </c>
      <c r="AK489" s="317"/>
      <c r="AL489" s="315">
        <f t="shared" si="130"/>
        <v>0</v>
      </c>
      <c r="AN489" s="546">
        <f t="shared" si="131"/>
        <v>0</v>
      </c>
      <c r="AO489" s="314"/>
      <c r="AP489" s="318"/>
    </row>
    <row r="490" spans="2:42">
      <c r="B490" s="296"/>
      <c r="C490" s="299"/>
      <c r="D490" s="298"/>
      <c r="E490" s="299"/>
      <c r="F490" s="299"/>
      <c r="G490" s="300"/>
      <c r="H490" s="303"/>
      <c r="I490" s="301">
        <f t="shared" si="122"/>
        <v>0</v>
      </c>
      <c r="J490" s="302">
        <f t="shared" si="132"/>
        <v>0</v>
      </c>
      <c r="K490" s="304">
        <f t="shared" si="123"/>
        <v>0</v>
      </c>
      <c r="L490" s="305">
        <f>IF(H490=0,0,IF(OR(E490=$AT$5,E490=$AT$6),AA490,IF(F490="MXN",1/HLOOKUP(YEAR(G490)+(MONTH(G490)/100),TC!$5:$37,DAY(G490)+2,FALSE),VLOOKUP(F490,Equivalencia!$5:$23,((MAX(Equivalencia!$3:$3)-YEAR(G490))*14)+MONTH(G490)+2,FALSE))))</f>
        <v>0</v>
      </c>
      <c r="M490" s="306">
        <f t="shared" si="124"/>
        <v>0</v>
      </c>
      <c r="N490" s="305">
        <f>IF(G490=0,0,(IF(OR(E490=$AT$5,E490=$AT$6),AC490,HLOOKUP(YEAR(G490)+(MONTH(G490)/100),TC!$5:$37,DAY(G490)+2,FALSE))))</f>
        <v>0</v>
      </c>
      <c r="O490" s="307">
        <f t="shared" si="133"/>
        <v>0</v>
      </c>
      <c r="P490" s="552">
        <f>IF(G490=0,0,VLOOKUP(YEAR(G490),INPC!$B$4:$P$30,MONTH(G490)+2))</f>
        <v>0</v>
      </c>
      <c r="Q490" s="552">
        <f>IF(X490=0,0,IF(OR(E490=$AT$10,E490=$AT$9),VLOOKUP(YEAR(X490),INPC!$B$4:$P$30,MONTH(X490)+1),VLOOKUP(YEAR(X490),INPC!$B$4:$P$30,MONTH(X490)+2,0)))</f>
        <v>0</v>
      </c>
      <c r="R490" s="309">
        <f t="shared" si="125"/>
        <v>0</v>
      </c>
      <c r="S490" s="310">
        <f t="shared" si="134"/>
        <v>0</v>
      </c>
      <c r="T490" s="547">
        <f t="shared" si="135"/>
        <v>0</v>
      </c>
      <c r="U490" s="311"/>
      <c r="V490" s="312"/>
      <c r="W490" s="299"/>
      <c r="X490" s="300"/>
      <c r="Y490" s="299"/>
      <c r="Z490" s="303"/>
      <c r="AA490" s="305">
        <f>IF(Z490=0,0,IF(Y490="MXN",1/HLOOKUP(YEAR(X490)+(MONTH(X490)/100),TC!$5:$37,DAY(X490)+2,FALSE),VLOOKUP(Y490,Equivalencia!$1:$23,((MAX(Equivalencia!$3:$3)-YEAR(X490))*14)+MONTH(X490)+2,FALSE)))</f>
        <v>0</v>
      </c>
      <c r="AB490" s="306">
        <f t="shared" si="136"/>
        <v>0</v>
      </c>
      <c r="AC490" s="305">
        <f>+IF(X490=0,0,HLOOKUP(YEAR(X490)+(MONTH(X490)/100),TC!$5:$37,DAY(X490)+2,FALSE))</f>
        <v>0</v>
      </c>
      <c r="AD490" s="307">
        <f t="shared" si="137"/>
        <v>0</v>
      </c>
      <c r="AE490" s="314">
        <f t="shared" si="126"/>
        <v>0</v>
      </c>
      <c r="AF490" s="315">
        <f t="shared" si="127"/>
        <v>0</v>
      </c>
      <c r="AG490" s="316">
        <f t="shared" si="128"/>
        <v>0</v>
      </c>
      <c r="AH490" s="314">
        <v>1</v>
      </c>
      <c r="AI490" s="314">
        <f t="shared" si="129"/>
        <v>0</v>
      </c>
      <c r="AJ490" s="314">
        <f t="shared" si="138"/>
        <v>0</v>
      </c>
      <c r="AK490" s="317"/>
      <c r="AL490" s="315">
        <f t="shared" si="130"/>
        <v>0</v>
      </c>
      <c r="AN490" s="546">
        <f t="shared" si="131"/>
        <v>0</v>
      </c>
      <c r="AO490" s="314"/>
      <c r="AP490" s="318"/>
    </row>
    <row r="491" spans="2:42">
      <c r="B491" s="296"/>
      <c r="C491" s="299"/>
      <c r="D491" s="298"/>
      <c r="E491" s="299"/>
      <c r="F491" s="299"/>
      <c r="G491" s="300"/>
      <c r="H491" s="303"/>
      <c r="I491" s="301">
        <f t="shared" si="122"/>
        <v>0</v>
      </c>
      <c r="J491" s="302">
        <f t="shared" si="132"/>
        <v>0</v>
      </c>
      <c r="K491" s="304">
        <f t="shared" si="123"/>
        <v>0</v>
      </c>
      <c r="L491" s="305">
        <f>IF(H491=0,0,IF(OR(E491=$AT$5,E491=$AT$6),AA491,IF(F491="MXN",1/HLOOKUP(YEAR(G491)+(MONTH(G491)/100),TC!$5:$37,DAY(G491)+2,FALSE),VLOOKUP(F491,Equivalencia!$5:$23,((MAX(Equivalencia!$3:$3)-YEAR(G491))*14)+MONTH(G491)+2,FALSE))))</f>
        <v>0</v>
      </c>
      <c r="M491" s="306">
        <f t="shared" si="124"/>
        <v>0</v>
      </c>
      <c r="N491" s="305">
        <f>IF(G491=0,0,(IF(OR(E491=$AT$5,E491=$AT$6),AC491,HLOOKUP(YEAR(G491)+(MONTH(G491)/100),TC!$5:$37,DAY(G491)+2,FALSE))))</f>
        <v>0</v>
      </c>
      <c r="O491" s="307">
        <f t="shared" si="133"/>
        <v>0</v>
      </c>
      <c r="P491" s="552">
        <f>IF(G491=0,0,VLOOKUP(YEAR(G491),INPC!$B$4:$P$30,MONTH(G491)+2))</f>
        <v>0</v>
      </c>
      <c r="Q491" s="552">
        <f>IF(X491=0,0,IF(OR(E491=$AT$10,E491=$AT$9),VLOOKUP(YEAR(X491),INPC!$B$4:$P$30,MONTH(X491)+1),VLOOKUP(YEAR(X491),INPC!$B$4:$P$30,MONTH(X491)+2,0)))</f>
        <v>0</v>
      </c>
      <c r="R491" s="309">
        <f t="shared" si="125"/>
        <v>0</v>
      </c>
      <c r="S491" s="310">
        <f t="shared" si="134"/>
        <v>0</v>
      </c>
      <c r="T491" s="547">
        <f t="shared" si="135"/>
        <v>0</v>
      </c>
      <c r="U491" s="311"/>
      <c r="V491" s="312"/>
      <c r="W491" s="299"/>
      <c r="X491" s="300"/>
      <c r="Y491" s="299"/>
      <c r="Z491" s="303"/>
      <c r="AA491" s="305">
        <f>IF(Z491=0,0,IF(Y491="MXN",1/HLOOKUP(YEAR(X491)+(MONTH(X491)/100),TC!$5:$37,DAY(X491)+2,FALSE),VLOOKUP(Y491,Equivalencia!$1:$23,((MAX(Equivalencia!$3:$3)-YEAR(X491))*14)+MONTH(X491)+2,FALSE)))</f>
        <v>0</v>
      </c>
      <c r="AB491" s="306">
        <f t="shared" si="136"/>
        <v>0</v>
      </c>
      <c r="AC491" s="305">
        <f>+IF(X491=0,0,HLOOKUP(YEAR(X491)+(MONTH(X491)/100),TC!$5:$37,DAY(X491)+2,FALSE))</f>
        <v>0</v>
      </c>
      <c r="AD491" s="307">
        <f t="shared" si="137"/>
        <v>0</v>
      </c>
      <c r="AE491" s="314">
        <f t="shared" si="126"/>
        <v>0</v>
      </c>
      <c r="AF491" s="315">
        <f t="shared" si="127"/>
        <v>0</v>
      </c>
      <c r="AG491" s="316">
        <f t="shared" si="128"/>
        <v>0</v>
      </c>
      <c r="AH491" s="314">
        <v>1</v>
      </c>
      <c r="AI491" s="314">
        <f t="shared" si="129"/>
        <v>0</v>
      </c>
      <c r="AJ491" s="314">
        <f t="shared" si="138"/>
        <v>0</v>
      </c>
      <c r="AK491" s="317"/>
      <c r="AL491" s="315">
        <f t="shared" si="130"/>
        <v>0</v>
      </c>
      <c r="AN491" s="546">
        <f t="shared" si="131"/>
        <v>0</v>
      </c>
      <c r="AO491" s="314"/>
      <c r="AP491" s="318"/>
    </row>
    <row r="492" spans="2:42">
      <c r="B492" s="296"/>
      <c r="C492" s="299"/>
      <c r="D492" s="298"/>
      <c r="E492" s="299"/>
      <c r="F492" s="299"/>
      <c r="G492" s="300"/>
      <c r="H492" s="303"/>
      <c r="I492" s="301">
        <f t="shared" si="122"/>
        <v>0</v>
      </c>
      <c r="J492" s="302">
        <f t="shared" si="132"/>
        <v>0</v>
      </c>
      <c r="K492" s="304">
        <f t="shared" si="123"/>
        <v>0</v>
      </c>
      <c r="L492" s="305">
        <f>IF(H492=0,0,IF(OR(E492=$AT$5,E492=$AT$6),AA492,IF(F492="MXN",1/HLOOKUP(YEAR(G492)+(MONTH(G492)/100),TC!$5:$37,DAY(G492)+2,FALSE),VLOOKUP(F492,Equivalencia!$5:$23,((MAX(Equivalencia!$3:$3)-YEAR(G492))*14)+MONTH(G492)+2,FALSE))))</f>
        <v>0</v>
      </c>
      <c r="M492" s="306">
        <f t="shared" si="124"/>
        <v>0</v>
      </c>
      <c r="N492" s="305">
        <f>IF(G492=0,0,(IF(OR(E492=$AT$5,E492=$AT$6),AC492,HLOOKUP(YEAR(G492)+(MONTH(G492)/100),TC!$5:$37,DAY(G492)+2,FALSE))))</f>
        <v>0</v>
      </c>
      <c r="O492" s="307">
        <f t="shared" si="133"/>
        <v>0</v>
      </c>
      <c r="P492" s="552">
        <f>IF(G492=0,0,VLOOKUP(YEAR(G492),INPC!$B$4:$P$30,MONTH(G492)+2))</f>
        <v>0</v>
      </c>
      <c r="Q492" s="552">
        <f>IF(X492=0,0,IF(OR(E492=$AT$10,E492=$AT$9),VLOOKUP(YEAR(X492),INPC!$B$4:$P$30,MONTH(X492)+1),VLOOKUP(YEAR(X492),INPC!$B$4:$P$30,MONTH(X492)+2,0)))</f>
        <v>0</v>
      </c>
      <c r="R492" s="309">
        <f t="shared" si="125"/>
        <v>0</v>
      </c>
      <c r="S492" s="310">
        <f t="shared" si="134"/>
        <v>0</v>
      </c>
      <c r="T492" s="547">
        <f t="shared" si="135"/>
        <v>0</v>
      </c>
      <c r="U492" s="311"/>
      <c r="V492" s="312"/>
      <c r="W492" s="299"/>
      <c r="X492" s="300"/>
      <c r="Y492" s="299"/>
      <c r="Z492" s="303"/>
      <c r="AA492" s="305">
        <f>IF(Z492=0,0,IF(Y492="MXN",1/HLOOKUP(YEAR(X492)+(MONTH(X492)/100),TC!$5:$37,DAY(X492)+2,FALSE),VLOOKUP(Y492,Equivalencia!$1:$23,((MAX(Equivalencia!$3:$3)-YEAR(X492))*14)+MONTH(X492)+2,FALSE)))</f>
        <v>0</v>
      </c>
      <c r="AB492" s="306">
        <f t="shared" si="136"/>
        <v>0</v>
      </c>
      <c r="AC492" s="305">
        <f>+IF(X492=0,0,HLOOKUP(YEAR(X492)+(MONTH(X492)/100),TC!$5:$37,DAY(X492)+2,FALSE))</f>
        <v>0</v>
      </c>
      <c r="AD492" s="307">
        <f t="shared" si="137"/>
        <v>0</v>
      </c>
      <c r="AE492" s="314">
        <f t="shared" si="126"/>
        <v>0</v>
      </c>
      <c r="AF492" s="315">
        <f t="shared" si="127"/>
        <v>0</v>
      </c>
      <c r="AG492" s="316">
        <f t="shared" si="128"/>
        <v>0</v>
      </c>
      <c r="AH492" s="314">
        <v>1</v>
      </c>
      <c r="AI492" s="314">
        <f t="shared" si="129"/>
        <v>0</v>
      </c>
      <c r="AJ492" s="314">
        <f t="shared" si="138"/>
        <v>0</v>
      </c>
      <c r="AK492" s="317"/>
      <c r="AL492" s="315">
        <f t="shared" si="130"/>
        <v>0</v>
      </c>
      <c r="AN492" s="546">
        <f t="shared" si="131"/>
        <v>0</v>
      </c>
      <c r="AO492" s="314"/>
      <c r="AP492" s="318"/>
    </row>
    <row r="493" spans="2:42">
      <c r="B493" s="296"/>
      <c r="C493" s="299"/>
      <c r="D493" s="298"/>
      <c r="E493" s="299"/>
      <c r="F493" s="299"/>
      <c r="G493" s="300"/>
      <c r="H493" s="303"/>
      <c r="I493" s="301">
        <f t="shared" si="122"/>
        <v>0</v>
      </c>
      <c r="J493" s="302">
        <f t="shared" si="132"/>
        <v>0</v>
      </c>
      <c r="K493" s="304">
        <f t="shared" si="123"/>
        <v>0</v>
      </c>
      <c r="L493" s="305">
        <f>IF(H493=0,0,IF(OR(E493=$AT$5,E493=$AT$6),AA493,IF(F493="MXN",1/HLOOKUP(YEAR(G493)+(MONTH(G493)/100),TC!$5:$37,DAY(G493)+2,FALSE),VLOOKUP(F493,Equivalencia!$5:$23,((MAX(Equivalencia!$3:$3)-YEAR(G493))*14)+MONTH(G493)+2,FALSE))))</f>
        <v>0</v>
      </c>
      <c r="M493" s="306">
        <f t="shared" si="124"/>
        <v>0</v>
      </c>
      <c r="N493" s="305">
        <f>IF(G493=0,0,(IF(OR(E493=$AT$5,E493=$AT$6),AC493,HLOOKUP(YEAR(G493)+(MONTH(G493)/100),TC!$5:$37,DAY(G493)+2,FALSE))))</f>
        <v>0</v>
      </c>
      <c r="O493" s="307">
        <f t="shared" si="133"/>
        <v>0</v>
      </c>
      <c r="P493" s="552">
        <f>IF(G493=0,0,VLOOKUP(YEAR(G493),INPC!$B$4:$P$30,MONTH(G493)+2))</f>
        <v>0</v>
      </c>
      <c r="Q493" s="552">
        <f>IF(X493=0,0,IF(OR(E493=$AT$10,E493=$AT$9),VLOOKUP(YEAR(X493),INPC!$B$4:$P$30,MONTH(X493)+1),VLOOKUP(YEAR(X493),INPC!$B$4:$P$30,MONTH(X493)+2,0)))</f>
        <v>0</v>
      </c>
      <c r="R493" s="309">
        <f t="shared" si="125"/>
        <v>0</v>
      </c>
      <c r="S493" s="310">
        <f t="shared" si="134"/>
        <v>0</v>
      </c>
      <c r="T493" s="547">
        <f t="shared" si="135"/>
        <v>0</v>
      </c>
      <c r="U493" s="311"/>
      <c r="V493" s="312"/>
      <c r="W493" s="299"/>
      <c r="X493" s="300"/>
      <c r="Y493" s="299"/>
      <c r="Z493" s="303"/>
      <c r="AA493" s="305">
        <f>IF(Z493=0,0,IF(Y493="MXN",1/HLOOKUP(YEAR(X493)+(MONTH(X493)/100),TC!$5:$37,DAY(X493)+2,FALSE),VLOOKUP(Y493,Equivalencia!$1:$23,((MAX(Equivalencia!$3:$3)-YEAR(X493))*14)+MONTH(X493)+2,FALSE)))</f>
        <v>0</v>
      </c>
      <c r="AB493" s="306">
        <f t="shared" si="136"/>
        <v>0</v>
      </c>
      <c r="AC493" s="305">
        <f>+IF(X493=0,0,HLOOKUP(YEAR(X493)+(MONTH(X493)/100),TC!$5:$37,DAY(X493)+2,FALSE))</f>
        <v>0</v>
      </c>
      <c r="AD493" s="307">
        <f t="shared" si="137"/>
        <v>0</v>
      </c>
      <c r="AE493" s="314">
        <f t="shared" si="126"/>
        <v>0</v>
      </c>
      <c r="AF493" s="315">
        <f t="shared" si="127"/>
        <v>0</v>
      </c>
      <c r="AG493" s="316">
        <f t="shared" si="128"/>
        <v>0</v>
      </c>
      <c r="AH493" s="314">
        <v>1</v>
      </c>
      <c r="AI493" s="314">
        <f t="shared" si="129"/>
        <v>0</v>
      </c>
      <c r="AJ493" s="314">
        <f t="shared" si="138"/>
        <v>0</v>
      </c>
      <c r="AK493" s="317"/>
      <c r="AL493" s="315">
        <f t="shared" si="130"/>
        <v>0</v>
      </c>
      <c r="AN493" s="546">
        <f t="shared" si="131"/>
        <v>0</v>
      </c>
      <c r="AO493" s="314"/>
      <c r="AP493" s="318"/>
    </row>
    <row r="494" spans="2:42">
      <c r="B494" s="296"/>
      <c r="C494" s="299"/>
      <c r="D494" s="298"/>
      <c r="E494" s="299"/>
      <c r="F494" s="299"/>
      <c r="G494" s="300"/>
      <c r="H494" s="303"/>
      <c r="I494" s="301">
        <f t="shared" si="122"/>
        <v>0</v>
      </c>
      <c r="J494" s="302">
        <f t="shared" si="132"/>
        <v>0</v>
      </c>
      <c r="K494" s="304">
        <f t="shared" si="123"/>
        <v>0</v>
      </c>
      <c r="L494" s="305">
        <f>IF(H494=0,0,IF(OR(E494=$AT$5,E494=$AT$6),AA494,IF(F494="MXN",1/HLOOKUP(YEAR(G494)+(MONTH(G494)/100),TC!$5:$37,DAY(G494)+2,FALSE),VLOOKUP(F494,Equivalencia!$5:$23,((MAX(Equivalencia!$3:$3)-YEAR(G494))*14)+MONTH(G494)+2,FALSE))))</f>
        <v>0</v>
      </c>
      <c r="M494" s="306">
        <f t="shared" si="124"/>
        <v>0</v>
      </c>
      <c r="N494" s="305">
        <f>IF(G494=0,0,(IF(OR(E494=$AT$5,E494=$AT$6),AC494,HLOOKUP(YEAR(G494)+(MONTH(G494)/100),TC!$5:$37,DAY(G494)+2,FALSE))))</f>
        <v>0</v>
      </c>
      <c r="O494" s="307">
        <f t="shared" si="133"/>
        <v>0</v>
      </c>
      <c r="P494" s="552">
        <f>IF(G494=0,0,VLOOKUP(YEAR(G494),INPC!$B$4:$P$30,MONTH(G494)+2))</f>
        <v>0</v>
      </c>
      <c r="Q494" s="552">
        <f>IF(X494=0,0,IF(OR(E494=$AT$10,E494=$AT$9),VLOOKUP(YEAR(X494),INPC!$B$4:$P$30,MONTH(X494)+1),VLOOKUP(YEAR(X494),INPC!$B$4:$P$30,MONTH(X494)+2,0)))</f>
        <v>0</v>
      </c>
      <c r="R494" s="309">
        <f t="shared" si="125"/>
        <v>0</v>
      </c>
      <c r="S494" s="310">
        <f t="shared" si="134"/>
        <v>0</v>
      </c>
      <c r="T494" s="547">
        <f t="shared" si="135"/>
        <v>0</v>
      </c>
      <c r="U494" s="311"/>
      <c r="V494" s="312"/>
      <c r="W494" s="299"/>
      <c r="X494" s="300"/>
      <c r="Y494" s="299"/>
      <c r="Z494" s="303"/>
      <c r="AA494" s="305">
        <f>IF(Z494=0,0,IF(Y494="MXN",1/HLOOKUP(YEAR(X494)+(MONTH(X494)/100),TC!$5:$37,DAY(X494)+2,FALSE),VLOOKUP(Y494,Equivalencia!$1:$23,((MAX(Equivalencia!$3:$3)-YEAR(X494))*14)+MONTH(X494)+2,FALSE)))</f>
        <v>0</v>
      </c>
      <c r="AB494" s="306">
        <f t="shared" si="136"/>
        <v>0</v>
      </c>
      <c r="AC494" s="305">
        <f>+IF(X494=0,0,HLOOKUP(YEAR(X494)+(MONTH(X494)/100),TC!$5:$37,DAY(X494)+2,FALSE))</f>
        <v>0</v>
      </c>
      <c r="AD494" s="307">
        <f t="shared" si="137"/>
        <v>0</v>
      </c>
      <c r="AE494" s="314">
        <f t="shared" si="126"/>
        <v>0</v>
      </c>
      <c r="AF494" s="315">
        <f t="shared" si="127"/>
        <v>0</v>
      </c>
      <c r="AG494" s="316">
        <f t="shared" si="128"/>
        <v>0</v>
      </c>
      <c r="AH494" s="314">
        <v>1</v>
      </c>
      <c r="AI494" s="314">
        <f t="shared" si="129"/>
        <v>0</v>
      </c>
      <c r="AJ494" s="314">
        <f t="shared" si="138"/>
        <v>0</v>
      </c>
      <c r="AK494" s="317"/>
      <c r="AL494" s="315">
        <f t="shared" si="130"/>
        <v>0</v>
      </c>
      <c r="AN494" s="546">
        <f t="shared" si="131"/>
        <v>0</v>
      </c>
      <c r="AO494" s="314"/>
      <c r="AP494" s="318"/>
    </row>
    <row r="495" spans="2:42">
      <c r="B495" s="296"/>
      <c r="C495" s="299"/>
      <c r="D495" s="298"/>
      <c r="E495" s="299"/>
      <c r="F495" s="299"/>
      <c r="G495" s="300"/>
      <c r="H495" s="303"/>
      <c r="I495" s="301">
        <f t="shared" si="122"/>
        <v>0</v>
      </c>
      <c r="J495" s="302">
        <f t="shared" si="132"/>
        <v>0</v>
      </c>
      <c r="K495" s="304">
        <f t="shared" si="123"/>
        <v>0</v>
      </c>
      <c r="L495" s="305">
        <f>IF(H495=0,0,IF(OR(E495=$AT$5,E495=$AT$6),AA495,IF(F495="MXN",1/HLOOKUP(YEAR(G495)+(MONTH(G495)/100),TC!$5:$37,DAY(G495)+2,FALSE),VLOOKUP(F495,Equivalencia!$5:$23,((MAX(Equivalencia!$3:$3)-YEAR(G495))*14)+MONTH(G495)+2,FALSE))))</f>
        <v>0</v>
      </c>
      <c r="M495" s="306">
        <f t="shared" si="124"/>
        <v>0</v>
      </c>
      <c r="N495" s="305">
        <f>IF(G495=0,0,(IF(OR(E495=$AT$5,E495=$AT$6),AC495,HLOOKUP(YEAR(G495)+(MONTH(G495)/100),TC!$5:$37,DAY(G495)+2,FALSE))))</f>
        <v>0</v>
      </c>
      <c r="O495" s="307">
        <f t="shared" si="133"/>
        <v>0</v>
      </c>
      <c r="P495" s="552">
        <f>IF(G495=0,0,VLOOKUP(YEAR(G495),INPC!$B$4:$P$30,MONTH(G495)+2))</f>
        <v>0</v>
      </c>
      <c r="Q495" s="552">
        <f>IF(X495=0,0,IF(OR(E495=$AT$10,E495=$AT$9),VLOOKUP(YEAR(X495),INPC!$B$4:$P$30,MONTH(X495)+1),VLOOKUP(YEAR(X495),INPC!$B$4:$P$30,MONTH(X495)+2,0)))</f>
        <v>0</v>
      </c>
      <c r="R495" s="309">
        <f t="shared" si="125"/>
        <v>0</v>
      </c>
      <c r="S495" s="310">
        <f t="shared" si="134"/>
        <v>0</v>
      </c>
      <c r="T495" s="547">
        <f t="shared" si="135"/>
        <v>0</v>
      </c>
      <c r="U495" s="311"/>
      <c r="V495" s="312"/>
      <c r="W495" s="299"/>
      <c r="X495" s="300"/>
      <c r="Y495" s="299"/>
      <c r="Z495" s="303"/>
      <c r="AA495" s="305">
        <f>IF(Z495=0,0,IF(Y495="MXN",1/HLOOKUP(YEAR(X495)+(MONTH(X495)/100),TC!$5:$37,DAY(X495)+2,FALSE),VLOOKUP(Y495,Equivalencia!$1:$23,((MAX(Equivalencia!$3:$3)-YEAR(X495))*14)+MONTH(X495)+2,FALSE)))</f>
        <v>0</v>
      </c>
      <c r="AB495" s="306">
        <f t="shared" si="136"/>
        <v>0</v>
      </c>
      <c r="AC495" s="305">
        <f>+IF(X495=0,0,HLOOKUP(YEAR(X495)+(MONTH(X495)/100),TC!$5:$37,DAY(X495)+2,FALSE))</f>
        <v>0</v>
      </c>
      <c r="AD495" s="307">
        <f t="shared" si="137"/>
        <v>0</v>
      </c>
      <c r="AE495" s="314">
        <f t="shared" si="126"/>
        <v>0</v>
      </c>
      <c r="AF495" s="315">
        <f t="shared" si="127"/>
        <v>0</v>
      </c>
      <c r="AG495" s="316">
        <f t="shared" si="128"/>
        <v>0</v>
      </c>
      <c r="AH495" s="314">
        <v>1</v>
      </c>
      <c r="AI495" s="314">
        <f t="shared" si="129"/>
        <v>0</v>
      </c>
      <c r="AJ495" s="314">
        <f t="shared" si="138"/>
        <v>0</v>
      </c>
      <c r="AK495" s="317"/>
      <c r="AL495" s="315">
        <f t="shared" si="130"/>
        <v>0</v>
      </c>
      <c r="AN495" s="546">
        <f t="shared" si="131"/>
        <v>0</v>
      </c>
      <c r="AO495" s="314"/>
      <c r="AP495" s="318"/>
    </row>
    <row r="496" spans="2:42">
      <c r="B496" s="296"/>
      <c r="C496" s="299"/>
      <c r="D496" s="298"/>
      <c r="E496" s="299"/>
      <c r="F496" s="299"/>
      <c r="G496" s="300"/>
      <c r="H496" s="303"/>
      <c r="I496" s="301">
        <f t="shared" si="122"/>
        <v>0</v>
      </c>
      <c r="J496" s="302">
        <f t="shared" si="132"/>
        <v>0</v>
      </c>
      <c r="K496" s="304">
        <f t="shared" si="123"/>
        <v>0</v>
      </c>
      <c r="L496" s="305">
        <f>IF(H496=0,0,IF(OR(E496=$AT$5,E496=$AT$6),AA496,IF(F496="MXN",1/HLOOKUP(YEAR(G496)+(MONTH(G496)/100),TC!$5:$37,DAY(G496)+2,FALSE),VLOOKUP(F496,Equivalencia!$5:$23,((MAX(Equivalencia!$3:$3)-YEAR(G496))*14)+MONTH(G496)+2,FALSE))))</f>
        <v>0</v>
      </c>
      <c r="M496" s="306">
        <f t="shared" si="124"/>
        <v>0</v>
      </c>
      <c r="N496" s="305">
        <f>IF(G496=0,0,(IF(OR(E496=$AT$5,E496=$AT$6),AC496,HLOOKUP(YEAR(G496)+(MONTH(G496)/100),TC!$5:$37,DAY(G496)+2,FALSE))))</f>
        <v>0</v>
      </c>
      <c r="O496" s="307">
        <f t="shared" si="133"/>
        <v>0</v>
      </c>
      <c r="P496" s="552">
        <f>IF(G496=0,0,VLOOKUP(YEAR(G496),INPC!$B$4:$P$30,MONTH(G496)+2))</f>
        <v>0</v>
      </c>
      <c r="Q496" s="552">
        <f>IF(X496=0,0,IF(OR(E496=$AT$10,E496=$AT$9),VLOOKUP(YEAR(X496),INPC!$B$4:$P$30,MONTH(X496)+1),VLOOKUP(YEAR(X496),INPC!$B$4:$P$30,MONTH(X496)+2,0)))</f>
        <v>0</v>
      </c>
      <c r="R496" s="309">
        <f t="shared" si="125"/>
        <v>0</v>
      </c>
      <c r="S496" s="310">
        <f t="shared" si="134"/>
        <v>0</v>
      </c>
      <c r="T496" s="547">
        <f t="shared" si="135"/>
        <v>0</v>
      </c>
      <c r="U496" s="311"/>
      <c r="V496" s="312"/>
      <c r="W496" s="299"/>
      <c r="X496" s="300"/>
      <c r="Y496" s="299"/>
      <c r="Z496" s="303"/>
      <c r="AA496" s="305">
        <f>IF(Z496=0,0,IF(Y496="MXN",1/HLOOKUP(YEAR(X496)+(MONTH(X496)/100),TC!$5:$37,DAY(X496)+2,FALSE),VLOOKUP(Y496,Equivalencia!$1:$23,((MAX(Equivalencia!$3:$3)-YEAR(X496))*14)+MONTH(X496)+2,FALSE)))</f>
        <v>0</v>
      </c>
      <c r="AB496" s="306">
        <f t="shared" si="136"/>
        <v>0</v>
      </c>
      <c r="AC496" s="305">
        <f>+IF(X496=0,0,HLOOKUP(YEAR(X496)+(MONTH(X496)/100),TC!$5:$37,DAY(X496)+2,FALSE))</f>
        <v>0</v>
      </c>
      <c r="AD496" s="307">
        <f t="shared" si="137"/>
        <v>0</v>
      </c>
      <c r="AE496" s="314">
        <f t="shared" si="126"/>
        <v>0</v>
      </c>
      <c r="AF496" s="315">
        <f t="shared" si="127"/>
        <v>0</v>
      </c>
      <c r="AG496" s="316">
        <f t="shared" si="128"/>
        <v>0</v>
      </c>
      <c r="AH496" s="314">
        <v>1</v>
      </c>
      <c r="AI496" s="314">
        <f t="shared" si="129"/>
        <v>0</v>
      </c>
      <c r="AJ496" s="314">
        <f t="shared" si="138"/>
        <v>0</v>
      </c>
      <c r="AK496" s="317"/>
      <c r="AL496" s="315">
        <f t="shared" si="130"/>
        <v>0</v>
      </c>
      <c r="AN496" s="546">
        <f t="shared" si="131"/>
        <v>0</v>
      </c>
      <c r="AO496" s="314"/>
      <c r="AP496" s="318"/>
    </row>
    <row r="497" spans="2:42">
      <c r="B497" s="296"/>
      <c r="C497" s="299"/>
      <c r="D497" s="298"/>
      <c r="E497" s="299"/>
      <c r="F497" s="299"/>
      <c r="G497" s="300"/>
      <c r="H497" s="303"/>
      <c r="I497" s="301">
        <f t="shared" si="122"/>
        <v>0</v>
      </c>
      <c r="J497" s="302">
        <f t="shared" si="132"/>
        <v>0</v>
      </c>
      <c r="K497" s="304">
        <f t="shared" si="123"/>
        <v>0</v>
      </c>
      <c r="L497" s="305">
        <f>IF(H497=0,0,IF(OR(E497=$AT$5,E497=$AT$6),AA497,IF(F497="MXN",1/HLOOKUP(YEAR(G497)+(MONTH(G497)/100),TC!$5:$37,DAY(G497)+2,FALSE),VLOOKUP(F497,Equivalencia!$5:$23,((MAX(Equivalencia!$3:$3)-YEAR(G497))*14)+MONTH(G497)+2,FALSE))))</f>
        <v>0</v>
      </c>
      <c r="M497" s="306">
        <f t="shared" si="124"/>
        <v>0</v>
      </c>
      <c r="N497" s="305">
        <f>IF(G497=0,0,(IF(OR(E497=$AT$5,E497=$AT$6),AC497,HLOOKUP(YEAR(G497)+(MONTH(G497)/100),TC!$5:$37,DAY(G497)+2,FALSE))))</f>
        <v>0</v>
      </c>
      <c r="O497" s="307">
        <f t="shared" si="133"/>
        <v>0</v>
      </c>
      <c r="P497" s="552">
        <f>IF(G497=0,0,VLOOKUP(YEAR(G497),INPC!$B$4:$P$30,MONTH(G497)+2))</f>
        <v>0</v>
      </c>
      <c r="Q497" s="552">
        <f>IF(X497=0,0,IF(OR(E497=$AT$10,E497=$AT$9),VLOOKUP(YEAR(X497),INPC!$B$4:$P$30,MONTH(X497)+1),VLOOKUP(YEAR(X497),INPC!$B$4:$P$30,MONTH(X497)+2,0)))</f>
        <v>0</v>
      </c>
      <c r="R497" s="309">
        <f t="shared" si="125"/>
        <v>0</v>
      </c>
      <c r="S497" s="310">
        <f t="shared" si="134"/>
        <v>0</v>
      </c>
      <c r="T497" s="547">
        <f t="shared" si="135"/>
        <v>0</v>
      </c>
      <c r="U497" s="311"/>
      <c r="V497" s="312"/>
      <c r="W497" s="299"/>
      <c r="X497" s="300"/>
      <c r="Y497" s="299"/>
      <c r="Z497" s="303"/>
      <c r="AA497" s="305">
        <f>IF(Z497=0,0,IF(Y497="MXN",1/HLOOKUP(YEAR(X497)+(MONTH(X497)/100),TC!$5:$37,DAY(X497)+2,FALSE),VLOOKUP(Y497,Equivalencia!$1:$23,((MAX(Equivalencia!$3:$3)-YEAR(X497))*14)+MONTH(X497)+2,FALSE)))</f>
        <v>0</v>
      </c>
      <c r="AB497" s="306">
        <f t="shared" si="136"/>
        <v>0</v>
      </c>
      <c r="AC497" s="305">
        <f>+IF(X497=0,0,HLOOKUP(YEAR(X497)+(MONTH(X497)/100),TC!$5:$37,DAY(X497)+2,FALSE))</f>
        <v>0</v>
      </c>
      <c r="AD497" s="307">
        <f t="shared" si="137"/>
        <v>0</v>
      </c>
      <c r="AE497" s="314">
        <f t="shared" si="126"/>
        <v>0</v>
      </c>
      <c r="AF497" s="315">
        <f t="shared" si="127"/>
        <v>0</v>
      </c>
      <c r="AG497" s="316">
        <f t="shared" si="128"/>
        <v>0</v>
      </c>
      <c r="AH497" s="314">
        <v>1</v>
      </c>
      <c r="AI497" s="314">
        <f t="shared" si="129"/>
        <v>0</v>
      </c>
      <c r="AJ497" s="314">
        <f t="shared" si="138"/>
        <v>0</v>
      </c>
      <c r="AK497" s="317"/>
      <c r="AL497" s="315">
        <f t="shared" si="130"/>
        <v>0</v>
      </c>
      <c r="AN497" s="546">
        <f t="shared" si="131"/>
        <v>0</v>
      </c>
      <c r="AO497" s="314"/>
      <c r="AP497" s="318"/>
    </row>
    <row r="498" spans="2:42">
      <c r="B498" s="296"/>
      <c r="C498" s="299"/>
      <c r="D498" s="298"/>
      <c r="E498" s="299"/>
      <c r="F498" s="299"/>
      <c r="G498" s="300"/>
      <c r="H498" s="303"/>
      <c r="I498" s="301">
        <f t="shared" si="122"/>
        <v>0</v>
      </c>
      <c r="J498" s="302">
        <f t="shared" si="132"/>
        <v>0</v>
      </c>
      <c r="K498" s="304">
        <f t="shared" si="123"/>
        <v>0</v>
      </c>
      <c r="L498" s="305">
        <f>IF(H498=0,0,IF(OR(E498=$AT$5,E498=$AT$6),AA498,IF(F498="MXN",1/HLOOKUP(YEAR(G498)+(MONTH(G498)/100),TC!$5:$37,DAY(G498)+2,FALSE),VLOOKUP(F498,Equivalencia!$5:$23,((MAX(Equivalencia!$3:$3)-YEAR(G498))*14)+MONTH(G498)+2,FALSE))))</f>
        <v>0</v>
      </c>
      <c r="M498" s="306">
        <f t="shared" si="124"/>
        <v>0</v>
      </c>
      <c r="N498" s="305">
        <f>IF(G498=0,0,(IF(OR(E498=$AT$5,E498=$AT$6),AC498,HLOOKUP(YEAR(G498)+(MONTH(G498)/100),TC!$5:$37,DAY(G498)+2,FALSE))))</f>
        <v>0</v>
      </c>
      <c r="O498" s="307">
        <f t="shared" si="133"/>
        <v>0</v>
      </c>
      <c r="P498" s="552">
        <f>IF(G498=0,0,VLOOKUP(YEAR(G498),INPC!$B$4:$P$30,MONTH(G498)+2))</f>
        <v>0</v>
      </c>
      <c r="Q498" s="552">
        <f>IF(X498=0,0,IF(OR(E498=$AT$10,E498=$AT$9),VLOOKUP(YEAR(X498),INPC!$B$4:$P$30,MONTH(X498)+1),VLOOKUP(YEAR(X498),INPC!$B$4:$P$30,MONTH(X498)+2,0)))</f>
        <v>0</v>
      </c>
      <c r="R498" s="309">
        <f t="shared" si="125"/>
        <v>0</v>
      </c>
      <c r="S498" s="310">
        <f t="shared" si="134"/>
        <v>0</v>
      </c>
      <c r="T498" s="547">
        <f t="shared" si="135"/>
        <v>0</v>
      </c>
      <c r="U498" s="311"/>
      <c r="V498" s="312"/>
      <c r="W498" s="299"/>
      <c r="X498" s="300"/>
      <c r="Y498" s="299"/>
      <c r="Z498" s="303"/>
      <c r="AA498" s="305">
        <f>IF(Z498=0,0,IF(Y498="MXN",1/HLOOKUP(YEAR(X498)+(MONTH(X498)/100),TC!$5:$37,DAY(X498)+2,FALSE),VLOOKUP(Y498,Equivalencia!$1:$23,((MAX(Equivalencia!$3:$3)-YEAR(X498))*14)+MONTH(X498)+2,FALSE)))</f>
        <v>0</v>
      </c>
      <c r="AB498" s="306">
        <f t="shared" si="136"/>
        <v>0</v>
      </c>
      <c r="AC498" s="305">
        <f>+IF(X498=0,0,HLOOKUP(YEAR(X498)+(MONTH(X498)/100),TC!$5:$37,DAY(X498)+2,FALSE))</f>
        <v>0</v>
      </c>
      <c r="AD498" s="307">
        <f t="shared" si="137"/>
        <v>0</v>
      </c>
      <c r="AE498" s="314">
        <f t="shared" si="126"/>
        <v>0</v>
      </c>
      <c r="AF498" s="315">
        <f t="shared" si="127"/>
        <v>0</v>
      </c>
      <c r="AG498" s="316">
        <f t="shared" si="128"/>
        <v>0</v>
      </c>
      <c r="AH498" s="314">
        <v>1</v>
      </c>
      <c r="AI498" s="314">
        <f t="shared" si="129"/>
        <v>0</v>
      </c>
      <c r="AJ498" s="314">
        <f t="shared" si="138"/>
        <v>0</v>
      </c>
      <c r="AK498" s="317"/>
      <c r="AL498" s="315">
        <f t="shared" si="130"/>
        <v>0</v>
      </c>
      <c r="AN498" s="546">
        <f t="shared" si="131"/>
        <v>0</v>
      </c>
      <c r="AO498" s="314"/>
      <c r="AP498" s="318"/>
    </row>
    <row r="499" spans="2:42">
      <c r="B499" s="296"/>
      <c r="C499" s="299"/>
      <c r="D499" s="298"/>
      <c r="E499" s="299"/>
      <c r="F499" s="299"/>
      <c r="G499" s="300"/>
      <c r="H499" s="303"/>
      <c r="I499" s="301">
        <f t="shared" si="122"/>
        <v>0</v>
      </c>
      <c r="J499" s="302">
        <f t="shared" si="132"/>
        <v>0</v>
      </c>
      <c r="K499" s="304">
        <f t="shared" si="123"/>
        <v>0</v>
      </c>
      <c r="L499" s="305">
        <f>IF(H499=0,0,IF(OR(E499=$AT$5,E499=$AT$6),AA499,IF(F499="MXN",1/HLOOKUP(YEAR(G499)+(MONTH(G499)/100),TC!$5:$37,DAY(G499)+2,FALSE),VLOOKUP(F499,Equivalencia!$5:$23,((MAX(Equivalencia!$3:$3)-YEAR(G499))*14)+MONTH(G499)+2,FALSE))))</f>
        <v>0</v>
      </c>
      <c r="M499" s="306">
        <f t="shared" si="124"/>
        <v>0</v>
      </c>
      <c r="N499" s="305">
        <f>IF(G499=0,0,(IF(OR(E499=$AT$5,E499=$AT$6),AC499,HLOOKUP(YEAR(G499)+(MONTH(G499)/100),TC!$5:$37,DAY(G499)+2,FALSE))))</f>
        <v>0</v>
      </c>
      <c r="O499" s="307">
        <f t="shared" si="133"/>
        <v>0</v>
      </c>
      <c r="P499" s="552">
        <f>IF(G499=0,0,VLOOKUP(YEAR(G499),INPC!$B$4:$P$30,MONTH(G499)+2))</f>
        <v>0</v>
      </c>
      <c r="Q499" s="552">
        <f>IF(X499=0,0,IF(OR(E499=$AT$10,E499=$AT$9),VLOOKUP(YEAR(X499),INPC!$B$4:$P$30,MONTH(X499)+1),VLOOKUP(YEAR(X499),INPC!$B$4:$P$30,MONTH(X499)+2,0)))</f>
        <v>0</v>
      </c>
      <c r="R499" s="309">
        <f t="shared" si="125"/>
        <v>0</v>
      </c>
      <c r="S499" s="310">
        <f t="shared" si="134"/>
        <v>0</v>
      </c>
      <c r="T499" s="547">
        <f t="shared" si="135"/>
        <v>0</v>
      </c>
      <c r="U499" s="311"/>
      <c r="V499" s="312"/>
      <c r="W499" s="299"/>
      <c r="X499" s="300"/>
      <c r="Y499" s="299"/>
      <c r="Z499" s="303"/>
      <c r="AA499" s="305">
        <f>IF(Z499=0,0,IF(Y499="MXN",1/HLOOKUP(YEAR(X499)+(MONTH(X499)/100),TC!$5:$37,DAY(X499)+2,FALSE),VLOOKUP(Y499,Equivalencia!$1:$23,((MAX(Equivalencia!$3:$3)-YEAR(X499))*14)+MONTH(X499)+2,FALSE)))</f>
        <v>0</v>
      </c>
      <c r="AB499" s="306">
        <f t="shared" si="136"/>
        <v>0</v>
      </c>
      <c r="AC499" s="305">
        <f>+IF(X499=0,0,HLOOKUP(YEAR(X499)+(MONTH(X499)/100),TC!$5:$37,DAY(X499)+2,FALSE))</f>
        <v>0</v>
      </c>
      <c r="AD499" s="307">
        <f t="shared" si="137"/>
        <v>0</v>
      </c>
      <c r="AE499" s="314">
        <f t="shared" si="126"/>
        <v>0</v>
      </c>
      <c r="AF499" s="315">
        <f t="shared" si="127"/>
        <v>0</v>
      </c>
      <c r="AG499" s="316">
        <f t="shared" si="128"/>
        <v>0</v>
      </c>
      <c r="AH499" s="314">
        <v>1</v>
      </c>
      <c r="AI499" s="314">
        <f t="shared" si="129"/>
        <v>0</v>
      </c>
      <c r="AJ499" s="314">
        <f t="shared" si="138"/>
        <v>0</v>
      </c>
      <c r="AK499" s="317"/>
      <c r="AL499" s="315">
        <f t="shared" si="130"/>
        <v>0</v>
      </c>
      <c r="AN499" s="546">
        <f t="shared" si="131"/>
        <v>0</v>
      </c>
      <c r="AO499" s="314"/>
      <c r="AP499" s="318"/>
    </row>
    <row r="500" spans="2:42">
      <c r="B500" s="296"/>
      <c r="C500" s="299"/>
      <c r="D500" s="298"/>
      <c r="E500" s="299"/>
      <c r="F500" s="299"/>
      <c r="G500" s="300"/>
      <c r="H500" s="303"/>
      <c r="I500" s="301">
        <f t="shared" si="122"/>
        <v>0</v>
      </c>
      <c r="J500" s="302">
        <f t="shared" si="132"/>
        <v>0</v>
      </c>
      <c r="K500" s="304">
        <f t="shared" si="123"/>
        <v>0</v>
      </c>
      <c r="L500" s="305">
        <f>IF(H500=0,0,IF(OR(E500=$AT$5,E500=$AT$6),AA500,IF(F500="MXN",1/HLOOKUP(YEAR(G500)+(MONTH(G500)/100),TC!$5:$37,DAY(G500)+2,FALSE),VLOOKUP(F500,Equivalencia!$5:$23,((MAX(Equivalencia!$3:$3)-YEAR(G500))*14)+MONTH(G500)+2,FALSE))))</f>
        <v>0</v>
      </c>
      <c r="M500" s="306">
        <f t="shared" si="124"/>
        <v>0</v>
      </c>
      <c r="N500" s="305">
        <f>IF(G500=0,0,(IF(OR(E500=$AT$5,E500=$AT$6),AC500,HLOOKUP(YEAR(G500)+(MONTH(G500)/100),TC!$5:$37,DAY(G500)+2,FALSE))))</f>
        <v>0</v>
      </c>
      <c r="O500" s="307">
        <f t="shared" si="133"/>
        <v>0</v>
      </c>
      <c r="P500" s="552">
        <f>IF(G500=0,0,VLOOKUP(YEAR(G500),INPC!$B$4:$P$30,MONTH(G500)+2))</f>
        <v>0</v>
      </c>
      <c r="Q500" s="552">
        <f>IF(X500=0,0,IF(OR(E500=$AT$10,E500=$AT$9),VLOOKUP(YEAR(X500),INPC!$B$4:$P$30,MONTH(X500)+1),VLOOKUP(YEAR(X500),INPC!$B$4:$P$30,MONTH(X500)+2,0)))</f>
        <v>0</v>
      </c>
      <c r="R500" s="309">
        <f t="shared" si="125"/>
        <v>0</v>
      </c>
      <c r="S500" s="310">
        <f t="shared" si="134"/>
        <v>0</v>
      </c>
      <c r="T500" s="547">
        <f t="shared" si="135"/>
        <v>0</v>
      </c>
      <c r="U500" s="311"/>
      <c r="V500" s="312"/>
      <c r="W500" s="299"/>
      <c r="X500" s="300"/>
      <c r="Y500" s="299"/>
      <c r="Z500" s="303"/>
      <c r="AA500" s="305">
        <f>IF(Z500=0,0,IF(Y500="MXN",1/HLOOKUP(YEAR(X500)+(MONTH(X500)/100),TC!$5:$37,DAY(X500)+2,FALSE),VLOOKUP(Y500,Equivalencia!$1:$23,((MAX(Equivalencia!$3:$3)-YEAR(X500))*14)+MONTH(X500)+2,FALSE)))</f>
        <v>0</v>
      </c>
      <c r="AB500" s="306">
        <f t="shared" si="136"/>
        <v>0</v>
      </c>
      <c r="AC500" s="305">
        <f>+IF(X500=0,0,HLOOKUP(YEAR(X500)+(MONTH(X500)/100),TC!$5:$37,DAY(X500)+2,FALSE))</f>
        <v>0</v>
      </c>
      <c r="AD500" s="307">
        <f t="shared" si="137"/>
        <v>0</v>
      </c>
      <c r="AE500" s="314">
        <f t="shared" si="126"/>
        <v>0</v>
      </c>
      <c r="AF500" s="315">
        <f t="shared" si="127"/>
        <v>0</v>
      </c>
      <c r="AG500" s="316">
        <f t="shared" si="128"/>
        <v>0</v>
      </c>
      <c r="AH500" s="314">
        <v>1</v>
      </c>
      <c r="AI500" s="314">
        <f t="shared" si="129"/>
        <v>0</v>
      </c>
      <c r="AJ500" s="314">
        <f t="shared" si="138"/>
        <v>0</v>
      </c>
      <c r="AK500" s="317"/>
      <c r="AL500" s="315">
        <f t="shared" si="130"/>
        <v>0</v>
      </c>
      <c r="AN500" s="546">
        <f t="shared" si="131"/>
        <v>0</v>
      </c>
      <c r="AO500" s="314"/>
      <c r="AP500" s="318"/>
    </row>
    <row r="501" spans="2:42">
      <c r="C501" s="298"/>
    </row>
    <row r="502" spans="2:42">
      <c r="C502" s="298"/>
    </row>
    <row r="503" spans="2:42">
      <c r="C503" s="298"/>
    </row>
    <row r="504" spans="2:42">
      <c r="C504" s="298"/>
    </row>
    <row r="505" spans="2:42">
      <c r="C505" s="298"/>
    </row>
    <row r="506" spans="2:42">
      <c r="C506" s="298"/>
    </row>
    <row r="507" spans="2:42">
      <c r="C507" s="298"/>
    </row>
    <row r="508" spans="2:42">
      <c r="C508" s="298"/>
    </row>
    <row r="509" spans="2:42">
      <c r="C509" s="298"/>
    </row>
    <row r="510" spans="2:42">
      <c r="C510" s="298"/>
    </row>
    <row r="511" spans="2:42">
      <c r="C511" s="298"/>
    </row>
    <row r="512" spans="2:42">
      <c r="C512" s="298"/>
    </row>
    <row r="513" spans="3:3">
      <c r="C513" s="298"/>
    </row>
    <row r="514" spans="3:3">
      <c r="C514" s="298"/>
    </row>
    <row r="515" spans="3:3">
      <c r="C515" s="298"/>
    </row>
    <row r="516" spans="3:3">
      <c r="C516" s="298"/>
    </row>
    <row r="517" spans="3:3">
      <c r="C517" s="298"/>
    </row>
    <row r="518" spans="3:3">
      <c r="C518" s="298"/>
    </row>
    <row r="519" spans="3:3">
      <c r="C519" s="298"/>
    </row>
    <row r="520" spans="3:3">
      <c r="C520" s="298"/>
    </row>
    <row r="521" spans="3:3">
      <c r="C521" s="298"/>
    </row>
    <row r="522" spans="3:3">
      <c r="C522" s="298"/>
    </row>
    <row r="523" spans="3:3">
      <c r="C523" s="298"/>
    </row>
    <row r="524" spans="3:3">
      <c r="C524" s="298"/>
    </row>
    <row r="525" spans="3:3">
      <c r="C525" s="298"/>
    </row>
    <row r="526" spans="3:3">
      <c r="C526" s="298"/>
    </row>
    <row r="527" spans="3:3">
      <c r="C527" s="298"/>
    </row>
    <row r="528" spans="3:3">
      <c r="C528" s="298"/>
    </row>
    <row r="529" spans="3:3">
      <c r="C529" s="298"/>
    </row>
    <row r="530" spans="3:3">
      <c r="C530" s="298"/>
    </row>
    <row r="531" spans="3:3">
      <c r="C531" s="298"/>
    </row>
    <row r="532" spans="3:3">
      <c r="C532" s="298"/>
    </row>
    <row r="533" spans="3:3">
      <c r="C533" s="298"/>
    </row>
    <row r="534" spans="3:3">
      <c r="C534" s="298"/>
    </row>
    <row r="535" spans="3:3">
      <c r="C535" s="298"/>
    </row>
    <row r="536" spans="3:3">
      <c r="C536" s="298"/>
    </row>
    <row r="537" spans="3:3">
      <c r="C537" s="298"/>
    </row>
    <row r="538" spans="3:3">
      <c r="C538" s="298"/>
    </row>
    <row r="539" spans="3:3">
      <c r="C539" s="298"/>
    </row>
    <row r="540" spans="3:3">
      <c r="C540" s="298"/>
    </row>
    <row r="541" spans="3:3">
      <c r="C541" s="298"/>
    </row>
    <row r="542" spans="3:3">
      <c r="C542" s="298"/>
    </row>
    <row r="543" spans="3:3">
      <c r="C543" s="298"/>
    </row>
    <row r="544" spans="3:3">
      <c r="C544" s="298"/>
    </row>
    <row r="545" spans="3:3">
      <c r="C545" s="298"/>
    </row>
    <row r="546" spans="3:3">
      <c r="C546" s="298"/>
    </row>
    <row r="547" spans="3:3">
      <c r="C547" s="298"/>
    </row>
    <row r="548" spans="3:3">
      <c r="C548" s="298"/>
    </row>
    <row r="549" spans="3:3">
      <c r="C549" s="320"/>
    </row>
    <row r="550" spans="3:3">
      <c r="C550" s="320"/>
    </row>
    <row r="551" spans="3:3">
      <c r="C551" s="320"/>
    </row>
    <row r="552" spans="3:3">
      <c r="C552" s="320"/>
    </row>
    <row r="553" spans="3:3">
      <c r="C553" s="320"/>
    </row>
    <row r="554" spans="3:3">
      <c r="C554" s="320"/>
    </row>
    <row r="555" spans="3:3">
      <c r="C555" s="320"/>
    </row>
    <row r="556" spans="3:3">
      <c r="C556" s="320"/>
    </row>
    <row r="557" spans="3:3">
      <c r="C557" s="320"/>
    </row>
    <row r="558" spans="3:3">
      <c r="C558" s="320"/>
    </row>
    <row r="559" spans="3:3">
      <c r="C559" s="320"/>
    </row>
    <row r="560" spans="3:3">
      <c r="C560" s="320"/>
    </row>
  </sheetData>
  <sheetProtection formatCells="0" formatColumns="0" formatRows="0" insertColumns="0" insertRows="0" insertHyperlinks="0" deleteColumns="0" deleteRows="0" sort="0" autoFilter="0" pivotTables="0"/>
  <autoFilter ref="B1:AW500" xr:uid="{CD41FCC3-53BE-A049-8AB3-663CAFFBE117}"/>
  <dataConsolidate/>
  <phoneticPr fontId="8" type="noConversion"/>
  <dataValidations count="3">
    <dataValidation type="list" allowBlank="1" showInputMessage="1" showErrorMessage="1" promptTitle="OJO:" prompt="Selecciona una opción" sqref="W2:W500" xr:uid="{00000000-0002-0000-0F00-000000000000}">
      <formula1>Operaciones</formula1>
    </dataValidation>
    <dataValidation type="list" allowBlank="1" showInputMessage="1" showErrorMessage="1" sqref="E2:E500" xr:uid="{00000000-0002-0000-0F00-000001000000}">
      <formula1>$AT$3:$AT$14</formula1>
    </dataValidation>
    <dataValidation type="list" allowBlank="1" showInputMessage="1" showErrorMessage="1" sqref="E2:E500 C2:C500" xr:uid="{2691462A-0B94-8749-86AA-E6644276E28D}">
      <formula1>$AU$3:$AU$19</formula1>
    </dataValidation>
  </dataValidations>
  <pageMargins left="0.7" right="0.7" top="0.75" bottom="0.75" header="0.3" footer="0.3"/>
  <pageSetup orientation="portrait" horizontalDpi="0" verticalDpi="0"/>
  <legacyDrawing r:id="rId1"/>
  <extLst>
    <ext xmlns:x14="http://schemas.microsoft.com/office/spreadsheetml/2009/9/main" uri="{CCE6A557-97BC-4b89-ADB6-D9C93CAAB3DF}">
      <x14:dataValidations xmlns:xm="http://schemas.microsoft.com/office/excel/2006/main" count="2">
        <x14:dataValidation type="list" showInputMessage="1" showErrorMessage="1" promptTitle="Instrucciones" prompt="Selecciona una moneda" xr:uid="{00000000-0002-0000-0F00-000002000000}">
          <x14:formula1>
            <xm:f>Equivalencia!$A$4:$A$23</xm:f>
          </x14:formula1>
          <xm:sqref>Y2:Y500</xm:sqref>
        </x14:dataValidation>
        <x14:dataValidation type="list" allowBlank="1" showInputMessage="1" showErrorMessage="1" xr:uid="{20C868F7-10F5-6041-B5FD-53473A47963A}">
          <x14:formula1>
            <xm:f>Equivalencia!$A$4:$A$23</xm:f>
          </x14:formula1>
          <xm:sqref>F2:F500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ED1C0-5CC4-4794-B196-35074778E2DF}">
  <dimension ref="A1:W633"/>
  <sheetViews>
    <sheetView zoomScale="70" zoomScaleNormal="70" workbookViewId="0">
      <pane ySplit="1" topLeftCell="A44" activePane="bottomLeft" state="frozen"/>
      <selection pane="bottomLeft" activeCell="L374" sqref="L374"/>
    </sheetView>
  </sheetViews>
  <sheetFormatPr baseColWidth="10" defaultColWidth="11" defaultRowHeight="16"/>
  <cols>
    <col min="1" max="1" width="30.5" bestFit="1" customWidth="1"/>
    <col min="2" max="2" width="40.5" bestFit="1" customWidth="1"/>
    <col min="7" max="7" width="12.33203125" bestFit="1" customWidth="1"/>
    <col min="11" max="11" width="14.1640625" bestFit="1" customWidth="1"/>
    <col min="12" max="12" width="12.33203125" bestFit="1" customWidth="1"/>
    <col min="14" max="14" width="42.1640625" bestFit="1" customWidth="1"/>
    <col min="16" max="16" width="12.33203125" bestFit="1" customWidth="1"/>
  </cols>
  <sheetData>
    <row r="1" spans="1:23" ht="34">
      <c r="A1" s="625" t="s">
        <v>795</v>
      </c>
      <c r="B1" s="625" t="s">
        <v>689</v>
      </c>
      <c r="C1" s="626" t="s">
        <v>54</v>
      </c>
      <c r="D1" s="626" t="s">
        <v>555</v>
      </c>
      <c r="E1" s="626" t="s">
        <v>690</v>
      </c>
      <c r="F1" s="626" t="s">
        <v>556</v>
      </c>
      <c r="G1" s="626" t="s">
        <v>684</v>
      </c>
      <c r="H1" s="626" t="s">
        <v>691</v>
      </c>
      <c r="I1" s="627" t="s">
        <v>692</v>
      </c>
      <c r="K1" s="625" t="s">
        <v>693</v>
      </c>
      <c r="L1" s="626" t="s">
        <v>694</v>
      </c>
      <c r="M1" s="626" t="s">
        <v>695</v>
      </c>
      <c r="N1" s="626" t="s">
        <v>528</v>
      </c>
      <c r="O1" s="626" t="s">
        <v>696</v>
      </c>
      <c r="P1" s="626" t="s">
        <v>697</v>
      </c>
    </row>
    <row r="2" spans="1:23">
      <c r="A2" s="673"/>
      <c r="B2" s="628" t="s">
        <v>698</v>
      </c>
      <c r="C2" s="629">
        <v>43957</v>
      </c>
      <c r="D2" s="630" t="s">
        <v>699</v>
      </c>
      <c r="E2" s="631">
        <v>233</v>
      </c>
      <c r="F2" s="629" t="s">
        <v>59</v>
      </c>
      <c r="G2" s="631">
        <v>-39319.050000000003</v>
      </c>
      <c r="H2" s="631">
        <f t="shared" ref="H2:H82" si="0">+ABS(G2/E2)</f>
        <v>168.75128755364807</v>
      </c>
      <c r="I2" s="632">
        <f>+E2+E5</f>
        <v>28</v>
      </c>
      <c r="K2" s="633">
        <f>+C2</f>
        <v>43957</v>
      </c>
      <c r="L2" s="631">
        <f>+M2*H2</f>
        <v>4725.0360515021457</v>
      </c>
      <c r="M2" s="634">
        <v>28</v>
      </c>
      <c r="N2" s="631" t="str">
        <f>+B2</f>
        <v>ISH  TRES BND 7-10 ETF USD</v>
      </c>
      <c r="O2" s="629">
        <f>+C7</f>
        <v>44231</v>
      </c>
      <c r="P2" s="635">
        <f>+M2*H7</f>
        <v>4631.7068493150682</v>
      </c>
      <c r="U2" s="636"/>
      <c r="V2" s="631"/>
      <c r="W2" s="632"/>
    </row>
    <row r="3" spans="1:23">
      <c r="A3" s="673"/>
      <c r="B3" s="628" t="s">
        <v>698</v>
      </c>
      <c r="C3" s="629">
        <v>43985</v>
      </c>
      <c r="D3" s="630" t="s">
        <v>699</v>
      </c>
      <c r="E3" s="631">
        <v>527</v>
      </c>
      <c r="F3" s="629" t="s">
        <v>59</v>
      </c>
      <c r="G3" s="631">
        <v>-89086.66</v>
      </c>
      <c r="H3" s="631">
        <f t="shared" si="0"/>
        <v>169.04489563567364</v>
      </c>
      <c r="I3" s="632">
        <f>+E3</f>
        <v>527</v>
      </c>
      <c r="K3" s="633">
        <f>+C3</f>
        <v>43985</v>
      </c>
      <c r="L3" s="631">
        <f>+M3*H3</f>
        <v>89086.66</v>
      </c>
      <c r="M3" s="634">
        <v>527</v>
      </c>
      <c r="N3" s="631" t="str">
        <f t="shared" ref="N3:N5" si="1">+B3</f>
        <v>ISH  TRES BND 7-10 ETF USD</v>
      </c>
      <c r="O3" s="629">
        <f>+C7</f>
        <v>44231</v>
      </c>
      <c r="P3" s="635">
        <f>+M3*H7</f>
        <v>87175.339628180038</v>
      </c>
      <c r="U3" s="636"/>
      <c r="V3" s="631"/>
      <c r="W3" s="632"/>
    </row>
    <row r="4" spans="1:23">
      <c r="A4" s="673"/>
      <c r="B4" s="628" t="s">
        <v>698</v>
      </c>
      <c r="C4" s="629">
        <v>44118</v>
      </c>
      <c r="D4" s="630" t="s">
        <v>699</v>
      </c>
      <c r="E4" s="631">
        <v>41</v>
      </c>
      <c r="F4" s="629" t="s">
        <v>59</v>
      </c>
      <c r="G4" s="631">
        <v>-6968.34</v>
      </c>
      <c r="H4" s="631">
        <f t="shared" si="0"/>
        <v>169.95951219512196</v>
      </c>
      <c r="I4" s="632">
        <f>+E4</f>
        <v>41</v>
      </c>
      <c r="K4" s="633">
        <f>+C4</f>
        <v>44118</v>
      </c>
      <c r="L4" s="631">
        <f>+M4*H4</f>
        <v>6968.34</v>
      </c>
      <c r="M4" s="634">
        <v>41</v>
      </c>
      <c r="N4" s="631" t="str">
        <f t="shared" si="1"/>
        <v>ISH  TRES BND 7-10 ETF USD</v>
      </c>
      <c r="O4" s="629">
        <f>+C7</f>
        <v>44231</v>
      </c>
      <c r="P4" s="635">
        <f>+M4*H7</f>
        <v>6782.14217221135</v>
      </c>
      <c r="U4" s="636"/>
      <c r="V4" s="631"/>
      <c r="W4" s="632"/>
    </row>
    <row r="5" spans="1:23">
      <c r="A5" s="673"/>
      <c r="B5" s="628" t="s">
        <v>698</v>
      </c>
      <c r="C5" s="629">
        <v>44158</v>
      </c>
      <c r="D5" s="630" t="s">
        <v>700</v>
      </c>
      <c r="E5" s="631">
        <v>-205</v>
      </c>
      <c r="F5" s="629" t="s">
        <v>59</v>
      </c>
      <c r="G5" s="631">
        <v>34519.99</v>
      </c>
      <c r="H5" s="631">
        <f t="shared" si="0"/>
        <v>168.39019512195122</v>
      </c>
      <c r="I5" s="632"/>
      <c r="K5" s="633">
        <f>+C6</f>
        <v>44218</v>
      </c>
      <c r="L5" s="631">
        <f>+M5*H6</f>
        <v>325511.36</v>
      </c>
      <c r="M5" s="634">
        <v>1959</v>
      </c>
      <c r="N5" s="631" t="str">
        <f t="shared" si="1"/>
        <v>ISH  TRES BND 7-10 ETF USD</v>
      </c>
      <c r="O5" s="629">
        <f>+C7</f>
        <v>44231</v>
      </c>
      <c r="P5" s="635">
        <f>+M5*H7</f>
        <v>324054.06135029352</v>
      </c>
      <c r="U5" s="631"/>
      <c r="V5" s="631"/>
      <c r="W5" s="632"/>
    </row>
    <row r="6" spans="1:23">
      <c r="A6" s="673"/>
      <c r="B6" s="628" t="s">
        <v>698</v>
      </c>
      <c r="C6" s="629">
        <v>44218</v>
      </c>
      <c r="D6" s="630" t="s">
        <v>699</v>
      </c>
      <c r="E6" s="631">
        <v>1959</v>
      </c>
      <c r="F6" s="629" t="s">
        <v>59</v>
      </c>
      <c r="G6" s="631">
        <v>-325511.36</v>
      </c>
      <c r="H6" s="631">
        <f t="shared" si="0"/>
        <v>166.16200102092904</v>
      </c>
      <c r="I6" s="632">
        <f>+E6</f>
        <v>1959</v>
      </c>
      <c r="K6" s="633"/>
      <c r="L6" s="631"/>
      <c r="M6" s="634"/>
      <c r="N6" s="631"/>
      <c r="O6" s="629"/>
      <c r="P6" s="631"/>
    </row>
    <row r="7" spans="1:23">
      <c r="A7" s="673"/>
      <c r="B7" s="628" t="s">
        <v>698</v>
      </c>
      <c r="C7" s="629">
        <v>44231</v>
      </c>
      <c r="D7" s="630" t="s">
        <v>700</v>
      </c>
      <c r="E7" s="631">
        <v>-2555</v>
      </c>
      <c r="F7" s="629" t="s">
        <v>59</v>
      </c>
      <c r="G7" s="631">
        <v>422643.25</v>
      </c>
      <c r="H7" s="631">
        <f t="shared" si="0"/>
        <v>165.41810176125244</v>
      </c>
      <c r="K7" s="633"/>
      <c r="L7" s="631"/>
      <c r="M7" s="634"/>
      <c r="N7" s="631"/>
      <c r="O7" s="629"/>
      <c r="P7" s="631"/>
    </row>
    <row r="8" spans="1:23">
      <c r="B8" s="628"/>
      <c r="C8" s="629"/>
      <c r="D8" s="630"/>
      <c r="E8" s="631"/>
      <c r="F8" s="629"/>
      <c r="G8" s="631"/>
      <c r="H8" s="631"/>
      <c r="I8" s="632"/>
      <c r="K8" s="633"/>
      <c r="L8" s="631"/>
      <c r="M8" s="634"/>
      <c r="N8" s="631"/>
      <c r="O8" s="629"/>
      <c r="P8" s="631"/>
    </row>
    <row r="9" spans="1:23">
      <c r="A9" t="s">
        <v>791</v>
      </c>
      <c r="B9" s="628" t="s">
        <v>701</v>
      </c>
      <c r="C9" s="629">
        <v>43957</v>
      </c>
      <c r="D9" s="630" t="s">
        <v>699</v>
      </c>
      <c r="E9" s="631">
        <v>6534</v>
      </c>
      <c r="F9" s="629" t="s">
        <v>59</v>
      </c>
      <c r="G9" s="631">
        <v>-157089.76999999999</v>
      </c>
      <c r="H9" s="631">
        <f t="shared" si="0"/>
        <v>24.041899295990202</v>
      </c>
      <c r="I9" s="632">
        <f>+E9+E10+E14-M10</f>
        <v>0</v>
      </c>
      <c r="K9" s="633">
        <f>+C9</f>
        <v>43957</v>
      </c>
      <c r="L9" s="631">
        <f>+M9*H9</f>
        <v>93378.73686562595</v>
      </c>
      <c r="M9" s="634">
        <v>3884</v>
      </c>
      <c r="N9" s="631" t="str">
        <f>+B9</f>
        <v xml:space="preserve">ISH CORE MSCI EM IMI ETF USD </v>
      </c>
      <c r="O9" s="629">
        <f>+C14</f>
        <v>44231</v>
      </c>
      <c r="P9" s="635">
        <f>+M9*H14</f>
        <v>149107.54</v>
      </c>
    </row>
    <row r="10" spans="1:23">
      <c r="B10" s="628" t="s">
        <v>701</v>
      </c>
      <c r="C10" s="629">
        <v>43985</v>
      </c>
      <c r="D10" s="630" t="s">
        <v>700</v>
      </c>
      <c r="E10" s="631">
        <v>-534</v>
      </c>
      <c r="F10" s="629" t="s">
        <v>59</v>
      </c>
      <c r="G10" s="631">
        <v>14349.49</v>
      </c>
      <c r="H10" s="631">
        <f t="shared" si="0"/>
        <v>26.871704119850186</v>
      </c>
      <c r="I10" s="632"/>
      <c r="K10" s="633">
        <f>+C9</f>
        <v>43957</v>
      </c>
      <c r="L10" s="631">
        <f>+M10*H9</f>
        <v>50872.658910315266</v>
      </c>
      <c r="M10" s="634">
        <v>2116</v>
      </c>
      <c r="N10" s="631" t="str">
        <f>+B10</f>
        <v xml:space="preserve">ISH CORE MSCI EM IMI ETF USD </v>
      </c>
      <c r="O10" s="629">
        <f>+C16</f>
        <v>44302</v>
      </c>
      <c r="P10" s="635">
        <f>+M10*H16</f>
        <v>79655.549658194577</v>
      </c>
    </row>
    <row r="11" spans="1:23">
      <c r="B11" s="628" t="s">
        <v>701</v>
      </c>
      <c r="C11" s="629">
        <v>44118</v>
      </c>
      <c r="D11" s="630" t="s">
        <v>699</v>
      </c>
      <c r="E11" s="631">
        <v>1070</v>
      </c>
      <c r="F11" s="629" t="s">
        <v>59</v>
      </c>
      <c r="G11" s="631">
        <v>-33401.230000000003</v>
      </c>
      <c r="H11" s="631">
        <f t="shared" si="0"/>
        <v>31.21610280373832</v>
      </c>
      <c r="I11" s="632">
        <f>+E11-M11-M12</f>
        <v>0</v>
      </c>
      <c r="K11" s="633">
        <f>+C11</f>
        <v>44118</v>
      </c>
      <c r="L11" s="631">
        <f>+M11*H11</f>
        <v>5181.873065420561</v>
      </c>
      <c r="M11" s="634">
        <v>166</v>
      </c>
      <c r="N11" s="631" t="str">
        <f>+B11</f>
        <v xml:space="preserve">ISH CORE MSCI EM IMI ETF USD </v>
      </c>
      <c r="O11" s="629">
        <f>+C16</f>
        <v>44302</v>
      </c>
      <c r="P11" s="635">
        <f>+M11*H16</f>
        <v>6248.9703418054341</v>
      </c>
    </row>
    <row r="12" spans="1:23">
      <c r="B12" s="628" t="s">
        <v>701</v>
      </c>
      <c r="C12" s="629">
        <v>44158</v>
      </c>
      <c r="D12" s="630" t="s">
        <v>699</v>
      </c>
      <c r="E12" s="631">
        <v>263</v>
      </c>
      <c r="F12" s="629" t="s">
        <v>59</v>
      </c>
      <c r="G12" s="631">
        <v>-8800.14</v>
      </c>
      <c r="H12" s="631">
        <f t="shared" si="0"/>
        <v>33.460608365019006</v>
      </c>
      <c r="I12" s="632">
        <f>+E12-M13</f>
        <v>0</v>
      </c>
      <c r="K12" s="633">
        <f>+C11</f>
        <v>44118</v>
      </c>
      <c r="L12" s="631">
        <f>+M12*H11</f>
        <v>28219.356934579442</v>
      </c>
      <c r="M12" s="634">
        <v>904</v>
      </c>
      <c r="N12" s="631" t="str">
        <f t="shared" ref="N12:N16" si="2">+B12</f>
        <v xml:space="preserve">ISH CORE MSCI EM IMI ETF USD </v>
      </c>
      <c r="O12" s="629">
        <f>+C17</f>
        <v>44370</v>
      </c>
      <c r="P12" s="635">
        <f>+M12*H17</f>
        <v>34688.288343139116</v>
      </c>
    </row>
    <row r="13" spans="1:23">
      <c r="B13" s="628" t="s">
        <v>701</v>
      </c>
      <c r="C13" s="629">
        <v>44218</v>
      </c>
      <c r="D13" s="630" t="s">
        <v>699</v>
      </c>
      <c r="E13" s="631">
        <v>19949</v>
      </c>
      <c r="F13" s="629" t="s">
        <v>59</v>
      </c>
      <c r="G13" s="631">
        <v>-763647.72</v>
      </c>
      <c r="H13" s="631">
        <f t="shared" si="0"/>
        <v>38.28</v>
      </c>
      <c r="I13" s="632">
        <f>+E13-M14-M15-M16</f>
        <v>3542</v>
      </c>
      <c r="K13" s="633">
        <f>+C12</f>
        <v>44158</v>
      </c>
      <c r="L13" s="631">
        <f>+M13*H12</f>
        <v>8800.14</v>
      </c>
      <c r="M13" s="634">
        <v>263</v>
      </c>
      <c r="N13" s="631" t="str">
        <f t="shared" si="2"/>
        <v xml:space="preserve">ISH CORE MSCI EM IMI ETF USD </v>
      </c>
      <c r="O13" s="629">
        <f>+C17</f>
        <v>44370</v>
      </c>
      <c r="P13" s="635">
        <f>+M13*H17</f>
        <v>10091.83609982919</v>
      </c>
    </row>
    <row r="14" spans="1:23">
      <c r="B14" s="628" t="s">
        <v>701</v>
      </c>
      <c r="C14" s="629">
        <v>44231</v>
      </c>
      <c r="D14" s="630" t="s">
        <v>700</v>
      </c>
      <c r="E14" s="631">
        <v>-3884</v>
      </c>
      <c r="F14" s="629" t="s">
        <v>59</v>
      </c>
      <c r="G14" s="631">
        <v>149107.54</v>
      </c>
      <c r="H14" s="631">
        <f t="shared" si="0"/>
        <v>38.390200823892897</v>
      </c>
      <c r="K14" s="633">
        <f>+C13</f>
        <v>44218</v>
      </c>
      <c r="L14" s="631">
        <f>+M14*H13</f>
        <v>157024.56</v>
      </c>
      <c r="M14" s="634">
        <v>4102</v>
      </c>
      <c r="N14" s="631" t="str">
        <f t="shared" si="2"/>
        <v xml:space="preserve">ISH CORE MSCI EM IMI ETF USD </v>
      </c>
      <c r="O14" s="629">
        <f>+C17</f>
        <v>44370</v>
      </c>
      <c r="P14" s="635">
        <f>+M14*H17</f>
        <v>157401.94555703172</v>
      </c>
    </row>
    <row r="15" spans="1:23">
      <c r="B15" s="628" t="s">
        <v>701</v>
      </c>
      <c r="C15" s="629">
        <v>44293</v>
      </c>
      <c r="D15" s="630" t="s">
        <v>699</v>
      </c>
      <c r="E15" s="631">
        <v>25662</v>
      </c>
      <c r="F15" s="629" t="s">
        <v>59</v>
      </c>
      <c r="G15" s="631">
        <v>-953333.04</v>
      </c>
      <c r="H15" s="631">
        <f t="shared" si="0"/>
        <v>37.149600187047</v>
      </c>
      <c r="I15" s="632">
        <f>+E15</f>
        <v>25662</v>
      </c>
      <c r="K15" s="633">
        <f>+C13</f>
        <v>44218</v>
      </c>
      <c r="L15" s="631">
        <f>+M15*H13</f>
        <v>457063.2</v>
      </c>
      <c r="M15" s="634">
        <v>11940</v>
      </c>
      <c r="N15" s="631" t="str">
        <f t="shared" si="2"/>
        <v xml:space="preserve">ISH CORE MSCI EM IMI ETF USD </v>
      </c>
      <c r="O15" s="629">
        <f>+C18</f>
        <v>44441</v>
      </c>
      <c r="P15" s="635">
        <f>+M15*H18</f>
        <v>446977.47999999992</v>
      </c>
    </row>
    <row r="16" spans="1:23">
      <c r="B16" s="628" t="s">
        <v>701</v>
      </c>
      <c r="C16" s="629">
        <v>44302</v>
      </c>
      <c r="D16" s="630" t="s">
        <v>700</v>
      </c>
      <c r="E16" s="631">
        <v>-2282</v>
      </c>
      <c r="F16" s="629" t="s">
        <v>59</v>
      </c>
      <c r="G16" s="631">
        <v>85904.52</v>
      </c>
      <c r="H16" s="631">
        <f t="shared" si="0"/>
        <v>37.644399649430326</v>
      </c>
      <c r="I16" s="632"/>
      <c r="K16" s="633">
        <f>+C13</f>
        <v>44218</v>
      </c>
      <c r="L16" s="631">
        <f>+M16*H13</f>
        <v>13972.2</v>
      </c>
      <c r="M16" s="634">
        <v>365</v>
      </c>
      <c r="N16" s="631" t="str">
        <f t="shared" si="2"/>
        <v xml:space="preserve">ISH CORE MSCI EM IMI ETF USD </v>
      </c>
      <c r="O16" s="629">
        <f>+C19</f>
        <v>44491</v>
      </c>
      <c r="P16" s="635">
        <f>+M16*H19</f>
        <v>13475.980000000001</v>
      </c>
    </row>
    <row r="17" spans="1:16">
      <c r="B17" s="628" t="s">
        <v>701</v>
      </c>
      <c r="C17" s="629">
        <v>44370</v>
      </c>
      <c r="D17" s="630" t="s">
        <v>700</v>
      </c>
      <c r="E17" s="631">
        <v>-5269</v>
      </c>
      <c r="F17" s="629" t="s">
        <v>59</v>
      </c>
      <c r="G17" s="631">
        <v>202182.07</v>
      </c>
      <c r="H17" s="631">
        <f t="shared" si="0"/>
        <v>38.372000379578672</v>
      </c>
      <c r="K17" s="633"/>
      <c r="L17" s="631"/>
      <c r="M17" s="634"/>
      <c r="N17" s="631"/>
      <c r="O17" s="629"/>
      <c r="P17" s="631"/>
    </row>
    <row r="18" spans="1:16">
      <c r="B18" s="628" t="s">
        <v>701</v>
      </c>
      <c r="C18" s="629">
        <v>44441</v>
      </c>
      <c r="D18" s="630" t="s">
        <v>700</v>
      </c>
      <c r="E18" s="631">
        <v>-11940</v>
      </c>
      <c r="F18" s="629" t="s">
        <v>59</v>
      </c>
      <c r="G18" s="631">
        <v>446977.48</v>
      </c>
      <c r="H18" s="631">
        <f t="shared" si="0"/>
        <v>37.435299832495808</v>
      </c>
      <c r="K18" s="633"/>
      <c r="L18" s="631"/>
      <c r="M18" s="634"/>
      <c r="N18" s="631"/>
      <c r="O18" s="629"/>
      <c r="P18" s="631"/>
    </row>
    <row r="19" spans="1:16">
      <c r="B19" s="628" t="s">
        <v>701</v>
      </c>
      <c r="C19" s="629">
        <v>44491</v>
      </c>
      <c r="D19" s="630" t="s">
        <v>700</v>
      </c>
      <c r="E19" s="631">
        <v>-365</v>
      </c>
      <c r="F19" s="629" t="s">
        <v>59</v>
      </c>
      <c r="G19" s="631">
        <v>13475.98</v>
      </c>
      <c r="H19" s="631">
        <f t="shared" si="0"/>
        <v>36.920493150684933</v>
      </c>
      <c r="I19" s="632"/>
      <c r="K19" s="633"/>
      <c r="L19" s="631"/>
      <c r="M19" s="634"/>
      <c r="N19" s="631"/>
      <c r="O19" s="629"/>
      <c r="P19" s="631"/>
    </row>
    <row r="20" spans="1:16">
      <c r="B20" s="628"/>
      <c r="C20" s="629"/>
      <c r="D20" s="630"/>
      <c r="E20" s="631"/>
      <c r="F20" s="629"/>
      <c r="G20" s="631"/>
      <c r="H20" s="631"/>
      <c r="I20" s="632"/>
      <c r="K20" s="633"/>
      <c r="L20" s="631"/>
      <c r="M20" s="634"/>
      <c r="N20" s="631"/>
      <c r="O20" s="629"/>
      <c r="P20" s="631"/>
    </row>
    <row r="21" spans="1:16">
      <c r="B21" s="628"/>
      <c r="C21" s="629"/>
      <c r="D21" s="630"/>
      <c r="E21" s="631"/>
      <c r="F21" s="629"/>
      <c r="G21" s="631"/>
      <c r="H21" s="631"/>
      <c r="I21" s="632"/>
      <c r="K21" s="633"/>
      <c r="L21" s="631"/>
      <c r="M21" s="634"/>
      <c r="N21" s="631"/>
      <c r="O21" s="629"/>
      <c r="P21" s="631"/>
    </row>
    <row r="22" spans="1:16">
      <c r="A22" t="s">
        <v>792</v>
      </c>
      <c r="B22" s="628" t="s">
        <v>702</v>
      </c>
      <c r="C22" s="629">
        <v>43957</v>
      </c>
      <c r="D22" s="630" t="s">
        <v>699</v>
      </c>
      <c r="E22" s="631">
        <v>2579</v>
      </c>
      <c r="F22" s="629" t="s">
        <v>59</v>
      </c>
      <c r="G22" s="631">
        <v>-98505.16</v>
      </c>
      <c r="H22" s="631">
        <f t="shared" si="0"/>
        <v>38.195098875533155</v>
      </c>
      <c r="I22" s="632">
        <f>+E22+E23+E25-M22</f>
        <v>0</v>
      </c>
      <c r="K22" s="633">
        <f>+C22</f>
        <v>43957</v>
      </c>
      <c r="L22" s="631">
        <f>+M22*H22</f>
        <v>66574.057340054293</v>
      </c>
      <c r="M22" s="634">
        <v>1743</v>
      </c>
      <c r="N22" s="631" t="str">
        <f>+B22</f>
        <v xml:space="preserve">ISH CORE MSCI JPN IMI ETF  </v>
      </c>
      <c r="O22" s="629">
        <f>+C27</f>
        <v>44231</v>
      </c>
      <c r="P22" s="635">
        <f>+M22*H27</f>
        <v>89764.5</v>
      </c>
    </row>
    <row r="23" spans="1:16">
      <c r="B23" s="628" t="s">
        <v>702</v>
      </c>
      <c r="C23" s="629">
        <v>43985</v>
      </c>
      <c r="D23" s="630" t="s">
        <v>700</v>
      </c>
      <c r="E23" s="631">
        <v>-139</v>
      </c>
      <c r="F23" s="629" t="s">
        <v>59</v>
      </c>
      <c r="G23" s="631">
        <v>5885.15</v>
      </c>
      <c r="H23" s="631">
        <f t="shared" si="0"/>
        <v>42.33920863309352</v>
      </c>
      <c r="K23" s="633">
        <f>+C24</f>
        <v>44118</v>
      </c>
      <c r="L23" s="631">
        <f>+M23*H24</f>
        <v>30838.75</v>
      </c>
      <c r="M23" s="634">
        <v>683</v>
      </c>
      <c r="N23" s="631" t="str">
        <f t="shared" ref="N23:N29" si="3">+B23</f>
        <v xml:space="preserve">ISH CORE MSCI JPN IMI ETF  </v>
      </c>
      <c r="O23" s="629">
        <f>+C27</f>
        <v>44231</v>
      </c>
      <c r="P23" s="635">
        <f>+M23*H27</f>
        <v>35174.5</v>
      </c>
    </row>
    <row r="24" spans="1:16">
      <c r="B24" s="628" t="s">
        <v>702</v>
      </c>
      <c r="C24" s="629">
        <v>44118</v>
      </c>
      <c r="D24" s="630" t="s">
        <v>699</v>
      </c>
      <c r="E24" s="631">
        <v>683</v>
      </c>
      <c r="F24" s="629" t="s">
        <v>59</v>
      </c>
      <c r="G24" s="631">
        <v>-30838.75</v>
      </c>
      <c r="H24" s="631">
        <f t="shared" si="0"/>
        <v>45.151903367496338</v>
      </c>
      <c r="I24" s="632">
        <f>+E24-M23</f>
        <v>0</v>
      </c>
      <c r="K24" s="633">
        <f>+C26</f>
        <v>44218</v>
      </c>
      <c r="L24" s="631">
        <f>+M24*H26</f>
        <v>11115.005364483421</v>
      </c>
      <c r="M24" s="634">
        <v>215</v>
      </c>
      <c r="N24" s="631" t="str">
        <f t="shared" si="3"/>
        <v xml:space="preserve">ISH CORE MSCI JPN IMI ETF  </v>
      </c>
      <c r="O24" s="629">
        <f>+C27</f>
        <v>44231</v>
      </c>
      <c r="P24" s="635">
        <f>+M24*H27</f>
        <v>11072.5</v>
      </c>
    </row>
    <row r="25" spans="1:16" ht="17" thickBot="1">
      <c r="B25" s="628" t="s">
        <v>702</v>
      </c>
      <c r="C25" s="629">
        <v>44158</v>
      </c>
      <c r="D25" s="630" t="s">
        <v>700</v>
      </c>
      <c r="E25" s="637">
        <v>-697</v>
      </c>
      <c r="F25" s="629" t="s">
        <v>59</v>
      </c>
      <c r="G25" s="631">
        <v>34067.97</v>
      </c>
      <c r="H25" s="631">
        <f t="shared" si="0"/>
        <v>48.878005738880923</v>
      </c>
      <c r="I25" s="632"/>
      <c r="K25" s="633">
        <f>+C26</f>
        <v>44218</v>
      </c>
      <c r="L25" s="644">
        <f>+M25*H26</f>
        <v>329572.83348177583</v>
      </c>
      <c r="M25" s="634">
        <v>6375</v>
      </c>
      <c r="N25" s="631" t="str">
        <f t="shared" si="3"/>
        <v xml:space="preserve">ISH CORE MSCI JPN IMI ETF  </v>
      </c>
      <c r="O25" s="629">
        <f>+C31</f>
        <v>44441</v>
      </c>
      <c r="P25" s="639">
        <f>+M25*H31</f>
        <v>338234.55</v>
      </c>
    </row>
    <row r="26" spans="1:16">
      <c r="B26" s="628" t="s">
        <v>702</v>
      </c>
      <c r="C26" s="629">
        <v>44218</v>
      </c>
      <c r="D26" s="630" t="s">
        <v>699</v>
      </c>
      <c r="E26" s="631">
        <v>7298</v>
      </c>
      <c r="F26" s="629" t="s">
        <v>59</v>
      </c>
      <c r="G26" s="631">
        <v>-377289.81</v>
      </c>
      <c r="H26" s="631">
        <f t="shared" si="0"/>
        <v>51.697699369690326</v>
      </c>
      <c r="I26" s="632">
        <f>+E26-M24-M25-M26</f>
        <v>0</v>
      </c>
      <c r="K26" s="633">
        <f>+C26</f>
        <v>44218</v>
      </c>
      <c r="L26" s="641">
        <f>+M26*H26</f>
        <v>36601.971153740749</v>
      </c>
      <c r="M26" s="634">
        <v>708</v>
      </c>
      <c r="N26" s="631" t="str">
        <f t="shared" si="3"/>
        <v xml:space="preserve">ISH CORE MSCI JPN IMI ETF  </v>
      </c>
      <c r="O26" s="629">
        <f>+C34</f>
        <v>44671</v>
      </c>
      <c r="P26" s="641">
        <f>+M26*H$34</f>
        <v>31558.037698723405</v>
      </c>
    </row>
    <row r="27" spans="1:16" ht="17" thickBot="1">
      <c r="B27" s="628" t="s">
        <v>702</v>
      </c>
      <c r="C27" s="629">
        <v>44231</v>
      </c>
      <c r="D27" s="630" t="s">
        <v>700</v>
      </c>
      <c r="E27" s="631">
        <v>-2641</v>
      </c>
      <c r="F27" s="629" t="s">
        <v>59</v>
      </c>
      <c r="G27" s="631">
        <v>136011.5</v>
      </c>
      <c r="H27" s="631">
        <f t="shared" si="0"/>
        <v>51.5</v>
      </c>
      <c r="I27" s="632"/>
      <c r="K27" s="633">
        <f>+C28</f>
        <v>44293</v>
      </c>
      <c r="L27" s="643">
        <f>+M27*H28</f>
        <v>269715.84808701754</v>
      </c>
      <c r="M27" s="634">
        <f>5875-M26</f>
        <v>5167</v>
      </c>
      <c r="N27" s="631" t="str">
        <f t="shared" si="3"/>
        <v xml:space="preserve">ISH CORE MSCI JPN IMI ETF  </v>
      </c>
      <c r="O27" s="629">
        <f>+O26</f>
        <v>44671</v>
      </c>
      <c r="P27" s="643">
        <f>+M27*H$34</f>
        <v>230311.27230127659</v>
      </c>
    </row>
    <row r="28" spans="1:16">
      <c r="B28" s="628" t="s">
        <v>702</v>
      </c>
      <c r="C28" s="629">
        <v>44293</v>
      </c>
      <c r="D28" s="630" t="s">
        <v>699</v>
      </c>
      <c r="E28" s="631">
        <v>7125</v>
      </c>
      <c r="F28" s="629" t="s">
        <v>59</v>
      </c>
      <c r="G28" s="631">
        <v>-371922.86</v>
      </c>
      <c r="H28" s="631">
        <f t="shared" si="0"/>
        <v>52.199699649122806</v>
      </c>
      <c r="I28" s="632">
        <f>+E28-M27-M28</f>
        <v>0</v>
      </c>
      <c r="K28" s="633">
        <f>+C28</f>
        <v>44293</v>
      </c>
      <c r="L28" s="641">
        <f>+M28*H28</f>
        <v>102207.01191298246</v>
      </c>
      <c r="M28" s="634">
        <v>1958</v>
      </c>
      <c r="N28" s="631" t="str">
        <f t="shared" si="3"/>
        <v xml:space="preserve">ISH CORE MSCI JPN IMI ETF  </v>
      </c>
      <c r="O28" s="629">
        <f>+C35</f>
        <v>44769</v>
      </c>
      <c r="P28" s="641">
        <f>+M28*H$35</f>
        <v>83068.736285097184</v>
      </c>
    </row>
    <row r="29" spans="1:16" ht="17" thickBot="1">
      <c r="B29" s="628" t="s">
        <v>702</v>
      </c>
      <c r="C29" s="629">
        <v>44302</v>
      </c>
      <c r="D29" s="630" t="s">
        <v>699</v>
      </c>
      <c r="E29" s="631">
        <v>5726</v>
      </c>
      <c r="F29" s="629" t="s">
        <v>59</v>
      </c>
      <c r="G29" s="631">
        <v>-302846.99</v>
      </c>
      <c r="H29" s="631">
        <f t="shared" si="0"/>
        <v>52.889799161718479</v>
      </c>
      <c r="I29" s="632">
        <f>+E29-M29</f>
        <v>2591</v>
      </c>
      <c r="K29" s="633">
        <f>+C29</f>
        <v>44302</v>
      </c>
      <c r="L29" s="653">
        <f>+M29*H29</f>
        <v>165809.52037198743</v>
      </c>
      <c r="M29" s="634">
        <f>5093-M28</f>
        <v>3135</v>
      </c>
      <c r="N29" s="631" t="str">
        <f t="shared" si="3"/>
        <v xml:space="preserve">ISH CORE MSCI JPN IMI ETF  </v>
      </c>
      <c r="O29" s="629">
        <f>+O28</f>
        <v>44769</v>
      </c>
      <c r="P29" s="653">
        <f>+M29*H$35</f>
        <v>133003.31371490279</v>
      </c>
    </row>
    <row r="30" spans="1:16">
      <c r="B30" s="628" t="s">
        <v>702</v>
      </c>
      <c r="C30" s="629">
        <v>44370</v>
      </c>
      <c r="D30" s="630" t="s">
        <v>699</v>
      </c>
      <c r="E30" s="631">
        <v>488</v>
      </c>
      <c r="F30" s="629" t="s">
        <v>59</v>
      </c>
      <c r="G30" s="631">
        <v>-25135.17</v>
      </c>
      <c r="H30" s="631">
        <f t="shared" si="0"/>
        <v>51.50649590163934</v>
      </c>
      <c r="I30" s="632">
        <f>+E30</f>
        <v>488</v>
      </c>
      <c r="K30" s="633"/>
      <c r="L30" s="640"/>
      <c r="M30" s="634"/>
      <c r="N30" s="631"/>
      <c r="O30" s="629"/>
      <c r="P30" s="640"/>
    </row>
    <row r="31" spans="1:16">
      <c r="B31" s="628" t="s">
        <v>702</v>
      </c>
      <c r="C31" s="629">
        <v>44441</v>
      </c>
      <c r="D31" s="630" t="s">
        <v>700</v>
      </c>
      <c r="E31" s="631">
        <v>-6375</v>
      </c>
      <c r="F31" s="629" t="s">
        <v>59</v>
      </c>
      <c r="G31" s="631">
        <v>338234.55</v>
      </c>
      <c r="H31" s="631">
        <f t="shared" si="0"/>
        <v>53.056399999999996</v>
      </c>
      <c r="K31" s="633"/>
      <c r="L31" s="631"/>
      <c r="M31" s="634"/>
      <c r="N31" s="631"/>
      <c r="O31" s="629"/>
      <c r="P31" s="631"/>
    </row>
    <row r="32" spans="1:16">
      <c r="B32" s="628" t="s">
        <v>702</v>
      </c>
      <c r="C32" s="629">
        <v>44491</v>
      </c>
      <c r="D32" s="630" t="s">
        <v>699</v>
      </c>
      <c r="E32" s="631">
        <v>202</v>
      </c>
      <c r="F32" s="629" t="s">
        <v>59</v>
      </c>
      <c r="G32" s="631">
        <v>-10520.56</v>
      </c>
      <c r="H32" s="631">
        <f t="shared" si="0"/>
        <v>52.081980198019799</v>
      </c>
      <c r="I32" s="632">
        <f>+E32</f>
        <v>202</v>
      </c>
      <c r="K32" s="633"/>
      <c r="L32" s="631"/>
      <c r="M32" s="634"/>
      <c r="N32" s="631"/>
      <c r="O32" s="629"/>
      <c r="P32" s="631"/>
    </row>
    <row r="33" spans="1:16">
      <c r="B33" s="628" t="s">
        <v>702</v>
      </c>
      <c r="C33" s="629">
        <v>44603</v>
      </c>
      <c r="D33" s="630" t="s">
        <v>699</v>
      </c>
      <c r="E33" s="631">
        <v>7607</v>
      </c>
      <c r="F33" s="629" t="s">
        <v>59</v>
      </c>
      <c r="G33" s="631">
        <v>-375770.59</v>
      </c>
      <c r="H33" s="631">
        <f t="shared" si="0"/>
        <v>49.398000525831478</v>
      </c>
      <c r="I33" s="632">
        <f>+E33</f>
        <v>7607</v>
      </c>
      <c r="K33" s="633"/>
      <c r="L33" s="631"/>
      <c r="M33" s="634"/>
      <c r="N33" s="631"/>
      <c r="O33" s="629"/>
      <c r="P33" s="631"/>
    </row>
    <row r="34" spans="1:16">
      <c r="B34" s="628" t="s">
        <v>702</v>
      </c>
      <c r="C34" s="629">
        <v>44671</v>
      </c>
      <c r="D34" s="630" t="s">
        <v>700</v>
      </c>
      <c r="E34" s="631">
        <v>-5875</v>
      </c>
      <c r="F34" s="629" t="s">
        <v>59</v>
      </c>
      <c r="G34" s="631">
        <v>261869.31</v>
      </c>
      <c r="H34" s="631">
        <f t="shared" si="0"/>
        <v>44.573499574468087</v>
      </c>
      <c r="I34" s="632"/>
      <c r="K34" s="633"/>
      <c r="L34" s="631"/>
      <c r="M34" s="634"/>
      <c r="N34" s="631"/>
      <c r="O34" s="629"/>
      <c r="P34" s="631"/>
    </row>
    <row r="35" spans="1:16">
      <c r="B35" s="628" t="s">
        <v>702</v>
      </c>
      <c r="C35" s="629">
        <v>44769</v>
      </c>
      <c r="D35" s="630" t="s">
        <v>700</v>
      </c>
      <c r="E35" s="631">
        <v>-5093</v>
      </c>
      <c r="F35" s="629" t="s">
        <v>59</v>
      </c>
      <c r="G35" s="631">
        <v>216072.05</v>
      </c>
      <c r="H35" s="631">
        <f t="shared" si="0"/>
        <v>42.425299430591004</v>
      </c>
      <c r="I35" s="632"/>
      <c r="K35" s="633"/>
      <c r="L35" s="631"/>
      <c r="M35" s="634"/>
      <c r="N35" s="631"/>
      <c r="O35" s="629"/>
      <c r="P35" s="631"/>
    </row>
    <row r="36" spans="1:16">
      <c r="B36" s="628" t="s">
        <v>702</v>
      </c>
      <c r="C36" s="629">
        <v>44862</v>
      </c>
      <c r="D36" s="630" t="s">
        <v>699</v>
      </c>
      <c r="E36" s="631">
        <v>8145</v>
      </c>
      <c r="F36" s="629" t="s">
        <v>59</v>
      </c>
      <c r="G36" s="631">
        <v>-316325.74</v>
      </c>
      <c r="H36" s="631">
        <f t="shared" si="0"/>
        <v>38.836800491098835</v>
      </c>
      <c r="I36" s="632"/>
      <c r="K36" s="633"/>
      <c r="L36" s="631"/>
      <c r="M36" s="634"/>
      <c r="N36" s="631"/>
      <c r="O36" s="629"/>
      <c r="P36" s="631"/>
    </row>
    <row r="37" spans="1:16">
      <c r="B37" s="628"/>
      <c r="C37" s="629"/>
      <c r="D37" s="630"/>
      <c r="E37" s="631"/>
      <c r="F37" s="629"/>
      <c r="G37" s="631"/>
      <c r="H37" s="631"/>
      <c r="I37" s="632"/>
      <c r="K37" s="633"/>
      <c r="L37" s="631"/>
      <c r="M37" s="634"/>
      <c r="N37" s="631"/>
      <c r="O37" s="629"/>
      <c r="P37" s="631"/>
    </row>
    <row r="38" spans="1:16">
      <c r="B38" s="628"/>
      <c r="C38" s="629"/>
      <c r="D38" s="630"/>
      <c r="E38" s="631"/>
      <c r="F38" s="629"/>
      <c r="G38" s="631"/>
      <c r="H38" s="631"/>
      <c r="I38" s="632"/>
      <c r="K38" s="633"/>
      <c r="L38" s="631"/>
      <c r="M38" s="634"/>
      <c r="N38" s="631"/>
      <c r="O38" s="629"/>
      <c r="P38" s="631"/>
    </row>
    <row r="39" spans="1:16">
      <c r="A39" t="s">
        <v>793</v>
      </c>
      <c r="B39" s="628" t="s">
        <v>703</v>
      </c>
      <c r="C39" s="629">
        <v>44231</v>
      </c>
      <c r="D39" s="630" t="s">
        <v>699</v>
      </c>
      <c r="E39" s="631">
        <v>9798</v>
      </c>
      <c r="F39" s="629" t="s">
        <v>59</v>
      </c>
      <c r="G39" s="631">
        <v>-642271.64</v>
      </c>
      <c r="H39" s="631">
        <f t="shared" si="0"/>
        <v>65.551300265360283</v>
      </c>
      <c r="I39" s="632">
        <f>+E39+E41+E42+E43+E44-M43-M44</f>
        <v>4389</v>
      </c>
      <c r="K39" s="633">
        <f>+C39</f>
        <v>44231</v>
      </c>
      <c r="L39" s="631">
        <f>+M39*H$39</f>
        <v>108290.74803837518</v>
      </c>
      <c r="M39" s="634">
        <v>1652</v>
      </c>
      <c r="N39" s="631" t="str">
        <f>+B39</f>
        <v xml:space="preserve">ISH MSCI ACWI ETF  </v>
      </c>
      <c r="O39" s="629">
        <f>+C41</f>
        <v>44302</v>
      </c>
      <c r="P39" s="635">
        <f>+M39*H41</f>
        <v>115177.44</v>
      </c>
    </row>
    <row r="40" spans="1:16">
      <c r="B40" s="628" t="s">
        <v>703</v>
      </c>
      <c r="C40" s="629">
        <v>44293</v>
      </c>
      <c r="D40" s="630" t="s">
        <v>699</v>
      </c>
      <c r="E40" s="631">
        <v>9292</v>
      </c>
      <c r="F40" s="629" t="s">
        <v>59</v>
      </c>
      <c r="G40" s="631">
        <v>-633693.03</v>
      </c>
      <c r="H40" s="631">
        <f t="shared" si="0"/>
        <v>68.197700172191134</v>
      </c>
      <c r="I40" s="632">
        <f>+E40</f>
        <v>9292</v>
      </c>
      <c r="K40" s="633">
        <f>+C39</f>
        <v>44231</v>
      </c>
      <c r="L40" s="631">
        <f t="shared" ref="L40:L42" si="4">+M40*H$39</f>
        <v>5244.1040212288226</v>
      </c>
      <c r="M40" s="634">
        <v>80</v>
      </c>
      <c r="N40" s="631" t="str">
        <f t="shared" ref="N40:N44" si="5">+B40</f>
        <v xml:space="preserve">ISH MSCI ACWI ETF  </v>
      </c>
      <c r="O40" s="629">
        <f t="shared" ref="O40:O42" si="6">+C42</f>
        <v>44370</v>
      </c>
      <c r="P40" s="635">
        <f t="shared" ref="P40:P42" si="7">+M40*H42</f>
        <v>5700.15</v>
      </c>
    </row>
    <row r="41" spans="1:16">
      <c r="B41" s="628" t="s">
        <v>703</v>
      </c>
      <c r="C41" s="629">
        <v>44302</v>
      </c>
      <c r="D41" s="630" t="s">
        <v>700</v>
      </c>
      <c r="E41" s="631">
        <v>-1652</v>
      </c>
      <c r="F41" s="629" t="s">
        <v>59</v>
      </c>
      <c r="G41" s="631">
        <v>115177.44</v>
      </c>
      <c r="H41" s="631">
        <f t="shared" si="0"/>
        <v>69.72</v>
      </c>
      <c r="I41" s="632"/>
      <c r="K41" s="633">
        <f>+C39</f>
        <v>44231</v>
      </c>
      <c r="L41" s="631">
        <f t="shared" si="4"/>
        <v>11012.618444580527</v>
      </c>
      <c r="M41" s="634">
        <v>168</v>
      </c>
      <c r="N41" s="631" t="str">
        <f t="shared" si="5"/>
        <v xml:space="preserve">ISH MSCI ACWI ETF  </v>
      </c>
      <c r="O41" s="629">
        <f t="shared" si="6"/>
        <v>44441</v>
      </c>
      <c r="P41" s="635">
        <f t="shared" si="7"/>
        <v>12487.459999999997</v>
      </c>
    </row>
    <row r="42" spans="1:16">
      <c r="B42" s="628" t="s">
        <v>703</v>
      </c>
      <c r="C42" s="629">
        <v>44370</v>
      </c>
      <c r="D42" s="630" t="s">
        <v>700</v>
      </c>
      <c r="E42" s="631">
        <v>-80</v>
      </c>
      <c r="F42" s="629" t="s">
        <v>59</v>
      </c>
      <c r="G42" s="631">
        <v>5700.15</v>
      </c>
      <c r="H42" s="631">
        <f t="shared" si="0"/>
        <v>71.251874999999998</v>
      </c>
      <c r="K42" s="633">
        <f>+C39</f>
        <v>44231</v>
      </c>
      <c r="L42" s="631">
        <f t="shared" si="4"/>
        <v>62208.183951826912</v>
      </c>
      <c r="M42" s="634">
        <v>949</v>
      </c>
      <c r="N42" s="631" t="str">
        <f t="shared" si="5"/>
        <v xml:space="preserve">ISH MSCI ACWI ETF  </v>
      </c>
      <c r="O42" s="629">
        <f t="shared" si="6"/>
        <v>44491</v>
      </c>
      <c r="P42" s="635">
        <f t="shared" si="7"/>
        <v>70455.94</v>
      </c>
    </row>
    <row r="43" spans="1:16">
      <c r="B43" s="628" t="s">
        <v>703</v>
      </c>
      <c r="C43" s="629">
        <v>44441</v>
      </c>
      <c r="D43" s="630" t="s">
        <v>700</v>
      </c>
      <c r="E43" s="631">
        <v>-168</v>
      </c>
      <c r="F43" s="629" t="s">
        <v>59</v>
      </c>
      <c r="G43" s="631">
        <v>12487.46</v>
      </c>
      <c r="H43" s="631">
        <f t="shared" si="0"/>
        <v>74.330119047619036</v>
      </c>
      <c r="K43" s="633">
        <f>+C39</f>
        <v>44231</v>
      </c>
      <c r="L43" s="631">
        <f>+M43*H39</f>
        <v>154701.06862625026</v>
      </c>
      <c r="M43" s="634">
        <f>-E46</f>
        <v>2360</v>
      </c>
      <c r="N43" s="631" t="str">
        <f t="shared" si="5"/>
        <v xml:space="preserve">ISH MSCI ACWI ETF  </v>
      </c>
      <c r="O43" s="629">
        <f>+C46</f>
        <v>44671</v>
      </c>
      <c r="P43" s="631">
        <f>+M43*H46</f>
        <v>166211.5</v>
      </c>
    </row>
    <row r="44" spans="1:16">
      <c r="B44" s="628" t="s">
        <v>703</v>
      </c>
      <c r="C44" s="629">
        <v>44491</v>
      </c>
      <c r="D44" s="630" t="s">
        <v>700</v>
      </c>
      <c r="E44" s="631">
        <v>-949</v>
      </c>
      <c r="F44" s="629" t="s">
        <v>59</v>
      </c>
      <c r="G44" s="631">
        <v>70455.94</v>
      </c>
      <c r="H44" s="631">
        <f t="shared" si="0"/>
        <v>74.242297154899902</v>
      </c>
      <c r="I44" s="632"/>
      <c r="K44" s="633">
        <f>+C39</f>
        <v>44231</v>
      </c>
      <c r="L44" s="631">
        <f>+M44*H39</f>
        <v>13110.260053072056</v>
      </c>
      <c r="M44" s="634">
        <f>-E48</f>
        <v>200</v>
      </c>
      <c r="N44" s="631" t="str">
        <f t="shared" si="5"/>
        <v xml:space="preserve">ISH MSCI ACWI ETF  </v>
      </c>
      <c r="O44" s="629">
        <f>+C48</f>
        <v>44862</v>
      </c>
      <c r="P44" s="631">
        <f>+M44*H48</f>
        <v>11903.14</v>
      </c>
    </row>
    <row r="45" spans="1:16">
      <c r="B45" s="628" t="s">
        <v>703</v>
      </c>
      <c r="C45" s="629">
        <v>44603</v>
      </c>
      <c r="D45" s="630" t="s">
        <v>699</v>
      </c>
      <c r="E45" s="631">
        <v>4061</v>
      </c>
      <c r="F45" s="629" t="s">
        <v>59</v>
      </c>
      <c r="G45" s="631">
        <v>-295133.58</v>
      </c>
      <c r="H45" s="631">
        <f t="shared" si="0"/>
        <v>72.675099729130764</v>
      </c>
      <c r="I45" s="632">
        <f>+E45</f>
        <v>4061</v>
      </c>
      <c r="K45" s="633"/>
      <c r="L45" s="631"/>
      <c r="M45" s="634"/>
      <c r="N45" s="631"/>
      <c r="O45" s="629"/>
      <c r="P45" s="631"/>
    </row>
    <row r="46" spans="1:16">
      <c r="B46" s="628" t="s">
        <v>703</v>
      </c>
      <c r="C46" s="629">
        <v>44671</v>
      </c>
      <c r="D46" s="630" t="s">
        <v>700</v>
      </c>
      <c r="E46" s="631">
        <v>-2360</v>
      </c>
      <c r="F46" s="629" t="s">
        <v>59</v>
      </c>
      <c r="G46" s="631">
        <v>166211.5</v>
      </c>
      <c r="H46" s="631">
        <f t="shared" si="0"/>
        <v>70.428601694915258</v>
      </c>
      <c r="I46" s="632"/>
      <c r="K46" s="633"/>
      <c r="L46" s="631"/>
      <c r="M46" s="634"/>
      <c r="N46" s="631"/>
      <c r="O46" s="629"/>
      <c r="P46" s="631"/>
    </row>
    <row r="47" spans="1:16">
      <c r="B47" s="628" t="s">
        <v>703</v>
      </c>
      <c r="C47" s="629">
        <v>44769</v>
      </c>
      <c r="D47" s="630" t="s">
        <v>699</v>
      </c>
      <c r="E47" s="631">
        <v>1615</v>
      </c>
      <c r="F47" s="629" t="s">
        <v>59</v>
      </c>
      <c r="G47" s="631">
        <v>-100901.16</v>
      </c>
      <c r="H47" s="631">
        <f t="shared" si="0"/>
        <v>62.477498452012384</v>
      </c>
      <c r="I47" s="632">
        <f>+E47</f>
        <v>1615</v>
      </c>
      <c r="K47" s="633"/>
      <c r="L47" s="631"/>
      <c r="M47" s="634"/>
      <c r="N47" s="631"/>
      <c r="O47" s="629"/>
      <c r="P47" s="631"/>
    </row>
    <row r="48" spans="1:16">
      <c r="B48" s="628" t="s">
        <v>703</v>
      </c>
      <c r="C48" s="629">
        <v>44862</v>
      </c>
      <c r="D48" s="630" t="s">
        <v>700</v>
      </c>
      <c r="E48" s="631">
        <v>-200</v>
      </c>
      <c r="F48" s="629" t="s">
        <v>59</v>
      </c>
      <c r="G48" s="631">
        <v>11903.14</v>
      </c>
      <c r="H48" s="631">
        <f t="shared" si="0"/>
        <v>59.515699999999995</v>
      </c>
      <c r="I48" s="632"/>
      <c r="K48" s="633"/>
      <c r="L48" s="631"/>
      <c r="M48" s="634"/>
      <c r="N48" s="631"/>
      <c r="O48" s="629"/>
      <c r="P48" s="631"/>
    </row>
    <row r="49" spans="1:16">
      <c r="B49" s="628" t="s">
        <v>703</v>
      </c>
      <c r="C49" s="629">
        <v>44897</v>
      </c>
      <c r="D49" s="630" t="s">
        <v>699</v>
      </c>
      <c r="E49" s="631">
        <v>1358</v>
      </c>
      <c r="F49" s="629" t="s">
        <v>59</v>
      </c>
      <c r="G49" s="631">
        <v>-87289.12</v>
      </c>
      <c r="H49" s="631">
        <f t="shared" si="0"/>
        <v>64.27770250368188</v>
      </c>
      <c r="I49" s="632"/>
      <c r="K49" s="633"/>
      <c r="L49" s="631"/>
      <c r="M49" s="634"/>
      <c r="N49" s="631"/>
      <c r="O49" s="629"/>
      <c r="P49" s="631"/>
    </row>
    <row r="50" spans="1:16">
      <c r="B50" s="628"/>
      <c r="C50" s="629"/>
      <c r="D50" s="630"/>
      <c r="E50" s="631"/>
      <c r="F50" s="629"/>
      <c r="G50" s="631"/>
      <c r="H50" s="631"/>
      <c r="I50" s="632"/>
      <c r="K50" s="633"/>
      <c r="L50" s="631"/>
      <c r="M50" s="634"/>
      <c r="N50" s="631"/>
      <c r="O50" s="629"/>
      <c r="P50" s="631"/>
    </row>
    <row r="51" spans="1:16">
      <c r="A51" t="s">
        <v>794</v>
      </c>
      <c r="B51" s="628" t="s">
        <v>704</v>
      </c>
      <c r="C51" s="629">
        <v>44231</v>
      </c>
      <c r="D51" s="630" t="s">
        <v>699</v>
      </c>
      <c r="E51" s="631">
        <v>727</v>
      </c>
      <c r="F51" s="629" t="s">
        <v>59</v>
      </c>
      <c r="G51" s="631">
        <v>-108622.74</v>
      </c>
      <c r="H51" s="631">
        <f t="shared" si="0"/>
        <v>149.41229711141679</v>
      </c>
      <c r="I51" s="632">
        <f>+E51-M51</f>
        <v>0</v>
      </c>
      <c r="K51" s="633">
        <f>+C51</f>
        <v>44231</v>
      </c>
      <c r="L51" s="631">
        <f>+M51*H51</f>
        <v>108622.74</v>
      </c>
      <c r="M51" s="634">
        <v>727</v>
      </c>
      <c r="N51" s="631" t="str">
        <f>+B51</f>
        <v xml:space="preserve">ISH MSCI CANADA ETF  </v>
      </c>
      <c r="O51" s="629">
        <f>+C55</f>
        <v>44441</v>
      </c>
      <c r="P51" s="635">
        <f>+M51*H$55</f>
        <v>129455.87111221945</v>
      </c>
    </row>
    <row r="52" spans="1:16">
      <c r="B52" s="628" t="s">
        <v>704</v>
      </c>
      <c r="C52" s="629">
        <v>44293</v>
      </c>
      <c r="D52" s="630" t="s">
        <v>699</v>
      </c>
      <c r="E52" s="631">
        <v>614</v>
      </c>
      <c r="F52" s="629" t="s">
        <v>59</v>
      </c>
      <c r="G52" s="631">
        <v>-100407.24</v>
      </c>
      <c r="H52" s="631">
        <f t="shared" si="0"/>
        <v>163.5297068403909</v>
      </c>
      <c r="I52" s="632">
        <f>+E52-M52</f>
        <v>0</v>
      </c>
      <c r="K52" s="633">
        <f t="shared" ref="K52:K53" si="8">+C52</f>
        <v>44293</v>
      </c>
      <c r="L52" s="631">
        <f t="shared" ref="L52:L53" si="9">+M52*H52</f>
        <v>100407.24000000002</v>
      </c>
      <c r="M52" s="634">
        <v>614</v>
      </c>
      <c r="N52" s="631" t="str">
        <f t="shared" ref="N52:N59" si="10">+B52</f>
        <v xml:space="preserve">ISH MSCI CANADA ETF  </v>
      </c>
      <c r="O52" s="629">
        <f>+C55</f>
        <v>44441</v>
      </c>
      <c r="P52" s="635">
        <f t="shared" ref="P52:P53" si="11">+M52*H$55</f>
        <v>109334.11948129676</v>
      </c>
    </row>
    <row r="53" spans="1:16" ht="17" thickBot="1">
      <c r="B53" s="628" t="s">
        <v>704</v>
      </c>
      <c r="C53" s="629">
        <v>44302</v>
      </c>
      <c r="D53" s="630" t="s">
        <v>699</v>
      </c>
      <c r="E53" s="631">
        <v>848</v>
      </c>
      <c r="F53" s="629" t="s">
        <v>59</v>
      </c>
      <c r="G53" s="631">
        <v>-141419.76999999999</v>
      </c>
      <c r="H53" s="631">
        <f t="shared" si="0"/>
        <v>166.76859669811319</v>
      </c>
      <c r="I53" s="632">
        <f>+E53-M53-M54</f>
        <v>0</v>
      </c>
      <c r="K53" s="633">
        <f t="shared" si="8"/>
        <v>44302</v>
      </c>
      <c r="L53" s="644">
        <f t="shared" si="9"/>
        <v>110734.34820754715</v>
      </c>
      <c r="M53" s="634">
        <v>664</v>
      </c>
      <c r="N53" s="631" t="str">
        <f t="shared" si="10"/>
        <v xml:space="preserve">ISH MSCI CANADA ETF  </v>
      </c>
      <c r="O53" s="629">
        <f>+C55</f>
        <v>44441</v>
      </c>
      <c r="P53" s="639">
        <f t="shared" si="11"/>
        <v>118237.54940648378</v>
      </c>
    </row>
    <row r="54" spans="1:16">
      <c r="B54" s="628" t="s">
        <v>704</v>
      </c>
      <c r="C54" s="629">
        <v>44370</v>
      </c>
      <c r="D54" s="630" t="s">
        <v>699</v>
      </c>
      <c r="E54" s="631">
        <v>2086</v>
      </c>
      <c r="F54" s="629" t="s">
        <v>59</v>
      </c>
      <c r="G54" s="631">
        <v>-371770.05</v>
      </c>
      <c r="H54" s="631">
        <f t="shared" si="0"/>
        <v>178.22150047938638</v>
      </c>
      <c r="I54" s="632">
        <f>+E54-M55-M56-M57</f>
        <v>0</v>
      </c>
      <c r="K54" s="633">
        <f>+C53</f>
        <v>44302</v>
      </c>
      <c r="L54" s="641">
        <f>+M54*H53</f>
        <v>30685.421792452828</v>
      </c>
      <c r="M54" s="634">
        <v>184</v>
      </c>
      <c r="N54" s="631" t="str">
        <f t="shared" si="10"/>
        <v xml:space="preserve">ISH MSCI CANADA ETF  </v>
      </c>
      <c r="O54" s="629">
        <f>+C58</f>
        <v>44671</v>
      </c>
      <c r="P54" s="641">
        <f>+M54*H$58</f>
        <v>35458.492489451477</v>
      </c>
    </row>
    <row r="55" spans="1:16" ht="17" thickBot="1">
      <c r="B55" s="628" t="s">
        <v>704</v>
      </c>
      <c r="C55" s="629">
        <v>44441</v>
      </c>
      <c r="D55" s="630" t="s">
        <v>700</v>
      </c>
      <c r="E55" s="631">
        <v>-2005</v>
      </c>
      <c r="F55" s="629" t="s">
        <v>59</v>
      </c>
      <c r="G55" s="631">
        <v>357027.54</v>
      </c>
      <c r="H55" s="631">
        <f t="shared" si="0"/>
        <v>178.06859850374065</v>
      </c>
      <c r="I55" s="632"/>
      <c r="K55" s="633">
        <f>+C54</f>
        <v>44370</v>
      </c>
      <c r="L55" s="643">
        <f>+M55*H54</f>
        <v>9445.7395254074781</v>
      </c>
      <c r="M55" s="634">
        <f>237-M54</f>
        <v>53</v>
      </c>
      <c r="N55" s="631" t="str">
        <f t="shared" si="10"/>
        <v xml:space="preserve">ISH MSCI CANADA ETF  </v>
      </c>
      <c r="O55" s="629">
        <f>+O54</f>
        <v>44671</v>
      </c>
      <c r="P55" s="643">
        <f>+M55*H$58</f>
        <v>10213.587510548523</v>
      </c>
    </row>
    <row r="56" spans="1:16" ht="17" thickBot="1">
      <c r="B56" s="628" t="s">
        <v>704</v>
      </c>
      <c r="C56" s="629">
        <v>44491</v>
      </c>
      <c r="D56" s="630" t="s">
        <v>699</v>
      </c>
      <c r="E56" s="631">
        <v>1006</v>
      </c>
      <c r="F56" s="629" t="s">
        <v>59</v>
      </c>
      <c r="G56" s="631">
        <v>-188524.2</v>
      </c>
      <c r="H56" s="631">
        <f t="shared" si="0"/>
        <v>187.39980119284294</v>
      </c>
      <c r="I56" s="632">
        <f>+E56-M58</f>
        <v>0</v>
      </c>
      <c r="K56" s="633">
        <f>+C54</f>
        <v>44370</v>
      </c>
      <c r="L56" s="637">
        <f>+M56*H54</f>
        <v>255213.1886864813</v>
      </c>
      <c r="M56" s="634">
        <f>-E60</f>
        <v>1432</v>
      </c>
      <c r="N56" s="631" t="str">
        <f t="shared" si="10"/>
        <v xml:space="preserve">ISH MSCI CANADA ETF  </v>
      </c>
      <c r="O56" s="629">
        <f>+C60</f>
        <v>44862</v>
      </c>
      <c r="P56" s="637">
        <f>+M56*H60</f>
        <v>225921.06</v>
      </c>
    </row>
    <row r="57" spans="1:16">
      <c r="B57" s="628" t="s">
        <v>704</v>
      </c>
      <c r="C57" s="629">
        <v>44603</v>
      </c>
      <c r="D57" s="630" t="s">
        <v>699</v>
      </c>
      <c r="E57" s="631">
        <v>1294</v>
      </c>
      <c r="F57" s="629" t="s">
        <v>59</v>
      </c>
      <c r="G57" s="631">
        <v>-240911.61</v>
      </c>
      <c r="H57" s="631">
        <f t="shared" si="0"/>
        <v>186.17589644513137</v>
      </c>
      <c r="I57" s="632">
        <f>+E57-M59</f>
        <v>679</v>
      </c>
      <c r="K57" s="633">
        <f>+C54</f>
        <v>44370</v>
      </c>
      <c r="L57" s="641">
        <f>+M57*H54</f>
        <v>107111.12178811121</v>
      </c>
      <c r="M57" s="634">
        <v>601</v>
      </c>
      <c r="N57" s="631" t="str">
        <f t="shared" si="10"/>
        <v xml:space="preserve">ISH MSCI CANADA ETF  </v>
      </c>
      <c r="O57" s="629">
        <f>+C61</f>
        <v>44897</v>
      </c>
      <c r="P57" s="641">
        <f>+M57*H$61</f>
        <v>100864.80759675967</v>
      </c>
    </row>
    <row r="58" spans="1:16">
      <c r="B58" s="628" t="s">
        <v>704</v>
      </c>
      <c r="C58" s="629">
        <v>44671</v>
      </c>
      <c r="D58" s="630" t="s">
        <v>700</v>
      </c>
      <c r="E58" s="631">
        <v>-237</v>
      </c>
      <c r="F58" s="629" t="s">
        <v>59</v>
      </c>
      <c r="G58" s="631">
        <v>45672.08</v>
      </c>
      <c r="H58" s="631">
        <f t="shared" si="0"/>
        <v>192.70919831223628</v>
      </c>
      <c r="I58" s="632"/>
      <c r="K58" s="633">
        <f>+C56</f>
        <v>44491</v>
      </c>
      <c r="L58" s="642">
        <f>+M58*H56</f>
        <v>188524.2</v>
      </c>
      <c r="M58" s="634">
        <v>1006</v>
      </c>
      <c r="N58" s="631" t="str">
        <f t="shared" si="10"/>
        <v xml:space="preserve">ISH MSCI CANADA ETF  </v>
      </c>
      <c r="O58" s="629">
        <f>+O57</f>
        <v>44897</v>
      </c>
      <c r="P58" s="642">
        <f t="shared" ref="P58:P59" si="12">+M58*H$61</f>
        <v>168835.26862286229</v>
      </c>
    </row>
    <row r="59" spans="1:16" ht="17" thickBot="1">
      <c r="B59" s="628" t="s">
        <v>704</v>
      </c>
      <c r="C59" s="629">
        <v>44769</v>
      </c>
      <c r="D59" s="630" t="s">
        <v>699</v>
      </c>
      <c r="E59" s="631">
        <v>2550</v>
      </c>
      <c r="F59" s="629" t="s">
        <v>59</v>
      </c>
      <c r="G59" s="631">
        <v>-417784.1</v>
      </c>
      <c r="H59" s="631">
        <f t="shared" si="0"/>
        <v>163.8369019607843</v>
      </c>
      <c r="I59" s="632">
        <f>+E59</f>
        <v>2550</v>
      </c>
      <c r="K59" s="633">
        <f>+C57</f>
        <v>44603</v>
      </c>
      <c r="L59" s="643">
        <f>+M59*H57</f>
        <v>114498.17631375579</v>
      </c>
      <c r="M59" s="634">
        <f>2222-M58-M57</f>
        <v>615</v>
      </c>
      <c r="N59" s="631" t="str">
        <f t="shared" si="10"/>
        <v xml:space="preserve">ISH MSCI CANADA ETF  </v>
      </c>
      <c r="O59" s="629">
        <f>+O58</f>
        <v>44897</v>
      </c>
      <c r="P59" s="643">
        <f t="shared" si="12"/>
        <v>103214.40378037804</v>
      </c>
    </row>
    <row r="60" spans="1:16">
      <c r="B60" s="628" t="s">
        <v>704</v>
      </c>
      <c r="C60" s="629">
        <v>44862</v>
      </c>
      <c r="D60" s="630" t="s">
        <v>700</v>
      </c>
      <c r="E60" s="631">
        <v>-1432</v>
      </c>
      <c r="F60" s="629" t="s">
        <v>59</v>
      </c>
      <c r="G60" s="631">
        <v>225921.06</v>
      </c>
      <c r="H60" s="631">
        <f t="shared" si="0"/>
        <v>157.76610335195531</v>
      </c>
      <c r="I60" s="632"/>
      <c r="K60" s="633"/>
      <c r="L60" s="640"/>
      <c r="M60" s="634"/>
      <c r="N60" s="631"/>
      <c r="O60" s="629"/>
      <c r="P60" s="640"/>
    </row>
    <row r="61" spans="1:16">
      <c r="B61" s="628" t="s">
        <v>704</v>
      </c>
      <c r="C61" s="629">
        <v>44897</v>
      </c>
      <c r="D61" s="630" t="s">
        <v>700</v>
      </c>
      <c r="E61" s="631">
        <v>-2222</v>
      </c>
      <c r="F61" s="629" t="s">
        <v>59</v>
      </c>
      <c r="G61" s="631">
        <v>372914.48</v>
      </c>
      <c r="H61" s="631">
        <f t="shared" si="0"/>
        <v>167.82829882988298</v>
      </c>
      <c r="I61" s="632"/>
      <c r="K61" s="633"/>
      <c r="L61" s="631"/>
      <c r="M61" s="634"/>
      <c r="N61" s="631"/>
      <c r="O61" s="629"/>
      <c r="P61" s="631"/>
    </row>
    <row r="62" spans="1:16">
      <c r="B62" s="628"/>
      <c r="C62" s="629"/>
      <c r="D62" s="630"/>
      <c r="E62" s="631"/>
      <c r="F62" s="629"/>
      <c r="G62" s="631"/>
      <c r="H62" s="631"/>
      <c r="K62" s="633"/>
      <c r="L62" s="631"/>
      <c r="M62" s="634"/>
      <c r="N62" s="631"/>
      <c r="O62" s="629"/>
      <c r="P62" s="631"/>
    </row>
    <row r="63" spans="1:16">
      <c r="A63" s="673"/>
      <c r="B63" s="628" t="s">
        <v>705</v>
      </c>
      <c r="C63" s="629">
        <v>43957</v>
      </c>
      <c r="D63" s="630" t="s">
        <v>699</v>
      </c>
      <c r="E63" s="631">
        <v>670</v>
      </c>
      <c r="F63" s="629" t="s">
        <v>59</v>
      </c>
      <c r="G63" s="631">
        <v>-185962.86</v>
      </c>
      <c r="H63" s="631">
        <f t="shared" si="0"/>
        <v>277.55650746268657</v>
      </c>
      <c r="I63" s="632"/>
      <c r="K63" s="633">
        <f>+C63</f>
        <v>43957</v>
      </c>
      <c r="L63" s="631">
        <f>+M63*H63</f>
        <v>185962.86</v>
      </c>
      <c r="M63" s="634">
        <v>670</v>
      </c>
      <c r="N63" s="631" t="str">
        <f>+B63</f>
        <v xml:space="preserve">ISH MSCI USA ETF  </v>
      </c>
      <c r="O63" s="629">
        <f>+C68</f>
        <v>44231</v>
      </c>
      <c r="P63" s="635">
        <f>+M63*H$68</f>
        <v>257738.5474090408</v>
      </c>
    </row>
    <row r="64" spans="1:16">
      <c r="A64" s="673"/>
      <c r="B64" s="628" t="s">
        <v>705</v>
      </c>
      <c r="C64" s="629">
        <v>43985</v>
      </c>
      <c r="D64" s="630" t="s">
        <v>699</v>
      </c>
      <c r="E64" s="631">
        <v>30</v>
      </c>
      <c r="F64" s="629" t="s">
        <v>59</v>
      </c>
      <c r="G64" s="631">
        <v>-9100.33</v>
      </c>
      <c r="H64" s="631">
        <f t="shared" si="0"/>
        <v>303.34433333333334</v>
      </c>
      <c r="K64" s="633">
        <f t="shared" ref="K64:K67" si="13">+C64</f>
        <v>43985</v>
      </c>
      <c r="L64" s="631">
        <f t="shared" ref="L64:L67" si="14">+M64*H64</f>
        <v>9100.33</v>
      </c>
      <c r="M64" s="634">
        <v>30</v>
      </c>
      <c r="N64" s="631" t="str">
        <f t="shared" ref="N64:N67" si="15">+B64</f>
        <v xml:space="preserve">ISH MSCI USA ETF  </v>
      </c>
      <c r="O64" s="629">
        <f>+C68</f>
        <v>44231</v>
      </c>
      <c r="P64" s="635">
        <f t="shared" ref="P64:P67" si="16">+M64*H$68</f>
        <v>11540.53197353914</v>
      </c>
    </row>
    <row r="65" spans="1:16">
      <c r="A65" s="673"/>
      <c r="B65" s="628" t="s">
        <v>705</v>
      </c>
      <c r="C65" s="629">
        <v>44118</v>
      </c>
      <c r="D65" s="630" t="s">
        <v>699</v>
      </c>
      <c r="E65" s="631">
        <v>175</v>
      </c>
      <c r="F65" s="629" t="s">
        <v>59</v>
      </c>
      <c r="G65" s="631">
        <v>-60989.13</v>
      </c>
      <c r="H65" s="631">
        <f t="shared" si="0"/>
        <v>348.50931428571425</v>
      </c>
      <c r="K65" s="633">
        <f t="shared" si="13"/>
        <v>44118</v>
      </c>
      <c r="L65" s="631">
        <f t="shared" si="14"/>
        <v>60989.13</v>
      </c>
      <c r="M65" s="634">
        <v>175</v>
      </c>
      <c r="N65" s="631" t="str">
        <f t="shared" si="15"/>
        <v xml:space="preserve">ISH MSCI USA ETF  </v>
      </c>
      <c r="O65" s="629">
        <f>+C68</f>
        <v>44231</v>
      </c>
      <c r="P65" s="635">
        <f t="shared" si="16"/>
        <v>67319.769845644987</v>
      </c>
    </row>
    <row r="66" spans="1:16">
      <c r="A66" s="673"/>
      <c r="B66" s="628" t="s">
        <v>705</v>
      </c>
      <c r="C66" s="629">
        <v>44158</v>
      </c>
      <c r="D66" s="630" t="s">
        <v>699</v>
      </c>
      <c r="E66" s="631">
        <v>49</v>
      </c>
      <c r="F66" s="629" t="s">
        <v>59</v>
      </c>
      <c r="G66" s="631">
        <v>-17411.189999999999</v>
      </c>
      <c r="H66" s="631">
        <f t="shared" si="0"/>
        <v>355.3304081632653</v>
      </c>
      <c r="I66" s="632"/>
      <c r="K66" s="633">
        <f t="shared" si="13"/>
        <v>44158</v>
      </c>
      <c r="L66" s="631">
        <f t="shared" si="14"/>
        <v>17411.189999999999</v>
      </c>
      <c r="M66" s="634">
        <v>49</v>
      </c>
      <c r="N66" s="631" t="str">
        <f t="shared" si="15"/>
        <v xml:space="preserve">ISH MSCI USA ETF  </v>
      </c>
      <c r="O66" s="629">
        <f>+C68</f>
        <v>44231</v>
      </c>
      <c r="P66" s="635">
        <f t="shared" si="16"/>
        <v>18849.535556780596</v>
      </c>
    </row>
    <row r="67" spans="1:16">
      <c r="A67" s="673"/>
      <c r="B67" s="628" t="s">
        <v>705</v>
      </c>
      <c r="C67" s="629">
        <v>44218</v>
      </c>
      <c r="D67" s="630" t="s">
        <v>699</v>
      </c>
      <c r="E67" s="631">
        <v>2704</v>
      </c>
      <c r="F67" s="629" t="s">
        <v>59</v>
      </c>
      <c r="G67" s="631">
        <v>-1038457.68</v>
      </c>
      <c r="H67" s="631">
        <f t="shared" si="0"/>
        <v>384.04500000000002</v>
      </c>
      <c r="K67" s="633">
        <f t="shared" si="13"/>
        <v>44218</v>
      </c>
      <c r="L67" s="631">
        <f t="shared" si="14"/>
        <v>1038457.68</v>
      </c>
      <c r="M67" s="634">
        <v>2704</v>
      </c>
      <c r="N67" s="631" t="str">
        <f t="shared" si="15"/>
        <v xml:space="preserve">ISH MSCI USA ETF  </v>
      </c>
      <c r="O67" s="629">
        <f>+C68</f>
        <v>44231</v>
      </c>
      <c r="P67" s="635">
        <f t="shared" si="16"/>
        <v>1040186.6152149945</v>
      </c>
    </row>
    <row r="68" spans="1:16">
      <c r="A68" s="673"/>
      <c r="B68" s="628" t="s">
        <v>705</v>
      </c>
      <c r="C68" s="629">
        <v>44231</v>
      </c>
      <c r="D68" s="630" t="s">
        <v>700</v>
      </c>
      <c r="E68" s="631">
        <v>-3628</v>
      </c>
      <c r="F68" s="629" t="s">
        <v>59</v>
      </c>
      <c r="G68" s="631">
        <v>1395635</v>
      </c>
      <c r="H68" s="631">
        <f t="shared" si="0"/>
        <v>384.68439911797134</v>
      </c>
      <c r="I68" s="632"/>
      <c r="K68" s="633"/>
      <c r="L68" s="631"/>
      <c r="M68" s="634"/>
      <c r="N68" s="631"/>
      <c r="O68" s="629"/>
      <c r="P68" s="631"/>
    </row>
    <row r="69" spans="1:16">
      <c r="B69" s="628"/>
      <c r="C69" s="629"/>
      <c r="D69" s="630"/>
      <c r="E69" s="631"/>
      <c r="F69" s="629"/>
      <c r="G69" s="631"/>
      <c r="H69" s="631"/>
      <c r="I69" s="632"/>
      <c r="K69" s="633"/>
      <c r="L69" s="631"/>
      <c r="M69" s="634"/>
      <c r="N69" s="631"/>
      <c r="O69" s="629"/>
      <c r="P69" s="631"/>
    </row>
    <row r="70" spans="1:16">
      <c r="B70" s="628"/>
      <c r="C70" s="629"/>
      <c r="D70" s="630"/>
      <c r="E70" s="631"/>
      <c r="F70" s="629"/>
      <c r="G70" s="631"/>
      <c r="H70" s="631"/>
      <c r="I70" s="632"/>
      <c r="K70" s="633"/>
      <c r="L70" s="631"/>
      <c r="M70" s="634"/>
      <c r="N70" s="631"/>
      <c r="O70" s="629"/>
      <c r="P70" s="631"/>
    </row>
    <row r="71" spans="1:16">
      <c r="A71" s="673"/>
      <c r="B71" s="628" t="s">
        <v>706</v>
      </c>
      <c r="C71" s="629">
        <v>43957</v>
      </c>
      <c r="D71" s="630" t="s">
        <v>699</v>
      </c>
      <c r="E71" s="631">
        <v>279</v>
      </c>
      <c r="F71" s="629" t="s">
        <v>59</v>
      </c>
      <c r="G71" s="631">
        <v>-39343.72</v>
      </c>
      <c r="H71" s="631">
        <f t="shared" si="0"/>
        <v>141.01691756272402</v>
      </c>
      <c r="I71" s="632">
        <f>+E71+E72-M71</f>
        <v>0</v>
      </c>
      <c r="K71" s="633">
        <f>+C71</f>
        <v>43957</v>
      </c>
      <c r="L71" s="631">
        <f>+M71*H71</f>
        <v>10294.234982078853</v>
      </c>
      <c r="M71" s="634">
        <v>73</v>
      </c>
      <c r="N71" s="631" t="str">
        <f>+B71</f>
        <v xml:space="preserve">ISH USD TRES BND 3-7 ETF  </v>
      </c>
      <c r="O71" s="629">
        <f>+C76</f>
        <v>44231</v>
      </c>
      <c r="P71" s="635">
        <f>+M71*H$76</f>
        <v>10310.016223958333</v>
      </c>
    </row>
    <row r="72" spans="1:16">
      <c r="A72" s="673"/>
      <c r="B72" s="628" t="s">
        <v>706</v>
      </c>
      <c r="C72" s="629">
        <v>43985</v>
      </c>
      <c r="D72" s="630" t="s">
        <v>700</v>
      </c>
      <c r="E72" s="631">
        <v>-206</v>
      </c>
      <c r="F72" s="629" t="s">
        <v>59</v>
      </c>
      <c r="G72" s="631">
        <v>29103.95</v>
      </c>
      <c r="H72" s="631">
        <f t="shared" si="0"/>
        <v>141.28131067961166</v>
      </c>
      <c r="I72" s="632"/>
      <c r="K72" s="633">
        <f>+C73</f>
        <v>44118</v>
      </c>
      <c r="L72" s="631">
        <f>+M72*H73</f>
        <v>14628.37</v>
      </c>
      <c r="M72" s="634">
        <v>103</v>
      </c>
      <c r="N72" s="631" t="str">
        <f t="shared" ref="N72:N74" si="17">+B72</f>
        <v xml:space="preserve">ISH USD TRES BND 3-7 ETF  </v>
      </c>
      <c r="O72" s="629">
        <f>+C76</f>
        <v>44231</v>
      </c>
      <c r="P72" s="635">
        <f t="shared" ref="P72:P74" si="18">+M72*H$76</f>
        <v>14547.009192708332</v>
      </c>
    </row>
    <row r="73" spans="1:16">
      <c r="A73" s="673"/>
      <c r="B73" s="628" t="s">
        <v>706</v>
      </c>
      <c r="C73" s="629">
        <v>44118</v>
      </c>
      <c r="D73" s="630" t="s">
        <v>699</v>
      </c>
      <c r="E73" s="631">
        <v>103</v>
      </c>
      <c r="F73" s="629" t="s">
        <v>59</v>
      </c>
      <c r="G73" s="631">
        <v>-14628.37</v>
      </c>
      <c r="H73" s="631">
        <f t="shared" si="0"/>
        <v>142.02300970873787</v>
      </c>
      <c r="I73" s="632">
        <f>+E73-M72</f>
        <v>0</v>
      </c>
      <c r="K73" s="633">
        <f>+C74</f>
        <v>44158</v>
      </c>
      <c r="L73" s="631">
        <f>+M73*H74</f>
        <v>707.86</v>
      </c>
      <c r="M73" s="634">
        <v>5</v>
      </c>
      <c r="N73" s="631" t="str">
        <f t="shared" si="17"/>
        <v xml:space="preserve">ISH USD TRES BND 3-7 ETF  </v>
      </c>
      <c r="O73" s="629">
        <f>+C76</f>
        <v>44231</v>
      </c>
      <c r="P73" s="635">
        <f t="shared" si="18"/>
        <v>706.16549479166667</v>
      </c>
    </row>
    <row r="74" spans="1:16">
      <c r="A74" s="673"/>
      <c r="B74" s="628" t="s">
        <v>706</v>
      </c>
      <c r="C74" s="629">
        <v>44158</v>
      </c>
      <c r="D74" s="630" t="s">
        <v>699</v>
      </c>
      <c r="E74" s="631">
        <v>5</v>
      </c>
      <c r="F74" s="629" t="s">
        <v>59</v>
      </c>
      <c r="G74" s="631">
        <v>-707.86</v>
      </c>
      <c r="H74" s="631">
        <f t="shared" si="0"/>
        <v>141.572</v>
      </c>
      <c r="I74" s="632">
        <f>+E74-M73</f>
        <v>0</v>
      </c>
      <c r="K74" s="633">
        <f>+C75</f>
        <v>44218</v>
      </c>
      <c r="L74" s="631">
        <f>+M74*H75</f>
        <v>83015.179999999993</v>
      </c>
      <c r="M74" s="634">
        <v>587</v>
      </c>
      <c r="N74" s="631" t="str">
        <f t="shared" si="17"/>
        <v xml:space="preserve">ISH USD TRES BND 3-7 ETF  </v>
      </c>
      <c r="O74" s="629">
        <f>+C76</f>
        <v>44231</v>
      </c>
      <c r="P74" s="635">
        <f t="shared" si="18"/>
        <v>82903.829088541665</v>
      </c>
    </row>
    <row r="75" spans="1:16">
      <c r="A75" s="673"/>
      <c r="B75" s="628" t="s">
        <v>706</v>
      </c>
      <c r="C75" s="629">
        <v>44218</v>
      </c>
      <c r="D75" s="630" t="s">
        <v>699</v>
      </c>
      <c r="E75" s="631">
        <v>587</v>
      </c>
      <c r="F75" s="629" t="s">
        <v>59</v>
      </c>
      <c r="G75" s="631">
        <v>-83015.179999999993</v>
      </c>
      <c r="H75" s="631">
        <f t="shared" si="0"/>
        <v>141.42279386712093</v>
      </c>
      <c r="I75" s="632">
        <f>+E75-M74</f>
        <v>0</v>
      </c>
      <c r="K75" s="633"/>
      <c r="L75" s="631"/>
      <c r="M75" s="634"/>
      <c r="N75" s="631"/>
      <c r="O75" s="629"/>
      <c r="P75" s="631"/>
    </row>
    <row r="76" spans="1:16">
      <c r="A76" s="673"/>
      <c r="B76" s="628" t="s">
        <v>706</v>
      </c>
      <c r="C76" s="629">
        <v>44231</v>
      </c>
      <c r="D76" s="630" t="s">
        <v>700</v>
      </c>
      <c r="E76" s="631">
        <v>-768</v>
      </c>
      <c r="F76" s="629" t="s">
        <v>59</v>
      </c>
      <c r="G76" s="631">
        <v>108467.02</v>
      </c>
      <c r="H76" s="631">
        <f t="shared" si="0"/>
        <v>141.23309895833333</v>
      </c>
      <c r="K76" s="633"/>
      <c r="L76" s="631"/>
      <c r="M76" s="634"/>
      <c r="N76" s="631"/>
      <c r="O76" s="629"/>
      <c r="P76" s="631"/>
    </row>
    <row r="77" spans="1:16">
      <c r="B77" s="628"/>
      <c r="C77" s="629"/>
      <c r="D77" s="630"/>
      <c r="E77" s="631"/>
      <c r="F77" s="629"/>
      <c r="G77" s="631"/>
      <c r="H77" s="631"/>
      <c r="K77" s="633"/>
      <c r="L77" s="631"/>
      <c r="M77" s="634"/>
      <c r="N77" s="631"/>
      <c r="O77" s="629"/>
      <c r="P77" s="631"/>
    </row>
    <row r="78" spans="1:16">
      <c r="A78" s="673"/>
      <c r="B78" s="628" t="s">
        <v>707</v>
      </c>
      <c r="C78" s="629">
        <v>44231</v>
      </c>
      <c r="D78" s="630" t="s">
        <v>699</v>
      </c>
      <c r="E78" s="631">
        <v>30693</v>
      </c>
      <c r="F78" s="629" t="s">
        <v>59</v>
      </c>
      <c r="G78" s="631">
        <v>-197116.58</v>
      </c>
      <c r="H78" s="631">
        <f t="shared" si="0"/>
        <v>6.4221998501286937</v>
      </c>
      <c r="K78" s="633">
        <f>+C78</f>
        <v>44231</v>
      </c>
      <c r="L78" s="631">
        <f>+M78*H78</f>
        <v>197116.58</v>
      </c>
      <c r="M78" s="634">
        <v>30693</v>
      </c>
      <c r="N78" s="631" t="str">
        <f>+B78</f>
        <v>ISHARES  CORP BOND UCITS ETF USD</v>
      </c>
      <c r="O78" s="629">
        <f>+C80</f>
        <v>44302</v>
      </c>
      <c r="P78" s="635">
        <f>+M78*H80</f>
        <v>192926.99220988003</v>
      </c>
    </row>
    <row r="79" spans="1:16">
      <c r="A79" s="673"/>
      <c r="B79" s="628" t="s">
        <v>707</v>
      </c>
      <c r="C79" s="629">
        <v>44293</v>
      </c>
      <c r="D79" s="630" t="s">
        <v>699</v>
      </c>
      <c r="E79" s="631">
        <v>33315</v>
      </c>
      <c r="F79" s="629" t="s">
        <v>59</v>
      </c>
      <c r="G79" s="631">
        <v>-208418.64</v>
      </c>
      <c r="H79" s="631">
        <f t="shared" si="0"/>
        <v>6.2560000000000002</v>
      </c>
      <c r="K79" s="633">
        <f>+C79</f>
        <v>44293</v>
      </c>
      <c r="L79" s="631">
        <f>+M79*H79</f>
        <v>208418.64</v>
      </c>
      <c r="M79" s="634">
        <v>33315</v>
      </c>
      <c r="N79" s="631" t="str">
        <f>+B79</f>
        <v>ISHARES  CORP BOND UCITS ETF USD</v>
      </c>
      <c r="O79" s="629">
        <f>+C80</f>
        <v>44302</v>
      </c>
      <c r="P79" s="635">
        <f>+M79*H80</f>
        <v>209408.09779011999</v>
      </c>
    </row>
    <row r="80" spans="1:16">
      <c r="A80" s="673"/>
      <c r="B80" s="628" t="s">
        <v>707</v>
      </c>
      <c r="C80" s="629">
        <v>44302</v>
      </c>
      <c r="D80" s="630" t="s">
        <v>700</v>
      </c>
      <c r="E80" s="631">
        <v>-64008</v>
      </c>
      <c r="F80" s="629" t="s">
        <v>59</v>
      </c>
      <c r="G80" s="631">
        <v>402335.09</v>
      </c>
      <c r="H80" s="631">
        <f t="shared" si="0"/>
        <v>6.2857000687414075</v>
      </c>
      <c r="K80" s="633"/>
      <c r="L80" s="631"/>
      <c r="M80" s="634"/>
      <c r="N80" s="631"/>
      <c r="O80" s="629"/>
      <c r="P80" s="631"/>
    </row>
    <row r="81" spans="1:16">
      <c r="B81" s="628"/>
      <c r="C81" s="629"/>
      <c r="D81" s="630"/>
      <c r="E81" s="631"/>
      <c r="F81" s="629"/>
      <c r="G81" s="631"/>
      <c r="H81" s="631"/>
      <c r="K81" s="633"/>
      <c r="L81" s="631"/>
      <c r="M81" s="634"/>
      <c r="N81" s="631"/>
      <c r="O81" s="629"/>
      <c r="P81" s="631"/>
    </row>
    <row r="82" spans="1:16">
      <c r="A82" t="s">
        <v>796</v>
      </c>
      <c r="B82" s="628" t="s">
        <v>708</v>
      </c>
      <c r="C82" s="629">
        <v>43957</v>
      </c>
      <c r="D82" s="630" t="s">
        <v>699</v>
      </c>
      <c r="E82" s="631">
        <v>259</v>
      </c>
      <c r="F82" s="629" t="s">
        <v>59</v>
      </c>
      <c r="G82" s="631">
        <v>-59501.24</v>
      </c>
      <c r="H82" s="631">
        <f t="shared" si="0"/>
        <v>229.73451737451737</v>
      </c>
      <c r="I82" s="632">
        <f>+E82+E90-M83-M84</f>
        <v>0</v>
      </c>
      <c r="K82" s="633">
        <f>+C82</f>
        <v>43957</v>
      </c>
      <c r="L82" s="631">
        <f>+M82*I82</f>
        <v>0</v>
      </c>
      <c r="M82" s="634">
        <v>19</v>
      </c>
      <c r="N82" s="631" t="str">
        <f>+B82</f>
        <v>ISHARES  TIPS UCITS ETF</v>
      </c>
      <c r="O82" s="629">
        <f>+C90</f>
        <v>44370</v>
      </c>
      <c r="P82" s="635">
        <f>+M82*H90</f>
        <v>4696.8999999999996</v>
      </c>
    </row>
    <row r="83" spans="1:16" ht="17" thickBot="1">
      <c r="B83" s="628" t="s">
        <v>708</v>
      </c>
      <c r="C83" s="629">
        <v>43985</v>
      </c>
      <c r="D83" s="630" t="s">
        <v>699</v>
      </c>
      <c r="E83" s="631">
        <v>12</v>
      </c>
      <c r="F83" s="629" t="s">
        <v>59</v>
      </c>
      <c r="G83" s="631">
        <v>-2766.38</v>
      </c>
      <c r="H83" s="631">
        <f t="shared" ref="H83:H176" si="19">+ABS(G83/E83)</f>
        <v>230.53166666666667</v>
      </c>
      <c r="I83" s="632">
        <f>+E83-M85</f>
        <v>0</v>
      </c>
      <c r="K83" s="633">
        <f>+C82</f>
        <v>43957</v>
      </c>
      <c r="L83" s="644">
        <f>+M83*H82</f>
        <v>4135.2213127413124</v>
      </c>
      <c r="M83" s="634">
        <f>-E94</f>
        <v>18</v>
      </c>
      <c r="N83" s="631" t="str">
        <f>+B83</f>
        <v>ISHARES  TIPS UCITS ETF</v>
      </c>
      <c r="O83" s="629">
        <f>+C94</f>
        <v>44671</v>
      </c>
      <c r="P83" s="644">
        <f>+M83*H94</f>
        <v>4394.58</v>
      </c>
    </row>
    <row r="84" spans="1:16">
      <c r="B84" s="628" t="s">
        <v>708</v>
      </c>
      <c r="C84" s="629">
        <v>44118</v>
      </c>
      <c r="D84" s="630" t="s">
        <v>699</v>
      </c>
      <c r="E84" s="631">
        <v>11</v>
      </c>
      <c r="F84" s="629" t="s">
        <v>59</v>
      </c>
      <c r="G84" s="631">
        <v>-2654.98</v>
      </c>
      <c r="H84" s="631">
        <f t="shared" si="19"/>
        <v>241.36181818181819</v>
      </c>
      <c r="I84" s="632">
        <f t="shared" ref="I84:I85" si="20">+E84-M86</f>
        <v>0</v>
      </c>
      <c r="K84" s="633">
        <f>+C82</f>
        <v>43957</v>
      </c>
      <c r="L84" s="641">
        <f>+M84*H82</f>
        <v>51001.062857142853</v>
      </c>
      <c r="M84" s="634">
        <v>222</v>
      </c>
      <c r="N84" s="631" t="str">
        <f>+B84</f>
        <v>ISHARES  TIPS UCITS ETF</v>
      </c>
      <c r="O84" s="629">
        <f>+C95</f>
        <v>44769</v>
      </c>
      <c r="P84" s="641">
        <f>+M84*H$95</f>
        <v>53180.768475836434</v>
      </c>
    </row>
    <row r="85" spans="1:16">
      <c r="B85" s="628" t="s">
        <v>708</v>
      </c>
      <c r="C85" s="629">
        <v>44158</v>
      </c>
      <c r="D85" s="630" t="s">
        <v>699</v>
      </c>
      <c r="E85" s="631">
        <v>9</v>
      </c>
      <c r="F85" s="629" t="s">
        <v>59</v>
      </c>
      <c r="G85" s="631">
        <v>-2162.4899999999998</v>
      </c>
      <c r="H85" s="631">
        <f t="shared" si="19"/>
        <v>240.27666666666664</v>
      </c>
      <c r="I85" s="632">
        <f t="shared" si="20"/>
        <v>0</v>
      </c>
      <c r="K85" s="633">
        <f t="shared" ref="K85:K88" si="21">+C83</f>
        <v>43985</v>
      </c>
      <c r="L85" s="642">
        <f t="shared" ref="L85:L88" si="22">+M85*H83</f>
        <v>2766.38</v>
      </c>
      <c r="M85" s="634">
        <v>12</v>
      </c>
      <c r="N85" s="631" t="str">
        <f t="shared" ref="N85:N89" si="23">+B85</f>
        <v>ISHARES  TIPS UCITS ETF</v>
      </c>
      <c r="O85" s="629">
        <f>+O84</f>
        <v>44769</v>
      </c>
      <c r="P85" s="642">
        <f t="shared" ref="P85:P88" si="24">+M85*H$95</f>
        <v>2874.6361338289962</v>
      </c>
    </row>
    <row r="86" spans="1:16">
      <c r="B86" s="628" t="s">
        <v>708</v>
      </c>
      <c r="C86" s="629">
        <v>44218</v>
      </c>
      <c r="D86" s="630" t="s">
        <v>699</v>
      </c>
      <c r="E86" s="631">
        <v>918</v>
      </c>
      <c r="F86" s="629" t="s">
        <v>59</v>
      </c>
      <c r="G86" s="631">
        <v>-224786.62</v>
      </c>
      <c r="H86" s="631">
        <f t="shared" si="19"/>
        <v>244.86559912854031</v>
      </c>
      <c r="I86" s="632">
        <f>+E86-M88-M89</f>
        <v>251</v>
      </c>
      <c r="K86" s="633">
        <f t="shared" si="21"/>
        <v>44118</v>
      </c>
      <c r="L86" s="642">
        <f t="shared" si="22"/>
        <v>2654.98</v>
      </c>
      <c r="M86" s="634">
        <v>11</v>
      </c>
      <c r="N86" s="631" t="str">
        <f t="shared" si="23"/>
        <v>ISHARES  TIPS UCITS ETF</v>
      </c>
      <c r="O86" s="629">
        <f t="shared" ref="O86:O88" si="25">+O85</f>
        <v>44769</v>
      </c>
      <c r="P86" s="642">
        <f t="shared" si="24"/>
        <v>2635.0831226765799</v>
      </c>
    </row>
    <row r="87" spans="1:16">
      <c r="B87" s="628" t="s">
        <v>708</v>
      </c>
      <c r="C87" s="629">
        <v>44231</v>
      </c>
      <c r="D87" s="630" t="s">
        <v>699</v>
      </c>
      <c r="E87" s="631">
        <v>201</v>
      </c>
      <c r="F87" s="629" t="s">
        <v>59</v>
      </c>
      <c r="G87" s="631">
        <v>-49135.27</v>
      </c>
      <c r="H87" s="631">
        <f t="shared" si="19"/>
        <v>244.45407960199003</v>
      </c>
      <c r="I87" s="632">
        <f t="shared" ref="I87:I89" si="26">+E87</f>
        <v>201</v>
      </c>
      <c r="K87" s="633">
        <f t="shared" si="21"/>
        <v>44158</v>
      </c>
      <c r="L87" s="642">
        <f t="shared" si="22"/>
        <v>2162.4899999999998</v>
      </c>
      <c r="M87" s="634">
        <v>9</v>
      </c>
      <c r="N87" s="631" t="str">
        <f t="shared" si="23"/>
        <v>ISHARES  TIPS UCITS ETF</v>
      </c>
      <c r="O87" s="629">
        <f t="shared" si="25"/>
        <v>44769</v>
      </c>
      <c r="P87" s="642">
        <f t="shared" si="24"/>
        <v>2155.9771003717474</v>
      </c>
    </row>
    <row r="88" spans="1:16" ht="17" thickBot="1">
      <c r="B88" s="628" t="s">
        <v>708</v>
      </c>
      <c r="C88" s="629">
        <v>44293</v>
      </c>
      <c r="D88" s="630" t="s">
        <v>699</v>
      </c>
      <c r="E88" s="631">
        <v>1500</v>
      </c>
      <c r="F88" s="629" t="s">
        <v>59</v>
      </c>
      <c r="G88" s="631">
        <v>-360855.75</v>
      </c>
      <c r="H88" s="631">
        <f t="shared" si="19"/>
        <v>240.57050000000001</v>
      </c>
      <c r="I88" s="632">
        <f t="shared" si="26"/>
        <v>1500</v>
      </c>
      <c r="K88" s="633">
        <f t="shared" si="21"/>
        <v>44218</v>
      </c>
      <c r="L88" s="643">
        <f t="shared" si="22"/>
        <v>3672.9839869281045</v>
      </c>
      <c r="M88" s="634">
        <v>15</v>
      </c>
      <c r="N88" s="631" t="str">
        <f t="shared" si="23"/>
        <v>ISHARES  TIPS UCITS ETF</v>
      </c>
      <c r="O88" s="629">
        <f t="shared" si="25"/>
        <v>44769</v>
      </c>
      <c r="P88" s="643">
        <f t="shared" si="24"/>
        <v>3593.2951672862455</v>
      </c>
    </row>
    <row r="89" spans="1:16">
      <c r="B89" s="628" t="s">
        <v>708</v>
      </c>
      <c r="C89" s="629">
        <v>44302</v>
      </c>
      <c r="D89" s="630" t="s">
        <v>699</v>
      </c>
      <c r="E89" s="631">
        <v>19</v>
      </c>
      <c r="F89" s="629" t="s">
        <v>59</v>
      </c>
      <c r="G89" s="631">
        <v>-4602.4799999999996</v>
      </c>
      <c r="H89" s="631">
        <f t="shared" si="19"/>
        <v>242.23578947368418</v>
      </c>
      <c r="I89" s="632">
        <f t="shared" si="26"/>
        <v>19</v>
      </c>
      <c r="K89" s="633">
        <f>+C86</f>
        <v>44218</v>
      </c>
      <c r="L89" s="640">
        <f>+M89*H86</f>
        <v>159652.37063180827</v>
      </c>
      <c r="M89" s="634">
        <f>-E97</f>
        <v>652</v>
      </c>
      <c r="N89" s="631" t="str">
        <f t="shared" si="23"/>
        <v>ISHARES  TIPS UCITS ETF</v>
      </c>
      <c r="O89" s="629">
        <f>+C97</f>
        <v>44897</v>
      </c>
      <c r="P89" s="640">
        <f>+M89*H97</f>
        <v>149798.29999999999</v>
      </c>
    </row>
    <row r="90" spans="1:16">
      <c r="B90" s="628" t="s">
        <v>708</v>
      </c>
      <c r="C90" s="629">
        <v>44370</v>
      </c>
      <c r="D90" s="630" t="s">
        <v>700</v>
      </c>
      <c r="E90" s="631">
        <v>-19</v>
      </c>
      <c r="F90" s="629" t="s">
        <v>59</v>
      </c>
      <c r="G90" s="631">
        <v>4696.8999999999996</v>
      </c>
      <c r="H90" s="631">
        <f t="shared" si="19"/>
        <v>247.20526315789471</v>
      </c>
      <c r="K90" s="633"/>
      <c r="L90" s="631"/>
      <c r="M90" s="634"/>
      <c r="N90" s="631"/>
      <c r="O90" s="629"/>
      <c r="P90" s="631"/>
    </row>
    <row r="91" spans="1:16">
      <c r="B91" s="628" t="s">
        <v>708</v>
      </c>
      <c r="C91" s="629">
        <v>44441</v>
      </c>
      <c r="D91" s="630" t="s">
        <v>699</v>
      </c>
      <c r="E91" s="631">
        <v>13</v>
      </c>
      <c r="F91" s="629" t="s">
        <v>59</v>
      </c>
      <c r="G91" s="631">
        <v>-3311.84</v>
      </c>
      <c r="H91" s="631">
        <f t="shared" si="19"/>
        <v>254.7569230769231</v>
      </c>
      <c r="I91" s="632">
        <f t="shared" ref="I91:I93" si="27">+E91</f>
        <v>13</v>
      </c>
      <c r="K91" s="633"/>
      <c r="L91" s="631"/>
      <c r="M91" s="634"/>
      <c r="N91" s="631"/>
      <c r="O91" s="629"/>
      <c r="P91" s="631"/>
    </row>
    <row r="92" spans="1:16">
      <c r="B92" s="628" t="s">
        <v>708</v>
      </c>
      <c r="C92" s="629">
        <v>44491</v>
      </c>
      <c r="D92" s="630" t="s">
        <v>699</v>
      </c>
      <c r="E92" s="631">
        <v>808</v>
      </c>
      <c r="F92" s="629" t="s">
        <v>59</v>
      </c>
      <c r="G92" s="631">
        <v>-206653.03</v>
      </c>
      <c r="H92" s="631">
        <f t="shared" si="19"/>
        <v>255.75870049504951</v>
      </c>
      <c r="I92" s="632">
        <f t="shared" si="27"/>
        <v>808</v>
      </c>
      <c r="K92" s="633"/>
      <c r="L92" s="631"/>
      <c r="M92" s="634"/>
      <c r="N92" s="631"/>
      <c r="O92" s="629"/>
      <c r="P92" s="631"/>
    </row>
    <row r="93" spans="1:16">
      <c r="B93" s="628" t="s">
        <v>708</v>
      </c>
      <c r="C93" s="629">
        <v>44603</v>
      </c>
      <c r="D93" s="630" t="s">
        <v>699</v>
      </c>
      <c r="E93" s="631">
        <v>41</v>
      </c>
      <c r="F93" s="629" t="s">
        <v>59</v>
      </c>
      <c r="G93" s="631">
        <v>-10161.69</v>
      </c>
      <c r="H93" s="631">
        <f t="shared" si="19"/>
        <v>247.84609756097564</v>
      </c>
      <c r="I93" s="632">
        <f t="shared" si="27"/>
        <v>41</v>
      </c>
      <c r="K93" s="633"/>
      <c r="L93" s="631"/>
      <c r="M93" s="634"/>
      <c r="N93" s="631"/>
      <c r="O93" s="629"/>
      <c r="P93" s="631"/>
    </row>
    <row r="94" spans="1:16">
      <c r="B94" s="628" t="s">
        <v>708</v>
      </c>
      <c r="C94" s="629">
        <v>44671</v>
      </c>
      <c r="D94" s="630" t="s">
        <v>700</v>
      </c>
      <c r="E94" s="631">
        <v>-18</v>
      </c>
      <c r="F94" s="629" t="s">
        <v>59</v>
      </c>
      <c r="G94" s="631">
        <v>4394.58</v>
      </c>
      <c r="H94" s="631">
        <f t="shared" si="19"/>
        <v>244.14333333333332</v>
      </c>
      <c r="I94" s="632"/>
      <c r="K94" s="633"/>
      <c r="L94" s="631"/>
      <c r="M94" s="634"/>
      <c r="N94" s="631"/>
      <c r="O94" s="629"/>
      <c r="P94" s="631"/>
    </row>
    <row r="95" spans="1:16">
      <c r="B95" s="628" t="s">
        <v>708</v>
      </c>
      <c r="C95" s="629">
        <v>44769</v>
      </c>
      <c r="D95" s="630" t="s">
        <v>700</v>
      </c>
      <c r="E95" s="631">
        <v>-269</v>
      </c>
      <c r="F95" s="629" t="s">
        <v>59</v>
      </c>
      <c r="G95" s="631">
        <v>64439.76</v>
      </c>
      <c r="H95" s="631">
        <f t="shared" si="19"/>
        <v>239.55301115241636</v>
      </c>
      <c r="I95" s="632"/>
      <c r="K95" s="633"/>
      <c r="L95" s="631"/>
      <c r="M95" s="634"/>
      <c r="N95" s="631"/>
      <c r="O95" s="629"/>
      <c r="P95" s="631"/>
    </row>
    <row r="96" spans="1:16">
      <c r="B96" s="628" t="s">
        <v>708</v>
      </c>
      <c r="C96" s="629">
        <v>44862</v>
      </c>
      <c r="D96" s="630" t="s">
        <v>699</v>
      </c>
      <c r="E96" s="631">
        <v>31</v>
      </c>
      <c r="F96" s="629" t="s">
        <v>59</v>
      </c>
      <c r="G96" s="631">
        <v>-6970.6</v>
      </c>
      <c r="H96" s="631">
        <f t="shared" si="19"/>
        <v>224.85806451612905</v>
      </c>
      <c r="I96" s="632">
        <f t="shared" ref="I96" si="28">+E96</f>
        <v>31</v>
      </c>
      <c r="K96" s="633"/>
      <c r="L96" s="631"/>
      <c r="M96" s="634"/>
      <c r="N96" s="631"/>
      <c r="O96" s="629"/>
      <c r="P96" s="631"/>
    </row>
    <row r="97" spans="1:16">
      <c r="B97" s="628" t="s">
        <v>708</v>
      </c>
      <c r="C97" s="629">
        <v>44897</v>
      </c>
      <c r="D97" s="630" t="s">
        <v>700</v>
      </c>
      <c r="E97" s="631">
        <v>-652</v>
      </c>
      <c r="F97" s="629" t="s">
        <v>59</v>
      </c>
      <c r="G97" s="631">
        <v>149798.29999999999</v>
      </c>
      <c r="H97" s="631">
        <f t="shared" si="19"/>
        <v>229.75199386503067</v>
      </c>
      <c r="I97" s="632"/>
      <c r="K97" s="633"/>
      <c r="L97" s="631"/>
      <c r="M97" s="634"/>
      <c r="N97" s="631"/>
      <c r="O97" s="629"/>
      <c r="P97" s="631"/>
    </row>
    <row r="98" spans="1:16">
      <c r="B98" s="628"/>
      <c r="C98" s="629"/>
      <c r="D98" s="630"/>
      <c r="E98" s="631"/>
      <c r="F98" s="629"/>
      <c r="G98" s="631"/>
      <c r="H98" s="631"/>
      <c r="K98" s="633"/>
      <c r="L98" s="631"/>
      <c r="M98" s="634"/>
      <c r="N98" s="631"/>
      <c r="O98" s="629"/>
      <c r="P98" s="631"/>
    </row>
    <row r="99" spans="1:16">
      <c r="A99" t="s">
        <v>797</v>
      </c>
      <c r="B99" s="628" t="s">
        <v>709</v>
      </c>
      <c r="C99" s="629">
        <v>43957</v>
      </c>
      <c r="D99" s="630" t="s">
        <v>699</v>
      </c>
      <c r="E99" s="631">
        <v>13409</v>
      </c>
      <c r="F99" s="629" t="s">
        <v>59</v>
      </c>
      <c r="G99" s="631">
        <v>-97353.36</v>
      </c>
      <c r="H99" s="631">
        <f t="shared" si="19"/>
        <v>7.2602997986427029</v>
      </c>
      <c r="I99" s="632">
        <f>+E99+E102-M99</f>
        <v>0</v>
      </c>
      <c r="K99" s="633">
        <f>+C99</f>
        <v>43957</v>
      </c>
      <c r="L99" s="631">
        <f>+M99*H99</f>
        <v>66722.155149526443</v>
      </c>
      <c r="M99" s="634">
        <v>9190</v>
      </c>
      <c r="N99" s="631" t="str">
        <f>+B99</f>
        <v>ISHARES  TREASURY BOND 20+Y C</v>
      </c>
      <c r="O99" s="629">
        <f>+C104</f>
        <v>44231</v>
      </c>
      <c r="P99" s="635">
        <f>+M99*H$104</f>
        <v>61385.525666707879</v>
      </c>
    </row>
    <row r="100" spans="1:16">
      <c r="B100" s="628" t="s">
        <v>709</v>
      </c>
      <c r="C100" s="629">
        <v>43985</v>
      </c>
      <c r="D100" s="630" t="s">
        <v>699</v>
      </c>
      <c r="E100" s="631">
        <v>2691</v>
      </c>
      <c r="F100" s="629" t="s">
        <v>59</v>
      </c>
      <c r="G100" s="631">
        <v>-19188.71</v>
      </c>
      <c r="H100" s="631">
        <f t="shared" si="19"/>
        <v>7.1306986250464508</v>
      </c>
      <c r="I100" s="632">
        <f>+E100-M100</f>
        <v>0</v>
      </c>
      <c r="K100" s="633">
        <f t="shared" ref="K100:K101" si="29">+C100</f>
        <v>43985</v>
      </c>
      <c r="L100" s="631">
        <f>+M100*H100</f>
        <v>19188.71</v>
      </c>
      <c r="M100" s="634">
        <v>2691</v>
      </c>
      <c r="N100" s="631" t="str">
        <f t="shared" ref="N100:N108" si="30">+B100</f>
        <v>ISHARES  TREASURY BOND 20+Y C</v>
      </c>
      <c r="O100" s="629">
        <f>+C104</f>
        <v>44231</v>
      </c>
      <c r="P100" s="635">
        <f t="shared" ref="P100:P102" si="31">+M100*H$104</f>
        <v>17974.804088042536</v>
      </c>
    </row>
    <row r="101" spans="1:16">
      <c r="B101" s="628" t="s">
        <v>709</v>
      </c>
      <c r="C101" s="629">
        <v>44118</v>
      </c>
      <c r="D101" s="630" t="s">
        <v>699</v>
      </c>
      <c r="E101" s="631">
        <v>1095</v>
      </c>
      <c r="F101" s="629" t="s">
        <v>59</v>
      </c>
      <c r="G101" s="631">
        <v>-7944.99</v>
      </c>
      <c r="H101" s="631">
        <f t="shared" si="19"/>
        <v>7.2556986301369859</v>
      </c>
      <c r="I101" s="632">
        <f>+E101-M101</f>
        <v>0</v>
      </c>
      <c r="K101" s="633">
        <f t="shared" si="29"/>
        <v>44118</v>
      </c>
      <c r="L101" s="631">
        <f>+M101*H101</f>
        <v>7944.99</v>
      </c>
      <c r="M101" s="634">
        <v>1095</v>
      </c>
      <c r="N101" s="631" t="str">
        <f t="shared" si="30"/>
        <v>ISHARES  TREASURY BOND 20+Y C</v>
      </c>
      <c r="O101" s="629">
        <f>+C104</f>
        <v>44231</v>
      </c>
      <c r="P101" s="635">
        <f t="shared" si="31"/>
        <v>7314.1621985903294</v>
      </c>
    </row>
    <row r="102" spans="1:16">
      <c r="B102" s="628" t="s">
        <v>709</v>
      </c>
      <c r="C102" s="629">
        <v>44158</v>
      </c>
      <c r="D102" s="630" t="s">
        <v>700</v>
      </c>
      <c r="E102" s="631">
        <v>-4219</v>
      </c>
      <c r="F102" s="629" t="s">
        <v>59</v>
      </c>
      <c r="G102" s="631">
        <v>30301.279999999999</v>
      </c>
      <c r="H102" s="631">
        <f t="shared" si="19"/>
        <v>7.1821000237022989</v>
      </c>
      <c r="K102" s="633">
        <f>+C103</f>
        <v>44218</v>
      </c>
      <c r="L102" s="631">
        <f>+M102*H103</f>
        <v>76734.61397445279</v>
      </c>
      <c r="M102" s="634">
        <v>11285</v>
      </c>
      <c r="N102" s="631" t="str">
        <f t="shared" si="30"/>
        <v>ISHARES  TREASURY BOND 20+Y C</v>
      </c>
      <c r="O102" s="629">
        <f>+C104</f>
        <v>44231</v>
      </c>
      <c r="P102" s="635">
        <f t="shared" si="31"/>
        <v>75379.288046659247</v>
      </c>
    </row>
    <row r="103" spans="1:16">
      <c r="B103" s="628" t="s">
        <v>709</v>
      </c>
      <c r="C103" s="629">
        <v>44218</v>
      </c>
      <c r="D103" s="630" t="s">
        <v>699</v>
      </c>
      <c r="E103" s="631">
        <v>45093</v>
      </c>
      <c r="F103" s="629" t="s">
        <v>59</v>
      </c>
      <c r="G103" s="631">
        <v>-306618.87</v>
      </c>
      <c r="H103" s="631">
        <f t="shared" si="19"/>
        <v>6.7996999534295783</v>
      </c>
      <c r="I103" s="632">
        <f>+E103-M102-M103-M104</f>
        <v>32767</v>
      </c>
      <c r="K103" s="633">
        <f>+C103</f>
        <v>44218</v>
      </c>
      <c r="L103" s="631">
        <f>+M103*H103</f>
        <v>1047.153792828155</v>
      </c>
      <c r="M103" s="634">
        <v>154</v>
      </c>
      <c r="N103" s="631" t="str">
        <f t="shared" si="30"/>
        <v>ISHARES  TREASURY BOND 20+Y C</v>
      </c>
      <c r="O103" s="629">
        <f>+C106</f>
        <v>44302</v>
      </c>
      <c r="P103" s="635">
        <f>+M103*H106</f>
        <v>963.16000000000008</v>
      </c>
    </row>
    <row r="104" spans="1:16" ht="17" thickBot="1">
      <c r="B104" s="628" t="s">
        <v>709</v>
      </c>
      <c r="C104" s="629">
        <v>44231</v>
      </c>
      <c r="D104" s="630" t="s">
        <v>700</v>
      </c>
      <c r="E104" s="631">
        <v>-24261</v>
      </c>
      <c r="F104" s="629" t="s">
        <v>59</v>
      </c>
      <c r="G104" s="631">
        <v>162053.78</v>
      </c>
      <c r="H104" s="631">
        <f t="shared" si="19"/>
        <v>6.6796001813610317</v>
      </c>
      <c r="K104" s="633">
        <f>+C103</f>
        <v>44218</v>
      </c>
      <c r="L104" s="644">
        <f>+M104*H103</f>
        <v>6031.3338586920363</v>
      </c>
      <c r="M104" s="634">
        <v>887</v>
      </c>
      <c r="N104" s="631" t="str">
        <f t="shared" si="30"/>
        <v>ISHARES  TREASURY BOND 20+Y C</v>
      </c>
      <c r="O104" s="629">
        <f>+C107</f>
        <v>44370</v>
      </c>
      <c r="P104" s="639">
        <f>+M104*H107</f>
        <v>5720.17</v>
      </c>
    </row>
    <row r="105" spans="1:16">
      <c r="B105" s="628" t="s">
        <v>709</v>
      </c>
      <c r="C105" s="629">
        <v>44293</v>
      </c>
      <c r="D105" s="630" t="s">
        <v>699</v>
      </c>
      <c r="E105" s="631">
        <v>40491</v>
      </c>
      <c r="F105" s="629" t="s">
        <v>59</v>
      </c>
      <c r="G105" s="631">
        <v>-250870.09</v>
      </c>
      <c r="H105" s="631">
        <f t="shared" si="19"/>
        <v>6.1957000321058997</v>
      </c>
      <c r="I105" s="632">
        <f>+E105</f>
        <v>40491</v>
      </c>
      <c r="K105" s="633">
        <f>+C103</f>
        <v>44218</v>
      </c>
      <c r="L105" s="641">
        <f>+M105*H103</f>
        <v>222805.76837402699</v>
      </c>
      <c r="M105" s="634">
        <v>32767</v>
      </c>
      <c r="N105" s="631" t="str">
        <f t="shared" si="30"/>
        <v>ISHARES  TREASURY BOND 20+Y C</v>
      </c>
      <c r="O105" s="629">
        <f>+C110</f>
        <v>44603</v>
      </c>
      <c r="P105" s="641">
        <f>+M105*H$110</f>
        <v>204856.0082021475</v>
      </c>
    </row>
    <row r="106" spans="1:16">
      <c r="B106" s="628" t="s">
        <v>709</v>
      </c>
      <c r="C106" s="629">
        <v>44302</v>
      </c>
      <c r="D106" s="630" t="s">
        <v>700</v>
      </c>
      <c r="E106" s="631">
        <v>-154</v>
      </c>
      <c r="F106" s="629" t="s">
        <v>59</v>
      </c>
      <c r="G106" s="631">
        <v>963.16</v>
      </c>
      <c r="H106" s="631">
        <f t="shared" si="19"/>
        <v>6.2542857142857144</v>
      </c>
      <c r="K106" s="633">
        <f>+C105</f>
        <v>44293</v>
      </c>
      <c r="L106" s="642">
        <f>+M106*H105</f>
        <v>250870.09</v>
      </c>
      <c r="M106" s="634">
        <v>40491</v>
      </c>
      <c r="N106" s="631" t="str">
        <f t="shared" si="30"/>
        <v>ISHARES  TREASURY BOND 20+Y C</v>
      </c>
      <c r="O106" s="629">
        <f>+O105</f>
        <v>44603</v>
      </c>
      <c r="P106" s="642">
        <f t="shared" ref="P106:P108" si="32">+M106*H$110</f>
        <v>253145.68401480617</v>
      </c>
    </row>
    <row r="107" spans="1:16">
      <c r="B107" s="628" t="s">
        <v>709</v>
      </c>
      <c r="C107" s="629">
        <v>44370</v>
      </c>
      <c r="D107" s="630" t="s">
        <v>700</v>
      </c>
      <c r="E107" s="631">
        <v>-887</v>
      </c>
      <c r="F107" s="629" t="s">
        <v>59</v>
      </c>
      <c r="G107" s="631">
        <v>5720.17</v>
      </c>
      <c r="H107" s="631">
        <f t="shared" si="19"/>
        <v>6.4488951521984221</v>
      </c>
      <c r="K107" s="633">
        <f>+C108</f>
        <v>44441</v>
      </c>
      <c r="L107" s="642">
        <f>+M107*H108</f>
        <v>37474.620000000003</v>
      </c>
      <c r="M107" s="634">
        <v>5549</v>
      </c>
      <c r="N107" s="631" t="str">
        <f t="shared" si="30"/>
        <v>ISHARES  TREASURY BOND 20+Y C</v>
      </c>
      <c r="O107" s="629">
        <f t="shared" ref="O107:O108" si="33">+O106</f>
        <v>44603</v>
      </c>
      <c r="P107" s="642">
        <f t="shared" si="32"/>
        <v>34691.793252776159</v>
      </c>
    </row>
    <row r="108" spans="1:16" ht="17" thickBot="1">
      <c r="B108" s="628" t="s">
        <v>709</v>
      </c>
      <c r="C108" s="629">
        <v>44441</v>
      </c>
      <c r="D108" s="630" t="s">
        <v>699</v>
      </c>
      <c r="E108" s="631">
        <v>5549</v>
      </c>
      <c r="F108" s="629" t="s">
        <v>59</v>
      </c>
      <c r="G108" s="631">
        <v>-37474.620000000003</v>
      </c>
      <c r="H108" s="631">
        <f t="shared" si="19"/>
        <v>6.7534006127230137</v>
      </c>
      <c r="I108" s="632">
        <f>+E108</f>
        <v>5549</v>
      </c>
      <c r="K108" s="633">
        <f>+C109</f>
        <v>44491</v>
      </c>
      <c r="L108" s="643">
        <f>+M108*H109</f>
        <v>125476.97</v>
      </c>
      <c r="M108" s="634">
        <v>19260</v>
      </c>
      <c r="N108" s="631" t="str">
        <f t="shared" si="30"/>
        <v>ISHARES  TREASURY BOND 20+Y C</v>
      </c>
      <c r="O108" s="629">
        <f t="shared" si="33"/>
        <v>44603</v>
      </c>
      <c r="P108" s="643">
        <f t="shared" si="32"/>
        <v>120411.59453027011</v>
      </c>
    </row>
    <row r="109" spans="1:16">
      <c r="B109" s="628" t="s">
        <v>709</v>
      </c>
      <c r="C109" s="629">
        <v>44491</v>
      </c>
      <c r="D109" s="630" t="s">
        <v>699</v>
      </c>
      <c r="E109" s="631">
        <v>19260</v>
      </c>
      <c r="F109" s="629" t="s">
        <v>59</v>
      </c>
      <c r="G109" s="631">
        <v>-125476.97</v>
      </c>
      <c r="H109" s="631">
        <f t="shared" si="19"/>
        <v>6.5148997923156804</v>
      </c>
      <c r="I109" s="632">
        <f>+E109</f>
        <v>19260</v>
      </c>
      <c r="K109" s="633"/>
      <c r="L109" s="640"/>
      <c r="M109" s="634"/>
      <c r="N109" s="631"/>
      <c r="O109" s="629"/>
      <c r="P109" s="640"/>
    </row>
    <row r="110" spans="1:16">
      <c r="B110" s="628" t="s">
        <v>709</v>
      </c>
      <c r="C110" s="629">
        <v>44603</v>
      </c>
      <c r="D110" s="630" t="s">
        <v>700</v>
      </c>
      <c r="E110" s="631">
        <v>-98067</v>
      </c>
      <c r="F110" s="629" t="s">
        <v>59</v>
      </c>
      <c r="G110" s="631">
        <v>613105.07999999996</v>
      </c>
      <c r="H110" s="631">
        <f t="shared" si="19"/>
        <v>6.251900027532197</v>
      </c>
      <c r="I110" s="632"/>
      <c r="K110" s="633"/>
      <c r="L110" s="631"/>
      <c r="M110" s="634"/>
      <c r="N110" s="631"/>
      <c r="O110" s="629"/>
      <c r="P110" s="631"/>
    </row>
    <row r="111" spans="1:16">
      <c r="B111" s="628" t="s">
        <v>709</v>
      </c>
      <c r="C111" s="629">
        <v>44671</v>
      </c>
      <c r="D111" s="630" t="s">
        <v>699</v>
      </c>
      <c r="E111" s="631">
        <v>18538</v>
      </c>
      <c r="F111" s="629" t="s">
        <v>59</v>
      </c>
      <c r="G111" s="631">
        <v>-101951.58</v>
      </c>
      <c r="H111" s="631">
        <f t="shared" si="19"/>
        <v>5.4995997410723918</v>
      </c>
      <c r="I111" s="632"/>
      <c r="K111" s="633"/>
      <c r="L111" s="631"/>
      <c r="M111" s="634"/>
      <c r="N111" s="631"/>
      <c r="O111" s="629"/>
      <c r="P111" s="631"/>
    </row>
    <row r="112" spans="1:16">
      <c r="B112" s="628" t="s">
        <v>709</v>
      </c>
      <c r="C112" s="629">
        <v>44769</v>
      </c>
      <c r="D112" s="630" t="s">
        <v>699</v>
      </c>
      <c r="E112" s="631">
        <v>97836</v>
      </c>
      <c r="F112" s="629" t="s">
        <v>59</v>
      </c>
      <c r="G112" s="631">
        <v>-532090.87</v>
      </c>
      <c r="H112" s="631">
        <f t="shared" si="19"/>
        <v>5.4386000040884745</v>
      </c>
      <c r="I112" s="632"/>
      <c r="K112" s="633"/>
      <c r="L112" s="631"/>
      <c r="M112" s="634"/>
      <c r="N112" s="631"/>
      <c r="O112" s="629"/>
      <c r="P112" s="631"/>
    </row>
    <row r="113" spans="1:16">
      <c r="B113" s="628" t="s">
        <v>709</v>
      </c>
      <c r="C113" s="629">
        <v>44862</v>
      </c>
      <c r="D113" s="630" t="s">
        <v>699</v>
      </c>
      <c r="E113" s="631">
        <v>4797</v>
      </c>
      <c r="F113" s="629" t="s">
        <v>59</v>
      </c>
      <c r="G113" s="631">
        <v>-21526.06</v>
      </c>
      <c r="H113" s="631">
        <f t="shared" si="19"/>
        <v>4.4874004586199714</v>
      </c>
      <c r="I113" s="632"/>
      <c r="K113" s="633"/>
      <c r="L113" s="631"/>
      <c r="M113" s="634"/>
      <c r="N113" s="631"/>
      <c r="O113" s="629"/>
      <c r="P113" s="631"/>
    </row>
    <row r="114" spans="1:16">
      <c r="B114" s="628"/>
      <c r="C114" s="629"/>
      <c r="D114" s="630"/>
      <c r="E114" s="631"/>
      <c r="F114" s="629"/>
      <c r="G114" s="631"/>
      <c r="H114" s="631"/>
      <c r="I114" s="632"/>
      <c r="K114" s="633"/>
      <c r="L114" s="631"/>
      <c r="M114" s="634"/>
      <c r="N114" s="631"/>
      <c r="O114" s="629"/>
      <c r="P114" s="631"/>
    </row>
    <row r="115" spans="1:16">
      <c r="B115" s="628"/>
      <c r="C115" s="629"/>
      <c r="D115" s="630"/>
      <c r="E115" s="631"/>
      <c r="F115" s="629"/>
      <c r="G115" s="631"/>
      <c r="H115" s="631"/>
      <c r="K115" s="633"/>
      <c r="L115" s="631"/>
      <c r="M115" s="634"/>
      <c r="N115" s="631"/>
      <c r="O115" s="629"/>
      <c r="P115" s="631"/>
    </row>
    <row r="116" spans="1:16">
      <c r="A116" t="s">
        <v>798</v>
      </c>
      <c r="B116" s="628" t="s">
        <v>710</v>
      </c>
      <c r="C116" s="629">
        <v>43957</v>
      </c>
      <c r="D116" s="630" t="s">
        <v>699</v>
      </c>
      <c r="E116" s="631">
        <v>13184</v>
      </c>
      <c r="F116" s="629" t="s">
        <v>59</v>
      </c>
      <c r="G116" s="631">
        <v>-59230.44</v>
      </c>
      <c r="H116" s="631">
        <f t="shared" si="19"/>
        <v>4.4926001213592235</v>
      </c>
      <c r="I116" s="632">
        <f>+E116+E117+E118+E119-M116</f>
        <v>0</v>
      </c>
      <c r="K116" s="633">
        <f>+C116</f>
        <v>43957</v>
      </c>
      <c r="L116" s="631">
        <f>+M116*H116</f>
        <v>33892.175315533983</v>
      </c>
      <c r="M116" s="634">
        <v>7544</v>
      </c>
      <c r="N116" s="631" t="str">
        <f>+B116</f>
        <v>ISHARES CORE FTSE 100 UCITS  USD H</v>
      </c>
      <c r="O116" s="629">
        <f>+C124</f>
        <v>44370</v>
      </c>
      <c r="P116" s="635">
        <f>+M116*H124</f>
        <v>42426.701016249681</v>
      </c>
    </row>
    <row r="117" spans="1:16" ht="17" thickBot="1">
      <c r="B117" s="628" t="s">
        <v>710</v>
      </c>
      <c r="C117" s="629">
        <v>43985</v>
      </c>
      <c r="D117" s="630" t="s">
        <v>700</v>
      </c>
      <c r="E117" s="631">
        <v>-1724</v>
      </c>
      <c r="F117" s="629" t="s">
        <v>59</v>
      </c>
      <c r="G117" s="631">
        <v>8364.68</v>
      </c>
      <c r="H117" s="631">
        <f t="shared" si="19"/>
        <v>4.8519025522041765</v>
      </c>
      <c r="K117" s="633">
        <f>+C120</f>
        <v>44218</v>
      </c>
      <c r="L117" s="644">
        <f>+M117*H120</f>
        <v>1096.8509888751546</v>
      </c>
      <c r="M117" s="634">
        <v>210</v>
      </c>
      <c r="N117" s="631" t="str">
        <f>+B117</f>
        <v>ISHARES CORE FTSE 100 UCITS  USD H</v>
      </c>
      <c r="O117" s="629">
        <f>+C124</f>
        <v>44370</v>
      </c>
      <c r="P117" s="639">
        <f>+M117*H124</f>
        <v>1181.0189837503224</v>
      </c>
    </row>
    <row r="118" spans="1:16">
      <c r="B118" s="628" t="s">
        <v>710</v>
      </c>
      <c r="C118" s="629">
        <v>44118</v>
      </c>
      <c r="D118" s="630" t="s">
        <v>700</v>
      </c>
      <c r="E118" s="631">
        <v>-2584</v>
      </c>
      <c r="F118" s="629" t="s">
        <v>59</v>
      </c>
      <c r="G118" s="631">
        <v>11892.6</v>
      </c>
      <c r="H118" s="631">
        <f t="shared" si="19"/>
        <v>4.6023993808049539</v>
      </c>
      <c r="K118" s="633">
        <f>+C120</f>
        <v>44218</v>
      </c>
      <c r="L118" s="641">
        <f>+M118*H120</f>
        <v>117216.80901112485</v>
      </c>
      <c r="M118" s="634">
        <v>22442</v>
      </c>
      <c r="N118" s="631" t="str">
        <f t="shared" ref="N118:N121" si="34">+B118</f>
        <v>ISHARES CORE FTSE 100 UCITS  USD H</v>
      </c>
      <c r="O118" s="629">
        <f>+C127</f>
        <v>44603</v>
      </c>
      <c r="P118" s="641">
        <f>+M118*H$127</f>
        <v>138305.55614343664</v>
      </c>
    </row>
    <row r="119" spans="1:16">
      <c r="B119" s="628" t="s">
        <v>710</v>
      </c>
      <c r="C119" s="629">
        <v>44158</v>
      </c>
      <c r="D119" s="630" t="s">
        <v>700</v>
      </c>
      <c r="E119" s="631">
        <v>-1332</v>
      </c>
      <c r="F119" s="629" t="s">
        <v>59</v>
      </c>
      <c r="G119" s="631">
        <v>6567.96</v>
      </c>
      <c r="H119" s="631">
        <f t="shared" si="19"/>
        <v>4.9309009009009008</v>
      </c>
      <c r="K119" s="633">
        <f t="shared" ref="K119:K120" si="35">+C121</f>
        <v>44231</v>
      </c>
      <c r="L119" s="642">
        <f t="shared" ref="L119:L120" si="36">+M119*H121</f>
        <v>23830.930000000004</v>
      </c>
      <c r="M119" s="634">
        <v>4704</v>
      </c>
      <c r="N119" s="631" t="str">
        <f t="shared" si="34"/>
        <v>ISHARES CORE FTSE 100 UCITS  USD H</v>
      </c>
      <c r="O119" s="629">
        <f>+O118</f>
        <v>44603</v>
      </c>
      <c r="P119" s="642">
        <f t="shared" ref="P119:P120" si="37">+M119*H$127</f>
        <v>28989.810894694143</v>
      </c>
    </row>
    <row r="120" spans="1:16" ht="17" thickBot="1">
      <c r="B120" s="628" t="s">
        <v>710</v>
      </c>
      <c r="C120" s="629">
        <v>44218</v>
      </c>
      <c r="D120" s="630" t="s">
        <v>699</v>
      </c>
      <c r="E120" s="631">
        <v>22652</v>
      </c>
      <c r="F120" s="629" t="s">
        <v>59</v>
      </c>
      <c r="G120" s="631">
        <v>-118313.66</v>
      </c>
      <c r="H120" s="631">
        <f t="shared" si="19"/>
        <v>5.2230999470245454</v>
      </c>
      <c r="I120" s="632">
        <f>+E120-M117-M118</f>
        <v>0</v>
      </c>
      <c r="K120" s="633">
        <f t="shared" si="35"/>
        <v>44293</v>
      </c>
      <c r="L120" s="643">
        <f t="shared" si="36"/>
        <v>19937.712434686113</v>
      </c>
      <c r="M120" s="634">
        <f>30815-M119-M118</f>
        <v>3669</v>
      </c>
      <c r="N120" s="631" t="str">
        <f t="shared" si="34"/>
        <v>ISHARES CORE FTSE 100 UCITS  USD H</v>
      </c>
      <c r="O120" s="629">
        <f>+O119</f>
        <v>44603</v>
      </c>
      <c r="P120" s="643">
        <f t="shared" si="37"/>
        <v>22611.312961869218</v>
      </c>
    </row>
    <row r="121" spans="1:16">
      <c r="B121" s="628" t="s">
        <v>710</v>
      </c>
      <c r="C121" s="629">
        <v>44231</v>
      </c>
      <c r="D121" s="630" t="s">
        <v>699</v>
      </c>
      <c r="E121" s="631">
        <v>4704</v>
      </c>
      <c r="F121" s="629" t="s">
        <v>59</v>
      </c>
      <c r="G121" s="631">
        <v>-23830.93</v>
      </c>
      <c r="H121" s="631">
        <f t="shared" si="19"/>
        <v>5.0660990646258508</v>
      </c>
      <c r="I121" s="632">
        <f>+E121-M119</f>
        <v>0</v>
      </c>
      <c r="K121" s="633">
        <f>+C122</f>
        <v>44293</v>
      </c>
      <c r="L121" s="640">
        <f>+M121*H122</f>
        <v>82989.573263157887</v>
      </c>
      <c r="M121" s="634">
        <f>-E129</f>
        <v>15272</v>
      </c>
      <c r="N121" s="631" t="str">
        <f t="shared" si="34"/>
        <v>ISHARES CORE FTSE 100 UCITS  USD H</v>
      </c>
      <c r="O121" s="629">
        <f>+C129</f>
        <v>44769</v>
      </c>
      <c r="P121" s="640">
        <f>+M121*H129</f>
        <v>92485.7</v>
      </c>
    </row>
    <row r="122" spans="1:16">
      <c r="B122" s="628" t="s">
        <v>710</v>
      </c>
      <c r="C122" s="629">
        <v>44293</v>
      </c>
      <c r="D122" s="630" t="s">
        <v>699</v>
      </c>
      <c r="E122" s="631">
        <v>31540</v>
      </c>
      <c r="F122" s="629" t="s">
        <v>59</v>
      </c>
      <c r="G122" s="631">
        <v>-171391.51</v>
      </c>
      <c r="H122" s="631">
        <f t="shared" si="19"/>
        <v>5.4340998731769181</v>
      </c>
      <c r="I122" s="632">
        <f>+E122-M120-M121</f>
        <v>12599</v>
      </c>
      <c r="K122" s="633"/>
      <c r="L122" s="631"/>
      <c r="M122" s="634"/>
      <c r="N122" s="631"/>
      <c r="O122" s="629"/>
      <c r="P122" s="631"/>
    </row>
    <row r="123" spans="1:16">
      <c r="B123" s="628" t="s">
        <v>710</v>
      </c>
      <c r="C123" s="629">
        <v>44302</v>
      </c>
      <c r="D123" s="630" t="s">
        <v>699</v>
      </c>
      <c r="E123" s="631">
        <v>25272</v>
      </c>
      <c r="F123" s="629" t="s">
        <v>59</v>
      </c>
      <c r="G123" s="631">
        <v>-139554.51</v>
      </c>
      <c r="H123" s="631">
        <f t="shared" si="19"/>
        <v>5.5220999525166192</v>
      </c>
      <c r="I123" s="632">
        <f t="shared" ref="I123:I126" si="38">+E123</f>
        <v>25272</v>
      </c>
      <c r="K123" s="633"/>
      <c r="L123" s="631"/>
      <c r="M123" s="634"/>
      <c r="N123" s="631"/>
      <c r="O123" s="629"/>
      <c r="P123" s="631"/>
    </row>
    <row r="124" spans="1:16">
      <c r="B124" s="628" t="s">
        <v>710</v>
      </c>
      <c r="C124" s="629">
        <v>44370</v>
      </c>
      <c r="D124" s="630" t="s">
        <v>700</v>
      </c>
      <c r="E124" s="631">
        <v>-7754</v>
      </c>
      <c r="F124" s="629" t="s">
        <v>59</v>
      </c>
      <c r="G124" s="631">
        <v>43607.72</v>
      </c>
      <c r="H124" s="631">
        <f t="shared" si="19"/>
        <v>5.6238999226205832</v>
      </c>
      <c r="K124" s="633"/>
      <c r="L124" s="631"/>
      <c r="M124" s="634"/>
      <c r="N124" s="631"/>
      <c r="O124" s="629"/>
      <c r="P124" s="631"/>
    </row>
    <row r="125" spans="1:16">
      <c r="B125" s="628" t="s">
        <v>710</v>
      </c>
      <c r="C125" s="629">
        <v>44441</v>
      </c>
      <c r="D125" s="630" t="s">
        <v>699</v>
      </c>
      <c r="E125" s="631">
        <v>8968</v>
      </c>
      <c r="F125" s="629" t="s">
        <v>59</v>
      </c>
      <c r="G125" s="631">
        <v>-51432.38</v>
      </c>
      <c r="H125" s="631">
        <f t="shared" si="19"/>
        <v>5.7351003568242636</v>
      </c>
      <c r="I125" s="632">
        <f t="shared" si="38"/>
        <v>8968</v>
      </c>
      <c r="K125" s="633"/>
      <c r="L125" s="631"/>
      <c r="M125" s="634"/>
      <c r="N125" s="631"/>
      <c r="O125" s="629"/>
      <c r="P125" s="631"/>
    </row>
    <row r="126" spans="1:16">
      <c r="B126" s="628" t="s">
        <v>710</v>
      </c>
      <c r="C126" s="629">
        <v>44491</v>
      </c>
      <c r="D126" s="630" t="s">
        <v>699</v>
      </c>
      <c r="E126" s="631">
        <v>2054</v>
      </c>
      <c r="F126" s="629" t="s">
        <v>59</v>
      </c>
      <c r="G126" s="631">
        <v>-11925.73</v>
      </c>
      <c r="H126" s="631">
        <f t="shared" si="19"/>
        <v>5.8061002921129505</v>
      </c>
      <c r="I126" s="632">
        <f t="shared" si="38"/>
        <v>2054</v>
      </c>
      <c r="K126" s="633"/>
      <c r="L126" s="631"/>
      <c r="M126" s="634"/>
      <c r="N126" s="631"/>
      <c r="O126" s="629"/>
      <c r="P126" s="631"/>
    </row>
    <row r="127" spans="1:16">
      <c r="B127" s="628" t="s">
        <v>710</v>
      </c>
      <c r="C127" s="629">
        <v>44603</v>
      </c>
      <c r="D127" s="630" t="s">
        <v>700</v>
      </c>
      <c r="E127" s="631">
        <v>-30815</v>
      </c>
      <c r="F127" s="629" t="s">
        <v>59</v>
      </c>
      <c r="G127" s="631">
        <v>189906.68</v>
      </c>
      <c r="H127" s="631">
        <f t="shared" si="19"/>
        <v>6.1627999350965439</v>
      </c>
      <c r="I127" s="632"/>
      <c r="K127" s="633"/>
      <c r="L127" s="631"/>
      <c r="M127" s="634"/>
      <c r="N127" s="631"/>
      <c r="O127" s="629"/>
      <c r="P127" s="631"/>
    </row>
    <row r="128" spans="1:16">
      <c r="B128" s="628" t="s">
        <v>710</v>
      </c>
      <c r="C128" s="629">
        <v>44671</v>
      </c>
      <c r="D128" s="630" t="s">
        <v>699</v>
      </c>
      <c r="E128" s="631">
        <v>30578</v>
      </c>
      <c r="F128" s="629" t="s">
        <v>59</v>
      </c>
      <c r="G128" s="631">
        <v>-190595.73</v>
      </c>
      <c r="H128" s="631">
        <f t="shared" si="19"/>
        <v>6.2330999411341494</v>
      </c>
      <c r="I128" s="632">
        <f>+E128</f>
        <v>30578</v>
      </c>
      <c r="K128" s="633"/>
      <c r="L128" s="631"/>
      <c r="M128" s="634"/>
      <c r="N128" s="631"/>
      <c r="O128" s="629"/>
      <c r="P128" s="631"/>
    </row>
    <row r="129" spans="1:16">
      <c r="B129" s="628" t="s">
        <v>710</v>
      </c>
      <c r="C129" s="629">
        <v>44769</v>
      </c>
      <c r="D129" s="630" t="s">
        <v>700</v>
      </c>
      <c r="E129" s="631">
        <v>-15272</v>
      </c>
      <c r="F129" s="629" t="s">
        <v>59</v>
      </c>
      <c r="G129" s="631">
        <v>92485.7</v>
      </c>
      <c r="H129" s="631">
        <f t="shared" si="19"/>
        <v>6.0558996856993188</v>
      </c>
      <c r="I129" s="632"/>
      <c r="K129" s="633"/>
      <c r="L129" s="631"/>
      <c r="M129" s="634"/>
      <c r="N129" s="631"/>
      <c r="O129" s="629"/>
      <c r="P129" s="631"/>
    </row>
    <row r="130" spans="1:16">
      <c r="B130" s="628" t="s">
        <v>710</v>
      </c>
      <c r="C130" s="629">
        <v>44862</v>
      </c>
      <c r="D130" s="630" t="s">
        <v>699</v>
      </c>
      <c r="E130" s="631">
        <v>3618</v>
      </c>
      <c r="F130" s="629" t="s">
        <v>59</v>
      </c>
      <c r="G130" s="631">
        <v>-21393.599999999999</v>
      </c>
      <c r="H130" s="631">
        <f t="shared" si="19"/>
        <v>5.9131011608623547</v>
      </c>
      <c r="I130" s="632">
        <f>+E130</f>
        <v>3618</v>
      </c>
      <c r="K130" s="633"/>
      <c r="L130" s="631"/>
      <c r="M130" s="634"/>
      <c r="N130" s="631"/>
      <c r="O130" s="629"/>
      <c r="P130" s="631"/>
    </row>
    <row r="131" spans="1:16">
      <c r="B131" s="628"/>
      <c r="C131" s="629"/>
      <c r="D131" s="630"/>
      <c r="E131" s="631"/>
      <c r="F131" s="629"/>
      <c r="G131" s="631"/>
      <c r="H131" s="631"/>
      <c r="I131" s="632"/>
      <c r="K131" s="633"/>
      <c r="L131" s="631"/>
      <c r="M131" s="634"/>
      <c r="N131" s="631"/>
      <c r="O131" s="629"/>
      <c r="P131" s="631"/>
    </row>
    <row r="132" spans="1:16">
      <c r="B132" s="628"/>
      <c r="C132" s="629"/>
      <c r="D132" s="630"/>
      <c r="E132" s="631"/>
      <c r="F132" s="629"/>
      <c r="G132" s="631"/>
      <c r="H132" s="631"/>
      <c r="K132" s="633"/>
      <c r="L132" s="631"/>
      <c r="M132" s="634"/>
      <c r="N132" s="631"/>
      <c r="O132" s="629"/>
      <c r="P132" s="631"/>
    </row>
    <row r="133" spans="1:16">
      <c r="A133" t="s">
        <v>799</v>
      </c>
      <c r="B133" s="628" t="s">
        <v>711</v>
      </c>
      <c r="C133" s="629">
        <v>44231</v>
      </c>
      <c r="D133" s="630" t="s">
        <v>699</v>
      </c>
      <c r="E133" s="631">
        <v>109928</v>
      </c>
      <c r="F133" s="629" t="s">
        <v>59</v>
      </c>
      <c r="G133" s="631">
        <v>-645387.29</v>
      </c>
      <c r="H133" s="631">
        <f t="shared" si="19"/>
        <v>5.871000018193727</v>
      </c>
      <c r="I133" s="632">
        <f>+E133+E135+E138-M135</f>
        <v>0</v>
      </c>
      <c r="K133" s="633">
        <f>+C133</f>
        <v>44231</v>
      </c>
      <c r="L133" s="631">
        <f>+M133*H133</f>
        <v>479919.02548722801</v>
      </c>
      <c r="M133" s="634">
        <v>81744</v>
      </c>
      <c r="N133" s="631" t="str">
        <f>+B133</f>
        <v>ISHARES CORE MSCI EMU AGGREG USDA</v>
      </c>
      <c r="O133" s="629">
        <f>+C135</f>
        <v>44302</v>
      </c>
      <c r="P133" s="635">
        <f>+M133*H135</f>
        <v>522368.68</v>
      </c>
    </row>
    <row r="134" spans="1:16">
      <c r="B134" s="628" t="s">
        <v>711</v>
      </c>
      <c r="C134" s="629">
        <v>44294</v>
      </c>
      <c r="D134" s="630" t="s">
        <v>699</v>
      </c>
      <c r="E134" s="631">
        <v>96215</v>
      </c>
      <c r="F134" s="629" t="s">
        <v>59</v>
      </c>
      <c r="G134" s="631">
        <v>-608858.14</v>
      </c>
      <c r="H134" s="631">
        <f t="shared" si="19"/>
        <v>6.3280999844099153</v>
      </c>
      <c r="I134" s="632">
        <f>+E134-M136-M137</f>
        <v>64837</v>
      </c>
      <c r="K134" s="633">
        <f>+C133</f>
        <v>44231</v>
      </c>
      <c r="L134" s="631">
        <f>+M134*H133</f>
        <v>33529.281103904374</v>
      </c>
      <c r="M134" s="634">
        <v>5711</v>
      </c>
      <c r="N134" s="631" t="str">
        <f>+B134</f>
        <v>ISHARES CORE MSCI EMU AGGREG USDA</v>
      </c>
      <c r="O134" s="629">
        <f>+C138</f>
        <v>44491</v>
      </c>
      <c r="P134" s="635">
        <f>+M134*H138</f>
        <v>39216.86</v>
      </c>
    </row>
    <row r="135" spans="1:16">
      <c r="B135" s="628" t="s">
        <v>711</v>
      </c>
      <c r="C135" s="629">
        <v>44302</v>
      </c>
      <c r="D135" s="630" t="s">
        <v>700</v>
      </c>
      <c r="E135" s="631">
        <v>-81744</v>
      </c>
      <c r="F135" s="629" t="s">
        <v>59</v>
      </c>
      <c r="G135" s="631">
        <v>522368.68</v>
      </c>
      <c r="H135" s="631">
        <f t="shared" si="19"/>
        <v>6.3902999608533957</v>
      </c>
      <c r="K135" s="633">
        <f>+C133</f>
        <v>44231</v>
      </c>
      <c r="L135" s="631">
        <f>+M135*H133</f>
        <v>131938.98340886761</v>
      </c>
      <c r="M135" s="634">
        <v>22473</v>
      </c>
      <c r="N135" s="631" t="str">
        <f t="shared" ref="N135:N137" si="39">+B135</f>
        <v>ISHARES CORE MSCI EMU AGGREG USDA</v>
      </c>
      <c r="O135" s="629">
        <f>+C141</f>
        <v>44769</v>
      </c>
      <c r="P135" s="631">
        <f>+M135*H$141</f>
        <v>136752.70145325226</v>
      </c>
    </row>
    <row r="136" spans="1:16">
      <c r="B136" s="628" t="s">
        <v>711</v>
      </c>
      <c r="C136" s="629">
        <v>44370</v>
      </c>
      <c r="D136" s="630" t="s">
        <v>699</v>
      </c>
      <c r="E136" s="631">
        <v>83188</v>
      </c>
      <c r="F136" s="629" t="s">
        <v>59</v>
      </c>
      <c r="G136" s="631">
        <v>-552792.57999999996</v>
      </c>
      <c r="H136" s="631">
        <f t="shared" si="19"/>
        <v>6.6451000144251573</v>
      </c>
      <c r="I136" s="632">
        <f>+E136</f>
        <v>83188</v>
      </c>
      <c r="K136" s="633">
        <f>+C134</f>
        <v>44294</v>
      </c>
      <c r="L136" s="631">
        <f>+M136*H134</f>
        <v>164733.09879415893</v>
      </c>
      <c r="M136" s="634">
        <f>48505-M135</f>
        <v>26032</v>
      </c>
      <c r="N136" s="631" t="str">
        <f t="shared" si="39"/>
        <v>ISHARES CORE MSCI EMU AGGREG USDA</v>
      </c>
      <c r="O136" s="629">
        <f>+O135</f>
        <v>44769</v>
      </c>
      <c r="P136" s="631">
        <f>+M136*H$141</f>
        <v>158409.92854674777</v>
      </c>
    </row>
    <row r="137" spans="1:16">
      <c r="B137" s="628" t="s">
        <v>711</v>
      </c>
      <c r="C137" s="629">
        <v>44441</v>
      </c>
      <c r="D137" s="630" t="s">
        <v>699</v>
      </c>
      <c r="E137" s="631">
        <v>1278</v>
      </c>
      <c r="F137" s="629" t="s">
        <v>59</v>
      </c>
      <c r="G137" s="631">
        <v>-8860.5</v>
      </c>
      <c r="H137" s="631">
        <f t="shared" si="19"/>
        <v>6.933098591549296</v>
      </c>
      <c r="I137" s="632">
        <f>+E137</f>
        <v>1278</v>
      </c>
      <c r="K137" s="633">
        <f>+C134</f>
        <v>44294</v>
      </c>
      <c r="L137" s="631">
        <f>+M137*H134</f>
        <v>33830.022516655408</v>
      </c>
      <c r="M137" s="634">
        <f>-E143</f>
        <v>5346</v>
      </c>
      <c r="N137" s="631" t="str">
        <f t="shared" si="39"/>
        <v>ISHARES CORE MSCI EMU AGGREG USDA</v>
      </c>
      <c r="O137" s="629">
        <f>+C143</f>
        <v>44897</v>
      </c>
      <c r="P137" s="631">
        <f>+M137*H143</f>
        <v>35614.519999999997</v>
      </c>
    </row>
    <row r="138" spans="1:16">
      <c r="B138" s="628" t="s">
        <v>711</v>
      </c>
      <c r="C138" s="629">
        <v>44491</v>
      </c>
      <c r="D138" s="630" t="s">
        <v>700</v>
      </c>
      <c r="E138" s="631">
        <v>-5711</v>
      </c>
      <c r="F138" s="629" t="s">
        <v>59</v>
      </c>
      <c r="G138" s="631">
        <v>39216.86</v>
      </c>
      <c r="H138" s="631">
        <f t="shared" si="19"/>
        <v>6.8668989669059712</v>
      </c>
      <c r="K138" s="633"/>
      <c r="L138" s="631"/>
      <c r="M138" s="634"/>
      <c r="N138" s="631"/>
      <c r="O138" s="629"/>
      <c r="P138" s="631"/>
    </row>
    <row r="139" spans="1:16">
      <c r="B139" s="628" t="s">
        <v>711</v>
      </c>
      <c r="C139" s="629">
        <v>44603</v>
      </c>
      <c r="D139" s="630" t="s">
        <v>699</v>
      </c>
      <c r="E139" s="631">
        <v>46128</v>
      </c>
      <c r="F139" s="629" t="s">
        <v>59</v>
      </c>
      <c r="G139" s="631">
        <v>-315935.28000000003</v>
      </c>
      <c r="H139" s="631">
        <f t="shared" si="19"/>
        <v>6.8490998959417277</v>
      </c>
      <c r="I139" s="632">
        <f>+E139</f>
        <v>46128</v>
      </c>
      <c r="K139" s="633"/>
      <c r="L139" s="631"/>
      <c r="M139" s="634"/>
      <c r="N139" s="631"/>
      <c r="O139" s="629"/>
      <c r="P139" s="631"/>
    </row>
    <row r="140" spans="1:16">
      <c r="B140" s="628" t="s">
        <v>711</v>
      </c>
      <c r="C140" s="629">
        <v>44671</v>
      </c>
      <c r="D140" s="630" t="s">
        <v>699</v>
      </c>
      <c r="E140" s="631">
        <v>326</v>
      </c>
      <c r="F140" s="629" t="s">
        <v>59</v>
      </c>
      <c r="G140" s="631">
        <v>-2100.4499999999998</v>
      </c>
      <c r="H140" s="631">
        <f t="shared" si="19"/>
        <v>6.4430981595092023</v>
      </c>
      <c r="I140" s="632">
        <f>+E140</f>
        <v>326</v>
      </c>
      <c r="K140" s="633"/>
      <c r="L140" s="631"/>
      <c r="M140" s="634"/>
      <c r="N140" s="631"/>
      <c r="O140" s="629"/>
      <c r="P140" s="631"/>
    </row>
    <row r="141" spans="1:16">
      <c r="B141" s="628" t="s">
        <v>711</v>
      </c>
      <c r="C141" s="629">
        <v>44769</v>
      </c>
      <c r="D141" s="630" t="s">
        <v>700</v>
      </c>
      <c r="E141" s="631">
        <v>-48505</v>
      </c>
      <c r="F141" s="629" t="s">
        <v>59</v>
      </c>
      <c r="G141" s="631">
        <v>295162.63</v>
      </c>
      <c r="H141" s="631">
        <f t="shared" si="19"/>
        <v>6.0852000824657253</v>
      </c>
      <c r="K141" s="633"/>
      <c r="L141" s="631"/>
      <c r="M141" s="634"/>
      <c r="N141" s="631"/>
      <c r="O141" s="629"/>
      <c r="P141" s="631"/>
    </row>
    <row r="142" spans="1:16">
      <c r="B142" s="628" t="s">
        <v>711</v>
      </c>
      <c r="C142" s="629">
        <v>44862</v>
      </c>
      <c r="D142" s="630" t="s">
        <v>699</v>
      </c>
      <c r="E142" s="631">
        <v>2246</v>
      </c>
      <c r="F142" s="629" t="s">
        <v>59</v>
      </c>
      <c r="G142" s="631">
        <v>-13617.72</v>
      </c>
      <c r="H142" s="631">
        <f t="shared" si="19"/>
        <v>6.0630988423864647</v>
      </c>
      <c r="I142" s="632">
        <f>+E142</f>
        <v>2246</v>
      </c>
      <c r="K142" s="633"/>
      <c r="L142" s="631"/>
      <c r="M142" s="634"/>
      <c r="N142" s="631"/>
      <c r="O142" s="629"/>
      <c r="P142" s="631"/>
    </row>
    <row r="143" spans="1:16">
      <c r="B143" s="628" t="s">
        <v>711</v>
      </c>
      <c r="C143" s="629">
        <v>44897</v>
      </c>
      <c r="D143" s="630" t="s">
        <v>700</v>
      </c>
      <c r="E143" s="637">
        <v>-5346</v>
      </c>
      <c r="F143" s="629" t="s">
        <v>59</v>
      </c>
      <c r="G143" s="631">
        <v>35614.519999999997</v>
      </c>
      <c r="H143" s="631">
        <f t="shared" si="19"/>
        <v>6.6619004863449298</v>
      </c>
      <c r="I143" s="632"/>
      <c r="K143" s="633"/>
      <c r="L143" s="631"/>
      <c r="M143" s="634"/>
      <c r="N143" s="631"/>
      <c r="O143" s="629"/>
      <c r="P143" s="631"/>
    </row>
    <row r="144" spans="1:16">
      <c r="B144" s="628"/>
      <c r="C144" s="629"/>
      <c r="D144" s="630"/>
      <c r="E144" s="631"/>
      <c r="F144" s="629"/>
      <c r="G144" s="631"/>
      <c r="H144" s="631"/>
      <c r="K144" s="633"/>
      <c r="L144" s="631"/>
      <c r="M144" s="634"/>
      <c r="N144" s="631"/>
      <c r="O144" s="629"/>
      <c r="P144" s="631"/>
    </row>
    <row r="145" spans="1:16">
      <c r="A145" t="s">
        <v>800</v>
      </c>
      <c r="B145" s="628" t="s">
        <v>712</v>
      </c>
      <c r="C145" s="629">
        <v>43957</v>
      </c>
      <c r="D145" s="630" t="s">
        <v>699</v>
      </c>
      <c r="E145" s="631">
        <v>1265</v>
      </c>
      <c r="F145" s="629" t="s">
        <v>59</v>
      </c>
      <c r="G145" s="631">
        <v>-361888.92</v>
      </c>
      <c r="H145" s="631">
        <f t="shared" si="19"/>
        <v>286.0781976284585</v>
      </c>
      <c r="I145" s="632">
        <f>+E145+E146+E147+E150+E153+E154+E155-M149-M150-M151</f>
        <v>35</v>
      </c>
      <c r="K145" s="633">
        <f>+C145</f>
        <v>43957</v>
      </c>
      <c r="L145" s="631">
        <f>+M145*H$145</f>
        <v>72377.784</v>
      </c>
      <c r="M145" s="631">
        <v>253</v>
      </c>
      <c r="N145" s="631" t="str">
        <f>+B145</f>
        <v>ISHARES CORE S&amp;P 500 UCITS ETF USD</v>
      </c>
      <c r="O145" s="629">
        <f>+C150</f>
        <v>44231</v>
      </c>
      <c r="P145" s="635">
        <f>+M145*H150</f>
        <v>98143.25</v>
      </c>
    </row>
    <row r="146" spans="1:16">
      <c r="B146" s="628" t="s">
        <v>712</v>
      </c>
      <c r="C146" s="629">
        <v>43985</v>
      </c>
      <c r="D146" s="630" t="s">
        <v>700</v>
      </c>
      <c r="E146" s="631">
        <v>-15</v>
      </c>
      <c r="F146" s="629" t="s">
        <v>59</v>
      </c>
      <c r="G146" s="631">
        <v>4665.96</v>
      </c>
      <c r="H146" s="631">
        <f t="shared" si="19"/>
        <v>311.06400000000002</v>
      </c>
      <c r="K146" s="633">
        <f>+C145</f>
        <v>43957</v>
      </c>
      <c r="L146" s="631">
        <f t="shared" ref="L146:L148" si="40">+M146*H$145</f>
        <v>12301.362498023715</v>
      </c>
      <c r="M146" s="631">
        <v>43</v>
      </c>
      <c r="N146" s="631" t="str">
        <f t="shared" ref="N146:N153" si="41">+B146</f>
        <v>ISHARES CORE S&amp;P 500 UCITS ETF USD</v>
      </c>
      <c r="O146" s="629">
        <f>+C153</f>
        <v>44370</v>
      </c>
      <c r="P146" s="635">
        <f>+M146*H153</f>
        <v>18560.82</v>
      </c>
    </row>
    <row r="147" spans="1:16">
      <c r="B147" s="628" t="s">
        <v>712</v>
      </c>
      <c r="C147" s="629">
        <v>44118</v>
      </c>
      <c r="D147" s="630" t="s">
        <v>700</v>
      </c>
      <c r="E147" s="631">
        <v>-62</v>
      </c>
      <c r="F147" s="629" t="s">
        <v>59</v>
      </c>
      <c r="G147" s="631">
        <v>21937.88</v>
      </c>
      <c r="H147" s="631">
        <f t="shared" si="19"/>
        <v>353.83677419354842</v>
      </c>
      <c r="K147" s="633">
        <f>+C145</f>
        <v>43957</v>
      </c>
      <c r="L147" s="631">
        <f t="shared" si="40"/>
        <v>81246.208126482219</v>
      </c>
      <c r="M147" s="631">
        <v>284</v>
      </c>
      <c r="N147" s="631" t="str">
        <f t="shared" si="41"/>
        <v>ISHARES CORE S&amp;P 500 UCITS ETF USD</v>
      </c>
      <c r="O147" s="629">
        <f t="shared" ref="O147:O148" si="42">+C154</f>
        <v>44441</v>
      </c>
      <c r="P147" s="635">
        <f t="shared" ref="P147:P148" si="43">+M147*H154</f>
        <v>131028.31</v>
      </c>
    </row>
    <row r="148" spans="1:16">
      <c r="B148" s="628" t="s">
        <v>712</v>
      </c>
      <c r="C148" s="629">
        <v>44158</v>
      </c>
      <c r="D148" s="630" t="s">
        <v>699</v>
      </c>
      <c r="E148" s="631">
        <v>9</v>
      </c>
      <c r="F148" s="629" t="s">
        <v>59</v>
      </c>
      <c r="G148" s="631">
        <v>-3243.02</v>
      </c>
      <c r="H148" s="631">
        <f t="shared" si="19"/>
        <v>360.33555555555557</v>
      </c>
      <c r="I148" s="632">
        <f>+E148</f>
        <v>9</v>
      </c>
      <c r="K148" s="633">
        <f>+C145</f>
        <v>43957</v>
      </c>
      <c r="L148" s="631">
        <f t="shared" si="40"/>
        <v>25747.037786561265</v>
      </c>
      <c r="M148" s="631">
        <v>90</v>
      </c>
      <c r="N148" s="631" t="str">
        <f t="shared" si="41"/>
        <v>ISHARES CORE S&amp;P 500 UCITS ETF USD</v>
      </c>
      <c r="O148" s="629">
        <f t="shared" si="42"/>
        <v>44491</v>
      </c>
      <c r="P148" s="635">
        <f t="shared" si="43"/>
        <v>41656.080000000002</v>
      </c>
    </row>
    <row r="149" spans="1:16">
      <c r="B149" s="628" t="s">
        <v>712</v>
      </c>
      <c r="C149" s="629">
        <v>44218</v>
      </c>
      <c r="D149" s="630" t="s">
        <v>699</v>
      </c>
      <c r="E149" s="631">
        <v>3509</v>
      </c>
      <c r="F149" s="629" t="s">
        <v>59</v>
      </c>
      <c r="G149" s="631">
        <v>-1358437.06</v>
      </c>
      <c r="H149" s="631">
        <f t="shared" si="19"/>
        <v>387.12939868908524</v>
      </c>
      <c r="I149" s="632">
        <f>+E149</f>
        <v>3509</v>
      </c>
      <c r="K149" s="633">
        <f>+K148</f>
        <v>43957</v>
      </c>
      <c r="L149" s="631">
        <f>+M149*H145</f>
        <v>28893.897960474307</v>
      </c>
      <c r="M149" s="634">
        <f>-E156</f>
        <v>101</v>
      </c>
      <c r="N149" s="631" t="str">
        <f t="shared" si="41"/>
        <v>ISHARES CORE S&amp;P 500 UCITS ETF USD</v>
      </c>
      <c r="O149" s="629">
        <f>+C156</f>
        <v>44603</v>
      </c>
      <c r="P149" s="631">
        <f>+M149*H156</f>
        <v>46528.11</v>
      </c>
    </row>
    <row r="150" spans="1:16">
      <c r="B150" s="628" t="s">
        <v>712</v>
      </c>
      <c r="C150" s="629">
        <v>44231</v>
      </c>
      <c r="D150" s="630" t="s">
        <v>700</v>
      </c>
      <c r="E150" s="631">
        <v>-253</v>
      </c>
      <c r="F150" s="629" t="s">
        <v>59</v>
      </c>
      <c r="G150" s="631">
        <v>98143.25</v>
      </c>
      <c r="H150" s="631">
        <f t="shared" si="19"/>
        <v>387.91798418972331</v>
      </c>
      <c r="K150" s="633">
        <f>+C145</f>
        <v>43957</v>
      </c>
      <c r="L150" s="631">
        <f>+M150*H145</f>
        <v>38906.634877470358</v>
      </c>
      <c r="M150" s="634">
        <f>-E157</f>
        <v>136</v>
      </c>
      <c r="N150" s="631" t="str">
        <f t="shared" si="41"/>
        <v>ISHARES CORE S&amp;P 500 UCITS ETF USD</v>
      </c>
      <c r="O150" s="629">
        <f>+C157</f>
        <v>44671</v>
      </c>
      <c r="P150" s="631">
        <f>+M150*H157</f>
        <v>62443.28</v>
      </c>
    </row>
    <row r="151" spans="1:16" ht="17" thickBot="1">
      <c r="B151" s="628" t="s">
        <v>712</v>
      </c>
      <c r="C151" s="629">
        <v>44293</v>
      </c>
      <c r="D151" s="630" t="s">
        <v>699</v>
      </c>
      <c r="E151" s="631">
        <v>4034</v>
      </c>
      <c r="F151" s="629" t="s">
        <v>59</v>
      </c>
      <c r="G151" s="631">
        <v>-1666470.41</v>
      </c>
      <c r="H151" s="631">
        <f t="shared" si="19"/>
        <v>413.10619980168565</v>
      </c>
      <c r="I151" s="632">
        <f>+E151</f>
        <v>4034</v>
      </c>
      <c r="K151" s="633">
        <f>+C145</f>
        <v>43957</v>
      </c>
      <c r="L151" s="644">
        <f>+M151*H145</f>
        <v>70375.236616600785</v>
      </c>
      <c r="M151" s="634">
        <f>-E158</f>
        <v>246</v>
      </c>
      <c r="N151" s="631" t="str">
        <f t="shared" si="41"/>
        <v>ISHARES CORE S&amp;P 500 UCITS ETF USD</v>
      </c>
      <c r="O151" s="629">
        <f>+C158</f>
        <v>44769</v>
      </c>
      <c r="P151" s="644">
        <f>+M151*H158</f>
        <v>100064.26</v>
      </c>
    </row>
    <row r="152" spans="1:16">
      <c r="B152" s="628" t="s">
        <v>712</v>
      </c>
      <c r="C152" s="629">
        <v>44302</v>
      </c>
      <c r="D152" s="630" t="s">
        <v>699</v>
      </c>
      <c r="E152" s="631">
        <v>382</v>
      </c>
      <c r="F152" s="629" t="s">
        <v>59</v>
      </c>
      <c r="G152" s="631">
        <v>-161795.45000000001</v>
      </c>
      <c r="H152" s="631">
        <f t="shared" si="19"/>
        <v>423.5482984293194</v>
      </c>
      <c r="I152" s="632">
        <f>+E152</f>
        <v>382</v>
      </c>
      <c r="K152" s="633">
        <f>+C145</f>
        <v>43957</v>
      </c>
      <c r="L152" s="641">
        <f>+M152*H145</f>
        <v>10012.736916996048</v>
      </c>
      <c r="M152" s="634">
        <v>35</v>
      </c>
      <c r="N152" s="631" t="str">
        <f t="shared" si="41"/>
        <v>ISHARES CORE S&amp;P 500 UCITS ETF USD</v>
      </c>
      <c r="O152" s="629">
        <f>+C160</f>
        <v>44897</v>
      </c>
      <c r="P152" s="641">
        <f>+M152*H$160</f>
        <v>14540.722368421051</v>
      </c>
    </row>
    <row r="153" spans="1:16" ht="17" thickBot="1">
      <c r="B153" s="628" t="s">
        <v>712</v>
      </c>
      <c r="C153" s="629">
        <v>44370</v>
      </c>
      <c r="D153" s="630" t="s">
        <v>700</v>
      </c>
      <c r="E153" s="631">
        <v>-43</v>
      </c>
      <c r="F153" s="629" t="s">
        <v>59</v>
      </c>
      <c r="G153" s="631">
        <v>18560.82</v>
      </c>
      <c r="H153" s="631">
        <f t="shared" si="19"/>
        <v>431.64697674418602</v>
      </c>
      <c r="K153" s="633">
        <f>+C148</f>
        <v>44158</v>
      </c>
      <c r="L153" s="643">
        <f>+M153*H148</f>
        <v>1081.0066666666667</v>
      </c>
      <c r="M153" s="634">
        <v>3</v>
      </c>
      <c r="N153" s="631" t="str">
        <f t="shared" si="41"/>
        <v>ISHARES CORE S&amp;P 500 UCITS ETF USD</v>
      </c>
      <c r="O153" s="629">
        <f>+O152</f>
        <v>44897</v>
      </c>
      <c r="P153" s="643">
        <f>+M153*H$160</f>
        <v>1246.3476315789474</v>
      </c>
    </row>
    <row r="154" spans="1:16">
      <c r="B154" s="628" t="s">
        <v>712</v>
      </c>
      <c r="C154" s="629">
        <v>44441</v>
      </c>
      <c r="D154" s="630" t="s">
        <v>700</v>
      </c>
      <c r="E154" s="631">
        <v>-284</v>
      </c>
      <c r="F154" s="629" t="s">
        <v>59</v>
      </c>
      <c r="G154" s="631">
        <v>131028.31</v>
      </c>
      <c r="H154" s="631">
        <f t="shared" si="19"/>
        <v>461.36728873239434</v>
      </c>
      <c r="K154" s="633"/>
      <c r="L154" s="640"/>
      <c r="M154" s="634"/>
      <c r="N154" s="631"/>
      <c r="O154" s="629"/>
      <c r="P154" s="640"/>
    </row>
    <row r="155" spans="1:16">
      <c r="B155" s="628" t="s">
        <v>712</v>
      </c>
      <c r="C155" s="629">
        <v>44491</v>
      </c>
      <c r="D155" s="630" t="s">
        <v>700</v>
      </c>
      <c r="E155" s="631">
        <v>-90</v>
      </c>
      <c r="F155" s="629" t="s">
        <v>59</v>
      </c>
      <c r="G155" s="631">
        <v>41656.080000000002</v>
      </c>
      <c r="H155" s="631">
        <f t="shared" si="19"/>
        <v>462.84533333333337</v>
      </c>
      <c r="K155" s="633"/>
      <c r="L155" s="631"/>
      <c r="M155" s="634"/>
      <c r="N155" s="631"/>
      <c r="O155" s="629"/>
      <c r="P155" s="631"/>
    </row>
    <row r="156" spans="1:16">
      <c r="B156" s="628" t="s">
        <v>712</v>
      </c>
      <c r="C156" s="629">
        <v>44603</v>
      </c>
      <c r="D156" s="630" t="s">
        <v>700</v>
      </c>
      <c r="E156" s="631">
        <v>-101</v>
      </c>
      <c r="F156" s="629" t="s">
        <v>59</v>
      </c>
      <c r="G156" s="631">
        <v>46528.11</v>
      </c>
      <c r="H156" s="631">
        <f t="shared" si="19"/>
        <v>460.67435643564357</v>
      </c>
      <c r="K156" s="633"/>
      <c r="L156" s="631"/>
      <c r="M156" s="634"/>
      <c r="N156" s="631"/>
      <c r="O156" s="629"/>
      <c r="P156" s="631"/>
    </row>
    <row r="157" spans="1:16">
      <c r="B157" s="628" t="s">
        <v>712</v>
      </c>
      <c r="C157" s="629">
        <v>44671</v>
      </c>
      <c r="D157" s="630" t="s">
        <v>700</v>
      </c>
      <c r="E157" s="631">
        <v>-136</v>
      </c>
      <c r="F157" s="629" t="s">
        <v>59</v>
      </c>
      <c r="G157" s="631">
        <v>62443.28</v>
      </c>
      <c r="H157" s="631">
        <f t="shared" si="19"/>
        <v>459.14176470588234</v>
      </c>
      <c r="K157" s="633"/>
      <c r="L157" s="631"/>
      <c r="M157" s="634"/>
      <c r="N157" s="631"/>
      <c r="O157" s="629"/>
      <c r="P157" s="631"/>
    </row>
    <row r="158" spans="1:16">
      <c r="B158" s="628" t="s">
        <v>712</v>
      </c>
      <c r="C158" s="629">
        <v>44769</v>
      </c>
      <c r="D158" s="630" t="s">
        <v>700</v>
      </c>
      <c r="E158" s="631">
        <v>-246</v>
      </c>
      <c r="F158" s="629" t="s">
        <v>59</v>
      </c>
      <c r="G158" s="631">
        <v>100064.26</v>
      </c>
      <c r="H158" s="631">
        <f t="shared" si="19"/>
        <v>406.76528455284551</v>
      </c>
      <c r="K158" s="633"/>
      <c r="L158" s="631"/>
      <c r="M158" s="634"/>
      <c r="N158" s="631"/>
      <c r="O158" s="629"/>
      <c r="P158" s="631"/>
    </row>
    <row r="159" spans="1:16">
      <c r="B159" s="628" t="s">
        <v>712</v>
      </c>
      <c r="C159" s="629">
        <v>44862</v>
      </c>
      <c r="D159" s="630" t="s">
        <v>699</v>
      </c>
      <c r="E159" s="631">
        <v>334</v>
      </c>
      <c r="F159" s="629" t="s">
        <v>59</v>
      </c>
      <c r="G159" s="631">
        <v>-132227.46</v>
      </c>
      <c r="H159" s="631">
        <f t="shared" si="19"/>
        <v>395.89059880239517</v>
      </c>
      <c r="K159" s="633"/>
      <c r="L159" s="631"/>
      <c r="M159" s="634"/>
      <c r="N159" s="631"/>
      <c r="O159" s="629"/>
      <c r="P159" s="631"/>
    </row>
    <row r="160" spans="1:16">
      <c r="B160" s="628" t="s">
        <v>712</v>
      </c>
      <c r="C160" s="629">
        <v>44897</v>
      </c>
      <c r="D160" s="630" t="s">
        <v>700</v>
      </c>
      <c r="E160" s="631">
        <v>-38</v>
      </c>
      <c r="F160" s="629" t="s">
        <v>59</v>
      </c>
      <c r="G160" s="631">
        <v>-15787.07</v>
      </c>
      <c r="H160" s="631">
        <f t="shared" si="19"/>
        <v>415.44921052631577</v>
      </c>
      <c r="K160" s="633"/>
      <c r="L160" s="631"/>
      <c r="M160" s="634"/>
      <c r="N160" s="631"/>
      <c r="O160" s="629"/>
      <c r="P160" s="631"/>
    </row>
    <row r="161" spans="1:16">
      <c r="B161" s="628"/>
      <c r="C161" s="629"/>
      <c r="D161" s="630"/>
      <c r="E161" s="631"/>
      <c r="F161" s="629"/>
      <c r="G161" s="631"/>
      <c r="H161" s="631"/>
      <c r="K161" s="633"/>
      <c r="L161" s="631"/>
      <c r="M161" s="634"/>
      <c r="N161" s="631"/>
      <c r="O161" s="629"/>
      <c r="P161" s="631"/>
    </row>
    <row r="162" spans="1:16">
      <c r="A162" t="s">
        <v>801</v>
      </c>
      <c r="B162" s="628" t="s">
        <v>713</v>
      </c>
      <c r="C162" s="629">
        <v>43957</v>
      </c>
      <c r="D162" s="630" t="s">
        <v>699</v>
      </c>
      <c r="E162" s="631">
        <v>403</v>
      </c>
      <c r="F162" s="629" t="s">
        <v>59</v>
      </c>
      <c r="G162" s="631">
        <v>-49258.13</v>
      </c>
      <c r="H162" s="631">
        <f t="shared" si="19"/>
        <v>122.22861042183622</v>
      </c>
      <c r="I162" s="632">
        <f>+E162+E164+E165-M162</f>
        <v>0</v>
      </c>
      <c r="K162" s="633">
        <f>+C162</f>
        <v>43957</v>
      </c>
      <c r="L162" s="631">
        <f>+M162*H162</f>
        <v>19189.891836228286</v>
      </c>
      <c r="M162" s="634">
        <v>157</v>
      </c>
      <c r="N162" s="631" t="str">
        <f>+B162</f>
        <v>ISHARES COREMSCIPACEXJAP UCITS ETF</v>
      </c>
      <c r="O162" s="629">
        <f>+C167</f>
        <v>44231</v>
      </c>
      <c r="P162" s="635">
        <f>+M162*H$167</f>
        <v>26742.37453584019</v>
      </c>
    </row>
    <row r="163" spans="1:16">
      <c r="B163" s="628" t="s">
        <v>713</v>
      </c>
      <c r="C163" s="629">
        <v>43985</v>
      </c>
      <c r="D163" s="630" t="s">
        <v>699</v>
      </c>
      <c r="E163" s="631">
        <v>62</v>
      </c>
      <c r="F163" s="629" t="s">
        <v>59</v>
      </c>
      <c r="G163" s="631">
        <v>-8463.7199999999993</v>
      </c>
      <c r="H163" s="631">
        <f t="shared" si="19"/>
        <v>136.5116129032258</v>
      </c>
      <c r="I163" s="632">
        <f>+E163-M163</f>
        <v>0</v>
      </c>
      <c r="K163" s="633">
        <f>+C163</f>
        <v>43985</v>
      </c>
      <c r="L163" s="631">
        <f>+M163*H163</f>
        <v>8463.7199999999993</v>
      </c>
      <c r="M163" s="634">
        <v>62</v>
      </c>
      <c r="N163" s="631" t="str">
        <f t="shared" ref="N163:N166" si="44">+B163</f>
        <v>ISHARES COREMSCIPACEXJAP UCITS ETF</v>
      </c>
      <c r="O163" s="629">
        <f>+C167</f>
        <v>44231</v>
      </c>
      <c r="P163" s="635">
        <f t="shared" ref="P163:P164" si="45">+M163*H$167</f>
        <v>10560.68293772033</v>
      </c>
    </row>
    <row r="164" spans="1:16">
      <c r="B164" s="628" t="s">
        <v>713</v>
      </c>
      <c r="C164" s="629">
        <v>44118</v>
      </c>
      <c r="D164" s="630" t="s">
        <v>700</v>
      </c>
      <c r="E164" s="631">
        <v>-200</v>
      </c>
      <c r="F164" s="629" t="s">
        <v>59</v>
      </c>
      <c r="G164" s="631">
        <v>29218.26</v>
      </c>
      <c r="H164" s="631">
        <f t="shared" si="19"/>
        <v>146.09129999999999</v>
      </c>
      <c r="K164" s="633">
        <f>+C166</f>
        <v>44218</v>
      </c>
      <c r="L164" s="631">
        <f>+M164*H166</f>
        <v>109713.43</v>
      </c>
      <c r="M164" s="634">
        <v>632</v>
      </c>
      <c r="N164" s="631" t="str">
        <f t="shared" si="44"/>
        <v>ISHARES COREMSCIPACEXJAP UCITS ETF</v>
      </c>
      <c r="O164" s="629">
        <f>+C167</f>
        <v>44231</v>
      </c>
      <c r="P164" s="635">
        <f t="shared" si="45"/>
        <v>107650.8325264395</v>
      </c>
    </row>
    <row r="165" spans="1:16">
      <c r="B165" s="628" t="s">
        <v>713</v>
      </c>
      <c r="C165" s="629">
        <v>44158</v>
      </c>
      <c r="D165" s="630" t="s">
        <v>700</v>
      </c>
      <c r="E165" s="631">
        <v>-46</v>
      </c>
      <c r="F165" s="629" t="s">
        <v>59</v>
      </c>
      <c r="G165" s="631">
        <v>7310.76</v>
      </c>
      <c r="H165" s="631">
        <f t="shared" si="19"/>
        <v>158.92956521739131</v>
      </c>
      <c r="K165" s="633">
        <f>+C168</f>
        <v>44302</v>
      </c>
      <c r="L165" s="631">
        <f>+M165*H168</f>
        <v>101240.16</v>
      </c>
      <c r="M165" s="634">
        <v>555</v>
      </c>
      <c r="N165" s="631" t="str">
        <f t="shared" si="44"/>
        <v>ISHARES COREMSCIPACEXJAP UCITS ETF</v>
      </c>
      <c r="O165" s="629">
        <f>+C169</f>
        <v>44370</v>
      </c>
      <c r="P165" s="635">
        <f>+M165*H169</f>
        <v>101873.75</v>
      </c>
    </row>
    <row r="166" spans="1:16">
      <c r="B166" s="628" t="s">
        <v>713</v>
      </c>
      <c r="C166" s="629">
        <v>44218</v>
      </c>
      <c r="D166" s="630" t="s">
        <v>699</v>
      </c>
      <c r="E166" s="631">
        <v>632</v>
      </c>
      <c r="F166" s="629" t="s">
        <v>59</v>
      </c>
      <c r="G166" s="631">
        <v>-109713.43</v>
      </c>
      <c r="H166" s="631">
        <f t="shared" si="19"/>
        <v>173.59719936708859</v>
      </c>
      <c r="I166" s="632">
        <f>+E166-M164</f>
        <v>0</v>
      </c>
      <c r="K166" s="633">
        <f>+C170</f>
        <v>44441</v>
      </c>
      <c r="L166" s="631">
        <f>+M166*H170</f>
        <v>42665.725783822476</v>
      </c>
      <c r="M166" s="634">
        <v>233</v>
      </c>
      <c r="N166" s="631" t="str">
        <f t="shared" si="44"/>
        <v>ISHARES COREMSCIPACEXJAP UCITS ETF</v>
      </c>
      <c r="O166" s="629">
        <f>+C171</f>
        <v>44491</v>
      </c>
      <c r="P166" s="635">
        <f>+M166*H171</f>
        <v>42382.12</v>
      </c>
    </row>
    <row r="167" spans="1:16">
      <c r="B167" s="628" t="s">
        <v>713</v>
      </c>
      <c r="C167" s="629">
        <v>44231</v>
      </c>
      <c r="D167" s="630" t="s">
        <v>700</v>
      </c>
      <c r="E167" s="631">
        <v>-851</v>
      </c>
      <c r="F167" s="629" t="s">
        <v>59</v>
      </c>
      <c r="G167" s="631">
        <v>144953.89000000001</v>
      </c>
      <c r="H167" s="631">
        <f t="shared" si="19"/>
        <v>170.33359576968274</v>
      </c>
      <c r="K167" s="633"/>
      <c r="L167" s="631"/>
      <c r="M167" s="634"/>
      <c r="N167" s="631"/>
      <c r="O167" s="629"/>
      <c r="P167" s="631"/>
    </row>
    <row r="168" spans="1:16">
      <c r="B168" s="628" t="s">
        <v>713</v>
      </c>
      <c r="C168" s="629">
        <v>44302</v>
      </c>
      <c r="D168" s="630" t="s">
        <v>699</v>
      </c>
      <c r="E168" s="631">
        <v>555</v>
      </c>
      <c r="F168" s="629" t="s">
        <v>59</v>
      </c>
      <c r="G168" s="631">
        <v>-101240.16</v>
      </c>
      <c r="H168" s="631">
        <f t="shared" si="19"/>
        <v>182.4147027027027</v>
      </c>
      <c r="I168" s="632">
        <f>+E168-M165</f>
        <v>0</v>
      </c>
      <c r="K168" s="633"/>
      <c r="L168" s="631"/>
      <c r="M168" s="634"/>
      <c r="N168" s="631"/>
      <c r="O168" s="629"/>
      <c r="P168" s="631"/>
    </row>
    <row r="169" spans="1:16">
      <c r="B169" s="628" t="s">
        <v>713</v>
      </c>
      <c r="C169" s="629">
        <v>44370</v>
      </c>
      <c r="D169" s="630" t="s">
        <v>700</v>
      </c>
      <c r="E169" s="631">
        <v>-555</v>
      </c>
      <c r="F169" s="629" t="s">
        <v>59</v>
      </c>
      <c r="G169" s="631">
        <v>101873.75</v>
      </c>
      <c r="H169" s="631">
        <f t="shared" si="19"/>
        <v>183.55630630630631</v>
      </c>
      <c r="K169" s="633"/>
      <c r="L169" s="631"/>
      <c r="M169" s="634"/>
      <c r="N169" s="631"/>
      <c r="O169" s="629"/>
      <c r="P169" s="631"/>
    </row>
    <row r="170" spans="1:16">
      <c r="B170" s="628" t="s">
        <v>713</v>
      </c>
      <c r="C170" s="629">
        <v>44441</v>
      </c>
      <c r="D170" s="630" t="s">
        <v>699</v>
      </c>
      <c r="E170" s="631">
        <v>1397</v>
      </c>
      <c r="F170" s="629" t="s">
        <v>59</v>
      </c>
      <c r="G170" s="631">
        <v>-255811.24</v>
      </c>
      <c r="H170" s="631">
        <f t="shared" si="19"/>
        <v>183.11470293486042</v>
      </c>
      <c r="I170" s="632">
        <f>+E170-M166</f>
        <v>1164</v>
      </c>
      <c r="K170" s="633"/>
      <c r="L170" s="631"/>
      <c r="M170" s="634"/>
      <c r="N170" s="631"/>
      <c r="O170" s="629"/>
      <c r="P170" s="631"/>
    </row>
    <row r="171" spans="1:16">
      <c r="B171" s="628" t="s">
        <v>713</v>
      </c>
      <c r="C171" s="629">
        <v>44491</v>
      </c>
      <c r="D171" s="630" t="s">
        <v>700</v>
      </c>
      <c r="E171" s="631">
        <v>-233</v>
      </c>
      <c r="F171" s="629" t="s">
        <v>59</v>
      </c>
      <c r="G171" s="631">
        <v>42382.12</v>
      </c>
      <c r="H171" s="631">
        <f t="shared" si="19"/>
        <v>181.89751072961374</v>
      </c>
      <c r="K171" s="633"/>
      <c r="L171" s="631"/>
      <c r="M171" s="634"/>
      <c r="N171" s="631"/>
      <c r="O171" s="629"/>
      <c r="P171" s="631"/>
    </row>
    <row r="172" spans="1:16">
      <c r="B172" s="628" t="s">
        <v>713</v>
      </c>
      <c r="C172" s="629">
        <v>44603</v>
      </c>
      <c r="D172" s="630" t="s">
        <v>699</v>
      </c>
      <c r="E172" s="631">
        <v>28</v>
      </c>
      <c r="F172" s="629" t="s">
        <v>59</v>
      </c>
      <c r="G172" s="631">
        <v>-4889.3500000000004</v>
      </c>
      <c r="H172" s="631">
        <f t="shared" si="19"/>
        <v>174.61964285714288</v>
      </c>
      <c r="I172" s="632">
        <f>+E172-M168</f>
        <v>28</v>
      </c>
      <c r="K172" s="633"/>
      <c r="L172" s="631"/>
      <c r="M172" s="634"/>
      <c r="N172" s="631"/>
      <c r="O172" s="629"/>
      <c r="P172" s="631"/>
    </row>
    <row r="173" spans="1:16">
      <c r="B173" s="628" t="s">
        <v>713</v>
      </c>
      <c r="C173" s="629">
        <v>44671</v>
      </c>
      <c r="D173" s="630" t="s">
        <v>699</v>
      </c>
      <c r="E173" s="631">
        <v>171</v>
      </c>
      <c r="F173" s="629" t="s">
        <v>59</v>
      </c>
      <c r="G173" s="631">
        <v>-30673.09</v>
      </c>
      <c r="H173" s="631">
        <f t="shared" si="19"/>
        <v>179.37479532163744</v>
      </c>
      <c r="I173" s="632">
        <f>+E173-M169</f>
        <v>171</v>
      </c>
      <c r="K173" s="633"/>
      <c r="L173" s="631"/>
      <c r="M173" s="634"/>
      <c r="N173" s="631"/>
      <c r="O173" s="629"/>
      <c r="P173" s="631"/>
    </row>
    <row r="174" spans="1:16">
      <c r="B174" s="628" t="s">
        <v>713</v>
      </c>
      <c r="C174" s="629">
        <v>44769</v>
      </c>
      <c r="D174" s="630" t="s">
        <v>699</v>
      </c>
      <c r="E174" s="631">
        <v>377</v>
      </c>
      <c r="F174" s="629" t="s">
        <v>59</v>
      </c>
      <c r="G174" s="631">
        <v>-60120.27</v>
      </c>
      <c r="H174" s="631">
        <f t="shared" si="19"/>
        <v>159.47021220159149</v>
      </c>
      <c r="I174" s="632"/>
      <c r="K174" s="633"/>
      <c r="L174" s="631"/>
      <c r="M174" s="634"/>
      <c r="N174" s="631"/>
      <c r="O174" s="629"/>
      <c r="P174" s="631"/>
    </row>
    <row r="175" spans="1:16">
      <c r="B175" s="628" t="s">
        <v>713</v>
      </c>
      <c r="C175" s="629">
        <v>44862</v>
      </c>
      <c r="D175" s="630" t="s">
        <v>699</v>
      </c>
      <c r="E175" s="631">
        <v>1222</v>
      </c>
      <c r="F175" s="629" t="s">
        <v>59</v>
      </c>
      <c r="G175" s="631">
        <v>-173739.44</v>
      </c>
      <c r="H175" s="631">
        <f t="shared" si="19"/>
        <v>142.17630114566285</v>
      </c>
      <c r="I175" s="632"/>
      <c r="K175" s="633"/>
      <c r="L175" s="631"/>
      <c r="M175" s="634"/>
      <c r="N175" s="631"/>
      <c r="O175" s="629"/>
      <c r="P175" s="631"/>
    </row>
    <row r="176" spans="1:16">
      <c r="B176" s="628" t="s">
        <v>713</v>
      </c>
      <c r="C176" s="629">
        <v>44897</v>
      </c>
      <c r="D176" s="630" t="s">
        <v>699</v>
      </c>
      <c r="E176" s="631">
        <v>112</v>
      </c>
      <c r="F176" s="629" t="s">
        <v>59</v>
      </c>
      <c r="G176" s="631">
        <v>-18479.099999999999</v>
      </c>
      <c r="H176" s="631">
        <f t="shared" si="19"/>
        <v>164.99196428571426</v>
      </c>
      <c r="I176" s="632"/>
      <c r="K176" s="633"/>
      <c r="L176" s="631"/>
      <c r="M176" s="634"/>
      <c r="N176" s="631"/>
      <c r="O176" s="629"/>
      <c r="P176" s="631"/>
    </row>
    <row r="177" spans="1:16">
      <c r="B177" s="628"/>
      <c r="C177" s="629"/>
      <c r="D177" s="630"/>
      <c r="E177" s="631"/>
      <c r="F177" s="629"/>
      <c r="G177" s="631"/>
      <c r="H177" s="631"/>
      <c r="K177" s="633"/>
      <c r="L177" s="631"/>
      <c r="M177" s="634"/>
      <c r="N177" s="631"/>
      <c r="O177" s="629"/>
      <c r="P177" s="631"/>
    </row>
    <row r="178" spans="1:16">
      <c r="A178" t="s">
        <v>802</v>
      </c>
      <c r="B178" s="628" t="s">
        <v>714</v>
      </c>
      <c r="C178" s="629">
        <v>44118</v>
      </c>
      <c r="D178" s="630" t="s">
        <v>699</v>
      </c>
      <c r="E178" s="631">
        <v>4690</v>
      </c>
      <c r="F178" s="629" t="s">
        <v>59</v>
      </c>
      <c r="G178" s="631">
        <v>-22544.83</v>
      </c>
      <c r="H178" s="631">
        <f t="shared" ref="H178:H265" si="46">+ABS(G178/E178)</f>
        <v>4.8070000000000004</v>
      </c>
      <c r="I178" s="632">
        <f>+E178+E181+E183+E184+E185-M182</f>
        <v>0</v>
      </c>
      <c r="K178" s="633">
        <f>+C178</f>
        <v>44118</v>
      </c>
      <c r="L178" s="631">
        <f>+M178*H$178</f>
        <v>2018.94</v>
      </c>
      <c r="M178" s="634">
        <v>420</v>
      </c>
      <c r="N178" s="631" t="str">
        <f>+B178</f>
        <v>ISHARES DEVELOPED MARKETS PR C</v>
      </c>
      <c r="O178" s="629">
        <f>+C181</f>
        <v>44231</v>
      </c>
      <c r="P178" s="635">
        <f>+M178*H181</f>
        <v>2247.63</v>
      </c>
    </row>
    <row r="179" spans="1:16">
      <c r="B179" s="628" t="s">
        <v>714</v>
      </c>
      <c r="C179" s="629">
        <v>44158</v>
      </c>
      <c r="D179" s="630" t="s">
        <v>699</v>
      </c>
      <c r="E179" s="631">
        <v>4301</v>
      </c>
      <c r="F179" s="629" t="s">
        <v>59</v>
      </c>
      <c r="G179" s="631">
        <v>-22290.79</v>
      </c>
      <c r="H179" s="631">
        <f t="shared" si="46"/>
        <v>5.1826993722390142</v>
      </c>
      <c r="I179" s="632">
        <f>+E179-M183</f>
        <v>0</v>
      </c>
      <c r="K179" s="633">
        <f>+C178</f>
        <v>44118</v>
      </c>
      <c r="L179" s="631">
        <f t="shared" ref="L179:L181" si="47">+M179*H$178</f>
        <v>2840.9370000000004</v>
      </c>
      <c r="M179" s="634">
        <v>591</v>
      </c>
      <c r="N179" s="631" t="str">
        <f t="shared" ref="N179:N187" si="48">+B179</f>
        <v>ISHARES DEVELOPED MARKETS PR C</v>
      </c>
      <c r="O179" s="629">
        <f>+C183</f>
        <v>44302</v>
      </c>
      <c r="P179" s="635">
        <f>+M179*H183</f>
        <v>3487.8499999999995</v>
      </c>
    </row>
    <row r="180" spans="1:16">
      <c r="B180" s="628" t="s">
        <v>714</v>
      </c>
      <c r="C180" s="629">
        <v>44218</v>
      </c>
      <c r="D180" s="630" t="s">
        <v>699</v>
      </c>
      <c r="E180" s="631">
        <v>28418</v>
      </c>
      <c r="F180" s="629" t="s">
        <v>59</v>
      </c>
      <c r="G180" s="631">
        <v>-150038.51</v>
      </c>
      <c r="H180" s="631">
        <f t="shared" si="46"/>
        <v>5.2796998381307629</v>
      </c>
      <c r="I180" s="632">
        <f>+E180-M184-M185</f>
        <v>0</v>
      </c>
      <c r="K180" s="633">
        <f>+C178</f>
        <v>44118</v>
      </c>
      <c r="L180" s="631">
        <f t="shared" si="47"/>
        <v>13555.740000000002</v>
      </c>
      <c r="M180" s="634">
        <v>2820</v>
      </c>
      <c r="N180" s="631" t="str">
        <f t="shared" si="48"/>
        <v>ISHARES DEVELOPED MARKETS PR C</v>
      </c>
      <c r="O180" s="629">
        <f t="shared" ref="O180:O181" si="49">+C184</f>
        <v>44370</v>
      </c>
      <c r="P180" s="635">
        <f>+M180*H184</f>
        <v>17619.919999999998</v>
      </c>
    </row>
    <row r="181" spans="1:16" ht="17" thickBot="1">
      <c r="B181" s="628" t="s">
        <v>714</v>
      </c>
      <c r="C181" s="629">
        <v>44231</v>
      </c>
      <c r="D181" s="630" t="s">
        <v>700</v>
      </c>
      <c r="E181" s="631">
        <v>-420</v>
      </c>
      <c r="F181" s="629" t="s">
        <v>59</v>
      </c>
      <c r="G181" s="631">
        <v>2247.63</v>
      </c>
      <c r="H181" s="631">
        <f t="shared" si="46"/>
        <v>5.3515000000000006</v>
      </c>
      <c r="K181" s="633">
        <f>+C178</f>
        <v>44118</v>
      </c>
      <c r="L181" s="644">
        <f t="shared" si="47"/>
        <v>3946.5470000000005</v>
      </c>
      <c r="M181" s="634">
        <v>821</v>
      </c>
      <c r="N181" s="631" t="str">
        <f t="shared" si="48"/>
        <v>ISHARES DEVELOPED MARKETS PR C</v>
      </c>
      <c r="O181" s="629">
        <f t="shared" si="49"/>
        <v>44441</v>
      </c>
      <c r="P181" s="639">
        <f>+M181*H185</f>
        <v>5374.68</v>
      </c>
    </row>
    <row r="182" spans="1:16">
      <c r="B182" s="628" t="s">
        <v>714</v>
      </c>
      <c r="C182" s="629">
        <v>44293</v>
      </c>
      <c r="D182" s="630" t="s">
        <v>699</v>
      </c>
      <c r="E182" s="631">
        <v>32266</v>
      </c>
      <c r="F182" s="629" t="s">
        <v>59</v>
      </c>
      <c r="G182" s="631">
        <v>-186007.04000000001</v>
      </c>
      <c r="H182" s="631">
        <f t="shared" si="46"/>
        <v>5.764800099175603</v>
      </c>
      <c r="I182" s="632">
        <f>+E182-M186-M187</f>
        <v>30868</v>
      </c>
      <c r="K182" s="633">
        <f>+C178</f>
        <v>44118</v>
      </c>
      <c r="L182" s="641">
        <f>+M182*H178</f>
        <v>182.66600000000003</v>
      </c>
      <c r="M182" s="634">
        <v>38</v>
      </c>
      <c r="N182" s="631" t="str">
        <f t="shared" si="48"/>
        <v>ISHARES DEVELOPED MARKETS PR C</v>
      </c>
      <c r="O182" s="629">
        <f>+C187</f>
        <v>44603</v>
      </c>
      <c r="P182" s="641">
        <f>+M182*H$187</f>
        <v>236.2574043622599</v>
      </c>
    </row>
    <row r="183" spans="1:16">
      <c r="B183" s="628" t="s">
        <v>714</v>
      </c>
      <c r="C183" s="629">
        <v>44302</v>
      </c>
      <c r="D183" s="630" t="s">
        <v>700</v>
      </c>
      <c r="E183" s="631">
        <v>-591</v>
      </c>
      <c r="F183" s="629" t="s">
        <v>59</v>
      </c>
      <c r="G183" s="631">
        <v>3487.85</v>
      </c>
      <c r="H183" s="631">
        <f t="shared" si="46"/>
        <v>5.9016074450084597</v>
      </c>
      <c r="K183" s="633">
        <f t="shared" ref="K183:K184" si="50">+C179</f>
        <v>44158</v>
      </c>
      <c r="L183" s="642">
        <f t="shared" ref="L183:L184" si="51">+M183*H179</f>
        <v>22290.79</v>
      </c>
      <c r="M183" s="634">
        <v>4301</v>
      </c>
      <c r="N183" s="631" t="str">
        <f t="shared" si="48"/>
        <v>ISHARES DEVELOPED MARKETS PR C</v>
      </c>
      <c r="O183" s="629">
        <f>+O182</f>
        <v>44603</v>
      </c>
      <c r="P183" s="642">
        <f t="shared" ref="P183:P184" si="52">+M183*H$187</f>
        <v>26740.607793738945</v>
      </c>
    </row>
    <row r="184" spans="1:16" ht="17" thickBot="1">
      <c r="B184" s="628" t="s">
        <v>714</v>
      </c>
      <c r="C184" s="629">
        <v>44370</v>
      </c>
      <c r="D184" s="630" t="s">
        <v>700</v>
      </c>
      <c r="E184" s="631">
        <v>-2820</v>
      </c>
      <c r="F184" s="629" t="s">
        <v>59</v>
      </c>
      <c r="G184" s="631">
        <v>17619.919999999998</v>
      </c>
      <c r="H184" s="631">
        <f t="shared" si="46"/>
        <v>6.248198581560283</v>
      </c>
      <c r="K184" s="633">
        <f t="shared" si="50"/>
        <v>44218</v>
      </c>
      <c r="L184" s="643">
        <f t="shared" si="51"/>
        <v>147261.38788514325</v>
      </c>
      <c r="M184" s="634">
        <f>32231-M183-M182</f>
        <v>27892</v>
      </c>
      <c r="N184" s="631" t="str">
        <f t="shared" si="48"/>
        <v>ISHARES DEVELOPED MARKETS PR C</v>
      </c>
      <c r="O184" s="629">
        <f>+O183</f>
        <v>44603</v>
      </c>
      <c r="P184" s="643">
        <f t="shared" si="52"/>
        <v>173412.93480189878</v>
      </c>
    </row>
    <row r="185" spans="1:16">
      <c r="B185" s="628" t="s">
        <v>714</v>
      </c>
      <c r="C185" s="629">
        <v>44441</v>
      </c>
      <c r="D185" s="630" t="s">
        <v>700</v>
      </c>
      <c r="E185" s="631">
        <v>-821</v>
      </c>
      <c r="F185" s="629" t="s">
        <v>59</v>
      </c>
      <c r="G185" s="631">
        <v>5374.68</v>
      </c>
      <c r="H185" s="631">
        <f t="shared" si="46"/>
        <v>6.5465042630937882</v>
      </c>
      <c r="K185" s="633">
        <f>+C180</f>
        <v>44218</v>
      </c>
      <c r="L185" s="641">
        <f>+M185*H180</f>
        <v>2777.1221148567811</v>
      </c>
      <c r="M185" s="640">
        <v>526</v>
      </c>
      <c r="N185" s="631" t="str">
        <f t="shared" si="48"/>
        <v>ISHARES DEVELOPED MARKETS PR C</v>
      </c>
      <c r="O185" s="629">
        <f>+C188</f>
        <v>44671</v>
      </c>
      <c r="P185" s="641">
        <f>+M185*H$188</f>
        <v>3362.9803926096997</v>
      </c>
    </row>
    <row r="186" spans="1:16" ht="17" thickBot="1">
      <c r="B186" s="628" t="s">
        <v>714</v>
      </c>
      <c r="C186" s="629">
        <v>44491</v>
      </c>
      <c r="D186" s="630" t="s">
        <v>699</v>
      </c>
      <c r="E186" s="631">
        <v>679</v>
      </c>
      <c r="F186" s="629" t="s">
        <v>59</v>
      </c>
      <c r="G186" s="631">
        <v>-4395.6400000000003</v>
      </c>
      <c r="H186" s="631">
        <f t="shared" si="46"/>
        <v>6.4736966126656856</v>
      </c>
      <c r="I186" s="632">
        <f>+E186</f>
        <v>679</v>
      </c>
      <c r="K186" s="633">
        <f>+C182</f>
        <v>44293</v>
      </c>
      <c r="L186" s="643">
        <f>+M186*H182</f>
        <v>6952.3489196057772</v>
      </c>
      <c r="M186" s="631">
        <f>1732-M185</f>
        <v>1206</v>
      </c>
      <c r="N186" s="631" t="str">
        <f t="shared" si="48"/>
        <v>ISHARES DEVELOPED MARKETS PR C</v>
      </c>
      <c r="O186" s="629">
        <f>+O185</f>
        <v>44671</v>
      </c>
      <c r="P186" s="653">
        <f>+M186*H$188</f>
        <v>7710.5596073903007</v>
      </c>
    </row>
    <row r="187" spans="1:16">
      <c r="B187" s="628" t="s">
        <v>714</v>
      </c>
      <c r="C187" s="629">
        <v>44603</v>
      </c>
      <c r="D187" s="630" t="s">
        <v>700</v>
      </c>
      <c r="E187" s="631">
        <v>-32231</v>
      </c>
      <c r="F187" s="629" t="s">
        <v>59</v>
      </c>
      <c r="G187" s="631">
        <v>200389.8</v>
      </c>
      <c r="H187" s="631">
        <f t="shared" si="46"/>
        <v>6.2173001147963136</v>
      </c>
      <c r="I187" s="632"/>
      <c r="K187" s="633">
        <f>+C182</f>
        <v>44293</v>
      </c>
      <c r="L187" s="640">
        <f>+M187*H182</f>
        <v>1106.8416190417158</v>
      </c>
      <c r="M187" s="634">
        <f>-E190</f>
        <v>192</v>
      </c>
      <c r="N187" s="631" t="str">
        <f t="shared" si="48"/>
        <v>ISHARES DEVELOPED MARKETS PR C</v>
      </c>
      <c r="O187" s="629">
        <f>+C190</f>
        <v>44862</v>
      </c>
      <c r="P187" s="640">
        <f>+M187*H190</f>
        <v>930.43</v>
      </c>
    </row>
    <row r="188" spans="1:16">
      <c r="B188" s="628" t="s">
        <v>714</v>
      </c>
      <c r="C188" s="629">
        <v>44671</v>
      </c>
      <c r="D188" s="630" t="s">
        <v>700</v>
      </c>
      <c r="E188" s="631">
        <v>-1732</v>
      </c>
      <c r="F188" s="629" t="s">
        <v>59</v>
      </c>
      <c r="G188" s="631">
        <v>11073.54</v>
      </c>
      <c r="H188" s="631">
        <f t="shared" si="46"/>
        <v>6.3934988452655892</v>
      </c>
      <c r="I188" s="632"/>
      <c r="K188" s="633"/>
      <c r="L188" s="631"/>
      <c r="M188" s="634"/>
      <c r="N188" s="631"/>
      <c r="O188" s="629"/>
      <c r="P188" s="631"/>
    </row>
    <row r="189" spans="1:16">
      <c r="B189" s="628" t="s">
        <v>714</v>
      </c>
      <c r="C189" s="629">
        <v>44769</v>
      </c>
      <c r="D189" s="630" t="s">
        <v>699</v>
      </c>
      <c r="E189" s="631">
        <v>4869</v>
      </c>
      <c r="F189" s="629" t="s">
        <v>59</v>
      </c>
      <c r="G189" s="631">
        <v>-27115.46</v>
      </c>
      <c r="H189" s="631">
        <f t="shared" si="46"/>
        <v>5.5689997946190184</v>
      </c>
      <c r="I189" s="632"/>
      <c r="K189" s="633"/>
      <c r="L189" s="631"/>
      <c r="M189" s="634"/>
      <c r="N189" s="631"/>
      <c r="O189" s="629"/>
      <c r="P189" s="631"/>
    </row>
    <row r="190" spans="1:16">
      <c r="B190" s="628" t="s">
        <v>714</v>
      </c>
      <c r="C190" s="629">
        <v>44862</v>
      </c>
      <c r="D190" s="630" t="s">
        <v>700</v>
      </c>
      <c r="E190" s="631">
        <v>-192</v>
      </c>
      <c r="F190" s="629" t="s">
        <v>59</v>
      </c>
      <c r="G190" s="631">
        <v>930.43</v>
      </c>
      <c r="H190" s="631">
        <f t="shared" si="46"/>
        <v>4.8459895833333331</v>
      </c>
      <c r="I190" s="632"/>
      <c r="K190" s="633"/>
      <c r="L190" s="631"/>
      <c r="M190" s="634"/>
      <c r="N190" s="631"/>
      <c r="O190" s="629"/>
      <c r="P190" s="631"/>
    </row>
    <row r="191" spans="1:16">
      <c r="B191" s="628"/>
      <c r="C191" s="629"/>
      <c r="D191" s="630"/>
      <c r="E191" s="631"/>
      <c r="F191" s="629"/>
      <c r="G191" s="631"/>
      <c r="H191" s="631"/>
      <c r="I191" s="632"/>
      <c r="K191" s="633"/>
      <c r="L191" s="631"/>
      <c r="M191" s="634"/>
      <c r="N191" s="631"/>
      <c r="O191" s="629"/>
      <c r="P191" s="631"/>
    </row>
    <row r="192" spans="1:16">
      <c r="B192" s="628"/>
      <c r="C192" s="629"/>
      <c r="D192" s="630"/>
      <c r="E192" s="631"/>
      <c r="F192" s="629"/>
      <c r="G192" s="631"/>
      <c r="H192" s="631"/>
      <c r="I192" s="632"/>
      <c r="K192" s="633"/>
      <c r="L192" s="631"/>
      <c r="M192" s="634"/>
      <c r="N192" s="631"/>
      <c r="O192" s="629"/>
      <c r="P192" s="631"/>
    </row>
    <row r="193" spans="1:16">
      <c r="B193" s="628"/>
      <c r="C193" s="629"/>
      <c r="D193" s="630"/>
      <c r="E193" s="631"/>
      <c r="F193" s="629"/>
      <c r="G193" s="631"/>
      <c r="H193" s="631"/>
      <c r="K193" s="633"/>
      <c r="L193" s="631"/>
      <c r="M193" s="634"/>
      <c r="N193" s="631"/>
      <c r="O193" s="629"/>
      <c r="P193" s="631"/>
    </row>
    <row r="194" spans="1:16">
      <c r="A194" t="s">
        <v>803</v>
      </c>
      <c r="B194" s="628" t="s">
        <v>715</v>
      </c>
      <c r="C194" s="629">
        <v>43957</v>
      </c>
      <c r="D194" s="630" t="s">
        <v>699</v>
      </c>
      <c r="E194" s="631">
        <v>2298</v>
      </c>
      <c r="F194" s="629" t="s">
        <v>59</v>
      </c>
      <c r="G194" s="631">
        <v>-127846.01</v>
      </c>
      <c r="H194" s="631">
        <f t="shared" si="46"/>
        <v>55.633598781549168</v>
      </c>
      <c r="I194" s="632">
        <f>+E194+E196-M194</f>
        <v>0</v>
      </c>
      <c r="K194" s="633">
        <f>+C194</f>
        <v>43957</v>
      </c>
      <c r="L194" s="631">
        <f>+M194*H194</f>
        <v>55577.965182767621</v>
      </c>
      <c r="M194" s="634">
        <v>999</v>
      </c>
      <c r="N194" s="631" t="str">
        <f>+B194</f>
        <v>ISHARES EDGE S&amp;P 500 MIN VOL</v>
      </c>
      <c r="O194" s="629">
        <f>+C199</f>
        <v>44231</v>
      </c>
      <c r="P194" s="635">
        <f>+M194*H$199</f>
        <v>67586.945988563515</v>
      </c>
    </row>
    <row r="195" spans="1:16">
      <c r="B195" s="628" t="s">
        <v>715</v>
      </c>
      <c r="C195" s="629">
        <v>43985</v>
      </c>
      <c r="D195" s="630" t="s">
        <v>699</v>
      </c>
      <c r="E195" s="631">
        <v>1427</v>
      </c>
      <c r="F195" s="629" t="s">
        <v>59</v>
      </c>
      <c r="G195" s="631">
        <v>-85642.55</v>
      </c>
      <c r="H195" s="631">
        <f t="shared" si="46"/>
        <v>60.015802382620883</v>
      </c>
      <c r="I195" s="632">
        <f>+E195-M195</f>
        <v>0</v>
      </c>
      <c r="K195" s="633">
        <f>+C195</f>
        <v>43985</v>
      </c>
      <c r="L195" s="631">
        <f>+M195*H195</f>
        <v>85642.55</v>
      </c>
      <c r="M195" s="634">
        <v>1427</v>
      </c>
      <c r="N195" s="631" t="str">
        <f t="shared" ref="N195:N203" si="53">+B195</f>
        <v>ISHARES EDGE S&amp;P 500 MIN VOL</v>
      </c>
      <c r="O195" s="629">
        <f>+C199</f>
        <v>44231</v>
      </c>
      <c r="P195" s="635">
        <f t="shared" ref="P195:P197" si="54">+M195*H$199</f>
        <v>96543.115040720848</v>
      </c>
    </row>
    <row r="196" spans="1:16">
      <c r="B196" s="628" t="s">
        <v>715</v>
      </c>
      <c r="C196" s="629">
        <v>44118</v>
      </c>
      <c r="D196" s="630" t="s">
        <v>700</v>
      </c>
      <c r="E196" s="631">
        <v>-1299</v>
      </c>
      <c r="F196" s="629" t="s">
        <v>59</v>
      </c>
      <c r="G196" s="631">
        <v>85212.71</v>
      </c>
      <c r="H196" s="631">
        <f t="shared" si="46"/>
        <v>65.59869899923018</v>
      </c>
      <c r="K196" s="633">
        <f>+C197</f>
        <v>44158</v>
      </c>
      <c r="L196" s="631">
        <f>+M196*H197</f>
        <v>2773.44</v>
      </c>
      <c r="M196" s="634">
        <v>42</v>
      </c>
      <c r="N196" s="631" t="str">
        <f t="shared" si="53"/>
        <v>ISHARES EDGE S&amp;P 500 MIN VOL</v>
      </c>
      <c r="O196" s="629">
        <f>+C199</f>
        <v>44231</v>
      </c>
      <c r="P196" s="635">
        <f t="shared" si="54"/>
        <v>2841.4932247444121</v>
      </c>
    </row>
    <row r="197" spans="1:16">
      <c r="B197" s="628" t="s">
        <v>715</v>
      </c>
      <c r="C197" s="629">
        <v>44158</v>
      </c>
      <c r="D197" s="630" t="s">
        <v>699</v>
      </c>
      <c r="E197" s="631">
        <v>42</v>
      </c>
      <c r="F197" s="629" t="s">
        <v>59</v>
      </c>
      <c r="G197" s="631">
        <v>-2773.44</v>
      </c>
      <c r="H197" s="631">
        <f t="shared" si="46"/>
        <v>66.034285714285716</v>
      </c>
      <c r="I197" s="632">
        <f>+E197-M196</f>
        <v>0</v>
      </c>
      <c r="K197" s="633">
        <f>+C198</f>
        <v>44218</v>
      </c>
      <c r="L197" s="631">
        <f>+M197*H198</f>
        <v>225003.33338848359</v>
      </c>
      <c r="M197" s="634">
        <v>3303</v>
      </c>
      <c r="N197" s="631" t="str">
        <f t="shared" si="53"/>
        <v>ISHARES EDGE S&amp;P 500 MIN VOL</v>
      </c>
      <c r="O197" s="629">
        <f>+C199</f>
        <v>44231</v>
      </c>
      <c r="P197" s="635">
        <f t="shared" si="54"/>
        <v>223463.14574597124</v>
      </c>
    </row>
    <row r="198" spans="1:16">
      <c r="B198" s="628" t="s">
        <v>715</v>
      </c>
      <c r="C198" s="629">
        <v>44218</v>
      </c>
      <c r="D198" s="630" t="s">
        <v>699</v>
      </c>
      <c r="E198" s="631">
        <v>7676</v>
      </c>
      <c r="F198" s="629" t="s">
        <v>59</v>
      </c>
      <c r="G198" s="631">
        <v>-522896.03</v>
      </c>
      <c r="H198" s="631">
        <f t="shared" si="46"/>
        <v>68.120900208441896</v>
      </c>
      <c r="I198" s="632">
        <f>+E198-M197-M198-M199-M200-M201</f>
        <v>549</v>
      </c>
      <c r="K198" s="633">
        <f>+C198</f>
        <v>44218</v>
      </c>
      <c r="L198" s="631">
        <f>+M198*H198</f>
        <v>3474.1659106305365</v>
      </c>
      <c r="M198" s="634">
        <v>51</v>
      </c>
      <c r="N198" s="631" t="str">
        <f t="shared" si="53"/>
        <v>ISHARES EDGE S&amp;P 500 MIN VOL</v>
      </c>
      <c r="O198" s="629">
        <f>+C201</f>
        <v>44302</v>
      </c>
      <c r="P198" s="635">
        <f>+M198*H201</f>
        <v>3749.8</v>
      </c>
    </row>
    <row r="199" spans="1:16">
      <c r="B199" s="628" t="s">
        <v>715</v>
      </c>
      <c r="C199" s="629">
        <v>44231</v>
      </c>
      <c r="D199" s="630" t="s">
        <v>700</v>
      </c>
      <c r="E199" s="631">
        <v>-5771</v>
      </c>
      <c r="F199" s="629" t="s">
        <v>59</v>
      </c>
      <c r="G199" s="631">
        <v>390434.7</v>
      </c>
      <c r="H199" s="631">
        <f t="shared" si="46"/>
        <v>67.654600589152665</v>
      </c>
      <c r="K199" s="633">
        <f>+C198</f>
        <v>44218</v>
      </c>
      <c r="L199" s="631">
        <f>+M199*H198</f>
        <v>186583.14567092236</v>
      </c>
      <c r="M199" s="634">
        <v>2739</v>
      </c>
      <c r="N199" s="631" t="str">
        <f t="shared" si="53"/>
        <v>ISHARES EDGE S&amp;P 500 MIN VOL</v>
      </c>
      <c r="O199" s="629">
        <f>+C202</f>
        <v>44370</v>
      </c>
      <c r="P199" s="635">
        <f>+M199*H202</f>
        <v>202710.1</v>
      </c>
    </row>
    <row r="200" spans="1:16">
      <c r="B200" s="628" t="s">
        <v>715</v>
      </c>
      <c r="C200" s="629">
        <v>44293</v>
      </c>
      <c r="D200" s="630" t="s">
        <v>699</v>
      </c>
      <c r="E200" s="631">
        <v>3972</v>
      </c>
      <c r="F200" s="629" t="s">
        <v>59</v>
      </c>
      <c r="G200" s="631">
        <v>-285998.7</v>
      </c>
      <c r="H200" s="631">
        <f t="shared" si="46"/>
        <v>72.00370090634442</v>
      </c>
      <c r="I200" s="632">
        <f>+E200</f>
        <v>3972</v>
      </c>
      <c r="K200" s="633">
        <f>+C198</f>
        <v>44218</v>
      </c>
      <c r="L200" s="631">
        <f>+M200*H198</f>
        <v>66622.24040385618</v>
      </c>
      <c r="M200" s="634">
        <f>-E206</f>
        <v>978</v>
      </c>
      <c r="N200" s="631" t="str">
        <f t="shared" si="53"/>
        <v>ISHARES EDGE S&amp;P 500 MIN VOL</v>
      </c>
      <c r="O200" s="629">
        <f>+C206</f>
        <v>44671</v>
      </c>
      <c r="P200" s="631">
        <f>+M200*H206</f>
        <v>80837.08</v>
      </c>
    </row>
    <row r="201" spans="1:16" ht="17" thickBot="1">
      <c r="B201" s="628" t="s">
        <v>715</v>
      </c>
      <c r="C201" s="629">
        <v>44302</v>
      </c>
      <c r="D201" s="630" t="s">
        <v>700</v>
      </c>
      <c r="E201" s="631">
        <v>-51</v>
      </c>
      <c r="F201" s="629" t="s">
        <v>59</v>
      </c>
      <c r="G201" s="631">
        <v>3749.8</v>
      </c>
      <c r="H201" s="631">
        <f t="shared" si="46"/>
        <v>73.525490196078437</v>
      </c>
      <c r="K201" s="633">
        <f>+C198</f>
        <v>44218</v>
      </c>
      <c r="L201" s="644">
        <f>+M201*H198</f>
        <v>3814.7704116727464</v>
      </c>
      <c r="M201" s="634">
        <f>-E207</f>
        <v>56</v>
      </c>
      <c r="N201" s="631" t="str">
        <f t="shared" si="53"/>
        <v>ISHARES EDGE S&amp;P 500 MIN VOL</v>
      </c>
      <c r="O201" s="629">
        <f>+C207</f>
        <v>44769</v>
      </c>
      <c r="P201" s="644">
        <f>+M201*H207</f>
        <v>4214.7299999999996</v>
      </c>
    </row>
    <row r="202" spans="1:16">
      <c r="B202" s="628" t="s">
        <v>715</v>
      </c>
      <c r="C202" s="629">
        <v>44370</v>
      </c>
      <c r="D202" s="630" t="s">
        <v>700</v>
      </c>
      <c r="E202" s="631">
        <v>-2739</v>
      </c>
      <c r="F202" s="629" t="s">
        <v>59</v>
      </c>
      <c r="G202" s="631">
        <v>202710.1</v>
      </c>
      <c r="H202" s="631">
        <f t="shared" si="46"/>
        <v>74.008798831690399</v>
      </c>
      <c r="K202" s="633">
        <f>+C198</f>
        <v>44218</v>
      </c>
      <c r="L202" s="641">
        <f>+M202*H198</f>
        <v>37398.374214434603</v>
      </c>
      <c r="M202" s="634">
        <v>549</v>
      </c>
      <c r="N202" s="631" t="str">
        <f t="shared" si="53"/>
        <v>ISHARES EDGE S&amp;P 500 MIN VOL</v>
      </c>
      <c r="O202" s="629">
        <f>+C209</f>
        <v>44897</v>
      </c>
      <c r="P202" s="641">
        <f>+M202*H$209</f>
        <v>42282.223850425769</v>
      </c>
    </row>
    <row r="203" spans="1:16" ht="17" thickBot="1">
      <c r="B203" s="628" t="s">
        <v>715</v>
      </c>
      <c r="C203" s="629">
        <v>44441</v>
      </c>
      <c r="D203" s="630" t="s">
        <v>699</v>
      </c>
      <c r="E203" s="631">
        <v>2499</v>
      </c>
      <c r="F203" s="629" t="s">
        <v>59</v>
      </c>
      <c r="G203" s="631">
        <v>-198554.3</v>
      </c>
      <c r="H203" s="631">
        <f t="shared" si="46"/>
        <v>79.453501400560214</v>
      </c>
      <c r="I203" s="632">
        <f>+E203</f>
        <v>2499</v>
      </c>
      <c r="K203" s="633">
        <f>+C200</f>
        <v>44293</v>
      </c>
      <c r="L203" s="643">
        <f>+M203*H200</f>
        <v>154951.9643504532</v>
      </c>
      <c r="M203" s="634">
        <f>2701-M202</f>
        <v>2152</v>
      </c>
      <c r="N203" s="631" t="str">
        <f t="shared" si="53"/>
        <v>ISHARES EDGE S&amp;P 500 MIN VOL</v>
      </c>
      <c r="O203" s="629">
        <f>+O202</f>
        <v>44897</v>
      </c>
      <c r="P203" s="643">
        <f>+M203*H$209</f>
        <v>165740.15614957426</v>
      </c>
    </row>
    <row r="204" spans="1:16">
      <c r="B204" s="628" t="s">
        <v>715</v>
      </c>
      <c r="C204" s="629">
        <v>44491</v>
      </c>
      <c r="D204" s="630" t="s">
        <v>699</v>
      </c>
      <c r="E204" s="631">
        <v>14</v>
      </c>
      <c r="F204" s="629" t="s">
        <v>59</v>
      </c>
      <c r="G204" s="631">
        <v>-1104.02</v>
      </c>
      <c r="H204" s="631">
        <f t="shared" si="46"/>
        <v>78.858571428571423</v>
      </c>
      <c r="I204" s="632">
        <f>+E204</f>
        <v>14</v>
      </c>
      <c r="K204" s="633"/>
      <c r="L204" s="640"/>
      <c r="M204" s="634"/>
      <c r="N204" s="631"/>
      <c r="O204" s="629"/>
      <c r="P204" s="640"/>
    </row>
    <row r="205" spans="1:16">
      <c r="B205" s="628" t="s">
        <v>715</v>
      </c>
      <c r="C205" s="629">
        <v>44603</v>
      </c>
      <c r="D205" s="630" t="s">
        <v>699</v>
      </c>
      <c r="E205" s="631">
        <v>12627</v>
      </c>
      <c r="F205" s="629" t="s">
        <v>59</v>
      </c>
      <c r="G205" s="631">
        <v>-1005626.91</v>
      </c>
      <c r="H205" s="631">
        <f t="shared" si="46"/>
        <v>79.641000237586127</v>
      </c>
      <c r="I205" s="632">
        <f>+E205</f>
        <v>12627</v>
      </c>
      <c r="K205" s="633"/>
      <c r="L205" s="631"/>
      <c r="M205" s="634"/>
      <c r="N205" s="631"/>
      <c r="O205" s="629"/>
      <c r="P205" s="631"/>
    </row>
    <row r="206" spans="1:16">
      <c r="B206" s="628" t="s">
        <v>715</v>
      </c>
      <c r="C206" s="629">
        <v>44671</v>
      </c>
      <c r="D206" s="630" t="s">
        <v>700</v>
      </c>
      <c r="E206" s="631">
        <v>-978</v>
      </c>
      <c r="F206" s="629" t="s">
        <v>59</v>
      </c>
      <c r="G206" s="631">
        <v>80837.08</v>
      </c>
      <c r="H206" s="631">
        <f t="shared" si="46"/>
        <v>82.655501022494889</v>
      </c>
      <c r="I206" s="632"/>
      <c r="K206" s="633"/>
      <c r="L206" s="631"/>
      <c r="M206" s="634"/>
      <c r="N206" s="631"/>
      <c r="O206" s="629"/>
      <c r="P206" s="631"/>
    </row>
    <row r="207" spans="1:16">
      <c r="B207" s="628" t="s">
        <v>715</v>
      </c>
      <c r="C207" s="629">
        <v>44769</v>
      </c>
      <c r="D207" s="630" t="s">
        <v>700</v>
      </c>
      <c r="E207" s="631">
        <v>-56</v>
      </c>
      <c r="F207" s="629" t="s">
        <v>59</v>
      </c>
      <c r="G207" s="631">
        <v>4214.7299999999996</v>
      </c>
      <c r="H207" s="631">
        <f t="shared" si="46"/>
        <v>75.263035714285706</v>
      </c>
      <c r="I207" s="632"/>
      <c r="K207" s="633"/>
      <c r="L207" s="631"/>
      <c r="M207" s="634"/>
      <c r="N207" s="631"/>
      <c r="O207" s="629"/>
      <c r="P207" s="631"/>
    </row>
    <row r="208" spans="1:16">
      <c r="B208" s="628" t="s">
        <v>715</v>
      </c>
      <c r="C208" s="629">
        <v>44862</v>
      </c>
      <c r="D208" s="630" t="s">
        <v>699</v>
      </c>
      <c r="E208" s="631">
        <v>53</v>
      </c>
      <c r="F208" s="629" t="s">
        <v>59</v>
      </c>
      <c r="G208" s="631">
        <v>-3914.52</v>
      </c>
      <c r="H208" s="631">
        <f t="shared" si="46"/>
        <v>73.858867924528298</v>
      </c>
      <c r="I208" s="632">
        <f>+E208</f>
        <v>53</v>
      </c>
      <c r="K208" s="633"/>
      <c r="L208" s="631"/>
      <c r="M208" s="634"/>
      <c r="N208" s="631"/>
      <c r="O208" s="629"/>
      <c r="P208" s="631"/>
    </row>
    <row r="209" spans="1:16">
      <c r="B209" s="628" t="s">
        <v>715</v>
      </c>
      <c r="C209" s="629">
        <v>44897</v>
      </c>
      <c r="D209" s="630" t="s">
        <v>700</v>
      </c>
      <c r="E209" s="631">
        <v>-2701</v>
      </c>
      <c r="F209" s="629" t="s">
        <v>59</v>
      </c>
      <c r="G209" s="631">
        <v>208022.38</v>
      </c>
      <c r="H209" s="631">
        <f t="shared" si="46"/>
        <v>77.016801184746399</v>
      </c>
      <c r="I209" s="632"/>
      <c r="K209" s="633"/>
      <c r="L209" s="631"/>
      <c r="M209" s="634"/>
      <c r="N209" s="631"/>
      <c r="O209" s="629"/>
      <c r="P209" s="631"/>
    </row>
    <row r="210" spans="1:16">
      <c r="B210" s="628"/>
      <c r="C210" s="629"/>
      <c r="D210" s="630"/>
      <c r="E210" s="631"/>
      <c r="F210" s="629"/>
      <c r="G210" s="631"/>
      <c r="H210" s="631"/>
      <c r="K210" s="633"/>
      <c r="L210" s="631"/>
      <c r="M210" s="634"/>
      <c r="N210" s="631"/>
      <c r="O210" s="629"/>
      <c r="P210" s="631"/>
    </row>
    <row r="211" spans="1:16">
      <c r="A211" s="673"/>
      <c r="B211" s="628" t="s">
        <v>716</v>
      </c>
      <c r="C211" s="629">
        <v>43957</v>
      </c>
      <c r="D211" s="630" t="s">
        <v>699</v>
      </c>
      <c r="E211" s="631">
        <v>7608</v>
      </c>
      <c r="F211" s="629" t="s">
        <v>59</v>
      </c>
      <c r="G211" s="631">
        <v>-39321.19</v>
      </c>
      <c r="H211" s="631">
        <f t="shared" si="46"/>
        <v>5.168400368033649</v>
      </c>
      <c r="I211" s="632">
        <f>+E211+E212-M211</f>
        <v>0</v>
      </c>
      <c r="K211" s="638">
        <f>+C211</f>
        <v>43957</v>
      </c>
      <c r="L211" s="631">
        <f>+M211*H211</f>
        <v>9819.9606992639328</v>
      </c>
      <c r="M211" s="634">
        <v>1900</v>
      </c>
      <c r="N211" s="631" t="str">
        <f>+B211</f>
        <v>ISHARES J.P. MORGAN  EM BON C</v>
      </c>
      <c r="O211" s="629">
        <f>+C218</f>
        <v>44302</v>
      </c>
      <c r="P211" s="635">
        <f>+M211*H$218</f>
        <v>11254.459869662151</v>
      </c>
    </row>
    <row r="212" spans="1:16">
      <c r="A212" s="673"/>
      <c r="B212" s="628" t="s">
        <v>716</v>
      </c>
      <c r="C212" s="629">
        <v>43985</v>
      </c>
      <c r="D212" s="630" t="s">
        <v>700</v>
      </c>
      <c r="E212" s="631">
        <v>-5708</v>
      </c>
      <c r="F212" s="629" t="s">
        <v>59</v>
      </c>
      <c r="G212" s="631">
        <v>31725.63</v>
      </c>
      <c r="H212" s="631">
        <f t="shared" si="46"/>
        <v>5.5580991590749829</v>
      </c>
      <c r="K212" s="638">
        <f>+C213</f>
        <v>44118</v>
      </c>
      <c r="L212" s="631">
        <f>+M212*H213</f>
        <v>27481.98</v>
      </c>
      <c r="M212" s="634">
        <v>4686</v>
      </c>
      <c r="N212" s="631" t="str">
        <f t="shared" ref="N212:N220" si="55">+B212</f>
        <v>ISHARES J.P. MORGAN  EM BON C</v>
      </c>
      <c r="O212" s="629">
        <f>+C218</f>
        <v>44302</v>
      </c>
      <c r="P212" s="635">
        <f t="shared" ref="P212:P216" si="56">+M212*H$218</f>
        <v>27757.052078545705</v>
      </c>
    </row>
    <row r="213" spans="1:16">
      <c r="A213" s="673"/>
      <c r="B213" s="628" t="s">
        <v>716</v>
      </c>
      <c r="C213" s="629">
        <v>44118</v>
      </c>
      <c r="D213" s="630" t="s">
        <v>699</v>
      </c>
      <c r="E213" s="631">
        <v>4686</v>
      </c>
      <c r="F213" s="629" t="s">
        <v>59</v>
      </c>
      <c r="G213" s="631">
        <v>-27481.98</v>
      </c>
      <c r="H213" s="631">
        <f t="shared" si="46"/>
        <v>5.8646991037131881</v>
      </c>
      <c r="I213" s="632">
        <f>+E213-M212</f>
        <v>0</v>
      </c>
      <c r="K213" s="638">
        <f>+C214</f>
        <v>44158</v>
      </c>
      <c r="L213" s="631">
        <f>+M213*H214</f>
        <v>7248.0400000000009</v>
      </c>
      <c r="M213" s="634">
        <v>1213</v>
      </c>
      <c r="N213" s="631" t="str">
        <f t="shared" si="55"/>
        <v>ISHARES J.P. MORGAN  EM BON C</v>
      </c>
      <c r="O213" s="629">
        <f>+C218</f>
        <v>44302</v>
      </c>
      <c r="P213" s="635">
        <f t="shared" si="56"/>
        <v>7185.0841167895733</v>
      </c>
    </row>
    <row r="214" spans="1:16">
      <c r="A214" s="673"/>
      <c r="B214" s="628" t="s">
        <v>716</v>
      </c>
      <c r="C214" s="629">
        <v>44158</v>
      </c>
      <c r="D214" s="630" t="s">
        <v>699</v>
      </c>
      <c r="E214" s="631">
        <v>1213</v>
      </c>
      <c r="F214" s="629" t="s">
        <v>59</v>
      </c>
      <c r="G214" s="631">
        <v>-7248.04</v>
      </c>
      <c r="H214" s="631">
        <f t="shared" si="46"/>
        <v>5.9753009068425396</v>
      </c>
      <c r="I214" s="632">
        <f>+E214-M213</f>
        <v>0</v>
      </c>
      <c r="K214" s="638">
        <f>+C215</f>
        <v>44218</v>
      </c>
      <c r="L214" s="631">
        <f>+M214*H215</f>
        <v>150779.85999999999</v>
      </c>
      <c r="M214" s="634">
        <v>25148</v>
      </c>
      <c r="N214" s="631" t="str">
        <f t="shared" si="55"/>
        <v>ISHARES J.P. MORGAN  EM BON C</v>
      </c>
      <c r="O214" s="629">
        <f>+C218</f>
        <v>44302</v>
      </c>
      <c r="P214" s="635">
        <f t="shared" si="56"/>
        <v>148961.66147487567</v>
      </c>
    </row>
    <row r="215" spans="1:16">
      <c r="A215" s="673"/>
      <c r="B215" s="628" t="s">
        <v>716</v>
      </c>
      <c r="C215" s="629">
        <v>44218</v>
      </c>
      <c r="D215" s="630" t="s">
        <v>699</v>
      </c>
      <c r="E215" s="631">
        <v>25148</v>
      </c>
      <c r="F215" s="629" t="s">
        <v>59</v>
      </c>
      <c r="G215" s="631">
        <v>-150779.85999999999</v>
      </c>
      <c r="H215" s="631">
        <f t="shared" si="46"/>
        <v>5.9956998568474624</v>
      </c>
      <c r="I215" s="632">
        <f>+E215-M214</f>
        <v>0</v>
      </c>
      <c r="K215" s="638">
        <f>+C216</f>
        <v>44231</v>
      </c>
      <c r="L215" s="631">
        <f>+M215*H216</f>
        <v>18643.45</v>
      </c>
      <c r="M215" s="634">
        <v>3098</v>
      </c>
      <c r="N215" s="631" t="str">
        <f t="shared" si="55"/>
        <v>ISHARES J.P. MORGAN  EM BON C</v>
      </c>
      <c r="O215" s="629">
        <f>+C218</f>
        <v>44302</v>
      </c>
      <c r="P215" s="635">
        <f t="shared" si="56"/>
        <v>18350.692987480707</v>
      </c>
    </row>
    <row r="216" spans="1:16">
      <c r="A216" s="673"/>
      <c r="B216" s="628" t="s">
        <v>716</v>
      </c>
      <c r="C216" s="629">
        <v>44231</v>
      </c>
      <c r="D216" s="630" t="s">
        <v>699</v>
      </c>
      <c r="E216" s="631">
        <v>3098</v>
      </c>
      <c r="F216" s="629" t="s">
        <v>59</v>
      </c>
      <c r="G216" s="631">
        <v>-18643.45</v>
      </c>
      <c r="H216" s="631">
        <f t="shared" si="46"/>
        <v>6.0178986442866371</v>
      </c>
      <c r="I216" s="632">
        <f>+E216-M215</f>
        <v>0</v>
      </c>
      <c r="K216" s="638">
        <f>+C217</f>
        <v>44293</v>
      </c>
      <c r="L216" s="631">
        <f>+M216*H217</f>
        <v>129963.02901127934</v>
      </c>
      <c r="M216" s="634">
        <v>22265</v>
      </c>
      <c r="N216" s="631" t="str">
        <f t="shared" si="55"/>
        <v>ISHARES J.P. MORGAN  EM BON C</v>
      </c>
      <c r="O216" s="629">
        <f>+C218</f>
        <v>44302</v>
      </c>
      <c r="P216" s="635">
        <f t="shared" si="56"/>
        <v>131884.49947264622</v>
      </c>
    </row>
    <row r="217" spans="1:16">
      <c r="A217" s="673"/>
      <c r="B217" s="628" t="s">
        <v>716</v>
      </c>
      <c r="C217" s="629">
        <v>44293</v>
      </c>
      <c r="D217" s="630" t="s">
        <v>699</v>
      </c>
      <c r="E217" s="631">
        <v>39364</v>
      </c>
      <c r="F217" s="629" t="s">
        <v>59</v>
      </c>
      <c r="G217" s="631">
        <v>-229771.6</v>
      </c>
      <c r="H217" s="631">
        <f t="shared" si="46"/>
        <v>5.8370998882227418</v>
      </c>
      <c r="I217" s="632">
        <f>+E217-M216-M217</f>
        <v>0</v>
      </c>
      <c r="K217" s="633">
        <f>+C217</f>
        <v>44293</v>
      </c>
      <c r="L217" s="631">
        <f>+M217*H217</f>
        <v>99808.570988720661</v>
      </c>
      <c r="M217" s="634">
        <v>17099</v>
      </c>
      <c r="N217" s="631" t="str">
        <f t="shared" si="55"/>
        <v>ISHARES J.P. MORGAN  EM BON C</v>
      </c>
      <c r="O217" s="629">
        <f>+C221</f>
        <v>44491</v>
      </c>
      <c r="P217" s="635">
        <f>+M217*H$221</f>
        <v>101244.88922429697</v>
      </c>
    </row>
    <row r="218" spans="1:16" ht="17" thickBot="1">
      <c r="A218" s="673"/>
      <c r="B218" s="628" t="s">
        <v>716</v>
      </c>
      <c r="C218" s="629">
        <v>44302</v>
      </c>
      <c r="D218" s="630" t="s">
        <v>700</v>
      </c>
      <c r="E218" s="631">
        <v>-58310</v>
      </c>
      <c r="F218" s="629" t="s">
        <v>59</v>
      </c>
      <c r="G218" s="631">
        <v>345393.45</v>
      </c>
      <c r="H218" s="631">
        <f t="shared" si="46"/>
        <v>5.9233999314011321</v>
      </c>
      <c r="K218" s="633">
        <f>+C219</f>
        <v>44370</v>
      </c>
      <c r="L218" s="644">
        <f>+M218*H218</f>
        <v>242267.05719430631</v>
      </c>
      <c r="M218" s="634">
        <v>40900</v>
      </c>
      <c r="N218" s="631" t="str">
        <f t="shared" si="55"/>
        <v>ISHARES J.P. MORGAN  EM BON C</v>
      </c>
      <c r="O218" s="629">
        <f>+C221</f>
        <v>44491</v>
      </c>
      <c r="P218" s="639">
        <f>+M218*H$221</f>
        <v>242172.99077570302</v>
      </c>
    </row>
    <row r="219" spans="1:16">
      <c r="A219" s="673"/>
      <c r="B219" s="628" t="s">
        <v>716</v>
      </c>
      <c r="C219" s="629">
        <v>44370</v>
      </c>
      <c r="D219" s="630" t="s">
        <v>699</v>
      </c>
      <c r="E219" s="631">
        <v>82205</v>
      </c>
      <c r="F219" s="629" t="s">
        <v>59</v>
      </c>
      <c r="G219" s="631">
        <v>-494495.96</v>
      </c>
      <c r="H219" s="631">
        <f t="shared" si="46"/>
        <v>6.0154000364941309</v>
      </c>
      <c r="I219" s="632">
        <f>+E219-M218</f>
        <v>41305</v>
      </c>
      <c r="K219" s="633">
        <f>+C219</f>
        <v>44370</v>
      </c>
      <c r="L219" s="641">
        <f>+M219*H219</f>
        <v>248466.09850739007</v>
      </c>
      <c r="M219" s="634">
        <v>41305</v>
      </c>
      <c r="N219" s="631" t="str">
        <f t="shared" si="55"/>
        <v>ISHARES J.P. MORGAN  EM BON C</v>
      </c>
      <c r="O219" s="629">
        <f>+C222</f>
        <v>44603</v>
      </c>
      <c r="P219" s="641">
        <f>+M219*H$222</f>
        <v>234562.83438475154</v>
      </c>
    </row>
    <row r="220" spans="1:16" ht="17" thickBot="1">
      <c r="A220" s="673"/>
      <c r="B220" s="628" t="s">
        <v>716</v>
      </c>
      <c r="C220" s="629">
        <v>44441</v>
      </c>
      <c r="D220" s="630" t="s">
        <v>699</v>
      </c>
      <c r="E220" s="631">
        <v>1637</v>
      </c>
      <c r="F220" s="629" t="s">
        <v>59</v>
      </c>
      <c r="G220" s="631">
        <v>-10019.91</v>
      </c>
      <c r="H220" s="631">
        <f t="shared" si="46"/>
        <v>6.1208979841172875</v>
      </c>
      <c r="I220" s="632">
        <f>+E220</f>
        <v>1637</v>
      </c>
      <c r="K220" s="633">
        <f>+C220</f>
        <v>44441</v>
      </c>
      <c r="L220" s="643">
        <f>+M220*H220</f>
        <v>10019.91</v>
      </c>
      <c r="M220" s="634">
        <v>1637</v>
      </c>
      <c r="N220" s="631" t="str">
        <f t="shared" si="55"/>
        <v>ISHARES J.P. MORGAN  EM BON C</v>
      </c>
      <c r="O220" s="629">
        <f>+O219</f>
        <v>44603</v>
      </c>
      <c r="P220" s="643">
        <f>+M220*H$222</f>
        <v>9296.1956152484745</v>
      </c>
    </row>
    <row r="221" spans="1:16">
      <c r="A221" s="673"/>
      <c r="B221" s="628" t="s">
        <v>716</v>
      </c>
      <c r="C221" s="629">
        <v>44491</v>
      </c>
      <c r="D221" s="630" t="s">
        <v>700</v>
      </c>
      <c r="E221" s="631">
        <v>-57999</v>
      </c>
      <c r="F221" s="629" t="s">
        <v>59</v>
      </c>
      <c r="G221" s="631">
        <v>343417.88</v>
      </c>
      <c r="H221" s="631">
        <f t="shared" si="46"/>
        <v>5.921100018965844</v>
      </c>
      <c r="K221" s="633"/>
      <c r="L221" s="640"/>
      <c r="M221" s="634"/>
      <c r="N221" s="631"/>
      <c r="O221" s="629"/>
      <c r="P221" s="640"/>
    </row>
    <row r="222" spans="1:16">
      <c r="A222" s="673"/>
      <c r="B222" s="628" t="s">
        <v>716</v>
      </c>
      <c r="C222" s="629">
        <v>44603</v>
      </c>
      <c r="D222" s="630" t="s">
        <v>700</v>
      </c>
      <c r="E222" s="631">
        <v>-42942</v>
      </c>
      <c r="F222" s="629" t="s">
        <v>59</v>
      </c>
      <c r="G222" s="631">
        <v>243859.03</v>
      </c>
      <c r="H222" s="631">
        <f t="shared" si="46"/>
        <v>5.67880000931489</v>
      </c>
      <c r="K222" s="633"/>
      <c r="L222" s="631"/>
      <c r="M222" s="634"/>
      <c r="N222" s="631"/>
      <c r="O222" s="629"/>
      <c r="P222" s="631"/>
    </row>
    <row r="223" spans="1:16">
      <c r="B223" s="628"/>
      <c r="C223" s="629"/>
      <c r="D223" s="630"/>
      <c r="E223" s="631"/>
      <c r="F223" s="629"/>
      <c r="G223" s="631"/>
      <c r="H223" s="631"/>
      <c r="K223" s="633"/>
      <c r="L223" s="631"/>
      <c r="M223" s="634"/>
      <c r="N223" s="631"/>
      <c r="O223" s="629"/>
      <c r="P223" s="631"/>
    </row>
    <row r="224" spans="1:16">
      <c r="B224" s="628"/>
      <c r="C224" s="629"/>
      <c r="D224" s="630"/>
      <c r="E224" s="631"/>
      <c r="F224" s="629"/>
      <c r="G224" s="631"/>
      <c r="H224" s="631"/>
      <c r="K224" s="633"/>
      <c r="L224" s="631"/>
      <c r="M224" s="634"/>
      <c r="N224" s="631"/>
      <c r="O224" s="629"/>
      <c r="P224" s="631"/>
    </row>
    <row r="225" spans="1:16">
      <c r="A225" s="673"/>
      <c r="B225" s="628" t="s">
        <v>717</v>
      </c>
      <c r="C225" s="629">
        <v>43957</v>
      </c>
      <c r="D225" s="630" t="s">
        <v>699</v>
      </c>
      <c r="E225" s="631">
        <v>25708</v>
      </c>
      <c r="F225" s="629" t="s">
        <v>59</v>
      </c>
      <c r="G225" s="631">
        <v>-137411.82999999999</v>
      </c>
      <c r="H225" s="631">
        <f t="shared" si="46"/>
        <v>5.3450999688812812</v>
      </c>
      <c r="I225" s="632">
        <f>+E225+E226+E227</f>
        <v>10192</v>
      </c>
      <c r="K225" s="633">
        <f>+C225</f>
        <v>43957</v>
      </c>
      <c r="L225" s="631">
        <f>+M225*H225</f>
        <v>54477.258882838018</v>
      </c>
      <c r="M225" s="634">
        <v>10192</v>
      </c>
      <c r="N225" s="631" t="str">
        <f>+B225</f>
        <v>ISHARES MSCI EMU USD HEDGED UCITS</v>
      </c>
      <c r="O225" s="629">
        <f>+C230</f>
        <v>44231</v>
      </c>
      <c r="P225" s="635">
        <f>+M225*H$230</f>
        <v>71628.35737766861</v>
      </c>
    </row>
    <row r="226" spans="1:16">
      <c r="A226" s="673"/>
      <c r="B226" s="628" t="s">
        <v>717</v>
      </c>
      <c r="C226" s="629">
        <v>43985</v>
      </c>
      <c r="D226" s="630" t="s">
        <v>700</v>
      </c>
      <c r="E226" s="631">
        <v>-4408</v>
      </c>
      <c r="F226" s="629" t="s">
        <v>59</v>
      </c>
      <c r="G226" s="631">
        <v>26615.06</v>
      </c>
      <c r="H226" s="631">
        <f t="shared" si="46"/>
        <v>6.0378992740471871</v>
      </c>
      <c r="K226" s="633">
        <f>+C228</f>
        <v>44158</v>
      </c>
      <c r="L226" s="631">
        <f>+M226*H228</f>
        <v>36904.660000000003</v>
      </c>
      <c r="M226" s="634">
        <v>5537</v>
      </c>
      <c r="N226" s="631" t="str">
        <f t="shared" ref="N226:N227" si="57">+B226</f>
        <v>ISHARES MSCI EMU USD HEDGED UCITS</v>
      </c>
      <c r="O226" s="629">
        <f>+C230</f>
        <v>44231</v>
      </c>
      <c r="P226" s="635">
        <f t="shared" ref="P226:P227" si="58">+M226*H$230</f>
        <v>38913.482613829583</v>
      </c>
    </row>
    <row r="227" spans="1:16">
      <c r="A227" s="673"/>
      <c r="B227" s="628" t="s">
        <v>717</v>
      </c>
      <c r="C227" s="629">
        <v>44118</v>
      </c>
      <c r="D227" s="630" t="s">
        <v>700</v>
      </c>
      <c r="E227" s="631">
        <v>-11108</v>
      </c>
      <c r="F227" s="629" t="s">
        <v>59</v>
      </c>
      <c r="G227" s="631">
        <v>69369.460000000006</v>
      </c>
      <c r="H227" s="631">
        <f t="shared" si="46"/>
        <v>6.245000000000001</v>
      </c>
      <c r="K227" s="633">
        <f>+C229</f>
        <v>44218</v>
      </c>
      <c r="L227" s="631">
        <f>+M227*H229</f>
        <v>333510.25</v>
      </c>
      <c r="M227" s="634">
        <v>47787</v>
      </c>
      <c r="N227" s="631" t="str">
        <f t="shared" si="57"/>
        <v>ISHARES MSCI EMU USD HEDGED UCITS</v>
      </c>
      <c r="O227" s="629">
        <f>+C230</f>
        <v>44231</v>
      </c>
      <c r="P227" s="635">
        <f t="shared" si="58"/>
        <v>335842.26000850176</v>
      </c>
    </row>
    <row r="228" spans="1:16">
      <c r="A228" s="673"/>
      <c r="B228" s="628" t="s">
        <v>717</v>
      </c>
      <c r="C228" s="629">
        <v>44158</v>
      </c>
      <c r="D228" s="630" t="s">
        <v>699</v>
      </c>
      <c r="E228" s="631">
        <v>5537</v>
      </c>
      <c r="F228" s="629" t="s">
        <v>59</v>
      </c>
      <c r="G228" s="631">
        <v>-36904.660000000003</v>
      </c>
      <c r="H228" s="631">
        <f t="shared" si="46"/>
        <v>6.6651002347841795</v>
      </c>
      <c r="I228" s="632">
        <f>+E228</f>
        <v>5537</v>
      </c>
      <c r="K228" s="633"/>
      <c r="L228" s="631"/>
      <c r="M228" s="634"/>
      <c r="N228" s="631"/>
      <c r="O228" s="629"/>
      <c r="P228" s="631"/>
    </row>
    <row r="229" spans="1:16">
      <c r="A229" s="673"/>
      <c r="B229" s="628" t="s">
        <v>717</v>
      </c>
      <c r="C229" s="629">
        <v>44218</v>
      </c>
      <c r="D229" s="630" t="s">
        <v>699</v>
      </c>
      <c r="E229" s="631">
        <v>47787</v>
      </c>
      <c r="F229" s="629" t="s">
        <v>59</v>
      </c>
      <c r="G229" s="631">
        <v>-333510.25</v>
      </c>
      <c r="H229" s="631">
        <f t="shared" si="46"/>
        <v>6.9790999644254716</v>
      </c>
      <c r="I229" s="632">
        <f>+E229</f>
        <v>47787</v>
      </c>
      <c r="K229" s="633"/>
      <c r="L229" s="631"/>
      <c r="M229" s="634"/>
      <c r="N229" s="631"/>
      <c r="O229" s="629"/>
      <c r="P229" s="631"/>
    </row>
    <row r="230" spans="1:16">
      <c r="A230" s="673"/>
      <c r="B230" s="628" t="s">
        <v>717</v>
      </c>
      <c r="C230" s="629">
        <v>44231</v>
      </c>
      <c r="D230" s="630" t="s">
        <v>700</v>
      </c>
      <c r="E230" s="631">
        <v>-63516</v>
      </c>
      <c r="F230" s="629" t="s">
        <v>59</v>
      </c>
      <c r="G230" s="631">
        <v>446384.1</v>
      </c>
      <c r="H230" s="631">
        <f t="shared" si="46"/>
        <v>7.0279000566786314</v>
      </c>
      <c r="K230" s="633"/>
      <c r="L230" s="631"/>
      <c r="M230" s="634"/>
      <c r="N230" s="631"/>
      <c r="O230" s="629"/>
      <c r="P230" s="631"/>
    </row>
    <row r="231" spans="1:16">
      <c r="B231" s="628"/>
      <c r="C231" s="629"/>
      <c r="D231" s="630"/>
      <c r="E231" s="631"/>
      <c r="F231" s="629"/>
      <c r="G231" s="631"/>
      <c r="H231" s="631"/>
      <c r="K231" s="633"/>
      <c r="L231" s="631"/>
      <c r="M231" s="634"/>
      <c r="N231" s="631"/>
      <c r="O231" s="629"/>
      <c r="P231" s="631"/>
    </row>
    <row r="232" spans="1:16">
      <c r="A232" t="s">
        <v>804</v>
      </c>
      <c r="B232" s="628" t="s">
        <v>718</v>
      </c>
      <c r="C232" s="629">
        <v>44231</v>
      </c>
      <c r="D232" s="630" t="s">
        <v>699</v>
      </c>
      <c r="E232" s="631">
        <v>177689</v>
      </c>
      <c r="F232" s="629" t="s">
        <v>59</v>
      </c>
      <c r="G232" s="631">
        <v>-1268113.0900000001</v>
      </c>
      <c r="H232" s="631">
        <f t="shared" si="46"/>
        <v>7.1367000208228992</v>
      </c>
      <c r="I232" s="632">
        <f>+E232-M232-M233-M234-M235-M236</f>
        <v>80045</v>
      </c>
      <c r="K232" s="633">
        <f>+C232</f>
        <v>44231</v>
      </c>
      <c r="L232" s="631">
        <f>+M232*H$232</f>
        <v>16385.863247809375</v>
      </c>
      <c r="M232" s="634">
        <v>2296</v>
      </c>
      <c r="N232" s="631" t="str">
        <f>+B232</f>
        <v>ISHARES MSCI USA ESG ENHANCED UCIT</v>
      </c>
      <c r="O232" s="629">
        <f>+C235</f>
        <v>44370</v>
      </c>
      <c r="P232" s="635">
        <f>+M232*H235</f>
        <v>18049.54</v>
      </c>
    </row>
    <row r="233" spans="1:16">
      <c r="B233" s="628" t="s">
        <v>718</v>
      </c>
      <c r="C233" s="629">
        <v>44293</v>
      </c>
      <c r="D233" s="630" t="s">
        <v>699</v>
      </c>
      <c r="E233" s="631">
        <v>162486</v>
      </c>
      <c r="F233" s="629" t="s">
        <v>59</v>
      </c>
      <c r="G233" s="631">
        <v>-1220692.32</v>
      </c>
      <c r="H233" s="631">
        <f t="shared" si="46"/>
        <v>7.5125999778442454</v>
      </c>
      <c r="I233" s="632">
        <f>+E233</f>
        <v>162486</v>
      </c>
      <c r="K233" s="633">
        <f>+C232</f>
        <v>44231</v>
      </c>
      <c r="L233" s="631">
        <f t="shared" ref="L233:L234" si="59">+M233*H$232</f>
        <v>174399.53840884918</v>
      </c>
      <c r="M233" s="634">
        <v>24437</v>
      </c>
      <c r="N233" s="631" t="str">
        <f t="shared" ref="N233:N236" si="60">+B233</f>
        <v>ISHARES MSCI USA ESG ENHANCED UCIT</v>
      </c>
      <c r="O233" s="629">
        <f t="shared" ref="O233:O234" si="61">+C236</f>
        <v>44441</v>
      </c>
      <c r="P233" s="635">
        <f t="shared" ref="P233:P234" si="62">+M233*H236</f>
        <v>205346.55</v>
      </c>
    </row>
    <row r="234" spans="1:16">
      <c r="B234" s="628" t="s">
        <v>718</v>
      </c>
      <c r="C234" s="629">
        <v>44302</v>
      </c>
      <c r="D234" s="630" t="s">
        <v>699</v>
      </c>
      <c r="E234" s="631">
        <v>577</v>
      </c>
      <c r="F234" s="629" t="s">
        <v>59</v>
      </c>
      <c r="G234" s="631">
        <v>-4443.7700000000004</v>
      </c>
      <c r="H234" s="631">
        <f t="shared" si="46"/>
        <v>7.7015077989601393</v>
      </c>
      <c r="I234" s="632">
        <f>+E234</f>
        <v>577</v>
      </c>
      <c r="K234" s="633">
        <f>+C232</f>
        <v>44231</v>
      </c>
      <c r="L234" s="631">
        <f t="shared" si="59"/>
        <v>72351.864811102554</v>
      </c>
      <c r="M234" s="634">
        <v>10138</v>
      </c>
      <c r="N234" s="631" t="str">
        <f t="shared" si="60"/>
        <v>ISHARES MSCI USA ESG ENHANCED UCIT</v>
      </c>
      <c r="O234" s="629">
        <f t="shared" si="61"/>
        <v>44491</v>
      </c>
      <c r="P234" s="635">
        <f t="shared" si="62"/>
        <v>85531.26</v>
      </c>
    </row>
    <row r="235" spans="1:16">
      <c r="B235" s="628" t="s">
        <v>718</v>
      </c>
      <c r="C235" s="629">
        <v>44370</v>
      </c>
      <c r="D235" s="630" t="s">
        <v>700</v>
      </c>
      <c r="E235" s="631">
        <v>-2296</v>
      </c>
      <c r="F235" s="629" t="s">
        <v>59</v>
      </c>
      <c r="G235" s="631">
        <v>18049.54</v>
      </c>
      <c r="H235" s="631">
        <f t="shared" si="46"/>
        <v>7.861297909407666</v>
      </c>
      <c r="K235" s="633">
        <f>+C232</f>
        <v>44231</v>
      </c>
      <c r="L235" s="631">
        <f>+M235*H232</f>
        <v>392796.83244607155</v>
      </c>
      <c r="M235" s="634">
        <f>-E241</f>
        <v>55039</v>
      </c>
      <c r="N235" s="631" t="str">
        <f t="shared" si="60"/>
        <v>ISHARES MSCI USA ESG ENHANCED UCIT</v>
      </c>
      <c r="O235" s="629">
        <f>+C241</f>
        <v>44862</v>
      </c>
      <c r="P235" s="631">
        <f>+M235*H241</f>
        <v>377677.62</v>
      </c>
    </row>
    <row r="236" spans="1:16">
      <c r="B236" s="628" t="s">
        <v>718</v>
      </c>
      <c r="C236" s="629">
        <v>44441</v>
      </c>
      <c r="D236" s="630" t="s">
        <v>700</v>
      </c>
      <c r="E236" s="631">
        <v>-24437</v>
      </c>
      <c r="F236" s="629" t="s">
        <v>59</v>
      </c>
      <c r="G236" s="631">
        <v>205346.55</v>
      </c>
      <c r="H236" s="631">
        <f t="shared" si="46"/>
        <v>8.4030998076686991</v>
      </c>
      <c r="K236" s="633">
        <f>+C232</f>
        <v>44231</v>
      </c>
      <c r="L236" s="631">
        <f>+M236*H232</f>
        <v>40921.837919398502</v>
      </c>
      <c r="M236" s="634">
        <f>-E242</f>
        <v>5734</v>
      </c>
      <c r="N236" s="631" t="str">
        <f t="shared" si="60"/>
        <v>ISHARES MSCI USA ESG ENHANCED UCIT</v>
      </c>
      <c r="O236" s="629">
        <f>+C242</f>
        <v>44897</v>
      </c>
      <c r="P236" s="631">
        <f>+M236*H242</f>
        <v>41476.32</v>
      </c>
    </row>
    <row r="237" spans="1:16">
      <c r="B237" s="628" t="s">
        <v>718</v>
      </c>
      <c r="C237" s="629">
        <v>44491</v>
      </c>
      <c r="D237" s="630" t="s">
        <v>700</v>
      </c>
      <c r="E237" s="631">
        <v>-10138</v>
      </c>
      <c r="F237" s="629" t="s">
        <v>59</v>
      </c>
      <c r="G237" s="631">
        <v>85531.26</v>
      </c>
      <c r="H237" s="631">
        <f t="shared" si="46"/>
        <v>8.4366995462615897</v>
      </c>
      <c r="K237" s="633"/>
      <c r="L237" s="631"/>
      <c r="M237" s="634"/>
      <c r="N237" s="631"/>
      <c r="O237" s="629"/>
      <c r="P237" s="631"/>
    </row>
    <row r="238" spans="1:16">
      <c r="B238" s="628" t="s">
        <v>718</v>
      </c>
      <c r="C238" s="629">
        <v>44603</v>
      </c>
      <c r="D238" s="630" t="s">
        <v>699</v>
      </c>
      <c r="E238" s="631">
        <v>149637</v>
      </c>
      <c r="F238" s="629" t="s">
        <v>59</v>
      </c>
      <c r="G238" s="631">
        <v>-1228923.79</v>
      </c>
      <c r="H238" s="631">
        <f t="shared" si="46"/>
        <v>8.2127000006682849</v>
      </c>
      <c r="I238" s="632">
        <f>+E238</f>
        <v>149637</v>
      </c>
      <c r="K238" s="633"/>
      <c r="L238" s="631"/>
      <c r="M238" s="634"/>
      <c r="N238" s="631"/>
      <c r="O238" s="629"/>
      <c r="P238" s="631"/>
    </row>
    <row r="239" spans="1:16">
      <c r="B239" s="628" t="s">
        <v>718</v>
      </c>
      <c r="C239" s="629">
        <v>44671</v>
      </c>
      <c r="D239" s="630" t="s">
        <v>699</v>
      </c>
      <c r="E239" s="631">
        <v>1350</v>
      </c>
      <c r="F239" s="629" t="s">
        <v>59</v>
      </c>
      <c r="G239" s="631">
        <v>-10882.22</v>
      </c>
      <c r="H239" s="631">
        <f t="shared" si="46"/>
        <v>8.060903703703703</v>
      </c>
      <c r="I239" s="632">
        <f t="shared" ref="I239:I240" si="63">+E239</f>
        <v>1350</v>
      </c>
      <c r="K239" s="633"/>
      <c r="L239" s="631"/>
      <c r="M239" s="634"/>
      <c r="N239" s="631"/>
      <c r="O239" s="629"/>
      <c r="P239" s="631"/>
    </row>
    <row r="240" spans="1:16">
      <c r="B240" s="628" t="s">
        <v>718</v>
      </c>
      <c r="C240" s="629">
        <v>44769</v>
      </c>
      <c r="D240" s="630" t="s">
        <v>699</v>
      </c>
      <c r="E240" s="631">
        <v>16106</v>
      </c>
      <c r="F240" s="629" t="s">
        <v>59</v>
      </c>
      <c r="G240" s="631">
        <v>-114668.28</v>
      </c>
      <c r="H240" s="631">
        <f t="shared" si="46"/>
        <v>7.1196001490127898</v>
      </c>
      <c r="I240" s="632">
        <f t="shared" si="63"/>
        <v>16106</v>
      </c>
      <c r="K240" s="633"/>
      <c r="L240" s="631"/>
      <c r="M240" s="634"/>
      <c r="N240" s="631"/>
      <c r="O240" s="629"/>
      <c r="P240" s="631"/>
    </row>
    <row r="241" spans="1:16">
      <c r="B241" s="628" t="s">
        <v>718</v>
      </c>
      <c r="C241" s="629">
        <v>44862</v>
      </c>
      <c r="D241" s="630" t="s">
        <v>700</v>
      </c>
      <c r="E241" s="631">
        <v>-55039</v>
      </c>
      <c r="F241" s="629" t="s">
        <v>59</v>
      </c>
      <c r="G241" s="631">
        <v>377677.62</v>
      </c>
      <c r="H241" s="631">
        <f t="shared" si="46"/>
        <v>6.8620000363378697</v>
      </c>
      <c r="I241" s="632"/>
      <c r="K241" s="633"/>
      <c r="L241" s="631"/>
      <c r="M241" s="634"/>
      <c r="N241" s="631"/>
      <c r="O241" s="629"/>
      <c r="P241" s="631"/>
    </row>
    <row r="242" spans="1:16">
      <c r="B242" s="628" t="s">
        <v>718</v>
      </c>
      <c r="C242" s="629">
        <v>44897</v>
      </c>
      <c r="D242" s="630" t="s">
        <v>700</v>
      </c>
      <c r="E242" s="631">
        <v>-5734</v>
      </c>
      <c r="F242" s="629" t="s">
        <v>59</v>
      </c>
      <c r="G242" s="631">
        <v>41476.32</v>
      </c>
      <c r="H242" s="631">
        <f t="shared" si="46"/>
        <v>7.2334007673526335</v>
      </c>
      <c r="K242" s="633"/>
      <c r="L242" s="631"/>
      <c r="M242" s="634"/>
      <c r="N242" s="631"/>
      <c r="O242" s="629"/>
      <c r="P242" s="631"/>
    </row>
    <row r="243" spans="1:16">
      <c r="B243" s="628"/>
      <c r="C243" s="629"/>
      <c r="D243" s="630"/>
      <c r="E243" s="631"/>
      <c r="F243" s="629"/>
      <c r="G243" s="631"/>
      <c r="H243" s="631"/>
      <c r="K243" s="633"/>
      <c r="L243" s="631"/>
      <c r="M243" s="634"/>
      <c r="N243" s="631"/>
      <c r="O243" s="629"/>
      <c r="P243" s="631"/>
    </row>
    <row r="244" spans="1:16">
      <c r="B244" s="628"/>
      <c r="C244" s="629"/>
      <c r="D244" s="630"/>
      <c r="E244" s="631"/>
      <c r="F244" s="629"/>
      <c r="G244" s="631"/>
      <c r="H244" s="631"/>
      <c r="K244" s="633"/>
      <c r="L244" s="631"/>
      <c r="M244" s="634"/>
      <c r="N244" s="631"/>
      <c r="O244" s="629"/>
      <c r="P244" s="631"/>
    </row>
    <row r="245" spans="1:16" ht="17" thickBot="1">
      <c r="A245" t="s">
        <v>805</v>
      </c>
      <c r="B245" s="628" t="s">
        <v>719</v>
      </c>
      <c r="C245" s="629">
        <v>43957</v>
      </c>
      <c r="D245" s="630" t="s">
        <v>699</v>
      </c>
      <c r="E245" s="631">
        <v>1787</v>
      </c>
      <c r="F245" s="629" t="s">
        <v>59</v>
      </c>
      <c r="G245" s="631">
        <v>-59172.04</v>
      </c>
      <c r="H245" s="631">
        <f t="shared" si="46"/>
        <v>33.112501398992727</v>
      </c>
      <c r="I245" s="632">
        <f>+E245+E247+E248-M245-M246</f>
        <v>0</v>
      </c>
      <c r="K245" s="633">
        <f>+C245</f>
        <v>43957</v>
      </c>
      <c r="L245" s="644">
        <f>+M245*H245</f>
        <v>3675.4876552881929</v>
      </c>
      <c r="M245" s="634">
        <v>111</v>
      </c>
      <c r="N245" s="631" t="str">
        <f>+B245</f>
        <v>ISHARES PHYSICAL GOLD</v>
      </c>
      <c r="O245" s="629">
        <f>+C252</f>
        <v>44302</v>
      </c>
      <c r="P245" s="639">
        <f>+M245*H252</f>
        <v>3847.9000000000005</v>
      </c>
    </row>
    <row r="246" spans="1:16">
      <c r="B246" s="628" t="s">
        <v>719</v>
      </c>
      <c r="C246" s="629">
        <v>43985</v>
      </c>
      <c r="D246" s="630" t="s">
        <v>699</v>
      </c>
      <c r="E246" s="631">
        <v>53</v>
      </c>
      <c r="F246" s="629" t="s">
        <v>59</v>
      </c>
      <c r="G246" s="631">
        <v>-1770.86</v>
      </c>
      <c r="H246" s="631">
        <f t="shared" si="46"/>
        <v>33.412452830188677</v>
      </c>
      <c r="I246" s="632">
        <f>+E246-M247</f>
        <v>0</v>
      </c>
      <c r="K246" s="633">
        <f>+C245</f>
        <v>43957</v>
      </c>
      <c r="L246" s="641">
        <f>+M246*H245</f>
        <v>36920.439059876888</v>
      </c>
      <c r="M246" s="634">
        <v>1115</v>
      </c>
      <c r="N246" s="631" t="str">
        <f t="shared" ref="N246:N256" si="64">+B246</f>
        <v>ISHARES PHYSICAL GOLD</v>
      </c>
      <c r="O246" s="629">
        <f>+C257</f>
        <v>44671</v>
      </c>
      <c r="P246" s="641">
        <f>+M246*H$257</f>
        <v>42360.408690828401</v>
      </c>
    </row>
    <row r="247" spans="1:16">
      <c r="B247" s="628" t="s">
        <v>719</v>
      </c>
      <c r="C247" s="629">
        <v>44118</v>
      </c>
      <c r="D247" s="630" t="s">
        <v>700</v>
      </c>
      <c r="E247" s="631">
        <v>-12</v>
      </c>
      <c r="F247" s="629" t="s">
        <v>59</v>
      </c>
      <c r="G247" s="631">
        <v>446.75</v>
      </c>
      <c r="H247" s="631">
        <f t="shared" si="46"/>
        <v>37.229166666666664</v>
      </c>
      <c r="K247" s="633">
        <f>+C246</f>
        <v>43985</v>
      </c>
      <c r="L247" s="642">
        <f>+M247*H246</f>
        <v>1770.86</v>
      </c>
      <c r="M247" s="634">
        <v>53</v>
      </c>
      <c r="N247" s="631" t="str">
        <f t="shared" si="64"/>
        <v>ISHARES PHYSICAL GOLD</v>
      </c>
      <c r="O247" s="629">
        <f>+O246</f>
        <v>44671</v>
      </c>
      <c r="P247" s="642">
        <f t="shared" ref="P247:P248" si="65">+M247*H$257</f>
        <v>2013.5440902366863</v>
      </c>
    </row>
    <row r="248" spans="1:16" ht="17" thickBot="1">
      <c r="B248" s="628" t="s">
        <v>719</v>
      </c>
      <c r="C248" s="629">
        <v>44158</v>
      </c>
      <c r="D248" s="630" t="s">
        <v>700</v>
      </c>
      <c r="E248" s="631">
        <v>-549</v>
      </c>
      <c r="F248" s="629" t="s">
        <v>59</v>
      </c>
      <c r="G248" s="631">
        <v>19705.97</v>
      </c>
      <c r="H248" s="631">
        <f t="shared" si="46"/>
        <v>35.894298724954467</v>
      </c>
      <c r="K248" s="633">
        <f>+C249</f>
        <v>44218</v>
      </c>
      <c r="L248" s="643">
        <f>+M248*H249</f>
        <v>6658.2607471264364</v>
      </c>
      <c r="M248" s="634">
        <f>1352-M247-M246</f>
        <v>184</v>
      </c>
      <c r="N248" s="631" t="str">
        <f t="shared" si="64"/>
        <v>ISHARES PHYSICAL GOLD</v>
      </c>
      <c r="O248" s="629">
        <f>+O247</f>
        <v>44671</v>
      </c>
      <c r="P248" s="643">
        <f t="shared" si="65"/>
        <v>6990.417218934911</v>
      </c>
    </row>
    <row r="249" spans="1:16">
      <c r="B249" s="628" t="s">
        <v>719</v>
      </c>
      <c r="C249" s="629">
        <v>44218</v>
      </c>
      <c r="D249" s="630" t="s">
        <v>699</v>
      </c>
      <c r="E249" s="631">
        <v>4176</v>
      </c>
      <c r="F249" s="629" t="s">
        <v>59</v>
      </c>
      <c r="G249" s="631">
        <v>-151113.57</v>
      </c>
      <c r="H249" s="631">
        <f t="shared" si="46"/>
        <v>36.186199712643678</v>
      </c>
      <c r="I249" s="632">
        <f>+E249-M248-M249</f>
        <v>0</v>
      </c>
      <c r="K249" s="633">
        <f>+C249</f>
        <v>44218</v>
      </c>
      <c r="L249" s="640">
        <f>+M249*H249</f>
        <v>144455.30925287356</v>
      </c>
      <c r="M249" s="634">
        <v>3992</v>
      </c>
      <c r="N249" s="631" t="str">
        <f t="shared" si="64"/>
        <v>ISHARES PHYSICAL GOLD</v>
      </c>
      <c r="O249" s="629">
        <f>+C259</f>
        <v>44862</v>
      </c>
      <c r="P249" s="641">
        <f>+M249*H$259</f>
        <v>127740.00800000002</v>
      </c>
    </row>
    <row r="250" spans="1:16">
      <c r="B250" s="628" t="s">
        <v>719</v>
      </c>
      <c r="C250" s="629">
        <v>44231</v>
      </c>
      <c r="D250" s="630" t="s">
        <v>699</v>
      </c>
      <c r="E250" s="631">
        <v>102</v>
      </c>
      <c r="F250" s="629" t="s">
        <v>59</v>
      </c>
      <c r="G250" s="631">
        <v>-3562.32</v>
      </c>
      <c r="H250" s="631">
        <f t="shared" si="46"/>
        <v>34.924705882352946</v>
      </c>
      <c r="I250" s="632">
        <f>+E250-M250</f>
        <v>0</v>
      </c>
      <c r="K250" s="633">
        <f t="shared" ref="K250:K251" si="66">+C250</f>
        <v>44231</v>
      </c>
      <c r="L250" s="640">
        <f t="shared" ref="L250:L251" si="67">+M250*H250</f>
        <v>3562.3200000000006</v>
      </c>
      <c r="M250" s="634">
        <v>102</v>
      </c>
      <c r="N250" s="631" t="str">
        <f t="shared" si="64"/>
        <v>ISHARES PHYSICAL GOLD</v>
      </c>
      <c r="O250" s="629">
        <f>+O249</f>
        <v>44862</v>
      </c>
      <c r="P250" s="652">
        <f t="shared" ref="P250:P251" si="68">+M250*H$259</f>
        <v>3263.8980000000001</v>
      </c>
    </row>
    <row r="251" spans="1:16" ht="17" thickBot="1">
      <c r="B251" s="628" t="s">
        <v>719</v>
      </c>
      <c r="C251" s="629">
        <v>44293</v>
      </c>
      <c r="D251" s="630" t="s">
        <v>699</v>
      </c>
      <c r="E251" s="631">
        <v>6236</v>
      </c>
      <c r="F251" s="629" t="s">
        <v>59</v>
      </c>
      <c r="G251" s="631">
        <v>-211720.31</v>
      </c>
      <c r="H251" s="631">
        <f t="shared" si="46"/>
        <v>33.951300513149455</v>
      </c>
      <c r="I251" s="632">
        <f>+E251-M251</f>
        <v>4720</v>
      </c>
      <c r="K251" s="633">
        <f t="shared" si="66"/>
        <v>44293</v>
      </c>
      <c r="L251" s="637">
        <f t="shared" si="67"/>
        <v>51470.171577934576</v>
      </c>
      <c r="M251" s="634">
        <f>5610-M250-M249</f>
        <v>1516</v>
      </c>
      <c r="N251" s="631" t="str">
        <f t="shared" si="64"/>
        <v>ISHARES PHYSICAL GOLD</v>
      </c>
      <c r="O251" s="629">
        <f>+O250</f>
        <v>44862</v>
      </c>
      <c r="P251" s="653">
        <f t="shared" si="68"/>
        <v>48510.484000000004</v>
      </c>
    </row>
    <row r="252" spans="1:16">
      <c r="B252" s="628" t="s">
        <v>719</v>
      </c>
      <c r="C252" s="629">
        <v>44302</v>
      </c>
      <c r="D252" s="630" t="s">
        <v>700</v>
      </c>
      <c r="E252" s="631">
        <v>-111</v>
      </c>
      <c r="F252" s="629" t="s">
        <v>59</v>
      </c>
      <c r="G252" s="631">
        <v>3847.9</v>
      </c>
      <c r="H252" s="631">
        <f t="shared" si="46"/>
        <v>34.665765765765769</v>
      </c>
      <c r="K252" s="633">
        <f>+C251</f>
        <v>44293</v>
      </c>
      <c r="L252" s="641">
        <f>+M252*H251</f>
        <v>160250.13842206541</v>
      </c>
      <c r="M252" s="634">
        <v>4720</v>
      </c>
      <c r="N252" s="631" t="str">
        <f t="shared" si="64"/>
        <v>ISHARES PHYSICAL GOLD</v>
      </c>
      <c r="O252" s="629">
        <f>+C260</f>
        <v>44897</v>
      </c>
      <c r="P252" s="641">
        <f>+M252*H$260</f>
        <v>163804.29685352623</v>
      </c>
    </row>
    <row r="253" spans="1:16">
      <c r="B253" s="628" t="s">
        <v>719</v>
      </c>
      <c r="C253" s="629">
        <v>44370</v>
      </c>
      <c r="D253" s="630" t="s">
        <v>699</v>
      </c>
      <c r="E253" s="631">
        <v>139</v>
      </c>
      <c r="F253" s="629" t="s">
        <v>59</v>
      </c>
      <c r="G253" s="631">
        <v>-4864.8599999999997</v>
      </c>
      <c r="H253" s="631">
        <f t="shared" si="46"/>
        <v>34.998992805755393</v>
      </c>
      <c r="I253" s="632">
        <f>+E253</f>
        <v>139</v>
      </c>
      <c r="K253" s="633">
        <f>+C253</f>
        <v>44370</v>
      </c>
      <c r="L253" s="642">
        <f>+M253*H253</f>
        <v>4864.8599999999997</v>
      </c>
      <c r="M253" s="634">
        <v>139</v>
      </c>
      <c r="N253" s="631" t="str">
        <f t="shared" si="64"/>
        <v>ISHARES PHYSICAL GOLD</v>
      </c>
      <c r="O253" s="629">
        <f>+O252</f>
        <v>44897</v>
      </c>
      <c r="P253" s="652">
        <f t="shared" ref="P253:P256" si="69">+M253*H$260</f>
        <v>4823.8977251356246</v>
      </c>
    </row>
    <row r="254" spans="1:16">
      <c r="B254" s="628" t="s">
        <v>719</v>
      </c>
      <c r="C254" s="629">
        <v>44441</v>
      </c>
      <c r="D254" s="630" t="s">
        <v>699</v>
      </c>
      <c r="E254" s="631">
        <v>201</v>
      </c>
      <c r="F254" s="629" t="s">
        <v>59</v>
      </c>
      <c r="G254" s="631">
        <v>-7110.86</v>
      </c>
      <c r="H254" s="631">
        <f t="shared" si="46"/>
        <v>35.377412935323385</v>
      </c>
      <c r="I254" s="632">
        <f t="shared" ref="I254:I258" si="70">+E254</f>
        <v>201</v>
      </c>
      <c r="K254" s="633">
        <f t="shared" ref="K254:K256" si="71">+C254</f>
        <v>44441</v>
      </c>
      <c r="L254" s="642">
        <f t="shared" ref="L254:L256" si="72">+M254*H254</f>
        <v>7110.8600000000006</v>
      </c>
      <c r="M254" s="634">
        <v>201</v>
      </c>
      <c r="N254" s="631" t="str">
        <f t="shared" si="64"/>
        <v>ISHARES PHYSICAL GOLD</v>
      </c>
      <c r="O254" s="629">
        <f t="shared" ref="O254:O256" si="73">+O253</f>
        <v>44897</v>
      </c>
      <c r="P254" s="652">
        <f t="shared" si="69"/>
        <v>6975.5643363471982</v>
      </c>
    </row>
    <row r="255" spans="1:16">
      <c r="B255" s="628" t="s">
        <v>719</v>
      </c>
      <c r="C255" s="629">
        <v>44491</v>
      </c>
      <c r="D255" s="630" t="s">
        <v>699</v>
      </c>
      <c r="E255" s="631">
        <v>100</v>
      </c>
      <c r="F255" s="629" t="s">
        <v>59</v>
      </c>
      <c r="G255" s="631">
        <v>-3528.99</v>
      </c>
      <c r="H255" s="631">
        <f t="shared" si="46"/>
        <v>35.289899999999996</v>
      </c>
      <c r="I255" s="632">
        <f t="shared" si="70"/>
        <v>100</v>
      </c>
      <c r="K255" s="633">
        <f t="shared" si="71"/>
        <v>44491</v>
      </c>
      <c r="L255" s="642">
        <f t="shared" si="72"/>
        <v>3528.99</v>
      </c>
      <c r="M255" s="634">
        <v>100</v>
      </c>
      <c r="N255" s="631" t="str">
        <f t="shared" si="64"/>
        <v>ISHARES PHYSICAL GOLD</v>
      </c>
      <c r="O255" s="629">
        <f t="shared" si="73"/>
        <v>44897</v>
      </c>
      <c r="P255" s="652">
        <f t="shared" si="69"/>
        <v>3470.4300180831829</v>
      </c>
    </row>
    <row r="256" spans="1:16" ht="17" thickBot="1">
      <c r="B256" s="628" t="s">
        <v>719</v>
      </c>
      <c r="C256" s="629">
        <v>44603</v>
      </c>
      <c r="D256" s="630" t="s">
        <v>699</v>
      </c>
      <c r="E256" s="631">
        <v>5310</v>
      </c>
      <c r="F256" s="629" t="s">
        <v>59</v>
      </c>
      <c r="G256" s="631">
        <v>-189166.1</v>
      </c>
      <c r="H256" s="631">
        <f t="shared" si="46"/>
        <v>35.624500941619587</v>
      </c>
      <c r="I256" s="632">
        <f t="shared" si="70"/>
        <v>5310</v>
      </c>
      <c r="K256" s="633">
        <f t="shared" si="71"/>
        <v>44603</v>
      </c>
      <c r="L256" s="643">
        <f t="shared" si="72"/>
        <v>13181.065348399246</v>
      </c>
      <c r="M256" s="634">
        <f>5530-M255-M254-M253-M252</f>
        <v>370</v>
      </c>
      <c r="N256" s="631" t="str">
        <f t="shared" si="64"/>
        <v>ISHARES PHYSICAL GOLD</v>
      </c>
      <c r="O256" s="629">
        <f t="shared" si="73"/>
        <v>44897</v>
      </c>
      <c r="P256" s="653">
        <f t="shared" si="69"/>
        <v>12840.591066907777</v>
      </c>
    </row>
    <row r="257" spans="1:16">
      <c r="B257" s="628" t="s">
        <v>719</v>
      </c>
      <c r="C257" s="629">
        <v>44671</v>
      </c>
      <c r="D257" s="630" t="s">
        <v>700</v>
      </c>
      <c r="E257" s="631">
        <v>-1352</v>
      </c>
      <c r="F257" s="629" t="s">
        <v>59</v>
      </c>
      <c r="G257" s="631">
        <v>51364.37</v>
      </c>
      <c r="H257" s="631">
        <f t="shared" si="46"/>
        <v>37.991397928994083</v>
      </c>
      <c r="I257" s="632"/>
      <c r="K257" s="633"/>
      <c r="L257" s="637"/>
      <c r="M257" s="634"/>
      <c r="N257" s="631"/>
      <c r="O257" s="629"/>
      <c r="P257" s="637"/>
    </row>
    <row r="258" spans="1:16">
      <c r="B258" s="628" t="s">
        <v>719</v>
      </c>
      <c r="C258" s="629">
        <v>44769</v>
      </c>
      <c r="D258" s="630" t="s">
        <v>699</v>
      </c>
      <c r="E258" s="631">
        <v>462</v>
      </c>
      <c r="F258" s="629" t="s">
        <v>59</v>
      </c>
      <c r="G258" s="631">
        <v>-15474.27</v>
      </c>
      <c r="H258" s="631">
        <f t="shared" si="46"/>
        <v>33.494090909090907</v>
      </c>
      <c r="I258" s="632">
        <f t="shared" si="70"/>
        <v>462</v>
      </c>
      <c r="K258" s="633"/>
      <c r="L258" s="644"/>
      <c r="M258" s="634"/>
      <c r="N258" s="631"/>
      <c r="O258" s="629"/>
      <c r="P258" s="644"/>
    </row>
    <row r="259" spans="1:16">
      <c r="B259" s="628" t="s">
        <v>719</v>
      </c>
      <c r="C259" s="629">
        <v>44862</v>
      </c>
      <c r="D259" s="630" t="s">
        <v>700</v>
      </c>
      <c r="E259" s="631">
        <v>-5610</v>
      </c>
      <c r="F259" s="629" t="s">
        <v>59</v>
      </c>
      <c r="G259" s="631">
        <v>179514.39</v>
      </c>
      <c r="H259" s="631">
        <f t="shared" si="46"/>
        <v>31.999000000000002</v>
      </c>
      <c r="K259" s="633"/>
      <c r="L259" s="637"/>
      <c r="M259" s="634"/>
      <c r="N259" s="631"/>
      <c r="O259" s="629"/>
      <c r="P259" s="637"/>
    </row>
    <row r="260" spans="1:16">
      <c r="B260" s="628" t="s">
        <v>719</v>
      </c>
      <c r="C260" s="629">
        <v>44897</v>
      </c>
      <c r="D260" s="630" t="s">
        <v>700</v>
      </c>
      <c r="E260" s="631">
        <v>-5530</v>
      </c>
      <c r="F260" s="629" t="s">
        <v>59</v>
      </c>
      <c r="G260" s="631">
        <v>191914.78</v>
      </c>
      <c r="H260" s="631">
        <f t="shared" si="46"/>
        <v>34.704300180831829</v>
      </c>
      <c r="K260" s="633"/>
      <c r="L260" s="637"/>
      <c r="M260" s="634"/>
      <c r="N260" s="631"/>
      <c r="O260" s="629"/>
      <c r="P260" s="637"/>
    </row>
    <row r="261" spans="1:16" ht="17" thickBot="1">
      <c r="B261" s="628"/>
      <c r="C261" s="629"/>
      <c r="D261" s="630"/>
      <c r="E261" s="631"/>
      <c r="F261" s="629"/>
      <c r="G261" s="631"/>
      <c r="H261" s="631"/>
      <c r="K261" s="633"/>
      <c r="L261" s="637"/>
      <c r="M261" s="634"/>
      <c r="N261" s="631"/>
      <c r="O261" s="629"/>
      <c r="P261" s="637"/>
    </row>
    <row r="262" spans="1:16">
      <c r="A262" s="673"/>
      <c r="B262" s="628" t="s">
        <v>720</v>
      </c>
      <c r="C262" s="629">
        <v>44231</v>
      </c>
      <c r="D262" s="630" t="s">
        <v>699</v>
      </c>
      <c r="E262" s="631">
        <v>117980</v>
      </c>
      <c r="F262" s="629" t="s">
        <v>59</v>
      </c>
      <c r="G262" s="631">
        <v>-689746.47</v>
      </c>
      <c r="H262" s="631">
        <f t="shared" si="46"/>
        <v>5.8462999660959483</v>
      </c>
      <c r="I262" s="632">
        <f>+E262-M262</f>
        <v>0</v>
      </c>
      <c r="K262" s="633">
        <f>+C262</f>
        <v>44231</v>
      </c>
      <c r="L262" s="641">
        <f>+M262*H262</f>
        <v>689746.47</v>
      </c>
      <c r="M262" s="634">
        <v>117980</v>
      </c>
      <c r="N262" s="631" t="str">
        <f>+B262</f>
        <v>ISHARES US AGGREGATE BOND AG C</v>
      </c>
      <c r="O262" s="629">
        <f>+C268</f>
        <v>44603</v>
      </c>
      <c r="P262" s="641">
        <f>+M262*H$268</f>
        <v>657478.94170113793</v>
      </c>
    </row>
    <row r="263" spans="1:16">
      <c r="A263" s="673"/>
      <c r="B263" s="628" t="s">
        <v>720</v>
      </c>
      <c r="C263" s="629">
        <v>44293</v>
      </c>
      <c r="D263" s="630" t="s">
        <v>699</v>
      </c>
      <c r="E263" s="631">
        <v>125933</v>
      </c>
      <c r="F263" s="629" t="s">
        <v>59</v>
      </c>
      <c r="G263" s="631">
        <v>-722062.04</v>
      </c>
      <c r="H263" s="631">
        <f t="shared" si="46"/>
        <v>5.7336999833244668</v>
      </c>
      <c r="I263" s="632">
        <f>+E263-M263</f>
        <v>0</v>
      </c>
      <c r="K263" s="633">
        <f t="shared" ref="K263:K264" si="74">+C263</f>
        <v>44293</v>
      </c>
      <c r="L263" s="642">
        <f t="shared" ref="L263:L264" si="75">+M263*H263</f>
        <v>722062.04</v>
      </c>
      <c r="M263" s="634">
        <v>125933</v>
      </c>
      <c r="N263" s="631" t="str">
        <f t="shared" ref="N263:N268" si="76">+B263</f>
        <v>ISHARES US AGGREGATE BOND AG C</v>
      </c>
      <c r="O263" s="629">
        <f>+O262</f>
        <v>44603</v>
      </c>
      <c r="P263" s="642">
        <f>+M263*H$268</f>
        <v>701799.41994617216</v>
      </c>
    </row>
    <row r="264" spans="1:16" ht="17" thickBot="1">
      <c r="A264" s="673"/>
      <c r="B264" s="628" t="s">
        <v>720</v>
      </c>
      <c r="C264" s="629">
        <v>44302</v>
      </c>
      <c r="D264" s="630" t="s">
        <v>699</v>
      </c>
      <c r="E264" s="631">
        <v>27374</v>
      </c>
      <c r="F264" s="629" t="s">
        <v>59</v>
      </c>
      <c r="G264" s="631">
        <v>-157512.73000000001</v>
      </c>
      <c r="H264" s="631">
        <f t="shared" si="46"/>
        <v>5.7540998757945498</v>
      </c>
      <c r="I264" s="632">
        <f>+E264-M264-M265</f>
        <v>0</v>
      </c>
      <c r="K264" s="633">
        <f t="shared" si="74"/>
        <v>44302</v>
      </c>
      <c r="L264" s="643">
        <f t="shared" si="75"/>
        <v>13970.954498429168</v>
      </c>
      <c r="M264" s="634">
        <f>246341-M263-M262</f>
        <v>2428</v>
      </c>
      <c r="N264" s="631" t="str">
        <f t="shared" si="76"/>
        <v>ISHARES US AGGREGATE BOND AG C</v>
      </c>
      <c r="O264" s="629">
        <f>+O263</f>
        <v>44603</v>
      </c>
      <c r="P264" s="643">
        <f>+M264*H$268</f>
        <v>13530.758352689971</v>
      </c>
    </row>
    <row r="265" spans="1:16">
      <c r="A265" s="673"/>
      <c r="B265" s="628" t="s">
        <v>720</v>
      </c>
      <c r="C265" s="629">
        <v>44370</v>
      </c>
      <c r="D265" s="630" t="s">
        <v>699</v>
      </c>
      <c r="E265" s="631">
        <v>6057</v>
      </c>
      <c r="F265" s="629" t="s">
        <v>59</v>
      </c>
      <c r="G265" s="631">
        <v>-35077.9</v>
      </c>
      <c r="H265" s="631">
        <f t="shared" si="46"/>
        <v>5.7912993230972427</v>
      </c>
      <c r="I265" s="632">
        <f>+E265-M266</f>
        <v>0</v>
      </c>
      <c r="K265" s="633">
        <f>+C264</f>
        <v>44302</v>
      </c>
      <c r="L265" s="641">
        <f>+M265*H264</f>
        <v>143541.77550157084</v>
      </c>
      <c r="M265" s="634">
        <v>24946</v>
      </c>
      <c r="N265" s="631" t="str">
        <f t="shared" si="76"/>
        <v>ISHARES US AGGREGATE BOND AG C</v>
      </c>
      <c r="O265" s="629">
        <f>+C269</f>
        <v>44671</v>
      </c>
      <c r="P265" s="641">
        <f>+M265*H$269</f>
        <v>131101.20815618435</v>
      </c>
    </row>
    <row r="266" spans="1:16">
      <c r="A266" s="673"/>
      <c r="B266" s="628" t="s">
        <v>720</v>
      </c>
      <c r="C266" s="629">
        <v>44441</v>
      </c>
      <c r="D266" s="630" t="s">
        <v>699</v>
      </c>
      <c r="E266" s="631">
        <v>4949</v>
      </c>
      <c r="F266" s="629" t="s">
        <v>59</v>
      </c>
      <c r="G266" s="631">
        <v>-28985.8</v>
      </c>
      <c r="H266" s="631">
        <f t="shared" ref="H266:H379" si="77">+ABS(G266/E266)</f>
        <v>5.8569003839159421</v>
      </c>
      <c r="I266" s="632">
        <f>+E266-M267</f>
        <v>0</v>
      </c>
      <c r="K266" s="633">
        <f t="shared" ref="K266:K268" si="78">+C265</f>
        <v>44370</v>
      </c>
      <c r="L266" s="652">
        <f t="shared" ref="L266:L268" si="79">+M266*H265</f>
        <v>35077.9</v>
      </c>
      <c r="M266" s="634">
        <v>6057</v>
      </c>
      <c r="N266" s="631" t="str">
        <f t="shared" si="76"/>
        <v>ISHARES US AGGREGATE BOND AG C</v>
      </c>
      <c r="O266" s="629">
        <f>+O265</f>
        <v>44671</v>
      </c>
      <c r="P266" s="652">
        <f t="shared" ref="P266:P268" si="80">+M266*H$269</f>
        <v>31831.957740800473</v>
      </c>
    </row>
    <row r="267" spans="1:16">
      <c r="A267" s="673"/>
      <c r="B267" s="628" t="s">
        <v>720</v>
      </c>
      <c r="C267" s="629">
        <v>44491</v>
      </c>
      <c r="D267" s="630" t="s">
        <v>699</v>
      </c>
      <c r="E267" s="631">
        <v>4974</v>
      </c>
      <c r="F267" s="629" t="s">
        <v>59</v>
      </c>
      <c r="G267" s="631">
        <v>-28673.119999999999</v>
      </c>
      <c r="H267" s="631">
        <f t="shared" si="77"/>
        <v>5.7645999195818254</v>
      </c>
      <c r="I267" s="632">
        <f>+E267-M268</f>
        <v>0</v>
      </c>
      <c r="K267" s="633">
        <f t="shared" si="78"/>
        <v>44441</v>
      </c>
      <c r="L267" s="652">
        <f t="shared" si="79"/>
        <v>28985.8</v>
      </c>
      <c r="M267" s="634">
        <v>4949</v>
      </c>
      <c r="N267" s="631" t="str">
        <f t="shared" si="76"/>
        <v>ISHARES US AGGREGATE BOND AG C</v>
      </c>
      <c r="O267" s="629">
        <f t="shared" ref="O267:O268" si="81">+O266</f>
        <v>44671</v>
      </c>
      <c r="P267" s="652">
        <f t="shared" si="80"/>
        <v>26008.974551629773</v>
      </c>
    </row>
    <row r="268" spans="1:16" ht="17" thickBot="1">
      <c r="A268" s="673"/>
      <c r="B268" s="628" t="s">
        <v>720</v>
      </c>
      <c r="C268" s="629">
        <v>44603</v>
      </c>
      <c r="D268" s="630" t="s">
        <v>700</v>
      </c>
      <c r="E268" s="631">
        <v>-246341</v>
      </c>
      <c r="F268" s="629" t="s">
        <v>59</v>
      </c>
      <c r="G268" s="631">
        <v>1372809.12</v>
      </c>
      <c r="H268" s="631">
        <f t="shared" si="77"/>
        <v>5.572799980514815</v>
      </c>
      <c r="I268" s="632"/>
      <c r="K268" s="633">
        <f t="shared" si="78"/>
        <v>44491</v>
      </c>
      <c r="L268" s="653">
        <f t="shared" si="79"/>
        <v>28673.119999999999</v>
      </c>
      <c r="M268" s="634">
        <v>4974</v>
      </c>
      <c r="N268" s="631" t="str">
        <f t="shared" si="76"/>
        <v>ISHARES US AGGREGATE BOND AG C</v>
      </c>
      <c r="O268" s="629">
        <f t="shared" si="81"/>
        <v>44671</v>
      </c>
      <c r="P268" s="653">
        <f t="shared" si="80"/>
        <v>26140.359551385431</v>
      </c>
    </row>
    <row r="269" spans="1:16">
      <c r="A269" s="673"/>
      <c r="B269" s="628" t="s">
        <v>720</v>
      </c>
      <c r="C269" s="629">
        <v>44671</v>
      </c>
      <c r="D269" s="630" t="s">
        <v>700</v>
      </c>
      <c r="E269" s="631">
        <v>-40926</v>
      </c>
      <c r="F269" s="629" t="s">
        <v>59</v>
      </c>
      <c r="G269" s="631">
        <v>215082.5</v>
      </c>
      <c r="H269" s="631">
        <f t="shared" si="77"/>
        <v>5.2553999902262625</v>
      </c>
      <c r="I269" s="632"/>
      <c r="K269" s="633"/>
      <c r="L269" s="640"/>
      <c r="M269" s="634"/>
      <c r="N269" s="631"/>
      <c r="O269" s="629"/>
      <c r="P269" s="640"/>
    </row>
    <row r="270" spans="1:16">
      <c r="B270" s="628"/>
      <c r="C270" s="629"/>
      <c r="D270" s="630"/>
      <c r="E270" s="631"/>
      <c r="F270" s="629"/>
      <c r="G270" s="631"/>
      <c r="H270" s="631"/>
      <c r="I270" s="632"/>
      <c r="K270" s="633"/>
      <c r="L270" s="631"/>
      <c r="M270" s="634"/>
      <c r="N270" s="631"/>
      <c r="O270" s="629"/>
      <c r="P270" s="631"/>
    </row>
    <row r="271" spans="1:16">
      <c r="B271" s="628"/>
      <c r="C271" s="629"/>
      <c r="D271" s="630"/>
      <c r="E271" s="631"/>
      <c r="F271" s="629"/>
      <c r="G271" s="631"/>
      <c r="H271" s="631"/>
      <c r="K271" s="633"/>
      <c r="L271" s="631"/>
      <c r="M271" s="634"/>
      <c r="N271" s="631"/>
      <c r="O271" s="629"/>
      <c r="P271" s="631"/>
    </row>
    <row r="272" spans="1:16">
      <c r="A272" s="673"/>
      <c r="B272" s="628" t="s">
        <v>721</v>
      </c>
      <c r="C272" s="629">
        <v>43957</v>
      </c>
      <c r="D272" s="630" t="s">
        <v>699</v>
      </c>
      <c r="E272" s="631">
        <v>23029</v>
      </c>
      <c r="F272" s="629" t="s">
        <v>59</v>
      </c>
      <c r="G272" s="631">
        <v>-128840.35</v>
      </c>
      <c r="H272" s="631">
        <f t="shared" si="77"/>
        <v>5.5947001606669851</v>
      </c>
      <c r="I272" s="632">
        <f>+E272+E274+E275-M272</f>
        <v>0</v>
      </c>
      <c r="K272" s="633">
        <f>+C272</f>
        <v>43957</v>
      </c>
      <c r="L272" s="631">
        <f>+M272*H272</f>
        <v>39548.935435754916</v>
      </c>
      <c r="M272" s="634">
        <v>7069</v>
      </c>
      <c r="N272" s="631" t="str">
        <f>+B272</f>
        <v>ISHARES US MORTGAGE BACKED S C</v>
      </c>
      <c r="O272" s="629">
        <f>+C277</f>
        <v>44231</v>
      </c>
      <c r="P272" s="635">
        <f>+M272*H$277</f>
        <v>39638.710398928604</v>
      </c>
    </row>
    <row r="273" spans="1:16">
      <c r="A273" s="673"/>
      <c r="B273" s="628" t="s">
        <v>721</v>
      </c>
      <c r="C273" s="629">
        <v>43985</v>
      </c>
      <c r="D273" s="630" t="s">
        <v>699</v>
      </c>
      <c r="E273" s="631">
        <v>2921</v>
      </c>
      <c r="F273" s="629" t="s">
        <v>59</v>
      </c>
      <c r="G273" s="631">
        <v>-16366.36</v>
      </c>
      <c r="H273" s="631">
        <f t="shared" si="77"/>
        <v>5.6029989729544676</v>
      </c>
      <c r="I273" s="632">
        <f>+E273-M273</f>
        <v>0</v>
      </c>
      <c r="K273" s="633">
        <f>+C273</f>
        <v>43985</v>
      </c>
      <c r="L273" s="631">
        <f>+M273*H273</f>
        <v>16366.36</v>
      </c>
      <c r="M273" s="634">
        <v>2921</v>
      </c>
      <c r="N273" s="631" t="str">
        <f t="shared" ref="N273:N274" si="82">+B273</f>
        <v>ISHARES US MORTGAGE BACKED S C</v>
      </c>
      <c r="O273" s="629">
        <f>+C277</f>
        <v>44231</v>
      </c>
      <c r="P273" s="635">
        <f t="shared" ref="P273:P274" si="83">+M273*H$277</f>
        <v>16379.215316914762</v>
      </c>
    </row>
    <row r="274" spans="1:16" ht="17" thickBot="1">
      <c r="A274" s="673"/>
      <c r="B274" s="628" t="s">
        <v>721</v>
      </c>
      <c r="C274" s="629">
        <v>44118</v>
      </c>
      <c r="D274" s="630" t="s">
        <v>700</v>
      </c>
      <c r="E274" s="631">
        <v>-15816</v>
      </c>
      <c r="F274" s="629" t="s">
        <v>59</v>
      </c>
      <c r="G274" s="631">
        <v>88417.77</v>
      </c>
      <c r="H274" s="631">
        <f t="shared" si="77"/>
        <v>5.5904002276176028</v>
      </c>
      <c r="K274" s="633">
        <f>+C276</f>
        <v>44218</v>
      </c>
      <c r="L274" s="644">
        <f>+M274*H276</f>
        <v>180720.93</v>
      </c>
      <c r="M274" s="634">
        <v>32198</v>
      </c>
      <c r="N274" s="631" t="str">
        <f t="shared" si="82"/>
        <v>ISHARES US MORTGAGE BACKED S C</v>
      </c>
      <c r="O274" s="629">
        <f>+C277</f>
        <v>44231</v>
      </c>
      <c r="P274" s="639">
        <f t="shared" si="83"/>
        <v>180547.06428415663</v>
      </c>
    </row>
    <row r="275" spans="1:16">
      <c r="A275" s="673"/>
      <c r="B275" s="628" t="s">
        <v>721</v>
      </c>
      <c r="C275" s="629">
        <v>44158</v>
      </c>
      <c r="D275" s="630" t="s">
        <v>700</v>
      </c>
      <c r="E275" s="631">
        <v>-144</v>
      </c>
      <c r="F275" s="629" t="s">
        <v>59</v>
      </c>
      <c r="G275" s="631">
        <v>805.51</v>
      </c>
      <c r="H275" s="631">
        <f t="shared" si="77"/>
        <v>5.5938194444444447</v>
      </c>
      <c r="K275" s="633">
        <f>+C278</f>
        <v>44302</v>
      </c>
      <c r="L275" s="641">
        <f>+M275*H278</f>
        <v>405584.64000000001</v>
      </c>
      <c r="M275" s="634">
        <v>72960</v>
      </c>
      <c r="N275" s="631" t="str">
        <f>+B275</f>
        <v>ISHARES US MORTGAGE BACKED S C</v>
      </c>
      <c r="O275" s="629">
        <f>+C282</f>
        <v>44603</v>
      </c>
      <c r="P275" s="641">
        <f>+M275*H$282</f>
        <v>389723.13258093485</v>
      </c>
    </row>
    <row r="276" spans="1:16">
      <c r="A276" s="673"/>
      <c r="B276" s="628" t="s">
        <v>721</v>
      </c>
      <c r="C276" s="629">
        <v>44218</v>
      </c>
      <c r="D276" s="630" t="s">
        <v>699</v>
      </c>
      <c r="E276" s="631">
        <v>32198</v>
      </c>
      <c r="F276" s="629" t="s">
        <v>59</v>
      </c>
      <c r="G276" s="631">
        <v>-180720.93</v>
      </c>
      <c r="H276" s="631">
        <f t="shared" si="77"/>
        <v>5.6127998633455496</v>
      </c>
      <c r="I276" s="632">
        <f>+E276-M274</f>
        <v>0</v>
      </c>
      <c r="K276" s="633">
        <f t="shared" ref="K276:K278" si="84">+C279</f>
        <v>44370</v>
      </c>
      <c r="L276" s="642">
        <f t="shared" ref="L276:L278" si="85">+M276*H279</f>
        <v>7719.59</v>
      </c>
      <c r="M276" s="634">
        <v>1393</v>
      </c>
      <c r="N276" s="631" t="str">
        <f t="shared" ref="N276:N278" si="86">+B276</f>
        <v>ISHARES US MORTGAGE BACKED S C</v>
      </c>
      <c r="O276" s="629">
        <f>+O275</f>
        <v>44603</v>
      </c>
      <c r="P276" s="642">
        <f t="shared" ref="P276:P278" si="87">+M276*H$282</f>
        <v>7440.8487347209739</v>
      </c>
    </row>
    <row r="277" spans="1:16">
      <c r="A277" s="673"/>
      <c r="B277" s="628" t="s">
        <v>721</v>
      </c>
      <c r="C277" s="629">
        <v>44231</v>
      </c>
      <c r="D277" s="630" t="s">
        <v>700</v>
      </c>
      <c r="E277" s="631">
        <v>-42188</v>
      </c>
      <c r="F277" s="629" t="s">
        <v>59</v>
      </c>
      <c r="G277" s="631">
        <v>236564.99</v>
      </c>
      <c r="H277" s="631">
        <f t="shared" si="77"/>
        <v>5.6073999715558926</v>
      </c>
      <c r="K277" s="633">
        <f t="shared" si="84"/>
        <v>44441</v>
      </c>
      <c r="L277" s="642">
        <f t="shared" si="85"/>
        <v>11671.27</v>
      </c>
      <c r="M277" s="634">
        <v>2097</v>
      </c>
      <c r="N277" s="631" t="str">
        <f t="shared" si="86"/>
        <v>ISHARES US MORTGAGE BACKED S C</v>
      </c>
      <c r="O277" s="629">
        <f t="shared" ref="O277:O278" si="88">+O276</f>
        <v>44603</v>
      </c>
      <c r="P277" s="642">
        <f t="shared" si="87"/>
        <v>11201.335101729996</v>
      </c>
    </row>
    <row r="278" spans="1:16" ht="17" thickBot="1">
      <c r="A278" s="673"/>
      <c r="B278" s="628" t="s">
        <v>721</v>
      </c>
      <c r="C278" s="629">
        <v>44302</v>
      </c>
      <c r="D278" s="630" t="s">
        <v>699</v>
      </c>
      <c r="E278" s="631">
        <v>72960</v>
      </c>
      <c r="F278" s="629" t="s">
        <v>59</v>
      </c>
      <c r="G278" s="631">
        <v>-405584.64000000001</v>
      </c>
      <c r="H278" s="631">
        <f t="shared" si="77"/>
        <v>5.5590000000000002</v>
      </c>
      <c r="I278" s="632">
        <f>+E278</f>
        <v>72960</v>
      </c>
      <c r="K278" s="633">
        <f t="shared" si="84"/>
        <v>44491</v>
      </c>
      <c r="L278" s="643">
        <f t="shared" si="85"/>
        <v>2047.99</v>
      </c>
      <c r="M278" s="634">
        <v>371</v>
      </c>
      <c r="N278" s="631" t="str">
        <f t="shared" si="86"/>
        <v>ISHARES US MORTGAGE BACKED S C</v>
      </c>
      <c r="O278" s="629">
        <f t="shared" si="88"/>
        <v>44603</v>
      </c>
      <c r="P278" s="643">
        <f t="shared" si="87"/>
        <v>1981.7335826141289</v>
      </c>
    </row>
    <row r="279" spans="1:16">
      <c r="A279" s="673"/>
      <c r="B279" s="628" t="s">
        <v>721</v>
      </c>
      <c r="C279" s="629">
        <v>44370</v>
      </c>
      <c r="D279" s="630" t="s">
        <v>699</v>
      </c>
      <c r="E279" s="631">
        <v>1393</v>
      </c>
      <c r="F279" s="629" t="s">
        <v>59</v>
      </c>
      <c r="G279" s="631">
        <v>-7719.59</v>
      </c>
      <c r="H279" s="631">
        <f t="shared" si="77"/>
        <v>5.5417013639626704</v>
      </c>
      <c r="I279" s="632">
        <f t="shared" ref="I279:I281" si="89">+E279</f>
        <v>1393</v>
      </c>
      <c r="K279" s="633"/>
      <c r="L279" s="640"/>
      <c r="M279" s="634"/>
      <c r="N279" s="631"/>
      <c r="O279" s="629"/>
      <c r="P279" s="640"/>
    </row>
    <row r="280" spans="1:16">
      <c r="A280" s="673"/>
      <c r="B280" s="628" t="s">
        <v>721</v>
      </c>
      <c r="C280" s="629">
        <v>44441</v>
      </c>
      <c r="D280" s="630" t="s">
        <v>699</v>
      </c>
      <c r="E280" s="631">
        <v>2097</v>
      </c>
      <c r="F280" s="629" t="s">
        <v>59</v>
      </c>
      <c r="G280" s="631">
        <v>-11671.27</v>
      </c>
      <c r="H280" s="631">
        <f t="shared" si="77"/>
        <v>5.565698617072008</v>
      </c>
      <c r="I280" s="632">
        <f t="shared" si="89"/>
        <v>2097</v>
      </c>
      <c r="K280" s="633"/>
      <c r="L280" s="631"/>
      <c r="M280" s="634"/>
      <c r="N280" s="631"/>
      <c r="O280" s="629"/>
      <c r="P280" s="631"/>
    </row>
    <row r="281" spans="1:16">
      <c r="A281" s="673"/>
      <c r="B281" s="628" t="s">
        <v>721</v>
      </c>
      <c r="C281" s="629">
        <v>44491</v>
      </c>
      <c r="D281" s="630" t="s">
        <v>699</v>
      </c>
      <c r="E281" s="631">
        <v>371</v>
      </c>
      <c r="F281" s="629" t="s">
        <v>59</v>
      </c>
      <c r="G281" s="631">
        <v>-2047.99</v>
      </c>
      <c r="H281" s="631">
        <f t="shared" si="77"/>
        <v>5.5201886792452832</v>
      </c>
      <c r="I281" s="632">
        <f t="shared" si="89"/>
        <v>371</v>
      </c>
      <c r="K281" s="633"/>
      <c r="L281" s="631"/>
      <c r="M281" s="634"/>
      <c r="N281" s="631"/>
      <c r="O281" s="629"/>
      <c r="P281" s="631"/>
    </row>
    <row r="282" spans="1:16">
      <c r="A282" s="673"/>
      <c r="B282" s="628" t="s">
        <v>721</v>
      </c>
      <c r="C282" s="629">
        <v>44603</v>
      </c>
      <c r="D282" s="630" t="s">
        <v>700</v>
      </c>
      <c r="E282" s="631">
        <v>-76821</v>
      </c>
      <c r="F282" s="629" t="s">
        <v>59</v>
      </c>
      <c r="G282" s="631">
        <v>410347.05</v>
      </c>
      <c r="H282" s="631">
        <f t="shared" si="77"/>
        <v>5.3415999531378136</v>
      </c>
      <c r="I282" s="632"/>
      <c r="K282" s="633"/>
      <c r="L282" s="631"/>
      <c r="M282" s="634"/>
      <c r="N282" s="631"/>
      <c r="O282" s="629"/>
      <c r="P282" s="631"/>
    </row>
    <row r="283" spans="1:16">
      <c r="B283" s="628"/>
      <c r="C283" s="629"/>
      <c r="D283" s="630"/>
      <c r="E283" s="631"/>
      <c r="F283" s="629"/>
      <c r="G283" s="631"/>
      <c r="H283" s="631"/>
      <c r="I283" s="632"/>
      <c r="K283" s="633"/>
      <c r="L283" s="631"/>
      <c r="M283" s="634"/>
      <c r="N283" s="631"/>
      <c r="O283" s="629"/>
      <c r="P283" s="631"/>
    </row>
    <row r="284" spans="1:16">
      <c r="B284" s="628"/>
      <c r="C284" s="629"/>
      <c r="D284" s="630"/>
      <c r="E284" s="631"/>
      <c r="F284" s="629"/>
      <c r="G284" s="631"/>
      <c r="H284" s="631"/>
      <c r="K284" s="633"/>
      <c r="L284" s="631"/>
      <c r="M284" s="634"/>
      <c r="N284" s="631"/>
      <c r="O284" s="629"/>
      <c r="P284" s="631"/>
    </row>
    <row r="285" spans="1:16">
      <c r="A285" s="673"/>
      <c r="B285" s="628" t="s">
        <v>722</v>
      </c>
      <c r="C285" s="629">
        <v>43957</v>
      </c>
      <c r="D285" s="630" t="s">
        <v>699</v>
      </c>
      <c r="E285" s="631">
        <v>23750</v>
      </c>
      <c r="F285" s="629" t="s">
        <v>59</v>
      </c>
      <c r="G285" s="631">
        <v>-118548.13</v>
      </c>
      <c r="H285" s="631">
        <f t="shared" si="77"/>
        <v>4.9915002105263158</v>
      </c>
      <c r="I285" s="632">
        <f>+E285+E287+E288-M285</f>
        <v>0</v>
      </c>
      <c r="K285" s="633">
        <f>+C285</f>
        <v>43957</v>
      </c>
      <c r="L285" s="631">
        <f>+M285*H285</f>
        <v>86248.13213768421</v>
      </c>
      <c r="M285" s="634">
        <v>17279</v>
      </c>
      <c r="N285" s="631" t="str">
        <f>+B285</f>
        <v>ISHARES USD CORP BOND INTERE USD_A</v>
      </c>
      <c r="O285" s="629">
        <f>+C290</f>
        <v>44231</v>
      </c>
      <c r="P285" s="635">
        <f>+M285*H$290</f>
        <v>95570.146562103182</v>
      </c>
    </row>
    <row r="286" spans="1:16">
      <c r="A286" s="673"/>
      <c r="B286" s="628" t="s">
        <v>722</v>
      </c>
      <c r="C286" s="629">
        <v>43985</v>
      </c>
      <c r="D286" s="630" t="s">
        <v>699</v>
      </c>
      <c r="E286" s="631">
        <v>12650</v>
      </c>
      <c r="F286" s="629" t="s">
        <v>59</v>
      </c>
      <c r="G286" s="631">
        <v>-65747.11</v>
      </c>
      <c r="H286" s="631">
        <f t="shared" si="77"/>
        <v>5.1974</v>
      </c>
      <c r="I286" s="632">
        <f>+E286-M286-M287</f>
        <v>0</v>
      </c>
      <c r="K286" s="633">
        <f>+C286</f>
        <v>43985</v>
      </c>
      <c r="L286" s="631">
        <f>+M286*H286</f>
        <v>20706.441599999998</v>
      </c>
      <c r="M286" s="634">
        <v>3984</v>
      </c>
      <c r="N286" s="631" t="str">
        <f>+B286</f>
        <v>ISHARES USD CORP BOND INTERE USD_A</v>
      </c>
      <c r="O286" s="629">
        <f>+C290</f>
        <v>44231</v>
      </c>
      <c r="P286" s="635">
        <f>+M286*H$290</f>
        <v>22035.503437896816</v>
      </c>
    </row>
    <row r="287" spans="1:16">
      <c r="A287" s="673"/>
      <c r="B287" s="628" t="s">
        <v>722</v>
      </c>
      <c r="C287" s="629">
        <v>44118</v>
      </c>
      <c r="D287" s="630" t="s">
        <v>700</v>
      </c>
      <c r="E287" s="631">
        <v>-377</v>
      </c>
      <c r="F287" s="629" t="s">
        <v>59</v>
      </c>
      <c r="G287" s="631">
        <v>2016.91</v>
      </c>
      <c r="H287" s="631">
        <f t="shared" si="77"/>
        <v>5.3498938992042442</v>
      </c>
      <c r="K287" s="633">
        <f>+C286</f>
        <v>43985</v>
      </c>
      <c r="L287" s="631">
        <f>+M287*H286</f>
        <v>45040.668400000002</v>
      </c>
      <c r="M287" s="634">
        <v>8666</v>
      </c>
      <c r="N287" s="631" t="str">
        <f t="shared" ref="N287:N293" si="90">+B287</f>
        <v>ISHARES USD CORP BOND INTERE USD_A</v>
      </c>
      <c r="O287" s="629">
        <f>+C292</f>
        <v>44302</v>
      </c>
      <c r="P287" s="635">
        <f>+M287*H292</f>
        <v>48490.602860947984</v>
      </c>
    </row>
    <row r="288" spans="1:16" ht="17" thickBot="1">
      <c r="A288" s="673"/>
      <c r="B288" s="628" t="s">
        <v>722</v>
      </c>
      <c r="C288" s="629">
        <v>44158</v>
      </c>
      <c r="D288" s="630" t="s">
        <v>700</v>
      </c>
      <c r="E288" s="631">
        <v>-6094</v>
      </c>
      <c r="F288" s="629" t="s">
        <v>59</v>
      </c>
      <c r="G288" s="631">
        <v>33335.4</v>
      </c>
      <c r="H288" s="631">
        <f t="shared" si="77"/>
        <v>5.4702001969149983</v>
      </c>
      <c r="K288" s="633">
        <f>+C289</f>
        <v>44218</v>
      </c>
      <c r="L288" s="644">
        <f>+M288*H289</f>
        <v>296551.34724840563</v>
      </c>
      <c r="M288" s="634">
        <v>53656</v>
      </c>
      <c r="N288" s="631" t="str">
        <f t="shared" si="90"/>
        <v>ISHARES USD CORP BOND INTERE USD_A</v>
      </c>
      <c r="O288" s="629">
        <f>+C292</f>
        <v>44302</v>
      </c>
      <c r="P288" s="639">
        <f>+M288*H292</f>
        <v>300232.14713905205</v>
      </c>
    </row>
    <row r="289" spans="1:16">
      <c r="A289" s="673"/>
      <c r="B289" s="628" t="s">
        <v>722</v>
      </c>
      <c r="C289" s="629">
        <v>44218</v>
      </c>
      <c r="D289" s="630" t="s">
        <v>699</v>
      </c>
      <c r="E289" s="631">
        <v>94865</v>
      </c>
      <c r="F289" s="629" t="s">
        <v>59</v>
      </c>
      <c r="G289" s="631">
        <v>-524309.37</v>
      </c>
      <c r="H289" s="631">
        <f t="shared" si="77"/>
        <v>5.5269000158119432</v>
      </c>
      <c r="I289" s="632">
        <f>+E289-M288-M289</f>
        <v>0</v>
      </c>
      <c r="K289" s="633">
        <f>+C289</f>
        <v>44218</v>
      </c>
      <c r="L289" s="641">
        <f>+M289*H289</f>
        <v>227758.02275159437</v>
      </c>
      <c r="M289" s="634">
        <v>41209</v>
      </c>
      <c r="N289" s="631" t="str">
        <f t="shared" si="90"/>
        <v>ISHARES USD CORP BOND INTERE USD_A</v>
      </c>
      <c r="O289" s="629">
        <f>+C296</f>
        <v>44603</v>
      </c>
      <c r="P289" s="641">
        <f>+M289*H$296</f>
        <v>226711.31336324479</v>
      </c>
    </row>
    <row r="290" spans="1:16">
      <c r="A290" s="673"/>
      <c r="B290" s="628" t="s">
        <v>722</v>
      </c>
      <c r="C290" s="629">
        <v>44231</v>
      </c>
      <c r="D290" s="630" t="s">
        <v>700</v>
      </c>
      <c r="E290" s="631">
        <v>-21263</v>
      </c>
      <c r="F290" s="629" t="s">
        <v>59</v>
      </c>
      <c r="G290" s="631">
        <v>117605.65</v>
      </c>
      <c r="H290" s="631">
        <f t="shared" si="77"/>
        <v>5.5309998589098432</v>
      </c>
      <c r="K290" s="633">
        <f>+C291</f>
        <v>44293</v>
      </c>
      <c r="L290" s="642">
        <f>+M290*H291</f>
        <v>578372.30000000005</v>
      </c>
      <c r="M290" s="634">
        <v>103386</v>
      </c>
      <c r="N290" s="631" t="str">
        <f t="shared" si="90"/>
        <v>ISHARES USD CORP BOND INTERE USD_A</v>
      </c>
      <c r="O290" s="629">
        <f>+O289</f>
        <v>44603</v>
      </c>
      <c r="P290" s="642">
        <f t="shared" ref="P290:P293" si="91">+M290*H$296</f>
        <v>568778.07865690568</v>
      </c>
    </row>
    <row r="291" spans="1:16">
      <c r="A291" s="673"/>
      <c r="B291" s="628" t="s">
        <v>722</v>
      </c>
      <c r="C291" s="629">
        <v>44293</v>
      </c>
      <c r="D291" s="630" t="s">
        <v>699</v>
      </c>
      <c r="E291" s="631">
        <v>103386</v>
      </c>
      <c r="F291" s="629" t="s">
        <v>59</v>
      </c>
      <c r="G291" s="631">
        <v>-578372.30000000005</v>
      </c>
      <c r="H291" s="631">
        <f t="shared" si="77"/>
        <v>5.5943000019344984</v>
      </c>
      <c r="I291" s="632">
        <f>+E291-M290</f>
        <v>0</v>
      </c>
      <c r="K291" s="633">
        <f>+C293</f>
        <v>44370</v>
      </c>
      <c r="L291" s="642">
        <f>+M291*H293</f>
        <v>8658.2800000000007</v>
      </c>
      <c r="M291" s="634">
        <v>1536</v>
      </c>
      <c r="N291" s="631" t="str">
        <f t="shared" si="90"/>
        <v>ISHARES USD CORP BOND INTERE USD_A</v>
      </c>
      <c r="O291" s="629">
        <f t="shared" ref="O291:O293" si="92">+O290</f>
        <v>44603</v>
      </c>
      <c r="P291" s="642">
        <f t="shared" si="91"/>
        <v>8450.3039949026661</v>
      </c>
    </row>
    <row r="292" spans="1:16">
      <c r="A292" s="673"/>
      <c r="B292" s="628" t="s">
        <v>722</v>
      </c>
      <c r="C292" s="629">
        <v>44302</v>
      </c>
      <c r="D292" s="630" t="s">
        <v>700</v>
      </c>
      <c r="E292" s="631">
        <v>-62322</v>
      </c>
      <c r="F292" s="629" t="s">
        <v>59</v>
      </c>
      <c r="G292" s="631">
        <v>348722.75</v>
      </c>
      <c r="H292" s="631">
        <f t="shared" si="77"/>
        <v>5.5954999839543023</v>
      </c>
      <c r="K292" s="633">
        <f t="shared" ref="K292:K293" si="93">+C294</f>
        <v>44441</v>
      </c>
      <c r="L292" s="642">
        <f>+M292*H294</f>
        <v>11603.34</v>
      </c>
      <c r="M292" s="634">
        <v>2068</v>
      </c>
      <c r="N292" s="631" t="str">
        <f t="shared" si="90"/>
        <v>ISHARES USD CORP BOND INTERE USD_A</v>
      </c>
      <c r="O292" s="629">
        <f t="shared" si="92"/>
        <v>44603</v>
      </c>
      <c r="P292" s="642">
        <f t="shared" si="91"/>
        <v>11377.101993137185</v>
      </c>
    </row>
    <row r="293" spans="1:16" ht="17" thickBot="1">
      <c r="A293" s="673"/>
      <c r="B293" s="628" t="s">
        <v>722</v>
      </c>
      <c r="C293" s="629">
        <v>44370</v>
      </c>
      <c r="D293" s="630" t="s">
        <v>699</v>
      </c>
      <c r="E293" s="631">
        <v>1536</v>
      </c>
      <c r="F293" s="629" t="s">
        <v>59</v>
      </c>
      <c r="G293" s="631">
        <v>-8658.2800000000007</v>
      </c>
      <c r="H293" s="631">
        <f t="shared" si="77"/>
        <v>5.6369010416666674</v>
      </c>
      <c r="I293" s="632">
        <f>+E293-M291</f>
        <v>0</v>
      </c>
      <c r="K293" s="633">
        <f t="shared" si="93"/>
        <v>44491</v>
      </c>
      <c r="L293" s="643">
        <f>+M293*H295</f>
        <v>13923.72</v>
      </c>
      <c r="M293" s="634">
        <v>2468</v>
      </c>
      <c r="N293" s="631" t="str">
        <f t="shared" si="90"/>
        <v>ISHARES USD CORP BOND INTERE USD_A</v>
      </c>
      <c r="O293" s="629">
        <f t="shared" si="92"/>
        <v>44603</v>
      </c>
      <c r="P293" s="643">
        <f t="shared" si="91"/>
        <v>13577.701991809754</v>
      </c>
    </row>
    <row r="294" spans="1:16">
      <c r="A294" s="673"/>
      <c r="B294" s="628" t="s">
        <v>722</v>
      </c>
      <c r="C294" s="629">
        <v>44441</v>
      </c>
      <c r="D294" s="630" t="s">
        <v>699</v>
      </c>
      <c r="E294" s="631">
        <v>2068</v>
      </c>
      <c r="F294" s="629" t="s">
        <v>59</v>
      </c>
      <c r="G294" s="631">
        <v>-11603.34</v>
      </c>
      <c r="H294" s="631">
        <f t="shared" si="77"/>
        <v>5.6108994197292068</v>
      </c>
      <c r="I294" s="632">
        <f>+E294-M292</f>
        <v>0</v>
      </c>
      <c r="K294" s="633"/>
      <c r="L294" s="640"/>
      <c r="M294" s="634"/>
      <c r="N294" s="631"/>
      <c r="O294" s="629"/>
      <c r="P294" s="640"/>
    </row>
    <row r="295" spans="1:16">
      <c r="A295" s="673"/>
      <c r="B295" s="628" t="s">
        <v>722</v>
      </c>
      <c r="C295" s="629">
        <v>44491</v>
      </c>
      <c r="D295" s="630" t="s">
        <v>699</v>
      </c>
      <c r="E295" s="631">
        <v>2468</v>
      </c>
      <c r="F295" s="629" t="s">
        <v>59</v>
      </c>
      <c r="G295" s="631">
        <v>-13923.72</v>
      </c>
      <c r="H295" s="631">
        <f t="shared" si="77"/>
        <v>5.641701782820097</v>
      </c>
      <c r="I295" s="632">
        <f>+E295-M293</f>
        <v>0</v>
      </c>
      <c r="K295" s="633"/>
      <c r="L295" s="631"/>
      <c r="M295" s="634"/>
      <c r="N295" s="631"/>
      <c r="O295" s="629"/>
      <c r="P295" s="631"/>
    </row>
    <row r="296" spans="1:16">
      <c r="A296" s="673"/>
      <c r="B296" s="628" t="s">
        <v>722</v>
      </c>
      <c r="C296" s="629">
        <v>44603</v>
      </c>
      <c r="D296" s="630" t="s">
        <v>700</v>
      </c>
      <c r="E296" s="631">
        <v>-150667</v>
      </c>
      <c r="F296" s="629" t="s">
        <v>59</v>
      </c>
      <c r="G296" s="631">
        <v>828894.5</v>
      </c>
      <c r="H296" s="631">
        <f t="shared" si="77"/>
        <v>5.5014999966814235</v>
      </c>
      <c r="I296" s="632"/>
      <c r="K296" s="633"/>
      <c r="L296" s="631"/>
      <c r="M296" s="634"/>
      <c r="N296" s="631"/>
      <c r="O296" s="629"/>
      <c r="P296" s="631"/>
    </row>
    <row r="297" spans="1:16">
      <c r="B297" s="628"/>
      <c r="C297" s="629"/>
      <c r="D297" s="630"/>
      <c r="E297" s="631"/>
      <c r="F297" s="629"/>
      <c r="G297" s="631"/>
      <c r="H297" s="631"/>
      <c r="K297" s="633"/>
      <c r="L297" s="631"/>
      <c r="M297" s="634"/>
      <c r="N297" s="631"/>
      <c r="O297" s="629"/>
      <c r="P297" s="631"/>
    </row>
    <row r="298" spans="1:16">
      <c r="B298" s="628"/>
      <c r="C298" s="629"/>
      <c r="D298" s="630"/>
      <c r="E298" s="631"/>
      <c r="F298" s="629"/>
      <c r="G298" s="631"/>
      <c r="H298" s="631"/>
      <c r="K298" s="633"/>
      <c r="L298" s="631"/>
      <c r="M298" s="634"/>
      <c r="N298" s="631"/>
      <c r="O298" s="629"/>
      <c r="P298" s="631"/>
    </row>
    <row r="299" spans="1:16">
      <c r="A299" s="673"/>
      <c r="B299" s="628" t="s">
        <v>723</v>
      </c>
      <c r="C299" s="629">
        <v>43957</v>
      </c>
      <c r="D299" s="630" t="s">
        <v>699</v>
      </c>
      <c r="E299" s="631">
        <v>11308</v>
      </c>
      <c r="F299" s="629" t="s">
        <v>59</v>
      </c>
      <c r="G299" s="631">
        <v>-59547.93</v>
      </c>
      <c r="H299" s="631">
        <f t="shared" si="77"/>
        <v>5.2660001768659352</v>
      </c>
      <c r="I299" s="632">
        <f>+E299+E300-M299</f>
        <v>0</v>
      </c>
      <c r="K299" s="633">
        <f>+C299</f>
        <v>43957</v>
      </c>
      <c r="L299" s="631">
        <f>+M299*H299</f>
        <v>39758.301335337812</v>
      </c>
      <c r="M299" s="634">
        <v>7550</v>
      </c>
      <c r="N299" s="631" t="str">
        <f>+B299</f>
        <v>ISHARES USD HY CORP BOND UCITS ETF</v>
      </c>
      <c r="O299" s="629">
        <f>+C307</f>
        <v>44370</v>
      </c>
      <c r="P299" s="635">
        <f t="shared" ref="P299:P304" si="94">+M299*H$307</f>
        <v>46564.624885730023</v>
      </c>
    </row>
    <row r="300" spans="1:16">
      <c r="A300" s="673"/>
      <c r="B300" s="628" t="s">
        <v>723</v>
      </c>
      <c r="C300" s="629">
        <v>43985</v>
      </c>
      <c r="D300" s="630" t="s">
        <v>700</v>
      </c>
      <c r="E300" s="631">
        <v>-3758</v>
      </c>
      <c r="F300" s="629" t="s">
        <v>59</v>
      </c>
      <c r="G300" s="631">
        <v>21092.15</v>
      </c>
      <c r="H300" s="631">
        <f t="shared" si="77"/>
        <v>5.6125997871208098</v>
      </c>
      <c r="K300" s="633">
        <f>+C301</f>
        <v>44118</v>
      </c>
      <c r="L300" s="631">
        <f>+M300*H301</f>
        <v>65346.77</v>
      </c>
      <c r="M300" s="634">
        <v>11284</v>
      </c>
      <c r="N300" s="631" t="str">
        <f t="shared" ref="N300:N310" si="95">+B300</f>
        <v>ISHARES USD HY CORP BOND UCITS ETF</v>
      </c>
      <c r="O300" s="629">
        <f>+C307</f>
        <v>44370</v>
      </c>
      <c r="P300" s="635">
        <f t="shared" si="94"/>
        <v>69594.069829215572</v>
      </c>
    </row>
    <row r="301" spans="1:16">
      <c r="A301" s="673"/>
      <c r="B301" s="628" t="s">
        <v>723</v>
      </c>
      <c r="C301" s="629">
        <v>44118</v>
      </c>
      <c r="D301" s="630" t="s">
        <v>699</v>
      </c>
      <c r="E301" s="631">
        <v>11284</v>
      </c>
      <c r="F301" s="629" t="s">
        <v>59</v>
      </c>
      <c r="G301" s="631">
        <v>-65346.77</v>
      </c>
      <c r="H301" s="631">
        <f t="shared" si="77"/>
        <v>5.7910997873094647</v>
      </c>
      <c r="I301" s="632">
        <f>+E301-M300</f>
        <v>0</v>
      </c>
      <c r="K301" s="633">
        <f>+C302</f>
        <v>44158</v>
      </c>
      <c r="L301" s="631">
        <f>+M301*H302</f>
        <v>866.86</v>
      </c>
      <c r="M301" s="634">
        <v>147</v>
      </c>
      <c r="N301" s="631" t="str">
        <f t="shared" si="95"/>
        <v>ISHARES USD HY CORP BOND UCITS ETF</v>
      </c>
      <c r="O301" s="629">
        <f>+C307</f>
        <v>44370</v>
      </c>
      <c r="P301" s="635">
        <f t="shared" si="94"/>
        <v>906.6224977751408</v>
      </c>
    </row>
    <row r="302" spans="1:16">
      <c r="A302" s="673"/>
      <c r="B302" s="628" t="s">
        <v>723</v>
      </c>
      <c r="C302" s="629">
        <v>44158</v>
      </c>
      <c r="D302" s="630" t="s">
        <v>699</v>
      </c>
      <c r="E302" s="631">
        <v>147</v>
      </c>
      <c r="F302" s="629" t="s">
        <v>59</v>
      </c>
      <c r="G302" s="631">
        <v>-866.86</v>
      </c>
      <c r="H302" s="631">
        <f t="shared" si="77"/>
        <v>5.8970068027210889</v>
      </c>
      <c r="I302" s="632">
        <f>+E302-M301</f>
        <v>0</v>
      </c>
      <c r="K302" s="633">
        <f>+C303</f>
        <v>44218</v>
      </c>
      <c r="L302" s="631">
        <f>+M302*H303</f>
        <v>358259.85</v>
      </c>
      <c r="M302" s="634">
        <v>59407</v>
      </c>
      <c r="N302" s="631" t="str">
        <f t="shared" si="95"/>
        <v>ISHARES USD HY CORP BOND UCITS ETF</v>
      </c>
      <c r="O302" s="629">
        <f>+C307</f>
        <v>44370</v>
      </c>
      <c r="P302" s="635">
        <f t="shared" si="94"/>
        <v>366392.67160086933</v>
      </c>
    </row>
    <row r="303" spans="1:16">
      <c r="A303" s="673"/>
      <c r="B303" s="628" t="s">
        <v>723</v>
      </c>
      <c r="C303" s="629">
        <v>44218</v>
      </c>
      <c r="D303" s="630" t="s">
        <v>699</v>
      </c>
      <c r="E303" s="631">
        <v>59407</v>
      </c>
      <c r="F303" s="629" t="s">
        <v>59</v>
      </c>
      <c r="G303" s="631">
        <v>-358259.85</v>
      </c>
      <c r="H303" s="631">
        <f t="shared" si="77"/>
        <v>6.0305999293012604</v>
      </c>
      <c r="I303" s="632">
        <f>+E303-M302</f>
        <v>0</v>
      </c>
      <c r="K303" s="633">
        <f>+C304</f>
        <v>44231</v>
      </c>
      <c r="L303" s="631">
        <f>+M303*H304</f>
        <v>57409.11</v>
      </c>
      <c r="M303" s="634">
        <v>9458</v>
      </c>
      <c r="N303" s="631" t="str">
        <f t="shared" si="95"/>
        <v>ISHARES USD HY CORP BOND UCITS ETF</v>
      </c>
      <c r="O303" s="629">
        <f>+C307</f>
        <v>44370</v>
      </c>
      <c r="P303" s="635">
        <f t="shared" si="94"/>
        <v>58332.214856852261</v>
      </c>
    </row>
    <row r="304" spans="1:16" ht="17" thickBot="1">
      <c r="A304" s="673"/>
      <c r="B304" s="628" t="s">
        <v>723</v>
      </c>
      <c r="C304" s="629">
        <v>44231</v>
      </c>
      <c r="D304" s="630" t="s">
        <v>699</v>
      </c>
      <c r="E304" s="631">
        <v>9458</v>
      </c>
      <c r="F304" s="629" t="s">
        <v>59</v>
      </c>
      <c r="G304" s="631">
        <v>-57409.11</v>
      </c>
      <c r="H304" s="631">
        <f t="shared" si="77"/>
        <v>6.069899555931487</v>
      </c>
      <c r="I304" s="632">
        <f>+E304-M303</f>
        <v>0</v>
      </c>
      <c r="K304" s="633">
        <f>+C305</f>
        <v>44293</v>
      </c>
      <c r="L304" s="644">
        <f>+M304*H305</f>
        <v>471414.23374665191</v>
      </c>
      <c r="M304" s="634">
        <v>77333</v>
      </c>
      <c r="N304" s="631" t="str">
        <f t="shared" si="95"/>
        <v>ISHARES USD HY CORP BOND UCITS ETF</v>
      </c>
      <c r="O304" s="629">
        <f>+C307</f>
        <v>44370</v>
      </c>
      <c r="P304" s="639">
        <f t="shared" si="94"/>
        <v>476951.27632955759</v>
      </c>
    </row>
    <row r="305" spans="1:16">
      <c r="A305" s="673"/>
      <c r="B305" s="628" t="s">
        <v>723</v>
      </c>
      <c r="C305" s="629">
        <v>44293</v>
      </c>
      <c r="D305" s="630" t="s">
        <v>699</v>
      </c>
      <c r="E305" s="631">
        <v>89229</v>
      </c>
      <c r="F305" s="629" t="s">
        <v>59</v>
      </c>
      <c r="G305" s="631">
        <v>-543931.06000000006</v>
      </c>
      <c r="H305" s="631">
        <f t="shared" si="77"/>
        <v>6.09589998767217</v>
      </c>
      <c r="I305" s="632">
        <f>+E305-M304-M305</f>
        <v>0</v>
      </c>
      <c r="K305" s="633">
        <f>+C305</f>
        <v>44293</v>
      </c>
      <c r="L305" s="641">
        <f>+M305*H305</f>
        <v>72516.826253348132</v>
      </c>
      <c r="M305" s="634">
        <v>11896</v>
      </c>
      <c r="N305" s="631" t="str">
        <f t="shared" si="95"/>
        <v>ISHARES USD HY CORP BOND UCITS ETF</v>
      </c>
      <c r="O305" s="629">
        <f>+C310</f>
        <v>44603</v>
      </c>
      <c r="P305" s="641">
        <f>+M305*H$310</f>
        <v>71481.873275240854</v>
      </c>
    </row>
    <row r="306" spans="1:16" ht="17" thickBot="1">
      <c r="A306" s="673"/>
      <c r="B306" s="628" t="s">
        <v>723</v>
      </c>
      <c r="C306" s="629">
        <v>44302</v>
      </c>
      <c r="D306" s="630" t="s">
        <v>699</v>
      </c>
      <c r="E306" s="631">
        <v>68181</v>
      </c>
      <c r="F306" s="629" t="s">
        <v>59</v>
      </c>
      <c r="G306" s="631">
        <v>-416906.36</v>
      </c>
      <c r="H306" s="631">
        <f t="shared" si="77"/>
        <v>6.1146999897332099</v>
      </c>
      <c r="I306" s="632">
        <f>+E306-M306-M307-M308</f>
        <v>0</v>
      </c>
      <c r="K306" s="633">
        <f>+C306</f>
        <v>44302</v>
      </c>
      <c r="L306" s="643">
        <f>+M306*H306</f>
        <v>166546.08362036344</v>
      </c>
      <c r="M306" s="634">
        <f>39133-M305</f>
        <v>27237</v>
      </c>
      <c r="N306" s="631" t="str">
        <f t="shared" si="95"/>
        <v>ISHARES USD HY CORP BOND UCITS ETF</v>
      </c>
      <c r="O306" s="629">
        <f>+O305</f>
        <v>44603</v>
      </c>
      <c r="P306" s="643">
        <f>+M306*H$310</f>
        <v>163664.40672475917</v>
      </c>
    </row>
    <row r="307" spans="1:16" ht="17" thickBot="1">
      <c r="A307" s="673"/>
      <c r="B307" s="628" t="s">
        <v>723</v>
      </c>
      <c r="C307" s="629">
        <v>44370</v>
      </c>
      <c r="D307" s="630" t="s">
        <v>700</v>
      </c>
      <c r="E307" s="631">
        <v>-165179</v>
      </c>
      <c r="F307" s="629" t="s">
        <v>59</v>
      </c>
      <c r="G307" s="631">
        <v>1018741.48</v>
      </c>
      <c r="H307" s="631">
        <f t="shared" si="77"/>
        <v>6.1674999848649037</v>
      </c>
      <c r="K307" s="633">
        <f>+C306</f>
        <v>44302</v>
      </c>
      <c r="L307" s="637">
        <f>+M307*H306</f>
        <v>18221.805969404966</v>
      </c>
      <c r="M307" s="634">
        <f>-E311</f>
        <v>2980</v>
      </c>
      <c r="N307" s="631" t="str">
        <f t="shared" si="95"/>
        <v>ISHARES USD HY CORP BOND UCITS ETF</v>
      </c>
      <c r="O307" s="629">
        <f>+C311</f>
        <v>44671</v>
      </c>
      <c r="P307" s="637">
        <f>+M307*H$311</f>
        <v>17483.96</v>
      </c>
    </row>
    <row r="308" spans="1:16">
      <c r="A308" s="673"/>
      <c r="B308" s="628" t="s">
        <v>723</v>
      </c>
      <c r="C308" s="629">
        <v>44441</v>
      </c>
      <c r="D308" s="630" t="s">
        <v>699</v>
      </c>
      <c r="E308" s="631">
        <v>69744</v>
      </c>
      <c r="F308" s="629" t="s">
        <v>59</v>
      </c>
      <c r="G308" s="631">
        <v>-436743.9</v>
      </c>
      <c r="H308" s="631">
        <f t="shared" si="77"/>
        <v>6.2620999655884377</v>
      </c>
      <c r="I308" s="632">
        <f>+E308-M309</f>
        <v>0</v>
      </c>
      <c r="K308" s="633">
        <f>+C306</f>
        <v>44302</v>
      </c>
      <c r="L308" s="641">
        <f>+M308*H306</f>
        <v>232138.47041023159</v>
      </c>
      <c r="M308" s="634">
        <v>37964</v>
      </c>
      <c r="N308" s="631" t="str">
        <f t="shared" si="95"/>
        <v>ISHARES USD HY CORP BOND UCITS ETF</v>
      </c>
      <c r="O308" s="629">
        <f>+C312</f>
        <v>44769</v>
      </c>
      <c r="P308" s="641">
        <f>+M308*H$312</f>
        <v>218349.94497470339</v>
      </c>
    </row>
    <row r="309" spans="1:16">
      <c r="A309" s="673"/>
      <c r="B309" s="628" t="s">
        <v>723</v>
      </c>
      <c r="C309" s="629">
        <v>44491</v>
      </c>
      <c r="D309" s="630" t="s">
        <v>699</v>
      </c>
      <c r="E309" s="631">
        <v>3374</v>
      </c>
      <c r="F309" s="629" t="s">
        <v>59</v>
      </c>
      <c r="G309" s="631">
        <v>-20976.5</v>
      </c>
      <c r="H309" s="631">
        <f t="shared" si="77"/>
        <v>6.2171013633669236</v>
      </c>
      <c r="I309" s="632">
        <f>+E309-M310</f>
        <v>0</v>
      </c>
      <c r="K309" s="633">
        <f>+C308</f>
        <v>44441</v>
      </c>
      <c r="L309" s="642">
        <f>+M309*H308</f>
        <v>436743.9</v>
      </c>
      <c r="M309" s="634">
        <v>69744</v>
      </c>
      <c r="N309" s="631" t="str">
        <f t="shared" si="95"/>
        <v>ISHARES USD HY CORP BOND UCITS ETF</v>
      </c>
      <c r="O309" s="629">
        <f>+O308</f>
        <v>44769</v>
      </c>
      <c r="P309" s="652">
        <f t="shared" ref="P309:P310" si="96">+M309*H$312</f>
        <v>401132.61411641852</v>
      </c>
    </row>
    <row r="310" spans="1:16" ht="17" thickBot="1">
      <c r="A310" s="673"/>
      <c r="B310" s="628" t="s">
        <v>723</v>
      </c>
      <c r="C310" s="629">
        <v>44603</v>
      </c>
      <c r="D310" s="630" t="s">
        <v>700</v>
      </c>
      <c r="E310" s="631">
        <v>-39133</v>
      </c>
      <c r="F310" s="629" t="s">
        <v>59</v>
      </c>
      <c r="G310" s="631">
        <v>235146.28</v>
      </c>
      <c r="H310" s="631">
        <f t="shared" ref="H310:H312" si="97">+ABS(G310/E310)</f>
        <v>6.0088999054506429</v>
      </c>
      <c r="I310" s="632"/>
      <c r="K310" s="633">
        <f>+C309</f>
        <v>44491</v>
      </c>
      <c r="L310" s="643">
        <f>+M310*H309</f>
        <v>20976.5</v>
      </c>
      <c r="M310" s="634">
        <v>3374</v>
      </c>
      <c r="N310" s="631" t="str">
        <f t="shared" si="95"/>
        <v>ISHARES USD HY CORP BOND UCITS ETF</v>
      </c>
      <c r="O310" s="629">
        <f>+O309</f>
        <v>44769</v>
      </c>
      <c r="P310" s="653">
        <f t="shared" si="96"/>
        <v>19405.560908878128</v>
      </c>
    </row>
    <row r="311" spans="1:16">
      <c r="A311" s="673"/>
      <c r="B311" s="628" t="s">
        <v>723</v>
      </c>
      <c r="C311" s="629">
        <v>44671</v>
      </c>
      <c r="D311" s="630" t="s">
        <v>700</v>
      </c>
      <c r="E311" s="631">
        <v>-2980</v>
      </c>
      <c r="F311" s="629" t="s">
        <v>59</v>
      </c>
      <c r="G311" s="631">
        <v>17483.96</v>
      </c>
      <c r="H311" s="631">
        <f t="shared" si="97"/>
        <v>5.867100671140939</v>
      </c>
      <c r="I311" s="632"/>
      <c r="K311" s="633"/>
      <c r="L311" s="640"/>
      <c r="M311" s="634"/>
      <c r="N311" s="631"/>
      <c r="O311" s="629"/>
      <c r="P311" s="640"/>
    </row>
    <row r="312" spans="1:16">
      <c r="A312" s="673"/>
      <c r="B312" s="628" t="s">
        <v>723</v>
      </c>
      <c r="C312" s="629">
        <v>44769</v>
      </c>
      <c r="D312" s="630" t="s">
        <v>700</v>
      </c>
      <c r="E312" s="631">
        <v>-111082</v>
      </c>
      <c r="F312" s="629" t="s">
        <v>59</v>
      </c>
      <c r="G312" s="631">
        <v>638888.12</v>
      </c>
      <c r="H312" s="631">
        <f t="shared" si="97"/>
        <v>5.7514999729929244</v>
      </c>
      <c r="I312" s="632"/>
      <c r="K312" s="633"/>
      <c r="L312" s="631"/>
      <c r="M312" s="634"/>
      <c r="N312" s="631"/>
      <c r="O312" s="629"/>
      <c r="P312" s="631"/>
    </row>
    <row r="313" spans="1:16">
      <c r="B313" s="628"/>
      <c r="C313" s="629"/>
      <c r="D313" s="630"/>
      <c r="E313" s="631"/>
      <c r="F313" s="629"/>
      <c r="G313" s="631"/>
      <c r="H313" s="631"/>
      <c r="K313" s="633"/>
      <c r="L313" s="631"/>
      <c r="M313" s="634"/>
      <c r="N313" s="631"/>
      <c r="O313" s="629"/>
      <c r="P313" s="631"/>
    </row>
    <row r="314" spans="1:16">
      <c r="A314" s="673"/>
      <c r="B314" s="628" t="s">
        <v>724</v>
      </c>
      <c r="C314" s="629">
        <v>43957</v>
      </c>
      <c r="D314" s="630" t="s">
        <v>699</v>
      </c>
      <c r="E314" s="631">
        <v>9175</v>
      </c>
      <c r="F314" s="629" t="s">
        <v>725</v>
      </c>
      <c r="G314" s="631">
        <v>-49593.63</v>
      </c>
      <c r="H314" s="631">
        <f t="shared" si="77"/>
        <v>5.4053002724795638</v>
      </c>
      <c r="I314" s="632">
        <f>+E314+E315</f>
        <v>0</v>
      </c>
      <c r="K314" s="633">
        <f>+C316</f>
        <v>44158</v>
      </c>
      <c r="L314" s="631">
        <f>+M314*H316</f>
        <v>46672.23</v>
      </c>
      <c r="M314" s="634">
        <v>8624</v>
      </c>
      <c r="N314" s="631" t="str">
        <f>+B314</f>
        <v>ISHARES USD TREASURY BOND 1- C</v>
      </c>
      <c r="O314" s="629">
        <f>+C320</f>
        <v>44302</v>
      </c>
      <c r="P314" s="635">
        <f>+M314*H$320</f>
        <v>46689.475266165173</v>
      </c>
    </row>
    <row r="315" spans="1:16" ht="17" thickBot="1">
      <c r="A315" s="673"/>
      <c r="B315" s="628" t="s">
        <v>724</v>
      </c>
      <c r="C315" s="629">
        <v>43985</v>
      </c>
      <c r="D315" s="630" t="s">
        <v>700</v>
      </c>
      <c r="E315" s="631">
        <v>-9175</v>
      </c>
      <c r="F315" s="629" t="s">
        <v>725</v>
      </c>
      <c r="G315" s="631">
        <v>49585.37</v>
      </c>
      <c r="H315" s="631">
        <f t="shared" si="77"/>
        <v>5.4043999999999999</v>
      </c>
      <c r="K315" s="633">
        <f>+C317</f>
        <v>44218</v>
      </c>
      <c r="L315" s="644">
        <f>+M315*H317</f>
        <v>85074.140446226302</v>
      </c>
      <c r="M315" s="634">
        <v>15703</v>
      </c>
      <c r="N315" s="631" t="str">
        <f>+B315</f>
        <v>ISHARES USD TREASURY BOND 1- C</v>
      </c>
      <c r="O315" s="629">
        <f>+C320</f>
        <v>44302</v>
      </c>
      <c r="P315" s="639">
        <f>+M315*H$320</f>
        <v>85014.474733834839</v>
      </c>
    </row>
    <row r="316" spans="1:16">
      <c r="A316" s="673"/>
      <c r="B316" s="628" t="s">
        <v>724</v>
      </c>
      <c r="C316" s="629">
        <v>44158</v>
      </c>
      <c r="D316" s="630" t="s">
        <v>699</v>
      </c>
      <c r="E316" s="631">
        <v>8624</v>
      </c>
      <c r="F316" s="629" t="s">
        <v>725</v>
      </c>
      <c r="G316" s="631">
        <v>-46672.23</v>
      </c>
      <c r="H316" s="631">
        <f t="shared" si="77"/>
        <v>5.4119005102040818</v>
      </c>
      <c r="I316" s="632">
        <f>+E316-M314</f>
        <v>0</v>
      </c>
      <c r="K316" s="633">
        <f>+C317</f>
        <v>44218</v>
      </c>
      <c r="L316" s="641">
        <f>+M316*H317</f>
        <v>65597.509553773678</v>
      </c>
      <c r="M316" s="634">
        <v>12108</v>
      </c>
      <c r="N316" s="631" t="str">
        <f t="shared" ref="N316:N321" si="98">+B316</f>
        <v>ISHARES USD TREASURY BOND 1- C</v>
      </c>
      <c r="O316" s="629">
        <f>+C324</f>
        <v>44603</v>
      </c>
      <c r="P316" s="641">
        <f>+M316*H$324</f>
        <v>64275.317753531737</v>
      </c>
    </row>
    <row r="317" spans="1:16">
      <c r="A317" s="673"/>
      <c r="B317" s="628" t="s">
        <v>724</v>
      </c>
      <c r="C317" s="629">
        <v>44218</v>
      </c>
      <c r="D317" s="630" t="s">
        <v>699</v>
      </c>
      <c r="E317" s="631">
        <v>27811</v>
      </c>
      <c r="F317" s="629" t="s">
        <v>725</v>
      </c>
      <c r="G317" s="631">
        <v>-150671.65</v>
      </c>
      <c r="H317" s="631">
        <f t="shared" si="77"/>
        <v>5.4176998310021212</v>
      </c>
      <c r="I317" s="632">
        <f>+E317-M315-M316</f>
        <v>0</v>
      </c>
      <c r="K317" s="633">
        <f t="shared" ref="K317:K318" si="99">+C318</f>
        <v>44231</v>
      </c>
      <c r="L317" s="642">
        <f t="shared" ref="L317:L318" si="100">+M317*H318</f>
        <v>137927</v>
      </c>
      <c r="M317" s="634">
        <v>25460</v>
      </c>
      <c r="N317" s="631" t="str">
        <f t="shared" si="98"/>
        <v>ISHARES USD TREASURY BOND 1- C</v>
      </c>
      <c r="O317" s="629">
        <f>+O316</f>
        <v>44603</v>
      </c>
      <c r="P317" s="642">
        <f t="shared" ref="P317:P321" si="101">+M317*H$324</f>
        <v>135154.40948174082</v>
      </c>
    </row>
    <row r="318" spans="1:16">
      <c r="A318" s="673"/>
      <c r="B318" s="628" t="s">
        <v>724</v>
      </c>
      <c r="C318" s="629">
        <v>44231</v>
      </c>
      <c r="D318" s="630" t="s">
        <v>699</v>
      </c>
      <c r="E318" s="631">
        <v>25460</v>
      </c>
      <c r="F318" s="629" t="s">
        <v>725</v>
      </c>
      <c r="G318" s="631">
        <v>-137927</v>
      </c>
      <c r="H318" s="631">
        <f t="shared" si="77"/>
        <v>5.4173998428908092</v>
      </c>
      <c r="I318" s="632">
        <f>+E318-M317</f>
        <v>0</v>
      </c>
      <c r="K318" s="633">
        <f t="shared" si="99"/>
        <v>44293</v>
      </c>
      <c r="L318" s="642">
        <f t="shared" si="100"/>
        <v>344391.16</v>
      </c>
      <c r="M318" s="634">
        <v>63603</v>
      </c>
      <c r="N318" s="631" t="str">
        <f t="shared" si="98"/>
        <v>ISHARES USD TREASURY BOND 1- C</v>
      </c>
      <c r="O318" s="629">
        <f t="shared" ref="O318:O321" si="102">+O317</f>
        <v>44603</v>
      </c>
      <c r="P318" s="642">
        <f t="shared" si="101"/>
        <v>337636.52420530881</v>
      </c>
    </row>
    <row r="319" spans="1:16">
      <c r="A319" s="673"/>
      <c r="B319" s="628" t="s">
        <v>724</v>
      </c>
      <c r="C319" s="629">
        <v>44293</v>
      </c>
      <c r="D319" s="630" t="s">
        <v>699</v>
      </c>
      <c r="E319" s="631">
        <v>63603</v>
      </c>
      <c r="F319" s="629" t="s">
        <v>725</v>
      </c>
      <c r="G319" s="631">
        <v>-344391.16</v>
      </c>
      <c r="H319" s="631">
        <f t="shared" si="77"/>
        <v>5.4146999355376311</v>
      </c>
      <c r="I319" s="632">
        <f>+E319-M318</f>
        <v>0</v>
      </c>
      <c r="K319" s="633">
        <f>+C321</f>
        <v>44370</v>
      </c>
      <c r="L319" s="642">
        <f>+M319*H321</f>
        <v>110926.98</v>
      </c>
      <c r="M319" s="634">
        <v>20498</v>
      </c>
      <c r="N319" s="631" t="str">
        <f t="shared" si="98"/>
        <v>ISHARES USD TREASURY BOND 1- C</v>
      </c>
      <c r="O319" s="629">
        <f t="shared" si="102"/>
        <v>44603</v>
      </c>
      <c r="P319" s="642">
        <f t="shared" si="101"/>
        <v>108813.6325827464</v>
      </c>
    </row>
    <row r="320" spans="1:16">
      <c r="A320" s="673"/>
      <c r="B320" s="628" t="s">
        <v>724</v>
      </c>
      <c r="C320" s="629">
        <v>44302</v>
      </c>
      <c r="D320" s="630" t="s">
        <v>700</v>
      </c>
      <c r="E320" s="631">
        <v>-24327</v>
      </c>
      <c r="F320" s="629" t="s">
        <v>725</v>
      </c>
      <c r="G320" s="631">
        <v>131703.95000000001</v>
      </c>
      <c r="H320" s="631">
        <f t="shared" si="77"/>
        <v>5.4139001932009707</v>
      </c>
      <c r="K320" s="633">
        <f>+C322</f>
        <v>44441</v>
      </c>
      <c r="L320" s="642">
        <f t="shared" ref="L320:L321" si="103">+M320*H322</f>
        <v>405182.53</v>
      </c>
      <c r="M320" s="634">
        <v>74779</v>
      </c>
      <c r="N320" s="631" t="str">
        <f t="shared" si="98"/>
        <v>ISHARES USD TREASURY BOND 1- C</v>
      </c>
      <c r="O320" s="629">
        <f t="shared" si="102"/>
        <v>44603</v>
      </c>
      <c r="P320" s="642">
        <f t="shared" si="101"/>
        <v>396964.31997781218</v>
      </c>
    </row>
    <row r="321" spans="1:16" ht="17" thickBot="1">
      <c r="A321" s="673"/>
      <c r="B321" s="628" t="s">
        <v>724</v>
      </c>
      <c r="C321" s="629">
        <v>44370</v>
      </c>
      <c r="D321" s="630" t="s">
        <v>699</v>
      </c>
      <c r="E321" s="631">
        <v>20498</v>
      </c>
      <c r="F321" s="629" t="s">
        <v>725</v>
      </c>
      <c r="G321" s="631">
        <v>-110926.98</v>
      </c>
      <c r="H321" s="631">
        <f t="shared" si="77"/>
        <v>5.4116001561127911</v>
      </c>
      <c r="I321" s="632">
        <f>+E321-M319</f>
        <v>0</v>
      </c>
      <c r="K321" s="633">
        <f>+C323</f>
        <v>44491</v>
      </c>
      <c r="L321" s="643">
        <f t="shared" si="103"/>
        <v>302.11</v>
      </c>
      <c r="M321" s="634">
        <v>56</v>
      </c>
      <c r="N321" s="631" t="str">
        <f t="shared" si="98"/>
        <v>ISHARES USD TREASURY BOND 1- C</v>
      </c>
      <c r="O321" s="629">
        <f t="shared" si="102"/>
        <v>44603</v>
      </c>
      <c r="P321" s="643">
        <f t="shared" si="101"/>
        <v>297.27599886007408</v>
      </c>
    </row>
    <row r="322" spans="1:16">
      <c r="A322" s="673"/>
      <c r="B322" s="628" t="s">
        <v>724</v>
      </c>
      <c r="C322" s="629">
        <v>44441</v>
      </c>
      <c r="D322" s="630" t="s">
        <v>699</v>
      </c>
      <c r="E322" s="631">
        <v>74779</v>
      </c>
      <c r="F322" s="629" t="s">
        <v>725</v>
      </c>
      <c r="G322" s="631">
        <v>-405182.53</v>
      </c>
      <c r="H322" s="631">
        <f t="shared" si="77"/>
        <v>5.4183999518581425</v>
      </c>
      <c r="I322" s="632">
        <f>+E322-M320</f>
        <v>0</v>
      </c>
      <c r="K322" s="633"/>
      <c r="L322" s="640"/>
      <c r="M322" s="634"/>
      <c r="N322" s="631"/>
      <c r="O322" s="629"/>
      <c r="P322" s="640"/>
    </row>
    <row r="323" spans="1:16">
      <c r="A323" s="673"/>
      <c r="B323" s="628" t="s">
        <v>724</v>
      </c>
      <c r="C323" s="629">
        <v>44491</v>
      </c>
      <c r="D323" s="630" t="s">
        <v>699</v>
      </c>
      <c r="E323" s="631">
        <v>56</v>
      </c>
      <c r="F323" s="629" t="s">
        <v>725</v>
      </c>
      <c r="G323" s="631">
        <v>-302.11</v>
      </c>
      <c r="H323" s="631">
        <f t="shared" si="77"/>
        <v>5.3948214285714284</v>
      </c>
      <c r="I323" s="632">
        <f>+E323-M321</f>
        <v>0</v>
      </c>
      <c r="K323" s="633"/>
      <c r="L323" s="631"/>
      <c r="M323" s="634"/>
      <c r="N323" s="631"/>
      <c r="O323" s="629"/>
      <c r="P323" s="631"/>
    </row>
    <row r="324" spans="1:16">
      <c r="A324" s="673"/>
      <c r="B324" s="628" t="s">
        <v>724</v>
      </c>
      <c r="C324" s="629">
        <v>44603</v>
      </c>
      <c r="D324" s="630" t="s">
        <v>700</v>
      </c>
      <c r="E324" s="631">
        <v>-196504</v>
      </c>
      <c r="F324" s="629" t="s">
        <v>725</v>
      </c>
      <c r="G324" s="631">
        <v>1043141.48</v>
      </c>
      <c r="H324" s="631">
        <f t="shared" si="77"/>
        <v>5.3084999796441803</v>
      </c>
      <c r="I324" s="632"/>
      <c r="K324" s="633"/>
      <c r="L324" s="631"/>
      <c r="M324" s="634"/>
      <c r="N324" s="631"/>
      <c r="O324" s="629"/>
      <c r="P324" s="631"/>
    </row>
    <row r="325" spans="1:16">
      <c r="B325" s="628"/>
      <c r="C325" s="629"/>
      <c r="D325" s="630"/>
      <c r="E325" s="631"/>
      <c r="F325" s="629"/>
      <c r="G325" s="631"/>
      <c r="H325" s="631"/>
      <c r="I325" s="632"/>
      <c r="K325" s="633"/>
      <c r="L325" s="631"/>
      <c r="M325" s="634"/>
      <c r="N325" s="631"/>
      <c r="O325" s="629"/>
      <c r="P325" s="631"/>
    </row>
    <row r="326" spans="1:16">
      <c r="B326" s="628"/>
      <c r="C326" s="629"/>
      <c r="D326" s="630"/>
      <c r="E326" s="631"/>
      <c r="F326" s="629"/>
      <c r="G326" s="631"/>
      <c r="H326" s="631"/>
      <c r="K326" s="633"/>
      <c r="L326" s="631"/>
      <c r="M326" s="634"/>
      <c r="N326" s="631"/>
      <c r="O326" s="629"/>
      <c r="P326" s="631"/>
    </row>
    <row r="327" spans="1:16">
      <c r="A327" s="673"/>
      <c r="B327" s="628" t="s">
        <v>726</v>
      </c>
      <c r="C327" s="629">
        <v>43957</v>
      </c>
      <c r="D327" s="630" t="s">
        <v>699</v>
      </c>
      <c r="E327" s="631">
        <v>7521</v>
      </c>
      <c r="F327" s="629" t="s">
        <v>725</v>
      </c>
      <c r="G327" s="631">
        <v>-39412.300000000003</v>
      </c>
      <c r="H327" s="631">
        <f t="shared" si="77"/>
        <v>5.2403004919558569</v>
      </c>
      <c r="I327" s="632">
        <f>+E327+E328</f>
        <v>0</v>
      </c>
      <c r="K327" s="633"/>
      <c r="L327" s="631"/>
      <c r="M327" s="634"/>
      <c r="N327" s="631"/>
      <c r="O327" s="629"/>
      <c r="P327" s="631"/>
    </row>
    <row r="328" spans="1:16">
      <c r="A328" s="673"/>
      <c r="B328" s="628" t="s">
        <v>726</v>
      </c>
      <c r="C328" s="629">
        <v>43985</v>
      </c>
      <c r="D328" s="630" t="s">
        <v>700</v>
      </c>
      <c r="E328" s="631">
        <v>-7521</v>
      </c>
      <c r="F328" s="629" t="s">
        <v>725</v>
      </c>
      <c r="G328" s="631">
        <v>39509.32</v>
      </c>
      <c r="H328" s="631">
        <f t="shared" si="77"/>
        <v>5.2532003722909186</v>
      </c>
      <c r="K328" s="633"/>
      <c r="L328" s="631"/>
      <c r="M328" s="634"/>
      <c r="N328" s="631"/>
      <c r="O328" s="629"/>
      <c r="P328" s="631"/>
    </row>
    <row r="329" spans="1:16">
      <c r="B329" s="628"/>
      <c r="C329" s="629"/>
      <c r="D329" s="630"/>
      <c r="E329" s="631"/>
      <c r="F329" s="629"/>
      <c r="G329" s="631"/>
      <c r="H329" s="631"/>
      <c r="K329" s="633"/>
      <c r="L329" s="631"/>
      <c r="M329" s="634"/>
      <c r="N329" s="631"/>
      <c r="O329" s="629"/>
      <c r="P329" s="631"/>
    </row>
    <row r="330" spans="1:16" ht="17" thickBot="1">
      <c r="A330" s="673"/>
      <c r="B330" s="628" t="s">
        <v>727</v>
      </c>
      <c r="C330" s="629">
        <v>43957</v>
      </c>
      <c r="D330" s="630" t="s">
        <v>699</v>
      </c>
      <c r="E330" s="631">
        <v>11082</v>
      </c>
      <c r="F330" s="629" t="s">
        <v>725</v>
      </c>
      <c r="G330" s="631">
        <v>-59579.05</v>
      </c>
      <c r="H330" s="631">
        <f t="shared" si="77"/>
        <v>5.376200144378271</v>
      </c>
      <c r="I330" s="632">
        <f>+E330+E331-M330</f>
        <v>74</v>
      </c>
      <c r="K330" s="633">
        <f>+C330</f>
        <v>43957</v>
      </c>
      <c r="L330" s="644">
        <f>+M330*H330</f>
        <v>9655.6554593033743</v>
      </c>
      <c r="M330" s="634">
        <v>1796</v>
      </c>
      <c r="N330" s="631" t="str">
        <f>+B330</f>
        <v xml:space="preserve">ISHR JPM USD EM CRP BD USD </v>
      </c>
      <c r="O330" s="629">
        <f>+C335</f>
        <v>44231</v>
      </c>
      <c r="P330" s="639">
        <f>+M330*H335</f>
        <v>11013.43</v>
      </c>
    </row>
    <row r="331" spans="1:16">
      <c r="A331" s="673"/>
      <c r="B331" s="628" t="s">
        <v>727</v>
      </c>
      <c r="C331" s="629">
        <v>43985</v>
      </c>
      <c r="D331" s="630" t="s">
        <v>700</v>
      </c>
      <c r="E331" s="631">
        <v>-9212</v>
      </c>
      <c r="F331" s="629" t="s">
        <v>725</v>
      </c>
      <c r="G331" s="631">
        <v>51955.68</v>
      </c>
      <c r="H331" s="631">
        <f t="shared" si="77"/>
        <v>5.64</v>
      </c>
      <c r="K331" s="633">
        <f>+C330</f>
        <v>43957</v>
      </c>
      <c r="L331" s="641">
        <f>+M331*H330</f>
        <v>397.83881068399205</v>
      </c>
      <c r="M331" s="634">
        <v>74</v>
      </c>
      <c r="N331" s="631" t="str">
        <f t="shared" ref="N331:N339" si="104">+B331</f>
        <v xml:space="preserve">ISHR JPM USD EM CRP BD USD </v>
      </c>
      <c r="O331" s="629">
        <f>+C341</f>
        <v>44603</v>
      </c>
      <c r="P331" s="641">
        <f>+M331*H$341</f>
        <v>438.36120341033467</v>
      </c>
    </row>
    <row r="332" spans="1:16">
      <c r="A332" s="673"/>
      <c r="B332" s="628" t="s">
        <v>727</v>
      </c>
      <c r="C332" s="629">
        <v>44118</v>
      </c>
      <c r="D332" s="630" t="s">
        <v>699</v>
      </c>
      <c r="E332" s="631">
        <v>5007</v>
      </c>
      <c r="F332" s="629" t="s">
        <v>725</v>
      </c>
      <c r="G332" s="631">
        <v>-29737.07</v>
      </c>
      <c r="H332" s="631">
        <f t="shared" si="77"/>
        <v>5.9390992610345519</v>
      </c>
      <c r="I332" s="632">
        <f>+E332</f>
        <v>5007</v>
      </c>
      <c r="K332" s="633">
        <f>+C332</f>
        <v>44118</v>
      </c>
      <c r="L332" s="642">
        <f>+M332*H332</f>
        <v>29737.07</v>
      </c>
      <c r="M332" s="634">
        <v>5007</v>
      </c>
      <c r="N332" s="631" t="str">
        <f t="shared" si="104"/>
        <v xml:space="preserve">ISHR JPM USD EM CRP BD USD </v>
      </c>
      <c r="O332" s="629">
        <f>+O331</f>
        <v>44603</v>
      </c>
      <c r="P332" s="642">
        <f t="shared" ref="P332:P339" si="105">+M332*H$341</f>
        <v>29660.466830750618</v>
      </c>
    </row>
    <row r="333" spans="1:16">
      <c r="A333" s="673"/>
      <c r="B333" s="628" t="s">
        <v>727</v>
      </c>
      <c r="C333" s="629">
        <v>44158</v>
      </c>
      <c r="D333" s="630" t="s">
        <v>699</v>
      </c>
      <c r="E333" s="631">
        <v>2783</v>
      </c>
      <c r="F333" s="629" t="s">
        <v>725</v>
      </c>
      <c r="G333" s="631">
        <v>-16785.939999999999</v>
      </c>
      <c r="H333" s="631">
        <f t="shared" si="77"/>
        <v>6.0315989938914836</v>
      </c>
      <c r="I333" s="632">
        <f>+E333</f>
        <v>2783</v>
      </c>
      <c r="K333" s="633">
        <f t="shared" ref="K333:K334" si="106">+C333</f>
        <v>44158</v>
      </c>
      <c r="L333" s="642">
        <f t="shared" ref="L333:L334" si="107">+M333*H333</f>
        <v>16785.939999999999</v>
      </c>
      <c r="M333" s="634">
        <v>2783</v>
      </c>
      <c r="N333" s="631" t="str">
        <f t="shared" si="104"/>
        <v xml:space="preserve">ISHR JPM USD EM CRP BD USD </v>
      </c>
      <c r="O333" s="629">
        <f t="shared" ref="O333:O339" si="108">+O332</f>
        <v>44603</v>
      </c>
      <c r="P333" s="642">
        <f t="shared" si="105"/>
        <v>16485.935528256236</v>
      </c>
    </row>
    <row r="334" spans="1:16">
      <c r="A334" s="673"/>
      <c r="B334" s="628" t="s">
        <v>727</v>
      </c>
      <c r="C334" s="629">
        <v>44218</v>
      </c>
      <c r="D334" s="630" t="s">
        <v>699</v>
      </c>
      <c r="E334" s="631">
        <v>30746</v>
      </c>
      <c r="F334" s="629" t="s">
        <v>725</v>
      </c>
      <c r="G334" s="631">
        <v>-188076.36</v>
      </c>
      <c r="H334" s="631">
        <f t="shared" si="77"/>
        <v>6.1171001105834897</v>
      </c>
      <c r="I334" s="632">
        <f>+E334</f>
        <v>30746</v>
      </c>
      <c r="K334" s="633">
        <f t="shared" si="106"/>
        <v>44218</v>
      </c>
      <c r="L334" s="642">
        <f t="shared" si="107"/>
        <v>188076.36</v>
      </c>
      <c r="M334" s="634">
        <v>30746</v>
      </c>
      <c r="N334" s="631" t="str">
        <f t="shared" si="104"/>
        <v xml:space="preserve">ISHR JPM USD EM CRP BD USD </v>
      </c>
      <c r="O334" s="629">
        <f t="shared" si="108"/>
        <v>44603</v>
      </c>
      <c r="P334" s="642">
        <f t="shared" si="105"/>
        <v>182133.15621694797</v>
      </c>
    </row>
    <row r="335" spans="1:16">
      <c r="A335" s="673"/>
      <c r="B335" s="628" t="s">
        <v>727</v>
      </c>
      <c r="C335" s="629">
        <v>44231</v>
      </c>
      <c r="D335" s="630" t="s">
        <v>700</v>
      </c>
      <c r="E335" s="631">
        <v>-1796</v>
      </c>
      <c r="F335" s="629" t="s">
        <v>725</v>
      </c>
      <c r="G335" s="631">
        <v>11013.43</v>
      </c>
      <c r="H335" s="631">
        <f t="shared" si="77"/>
        <v>6.1321993318485521</v>
      </c>
      <c r="K335" s="633">
        <f>+C336</f>
        <v>44293</v>
      </c>
      <c r="L335" s="642">
        <f>+M335*H336</f>
        <v>246363.87999999998</v>
      </c>
      <c r="M335" s="634">
        <v>40636</v>
      </c>
      <c r="N335" s="631" t="str">
        <f t="shared" si="104"/>
        <v xml:space="preserve">ISHR JPM USD EM CRP BD USD </v>
      </c>
      <c r="O335" s="629">
        <f t="shared" si="108"/>
        <v>44603</v>
      </c>
      <c r="P335" s="642">
        <f t="shared" si="105"/>
        <v>240719.5386727346</v>
      </c>
    </row>
    <row r="336" spans="1:16">
      <c r="A336" s="673"/>
      <c r="B336" s="628" t="s">
        <v>727</v>
      </c>
      <c r="C336" s="629">
        <v>44293</v>
      </c>
      <c r="D336" s="630" t="s">
        <v>699</v>
      </c>
      <c r="E336" s="631">
        <v>40636</v>
      </c>
      <c r="F336" s="629" t="s">
        <v>725</v>
      </c>
      <c r="G336" s="631">
        <v>-246363.88</v>
      </c>
      <c r="H336" s="631">
        <f t="shared" si="77"/>
        <v>6.0627000689044195</v>
      </c>
      <c r="I336" s="632">
        <f>+E336</f>
        <v>40636</v>
      </c>
      <c r="K336" s="633">
        <f t="shared" ref="K336:K339" si="109">+C337</f>
        <v>44302</v>
      </c>
      <c r="L336" s="642">
        <f>+M336*H337</f>
        <v>106915.41</v>
      </c>
      <c r="M336" s="634">
        <v>17612</v>
      </c>
      <c r="N336" s="631" t="str">
        <f t="shared" si="104"/>
        <v xml:space="preserve">ISHR JPM USD EM CRP BD USD </v>
      </c>
      <c r="O336" s="629">
        <f t="shared" si="108"/>
        <v>44603</v>
      </c>
      <c r="P336" s="642">
        <f t="shared" si="105"/>
        <v>104329.96641165965</v>
      </c>
    </row>
    <row r="337" spans="1:16">
      <c r="A337" s="673"/>
      <c r="B337" s="628" t="s">
        <v>727</v>
      </c>
      <c r="C337" s="629">
        <v>44302</v>
      </c>
      <c r="D337" s="630" t="s">
        <v>699</v>
      </c>
      <c r="E337" s="631">
        <v>17612</v>
      </c>
      <c r="F337" s="629" t="s">
        <v>725</v>
      </c>
      <c r="G337" s="631">
        <v>-106915.41</v>
      </c>
      <c r="H337" s="631">
        <f t="shared" si="77"/>
        <v>6.0706001589825123</v>
      </c>
      <c r="I337" s="632">
        <f t="shared" ref="I337:I340" si="110">+E337</f>
        <v>17612</v>
      </c>
      <c r="K337" s="633">
        <f t="shared" si="109"/>
        <v>44370</v>
      </c>
      <c r="L337" s="642">
        <f t="shared" ref="L337:L339" si="111">+M337*H338</f>
        <v>21743.9</v>
      </c>
      <c r="M337" s="634">
        <v>3531</v>
      </c>
      <c r="N337" s="631" t="str">
        <f t="shared" si="104"/>
        <v xml:space="preserve">ISHR JPM USD EM CRP BD USD </v>
      </c>
      <c r="O337" s="629">
        <f t="shared" si="108"/>
        <v>44603</v>
      </c>
      <c r="P337" s="642">
        <f t="shared" si="105"/>
        <v>20916.937962728265</v>
      </c>
    </row>
    <row r="338" spans="1:16">
      <c r="A338" s="673"/>
      <c r="B338" s="628" t="s">
        <v>727</v>
      </c>
      <c r="C338" s="629">
        <v>44370</v>
      </c>
      <c r="D338" s="630" t="s">
        <v>699</v>
      </c>
      <c r="E338" s="631">
        <v>3531</v>
      </c>
      <c r="F338" s="629" t="s">
        <v>725</v>
      </c>
      <c r="G338" s="631">
        <v>-21743.9</v>
      </c>
      <c r="H338" s="631">
        <f t="shared" si="77"/>
        <v>6.1580005664117818</v>
      </c>
      <c r="I338" s="632">
        <f t="shared" si="110"/>
        <v>3531</v>
      </c>
      <c r="K338" s="633">
        <f t="shared" si="109"/>
        <v>44441</v>
      </c>
      <c r="L338" s="642">
        <f t="shared" si="111"/>
        <v>14420.19</v>
      </c>
      <c r="M338" s="634">
        <v>2320</v>
      </c>
      <c r="N338" s="631" t="str">
        <f t="shared" si="104"/>
        <v xml:space="preserve">ISHR JPM USD EM CRP BD USD </v>
      </c>
      <c r="O338" s="629">
        <f t="shared" si="108"/>
        <v>44603</v>
      </c>
      <c r="P338" s="642">
        <f t="shared" si="105"/>
        <v>13743.2161069186</v>
      </c>
    </row>
    <row r="339" spans="1:16" ht="17" thickBot="1">
      <c r="A339" s="673"/>
      <c r="B339" s="628" t="s">
        <v>727</v>
      </c>
      <c r="C339" s="629">
        <v>44441</v>
      </c>
      <c r="D339" s="630" t="s">
        <v>699</v>
      </c>
      <c r="E339" s="631">
        <v>2320</v>
      </c>
      <c r="F339" s="629" t="s">
        <v>725</v>
      </c>
      <c r="G339" s="631">
        <v>-14420.19</v>
      </c>
      <c r="H339" s="631">
        <f t="shared" si="77"/>
        <v>6.2155991379310347</v>
      </c>
      <c r="I339" s="632">
        <f t="shared" si="110"/>
        <v>2320</v>
      </c>
      <c r="K339" s="633">
        <f t="shared" si="109"/>
        <v>44491</v>
      </c>
      <c r="L339" s="643">
        <f t="shared" si="111"/>
        <v>8817.5300000000007</v>
      </c>
      <c r="M339" s="634">
        <v>1445</v>
      </c>
      <c r="N339" s="631" t="str">
        <f t="shared" si="104"/>
        <v xml:space="preserve">ISHR JPM USD EM CRP BD USD </v>
      </c>
      <c r="O339" s="629">
        <f t="shared" si="108"/>
        <v>44603</v>
      </c>
      <c r="P339" s="643">
        <f t="shared" si="105"/>
        <v>8559.8910665936983</v>
      </c>
    </row>
    <row r="340" spans="1:16">
      <c r="A340" s="673"/>
      <c r="B340" s="628" t="s">
        <v>727</v>
      </c>
      <c r="C340" s="629">
        <v>44491</v>
      </c>
      <c r="D340" s="630" t="s">
        <v>699</v>
      </c>
      <c r="E340" s="631">
        <v>1445</v>
      </c>
      <c r="F340" s="629" t="s">
        <v>725</v>
      </c>
      <c r="G340" s="631">
        <v>-8817.5300000000007</v>
      </c>
      <c r="H340" s="631">
        <f t="shared" si="77"/>
        <v>6.1020968858131495</v>
      </c>
      <c r="I340" s="632">
        <f t="shared" si="110"/>
        <v>1445</v>
      </c>
      <c r="K340" s="633"/>
      <c r="L340" s="640"/>
      <c r="M340" s="634"/>
      <c r="N340" s="631"/>
      <c r="O340" s="629"/>
      <c r="P340" s="640"/>
    </row>
    <row r="341" spans="1:16">
      <c r="A341" s="673"/>
      <c r="B341" s="628" t="s">
        <v>727</v>
      </c>
      <c r="C341" s="629">
        <v>44603</v>
      </c>
      <c r="D341" s="630" t="s">
        <v>700</v>
      </c>
      <c r="E341" s="631">
        <v>-104154</v>
      </c>
      <c r="F341" s="629" t="s">
        <v>725</v>
      </c>
      <c r="G341" s="631">
        <v>616987.47</v>
      </c>
      <c r="H341" s="631">
        <f t="shared" si="77"/>
        <v>5.9238000460856037</v>
      </c>
      <c r="I341" s="632"/>
      <c r="K341" s="633"/>
      <c r="L341" s="631"/>
      <c r="M341" s="634"/>
      <c r="N341" s="631"/>
      <c r="O341" s="629"/>
      <c r="P341" s="631"/>
    </row>
    <row r="342" spans="1:16">
      <c r="B342" s="628"/>
      <c r="C342" s="629"/>
      <c r="D342" s="630"/>
      <c r="E342" s="631"/>
      <c r="F342" s="629"/>
      <c r="G342" s="631"/>
      <c r="H342" s="631"/>
      <c r="K342" s="633"/>
      <c r="L342" s="631"/>
      <c r="M342" s="634"/>
      <c r="N342" s="631"/>
      <c r="O342" s="629"/>
      <c r="P342" s="631"/>
    </row>
    <row r="343" spans="1:16">
      <c r="A343" s="673"/>
      <c r="B343" s="628" t="s">
        <v>729</v>
      </c>
      <c r="C343" s="629">
        <v>44603</v>
      </c>
      <c r="D343" s="630" t="s">
        <v>699</v>
      </c>
      <c r="E343" s="631">
        <v>43074</v>
      </c>
      <c r="F343" s="629" t="s">
        <v>725</v>
      </c>
      <c r="G343" s="631">
        <v>-227917.46</v>
      </c>
      <c r="H343" s="631">
        <f t="shared" si="77"/>
        <v>5.2913000882202716</v>
      </c>
      <c r="K343" s="633">
        <f>+C343</f>
        <v>44603</v>
      </c>
      <c r="L343" s="631">
        <f>+M343*H343</f>
        <v>227917.46</v>
      </c>
      <c r="M343" s="634">
        <f>-E344</f>
        <v>43074</v>
      </c>
      <c r="N343" s="631" t="str">
        <f>+B343</f>
        <v>ISHARES IV PLC USD ULTRASHORT BD UCITS ETF</v>
      </c>
      <c r="O343" s="629">
        <f>+C344</f>
        <v>44671</v>
      </c>
      <c r="P343" s="631">
        <f>+M343*H344</f>
        <v>227086.12999999998</v>
      </c>
    </row>
    <row r="344" spans="1:16">
      <c r="A344" s="673"/>
      <c r="B344" s="628" t="s">
        <v>729</v>
      </c>
      <c r="C344" s="629">
        <v>44671</v>
      </c>
      <c r="D344" s="630" t="s">
        <v>700</v>
      </c>
      <c r="E344" s="631">
        <v>-43074</v>
      </c>
      <c r="F344" s="629" t="s">
        <v>725</v>
      </c>
      <c r="G344" s="631">
        <v>227086.13</v>
      </c>
      <c r="H344" s="631">
        <f t="shared" si="77"/>
        <v>5.2720000464317218</v>
      </c>
      <c r="K344" s="633"/>
      <c r="L344" s="631"/>
      <c r="M344" s="634"/>
      <c r="N344" s="631"/>
      <c r="O344" s="629"/>
      <c r="P344" s="631"/>
    </row>
    <row r="345" spans="1:16">
      <c r="K345" s="633"/>
      <c r="L345" s="631"/>
      <c r="M345" s="634"/>
      <c r="N345" s="631"/>
      <c r="O345" s="629"/>
      <c r="P345" s="631"/>
    </row>
    <row r="346" spans="1:16">
      <c r="B346" s="628"/>
      <c r="C346" s="629"/>
      <c r="D346" s="630"/>
      <c r="E346" s="631"/>
      <c r="F346" s="629"/>
      <c r="G346" s="631"/>
      <c r="H346" s="631"/>
      <c r="K346" s="633"/>
      <c r="L346" s="631"/>
      <c r="M346" s="634"/>
      <c r="N346" s="631"/>
      <c r="O346" s="629"/>
      <c r="P346" s="631"/>
    </row>
    <row r="347" spans="1:16">
      <c r="A347" t="s">
        <v>806</v>
      </c>
      <c r="B347" s="628" t="s">
        <v>730</v>
      </c>
      <c r="C347" s="629">
        <v>44603</v>
      </c>
      <c r="D347" s="630" t="s">
        <v>699</v>
      </c>
      <c r="E347" s="631">
        <v>194396</v>
      </c>
      <c r="F347" s="629" t="s">
        <v>725</v>
      </c>
      <c r="G347" s="631">
        <v>-1037277.62</v>
      </c>
      <c r="H347" s="631">
        <f t="shared" si="77"/>
        <v>5.3359000185188998</v>
      </c>
      <c r="I347" s="671">
        <f>+E347-M347-M348-M349-M350</f>
        <v>88114</v>
      </c>
      <c r="K347" s="633">
        <f>+C347</f>
        <v>44603</v>
      </c>
      <c r="L347" s="631">
        <f>+M347*H347</f>
        <v>15772.920454741869</v>
      </c>
      <c r="M347" s="634">
        <f>-E348</f>
        <v>2956</v>
      </c>
      <c r="N347" s="631" t="str">
        <f>+B347</f>
        <v>ISHARES II PLC USD FLOATING RATE BOND</v>
      </c>
      <c r="O347" s="629">
        <f>+C348</f>
        <v>44671</v>
      </c>
      <c r="P347" s="631">
        <f>+M347*H348</f>
        <v>15721.19</v>
      </c>
    </row>
    <row r="348" spans="1:16">
      <c r="B348" s="628" t="s">
        <v>730</v>
      </c>
      <c r="C348" s="629">
        <v>44671</v>
      </c>
      <c r="D348" s="630" t="s">
        <v>700</v>
      </c>
      <c r="E348" s="631">
        <v>-2956</v>
      </c>
      <c r="F348" s="629" t="s">
        <v>725</v>
      </c>
      <c r="G348" s="631">
        <v>15721.19</v>
      </c>
      <c r="H348" s="631">
        <f t="shared" si="77"/>
        <v>5.3183998646820028</v>
      </c>
      <c r="K348" s="633">
        <f>+C347</f>
        <v>44603</v>
      </c>
      <c r="L348" s="631">
        <f>+M348*H347</f>
        <v>87257.973002839572</v>
      </c>
      <c r="M348" s="634">
        <f>-E349</f>
        <v>16353</v>
      </c>
      <c r="N348" s="631" t="str">
        <f>+B348</f>
        <v>ISHARES II PLC USD FLOATING RATE BOND</v>
      </c>
      <c r="O348" s="629">
        <f>+C349</f>
        <v>44769</v>
      </c>
      <c r="P348" s="631">
        <f>+M348*H349</f>
        <v>86409.25</v>
      </c>
    </row>
    <row r="349" spans="1:16">
      <c r="B349" s="628" t="s">
        <v>730</v>
      </c>
      <c r="C349" s="629">
        <v>44769</v>
      </c>
      <c r="D349" s="630" t="s">
        <v>700</v>
      </c>
      <c r="E349" s="631">
        <v>-16353</v>
      </c>
      <c r="F349" s="629" t="s">
        <v>725</v>
      </c>
      <c r="G349" s="631">
        <v>86409.25</v>
      </c>
      <c r="H349" s="631">
        <f t="shared" si="77"/>
        <v>5.2839998776982817</v>
      </c>
      <c r="K349" s="633">
        <f>+C347</f>
        <v>44603</v>
      </c>
      <c r="L349" s="644">
        <f>+M349*H347</f>
        <v>56677.929996707753</v>
      </c>
      <c r="M349" s="634">
        <f>-E350</f>
        <v>10622</v>
      </c>
      <c r="N349" s="631" t="str">
        <f>+B349</f>
        <v>ISHARES II PLC USD FLOATING RATE BOND</v>
      </c>
      <c r="O349" s="629">
        <f>+C350</f>
        <v>44862</v>
      </c>
      <c r="P349" s="644">
        <f>+M349*H350</f>
        <v>56662</v>
      </c>
    </row>
    <row r="350" spans="1:16">
      <c r="B350" s="628" t="s">
        <v>730</v>
      </c>
      <c r="C350" s="629">
        <v>44862</v>
      </c>
      <c r="D350" s="630" t="s">
        <v>700</v>
      </c>
      <c r="E350" s="631">
        <v>-10622</v>
      </c>
      <c r="F350" s="629" t="s">
        <v>725</v>
      </c>
      <c r="G350" s="631">
        <v>56662</v>
      </c>
      <c r="H350" s="631">
        <f t="shared" si="77"/>
        <v>5.3344003012615326</v>
      </c>
      <c r="K350" s="633">
        <f>+C347</f>
        <v>44603</v>
      </c>
      <c r="L350" s="644">
        <f>+M350*H347</f>
        <v>407401.30231393653</v>
      </c>
      <c r="M350" s="634">
        <f>-E351</f>
        <v>76351</v>
      </c>
      <c r="N350" s="631" t="str">
        <f>+B350</f>
        <v>ISHARES II PLC USD FLOATING RATE BOND</v>
      </c>
      <c r="O350" s="629">
        <f>+C351</f>
        <v>44897</v>
      </c>
      <c r="P350" s="644">
        <f>+M350*H351</f>
        <v>409981.96</v>
      </c>
    </row>
    <row r="351" spans="1:16">
      <c r="B351" s="628" t="s">
        <v>730</v>
      </c>
      <c r="C351" s="629">
        <v>44897</v>
      </c>
      <c r="D351" s="630" t="s">
        <v>700</v>
      </c>
      <c r="E351" s="631">
        <v>-76351</v>
      </c>
      <c r="F351" s="629" t="s">
        <v>725</v>
      </c>
      <c r="G351" s="631">
        <v>409981.96</v>
      </c>
      <c r="H351" s="631">
        <f t="shared" si="77"/>
        <v>5.3696999384421948</v>
      </c>
      <c r="K351" s="633"/>
      <c r="L351" s="644"/>
      <c r="M351" s="634"/>
      <c r="N351" s="631"/>
      <c r="O351" s="629"/>
      <c r="P351" s="644"/>
    </row>
    <row r="352" spans="1:16" ht="17" thickBot="1">
      <c r="B352" s="628"/>
      <c r="C352" s="629"/>
      <c r="D352" s="630"/>
      <c r="E352" s="631"/>
      <c r="F352" s="629"/>
      <c r="G352" s="631"/>
      <c r="H352" s="631"/>
      <c r="K352" s="633"/>
      <c r="L352" s="644"/>
      <c r="M352" s="634"/>
      <c r="N352" s="631"/>
      <c r="O352" s="629"/>
      <c r="P352" s="644"/>
    </row>
    <row r="353" spans="1:16">
      <c r="A353" t="s">
        <v>791</v>
      </c>
      <c r="B353" s="628" t="s">
        <v>731</v>
      </c>
      <c r="C353" s="629">
        <v>44603</v>
      </c>
      <c r="D353" s="630" t="s">
        <v>699</v>
      </c>
      <c r="E353" s="631">
        <v>12373</v>
      </c>
      <c r="F353" s="629" t="s">
        <v>725</v>
      </c>
      <c r="G353" s="631">
        <v>-444768.52</v>
      </c>
      <c r="H353" s="631">
        <f t="shared" si="77"/>
        <v>35.946700072739027</v>
      </c>
      <c r="I353" s="632">
        <f>+E353-M353</f>
        <v>0</v>
      </c>
      <c r="K353" s="633">
        <f>+C353</f>
        <v>44603</v>
      </c>
      <c r="L353" s="641">
        <f>+M353*H353</f>
        <v>444768.51999999996</v>
      </c>
      <c r="M353" s="634">
        <v>12373</v>
      </c>
      <c r="N353" s="631" t="str">
        <f>+B353</f>
        <v>ISHARES CORE MSCI EM IMI UCITS ETF</v>
      </c>
      <c r="O353" s="629">
        <f>+C355</f>
        <v>44769</v>
      </c>
      <c r="P353" s="641">
        <f>+M353*H$355</f>
        <v>358928.35791038186</v>
      </c>
    </row>
    <row r="354" spans="1:16" ht="17" thickBot="1">
      <c r="B354" s="628" t="s">
        <v>731</v>
      </c>
      <c r="C354" s="629">
        <v>44671</v>
      </c>
      <c r="D354" s="630" t="s">
        <v>699</v>
      </c>
      <c r="E354" s="631">
        <v>4539</v>
      </c>
      <c r="F354" s="629" t="s">
        <v>725</v>
      </c>
      <c r="G354" s="631">
        <v>-145658.78</v>
      </c>
      <c r="H354" s="631">
        <f t="shared" si="77"/>
        <v>32.09050011015642</v>
      </c>
      <c r="I354" s="632">
        <f>+E354-M354-M355</f>
        <v>2147</v>
      </c>
      <c r="K354" s="633">
        <f>+C354</f>
        <v>44671</v>
      </c>
      <c r="L354" s="643">
        <f>+M354*H354</f>
        <v>39086.22913417052</v>
      </c>
      <c r="M354" s="634">
        <f>13591-M353</f>
        <v>1218</v>
      </c>
      <c r="N354" s="631" t="str">
        <f>+B354</f>
        <v>ISHARES CORE MSCI EM IMI UCITS ETF</v>
      </c>
      <c r="O354" s="629">
        <f>+O353</f>
        <v>44769</v>
      </c>
      <c r="P354" s="643">
        <f>+M354*H$355</f>
        <v>35332.96208961813</v>
      </c>
    </row>
    <row r="355" spans="1:16">
      <c r="B355" s="628" t="s">
        <v>731</v>
      </c>
      <c r="C355" s="629">
        <v>44769</v>
      </c>
      <c r="D355" s="630" t="s">
        <v>700</v>
      </c>
      <c r="E355" s="631">
        <v>-13591</v>
      </c>
      <c r="F355" s="629" t="s">
        <v>725</v>
      </c>
      <c r="G355" s="631">
        <v>394261.32</v>
      </c>
      <c r="H355" s="631">
        <f t="shared" si="77"/>
        <v>29.009000073578104</v>
      </c>
      <c r="I355" s="632"/>
      <c r="K355" s="633">
        <f>+C354</f>
        <v>44671</v>
      </c>
      <c r="L355" s="640">
        <f>+M355*H354</f>
        <v>37674.247129323638</v>
      </c>
      <c r="M355" s="634">
        <f>-E356</f>
        <v>1174</v>
      </c>
      <c r="N355" s="631" t="str">
        <f>+B355</f>
        <v>ISHARES CORE MSCI EM IMI UCITS ETF</v>
      </c>
      <c r="O355" s="629">
        <f>+C356</f>
        <v>44862</v>
      </c>
      <c r="P355" s="640">
        <f>+M355*H356</f>
        <v>29565.19</v>
      </c>
    </row>
    <row r="356" spans="1:16">
      <c r="B356" s="628" t="s">
        <v>731</v>
      </c>
      <c r="C356" s="629">
        <v>44862</v>
      </c>
      <c r="D356" s="630" t="s">
        <v>700</v>
      </c>
      <c r="E356" s="631">
        <v>-1174</v>
      </c>
      <c r="F356" s="629" t="s">
        <v>725</v>
      </c>
      <c r="G356" s="631">
        <v>29565.19</v>
      </c>
      <c r="H356" s="631">
        <f t="shared" si="77"/>
        <v>25.183296422487221</v>
      </c>
      <c r="K356" s="633"/>
      <c r="L356" s="640"/>
      <c r="M356" s="634"/>
      <c r="N356" s="631"/>
      <c r="O356" s="629"/>
      <c r="P356" s="640"/>
    </row>
    <row r="357" spans="1:16">
      <c r="B357" s="628" t="s">
        <v>731</v>
      </c>
      <c r="C357" s="629">
        <v>44897</v>
      </c>
      <c r="D357" s="630" t="s">
        <v>699</v>
      </c>
      <c r="E357" s="631">
        <v>22157</v>
      </c>
      <c r="F357" s="629" t="s">
        <v>725</v>
      </c>
      <c r="G357" s="631">
        <v>-639747.92000000004</v>
      </c>
      <c r="H357" s="631">
        <f t="shared" si="77"/>
        <v>28.873399828496641</v>
      </c>
      <c r="K357" s="633"/>
      <c r="L357" s="640"/>
      <c r="M357" s="634"/>
      <c r="N357" s="631"/>
      <c r="O357" s="629"/>
      <c r="P357" s="640"/>
    </row>
    <row r="358" spans="1:16">
      <c r="B358" s="628"/>
      <c r="C358" s="629"/>
      <c r="D358" s="630"/>
      <c r="E358" s="631"/>
      <c r="F358" s="629"/>
      <c r="G358" s="631"/>
      <c r="H358" s="631"/>
      <c r="K358" s="633"/>
      <c r="L358" s="631"/>
      <c r="M358" s="634"/>
      <c r="N358" s="631"/>
      <c r="O358" s="629"/>
      <c r="P358" s="631"/>
    </row>
    <row r="359" spans="1:16">
      <c r="A359" t="s">
        <v>732</v>
      </c>
      <c r="B359" s="628" t="s">
        <v>732</v>
      </c>
      <c r="C359" s="629">
        <v>44603</v>
      </c>
      <c r="D359" s="630" t="s">
        <v>699</v>
      </c>
      <c r="E359" s="631">
        <v>50015</v>
      </c>
      <c r="F359" s="629" t="s">
        <v>725</v>
      </c>
      <c r="G359" s="631">
        <v>-438846.61</v>
      </c>
      <c r="H359" s="631">
        <f t="shared" si="77"/>
        <v>8.7742999100269916</v>
      </c>
      <c r="I359" s="671">
        <f>+E359-M359-M360</f>
        <v>39653</v>
      </c>
      <c r="K359" s="633">
        <f>+C359</f>
        <v>44603</v>
      </c>
      <c r="L359" s="631">
        <f>+M359*H359</f>
        <v>88866.109488753369</v>
      </c>
      <c r="M359" s="634">
        <f>-E361</f>
        <v>10128</v>
      </c>
      <c r="N359" s="631" t="str">
        <f>+B359</f>
        <v>ISHARES IV PLC ISH MSCI USA</v>
      </c>
      <c r="O359" s="629">
        <f>+C361</f>
        <v>44769</v>
      </c>
      <c r="P359" s="631">
        <f>+M359*H361</f>
        <v>77497.429999999993</v>
      </c>
    </row>
    <row r="360" spans="1:16">
      <c r="B360" s="628" t="s">
        <v>732</v>
      </c>
      <c r="C360" s="629">
        <v>44671</v>
      </c>
      <c r="D360" s="630" t="s">
        <v>699</v>
      </c>
      <c r="E360" s="631">
        <v>30250</v>
      </c>
      <c r="F360" s="629" t="s">
        <v>725</v>
      </c>
      <c r="G360" s="631">
        <v>-261538.48</v>
      </c>
      <c r="H360" s="631">
        <f t="shared" si="77"/>
        <v>8.6459001652892571</v>
      </c>
      <c r="I360" s="632">
        <f>+E360</f>
        <v>30250</v>
      </c>
      <c r="K360" s="633">
        <f>+C359</f>
        <v>44603</v>
      </c>
      <c r="L360" s="631">
        <f>+M360*H359</f>
        <v>2053.186178946316</v>
      </c>
      <c r="M360" s="634">
        <f>-E362</f>
        <v>234</v>
      </c>
      <c r="N360" s="631" t="str">
        <f>+B360</f>
        <v>ISHARES IV PLC ISH MSCI USA</v>
      </c>
      <c r="O360" s="629">
        <f>+C362</f>
        <v>44862</v>
      </c>
      <c r="P360" s="631">
        <f>+M360*H362</f>
        <v>1723.18</v>
      </c>
    </row>
    <row r="361" spans="1:16">
      <c r="B361" s="628" t="s">
        <v>732</v>
      </c>
      <c r="C361" s="629">
        <v>44769</v>
      </c>
      <c r="D361" s="630" t="s">
        <v>700</v>
      </c>
      <c r="E361" s="631">
        <v>-10128</v>
      </c>
      <c r="F361" s="629" t="s">
        <v>725</v>
      </c>
      <c r="G361" s="631">
        <v>77497.429999999993</v>
      </c>
      <c r="H361" s="631">
        <f t="shared" si="77"/>
        <v>7.6517999605055289</v>
      </c>
      <c r="K361" s="633"/>
      <c r="L361" s="631"/>
      <c r="M361" s="634"/>
      <c r="N361" s="631"/>
      <c r="O361" s="629"/>
      <c r="P361" s="631"/>
    </row>
    <row r="362" spans="1:16">
      <c r="B362" s="628" t="s">
        <v>732</v>
      </c>
      <c r="C362" s="629">
        <v>44862</v>
      </c>
      <c r="D362" s="630" t="s">
        <v>700</v>
      </c>
      <c r="E362" s="631">
        <v>-234</v>
      </c>
      <c r="F362" s="629" t="s">
        <v>725</v>
      </c>
      <c r="G362" s="631">
        <v>1723.18</v>
      </c>
      <c r="H362" s="631">
        <f t="shared" si="77"/>
        <v>7.3640170940170941</v>
      </c>
      <c r="K362" s="633"/>
      <c r="L362" s="631"/>
      <c r="M362" s="634"/>
      <c r="N362" s="631"/>
      <c r="O362" s="629"/>
      <c r="P362" s="631"/>
    </row>
    <row r="363" spans="1:16">
      <c r="B363" s="628" t="s">
        <v>732</v>
      </c>
      <c r="C363" s="629">
        <v>44897</v>
      </c>
      <c r="D363" s="630" t="s">
        <v>699</v>
      </c>
      <c r="E363" s="631">
        <v>41127</v>
      </c>
      <c r="F363" s="629" t="s">
        <v>725</v>
      </c>
      <c r="G363" s="631">
        <v>-319688.40000000002</v>
      </c>
      <c r="H363" s="631">
        <f t="shared" si="77"/>
        <v>7.7732000875337377</v>
      </c>
      <c r="K363" s="633"/>
      <c r="L363" s="631"/>
      <c r="M363" s="634"/>
      <c r="N363" s="631"/>
      <c r="O363" s="629"/>
      <c r="P363" s="631"/>
    </row>
    <row r="364" spans="1:16">
      <c r="B364" s="628"/>
      <c r="C364" s="629"/>
      <c r="D364" s="630"/>
      <c r="E364" s="631"/>
      <c r="F364" s="629"/>
      <c r="G364" s="631"/>
      <c r="H364" s="631"/>
      <c r="K364" s="633"/>
      <c r="L364" s="631"/>
      <c r="M364" s="634"/>
      <c r="N364" s="631"/>
      <c r="O364" s="629"/>
      <c r="P364" s="631"/>
    </row>
    <row r="365" spans="1:16">
      <c r="B365" s="628"/>
      <c r="C365" s="629"/>
      <c r="D365" s="630"/>
      <c r="E365" s="631"/>
      <c r="F365" s="629"/>
      <c r="G365" s="631"/>
      <c r="H365" s="631"/>
      <c r="K365" s="633"/>
      <c r="L365" s="631"/>
      <c r="M365" s="634"/>
      <c r="N365" s="631"/>
      <c r="O365" s="629"/>
      <c r="P365" s="631"/>
    </row>
    <row r="366" spans="1:16">
      <c r="A366" s="673"/>
      <c r="B366" s="628" t="s">
        <v>733</v>
      </c>
      <c r="C366" s="629">
        <v>44671</v>
      </c>
      <c r="D366" s="630" t="s">
        <v>699</v>
      </c>
      <c r="E366" s="631">
        <v>67287</v>
      </c>
      <c r="F366" s="629" t="s">
        <v>725</v>
      </c>
      <c r="G366" s="631">
        <v>-367824.39</v>
      </c>
      <c r="H366" s="631">
        <f t="shared" si="77"/>
        <v>5.4665000668777033</v>
      </c>
      <c r="K366" s="633">
        <f>+C366</f>
        <v>44671</v>
      </c>
      <c r="L366" s="631">
        <f>+M366*H366</f>
        <v>367824.39</v>
      </c>
      <c r="M366" s="634">
        <f>-E367</f>
        <v>67287</v>
      </c>
      <c r="N366" s="631" t="str">
        <f>+B366</f>
        <v>ISHARES USD CORP BD INT RT HDG ETF</v>
      </c>
      <c r="O366" s="629">
        <f>+C367</f>
        <v>44769</v>
      </c>
      <c r="P366" s="631">
        <f>+M366*H367</f>
        <v>363215.23</v>
      </c>
    </row>
    <row r="367" spans="1:16">
      <c r="A367" s="673"/>
      <c r="B367" s="628" t="s">
        <v>733</v>
      </c>
      <c r="C367" s="629">
        <v>44769</v>
      </c>
      <c r="D367" s="630" t="s">
        <v>700</v>
      </c>
      <c r="E367" s="631">
        <v>-67287</v>
      </c>
      <c r="F367" s="629" t="s">
        <v>725</v>
      </c>
      <c r="G367" s="631">
        <v>363215.23</v>
      </c>
      <c r="H367" s="631">
        <f t="shared" si="77"/>
        <v>5.3980000594468471</v>
      </c>
      <c r="K367" s="633"/>
      <c r="L367" s="631"/>
      <c r="M367" s="634"/>
      <c r="N367" s="631"/>
      <c r="O367" s="629"/>
      <c r="P367" s="631"/>
    </row>
    <row r="368" spans="1:16">
      <c r="B368" s="628" t="s">
        <v>733</v>
      </c>
      <c r="C368" s="629">
        <v>44897</v>
      </c>
      <c r="D368" s="630" t="s">
        <v>699</v>
      </c>
      <c r="E368" s="631">
        <v>33648</v>
      </c>
      <c r="F368" s="629" t="s">
        <v>725</v>
      </c>
      <c r="G368" s="631">
        <v>-188802.29</v>
      </c>
      <c r="H368" s="631">
        <f t="shared" si="77"/>
        <v>5.6110999167855447</v>
      </c>
      <c r="K368" s="633"/>
      <c r="L368" s="631"/>
      <c r="M368" s="634"/>
      <c r="N368" s="631"/>
      <c r="O368" s="629"/>
      <c r="P368" s="631"/>
    </row>
    <row r="369" spans="1:16">
      <c r="B369" s="628"/>
      <c r="C369" s="629"/>
      <c r="D369" s="630"/>
      <c r="E369" s="631"/>
      <c r="F369" s="629"/>
      <c r="G369" s="631"/>
      <c r="H369" s="631"/>
      <c r="K369" s="633"/>
      <c r="L369" s="631"/>
      <c r="M369" s="634"/>
      <c r="N369" s="631"/>
      <c r="O369" s="629"/>
      <c r="P369" s="631"/>
    </row>
    <row r="370" spans="1:16">
      <c r="A370" t="s">
        <v>807</v>
      </c>
      <c r="B370" s="628" t="s">
        <v>781</v>
      </c>
      <c r="C370" s="629">
        <v>44769</v>
      </c>
      <c r="D370" s="630" t="s">
        <v>699</v>
      </c>
      <c r="E370" s="631">
        <v>2137</v>
      </c>
      <c r="F370" s="629" t="s">
        <v>725</v>
      </c>
      <c r="G370" s="631">
        <v>-278241.46000000002</v>
      </c>
      <c r="H370" s="631">
        <f t="shared" si="77"/>
        <v>130.2018998596163</v>
      </c>
      <c r="K370" s="633">
        <f>+C370</f>
        <v>44769</v>
      </c>
      <c r="L370" s="631">
        <f>+M370*H370</f>
        <v>278241.46000000002</v>
      </c>
      <c r="M370" s="634">
        <f>-E371</f>
        <v>2137</v>
      </c>
      <c r="N370" s="631" t="str">
        <f>+B370</f>
        <v>ISHARES VII PLC USD TSY BD 3-7 UCITS ETF</v>
      </c>
      <c r="O370" s="629">
        <f>+C371</f>
        <v>44862</v>
      </c>
      <c r="P370" s="631">
        <f>+M370*H371</f>
        <v>264129.14</v>
      </c>
    </row>
    <row r="371" spans="1:16">
      <c r="B371" s="628" t="s">
        <v>781</v>
      </c>
      <c r="C371" s="629">
        <v>44862</v>
      </c>
      <c r="D371" s="630" t="s">
        <v>700</v>
      </c>
      <c r="E371" s="631">
        <v>-2137</v>
      </c>
      <c r="F371" s="629" t="s">
        <v>725</v>
      </c>
      <c r="G371" s="631">
        <v>264129.14</v>
      </c>
      <c r="H371" s="631">
        <f t="shared" si="77"/>
        <v>123.59810014038372</v>
      </c>
      <c r="K371" s="633"/>
      <c r="L371" s="631"/>
      <c r="M371" s="634"/>
      <c r="N371" s="631"/>
      <c r="O371" s="629"/>
      <c r="P371" s="631"/>
    </row>
    <row r="372" spans="1:16">
      <c r="K372" s="633"/>
      <c r="L372" s="631"/>
      <c r="M372" s="634"/>
      <c r="N372" s="631"/>
      <c r="O372" s="629"/>
      <c r="P372" s="631"/>
    </row>
    <row r="373" spans="1:16">
      <c r="B373" s="628"/>
      <c r="C373" s="629"/>
      <c r="D373" s="630"/>
      <c r="E373" s="631"/>
      <c r="F373" s="629"/>
      <c r="G373" s="631"/>
      <c r="H373" s="631"/>
      <c r="K373" s="633"/>
      <c r="L373" s="631"/>
      <c r="M373" s="634"/>
      <c r="N373" s="631"/>
      <c r="O373" s="629"/>
      <c r="P373" s="631"/>
    </row>
    <row r="374" spans="1:16">
      <c r="A374" t="s">
        <v>809</v>
      </c>
      <c r="B374" s="628" t="s">
        <v>729</v>
      </c>
      <c r="C374" s="629">
        <v>44769</v>
      </c>
      <c r="D374" s="630" t="s">
        <v>699</v>
      </c>
      <c r="E374" s="631">
        <v>70022</v>
      </c>
      <c r="F374" s="629" t="s">
        <v>725</v>
      </c>
      <c r="G374" s="631">
        <v>-370234.32</v>
      </c>
      <c r="H374" s="631">
        <f t="shared" si="77"/>
        <v>5.2873999600125678</v>
      </c>
      <c r="I374" s="632">
        <f>+E374-M374</f>
        <v>27913</v>
      </c>
      <c r="K374" s="633">
        <f>+C374</f>
        <v>44769</v>
      </c>
      <c r="L374" s="631">
        <f>+M374*H374</f>
        <v>222647.12491616921</v>
      </c>
      <c r="M374" s="634">
        <f>-E376</f>
        <v>42109</v>
      </c>
      <c r="N374" s="631" t="str">
        <f>+B374</f>
        <v>ISHARES IV PLC USD ULTRASHORT BD UCITS ETF</v>
      </c>
      <c r="O374" s="629">
        <f>+C376</f>
        <v>44897</v>
      </c>
      <c r="P374" s="631">
        <f>+M374*H376</f>
        <v>224727.31</v>
      </c>
    </row>
    <row r="375" spans="1:16">
      <c r="B375" s="628" t="s">
        <v>729</v>
      </c>
      <c r="C375" s="629">
        <v>44862</v>
      </c>
      <c r="D375" s="630" t="s">
        <v>699</v>
      </c>
      <c r="E375" s="631">
        <v>74816</v>
      </c>
      <c r="F375" s="629" t="s">
        <v>725</v>
      </c>
      <c r="G375" s="631">
        <v>-397602.15</v>
      </c>
      <c r="H375" s="631">
        <f>+ABS(G375/E375)</f>
        <v>5.3143999946535505</v>
      </c>
      <c r="I375" s="632">
        <f>+E375</f>
        <v>74816</v>
      </c>
      <c r="K375" s="633"/>
      <c r="L375" s="631"/>
      <c r="M375" s="634"/>
      <c r="N375" s="631"/>
      <c r="O375" s="629"/>
      <c r="P375" s="631"/>
    </row>
    <row r="376" spans="1:16">
      <c r="B376" s="628" t="s">
        <v>729</v>
      </c>
      <c r="C376" s="629">
        <v>44897</v>
      </c>
      <c r="D376" s="630" t="s">
        <v>700</v>
      </c>
      <c r="E376" s="631">
        <v>-42109</v>
      </c>
      <c r="F376" s="629" t="s">
        <v>725</v>
      </c>
      <c r="G376" s="631">
        <v>224727.31</v>
      </c>
      <c r="H376" s="631">
        <f>+ABS(G376/E376)</f>
        <v>5.3367999715025292</v>
      </c>
      <c r="K376" s="633"/>
      <c r="L376" s="631"/>
      <c r="M376" s="634"/>
      <c r="N376" s="631"/>
      <c r="O376" s="629"/>
      <c r="P376" s="631"/>
    </row>
    <row r="377" spans="1:16">
      <c r="B377" s="628"/>
      <c r="C377" s="629"/>
      <c r="D377" s="630"/>
      <c r="E377" s="631"/>
      <c r="F377" s="629"/>
      <c r="G377" s="631"/>
      <c r="H377" s="631"/>
      <c r="K377" s="633"/>
      <c r="L377" s="631"/>
      <c r="M377" s="634"/>
      <c r="N377" s="631"/>
      <c r="O377" s="629"/>
      <c r="P377" s="631"/>
    </row>
    <row r="378" spans="1:16">
      <c r="B378" s="628"/>
      <c r="C378" s="629"/>
      <c r="D378" s="630"/>
      <c r="E378" s="631"/>
      <c r="F378" s="629"/>
      <c r="G378" s="631"/>
      <c r="H378" s="631"/>
      <c r="K378" s="633"/>
      <c r="L378" s="631"/>
      <c r="M378" s="634"/>
      <c r="N378" s="631"/>
      <c r="O378" s="629"/>
      <c r="P378" s="631"/>
    </row>
    <row r="379" spans="1:16">
      <c r="A379" t="s">
        <v>808</v>
      </c>
      <c r="B379" s="628" t="s">
        <v>782</v>
      </c>
      <c r="C379" s="629">
        <v>44769</v>
      </c>
      <c r="D379" s="630" t="s">
        <v>699</v>
      </c>
      <c r="E379" s="631">
        <v>2499</v>
      </c>
      <c r="F379" s="629" t="s">
        <v>725</v>
      </c>
      <c r="G379" s="631">
        <v>-371240.94</v>
      </c>
      <c r="H379" s="631">
        <f t="shared" si="77"/>
        <v>148.55579831932772</v>
      </c>
      <c r="K379" s="633"/>
      <c r="L379" s="631"/>
      <c r="M379" s="634"/>
      <c r="N379" s="631"/>
      <c r="O379" s="629"/>
      <c r="P379" s="631"/>
    </row>
    <row r="380" spans="1:16">
      <c r="B380" s="628" t="s">
        <v>782</v>
      </c>
      <c r="C380" s="629">
        <v>44862</v>
      </c>
      <c r="D380" s="630" t="s">
        <v>699</v>
      </c>
      <c r="E380" s="631">
        <v>78</v>
      </c>
      <c r="F380" s="629" t="s">
        <v>725</v>
      </c>
      <c r="G380" s="631">
        <v>-10611.72</v>
      </c>
      <c r="H380" s="631">
        <f>+ABS(G380/E380)</f>
        <v>136.0476923076923</v>
      </c>
      <c r="K380" s="633"/>
      <c r="L380" s="631"/>
      <c r="M380" s="634"/>
      <c r="N380" s="631"/>
      <c r="O380" s="629"/>
      <c r="P380" s="631"/>
    </row>
    <row r="381" spans="1:16">
      <c r="B381" s="628" t="s">
        <v>782</v>
      </c>
      <c r="C381" s="629">
        <v>44897</v>
      </c>
      <c r="D381" s="630" t="s">
        <v>699</v>
      </c>
      <c r="E381" s="631">
        <v>88</v>
      </c>
      <c r="F381" s="629" t="s">
        <v>725</v>
      </c>
      <c r="G381" s="631">
        <v>-12404.62</v>
      </c>
      <c r="H381" s="631">
        <f>+ABS(G381/E381)</f>
        <v>140.96159090909092</v>
      </c>
      <c r="K381" s="633"/>
      <c r="L381" s="631"/>
      <c r="M381" s="634"/>
      <c r="N381" s="631"/>
      <c r="O381" s="629"/>
      <c r="P381" s="631"/>
    </row>
    <row r="382" spans="1:16">
      <c r="B382" s="628"/>
      <c r="C382" s="629"/>
      <c r="D382" s="630"/>
      <c r="E382" s="631"/>
      <c r="F382" s="629"/>
      <c r="G382" s="631"/>
      <c r="H382" s="631"/>
      <c r="K382" s="633"/>
      <c r="L382" s="631"/>
      <c r="M382" s="634"/>
      <c r="N382" s="631"/>
      <c r="O382" s="629"/>
      <c r="P382" s="631"/>
    </row>
    <row r="383" spans="1:16">
      <c r="B383" s="628" t="s">
        <v>831</v>
      </c>
      <c r="C383" s="629">
        <v>44897</v>
      </c>
      <c r="D383" s="630" t="s">
        <v>699</v>
      </c>
      <c r="E383" s="631">
        <v>45991</v>
      </c>
      <c r="F383" s="629" t="s">
        <v>725</v>
      </c>
      <c r="G383" s="631">
        <v>-225645.64</v>
      </c>
      <c r="H383" s="631">
        <f>+ABS(G383/E383)</f>
        <v>4.9062999282468311</v>
      </c>
      <c r="K383" s="633"/>
      <c r="L383" s="631"/>
      <c r="M383" s="634"/>
      <c r="N383" s="631"/>
      <c r="O383" s="629"/>
      <c r="P383" s="631"/>
    </row>
    <row r="384" spans="1:16">
      <c r="B384" s="628"/>
      <c r="C384" s="629"/>
      <c r="D384" s="630"/>
      <c r="E384" s="631"/>
      <c r="F384" s="629"/>
      <c r="G384" s="631"/>
      <c r="H384" s="631"/>
      <c r="K384" s="633"/>
      <c r="L384" s="631"/>
      <c r="M384" s="634"/>
      <c r="N384" s="631"/>
      <c r="O384" s="629"/>
      <c r="P384" s="631"/>
    </row>
    <row r="385" spans="2:16">
      <c r="B385" s="628" t="s">
        <v>832</v>
      </c>
      <c r="C385" s="629">
        <v>44897</v>
      </c>
      <c r="D385" s="630" t="s">
        <v>699</v>
      </c>
      <c r="E385" s="631">
        <v>28260</v>
      </c>
      <c r="F385" s="629" t="s">
        <v>725</v>
      </c>
      <c r="G385" s="631">
        <v>-151134.48000000001</v>
      </c>
      <c r="H385" s="631">
        <f>+ABS(G385/E385)</f>
        <v>5.3480000000000008</v>
      </c>
      <c r="K385" s="633"/>
      <c r="L385" s="631"/>
      <c r="M385" s="634"/>
      <c r="N385" s="631"/>
      <c r="O385" s="629"/>
      <c r="P385" s="631"/>
    </row>
    <row r="386" spans="2:16">
      <c r="B386" s="628"/>
      <c r="C386" s="629"/>
      <c r="D386" s="630"/>
      <c r="E386" s="631"/>
      <c r="F386" s="629"/>
      <c r="G386" s="631"/>
      <c r="H386" s="631"/>
      <c r="K386" s="633"/>
      <c r="L386" s="631"/>
      <c r="M386" s="634"/>
      <c r="N386" s="631"/>
      <c r="O386" s="629"/>
      <c r="P386" s="631"/>
    </row>
    <row r="387" spans="2:16">
      <c r="B387" s="628" t="s">
        <v>833</v>
      </c>
      <c r="C387" s="629">
        <v>44897</v>
      </c>
      <c r="D387" s="630" t="s">
        <v>699</v>
      </c>
      <c r="E387" s="631">
        <v>112</v>
      </c>
      <c r="F387" s="629" t="s">
        <v>725</v>
      </c>
      <c r="G387" s="631">
        <v>-18479.099999999999</v>
      </c>
      <c r="H387" s="631">
        <f>+ABS(G387/E387)</f>
        <v>164.99196428571426</v>
      </c>
      <c r="K387" s="633"/>
      <c r="L387" s="631"/>
      <c r="M387" s="634"/>
      <c r="N387" s="631"/>
      <c r="O387" s="629"/>
      <c r="P387" s="631"/>
    </row>
    <row r="388" spans="2:16">
      <c r="B388" s="628"/>
      <c r="C388" s="629"/>
      <c r="D388" s="630"/>
      <c r="E388" s="631"/>
      <c r="F388" s="629"/>
      <c r="G388" s="631"/>
      <c r="H388" s="631"/>
      <c r="K388" s="633"/>
      <c r="L388" s="631"/>
      <c r="M388" s="634"/>
      <c r="N388" s="631"/>
      <c r="O388" s="629"/>
      <c r="P388" s="631"/>
    </row>
    <row r="389" spans="2:16">
      <c r="B389" s="628"/>
      <c r="C389" s="629"/>
      <c r="D389" s="630"/>
      <c r="E389" s="631"/>
      <c r="F389" s="629"/>
      <c r="G389" s="631"/>
      <c r="H389" s="631"/>
      <c r="K389" s="633"/>
      <c r="L389" s="631"/>
      <c r="M389" s="634"/>
      <c r="N389" s="631"/>
      <c r="O389" s="629"/>
      <c r="P389" s="631"/>
    </row>
    <row r="390" spans="2:16">
      <c r="B390" s="628"/>
      <c r="C390" s="629"/>
      <c r="D390" s="630"/>
      <c r="E390" s="631"/>
      <c r="F390" s="629"/>
      <c r="G390" s="631"/>
      <c r="H390" s="631"/>
      <c r="K390" s="633"/>
      <c r="L390" s="631"/>
      <c r="M390" s="634"/>
      <c r="N390" s="631"/>
      <c r="O390" s="629"/>
      <c r="P390" s="631"/>
    </row>
    <row r="391" spans="2:16">
      <c r="B391" s="628"/>
      <c r="C391" s="629"/>
      <c r="D391" s="630"/>
      <c r="E391" s="631"/>
      <c r="F391" s="629"/>
      <c r="G391" s="631"/>
      <c r="H391" s="631"/>
      <c r="K391" s="633"/>
      <c r="L391" s="631"/>
      <c r="M391" s="634"/>
      <c r="N391" s="631"/>
      <c r="O391" s="629"/>
      <c r="P391" s="631"/>
    </row>
    <row r="392" spans="2:16">
      <c r="B392" s="628"/>
      <c r="C392" s="629"/>
      <c r="D392" s="630"/>
      <c r="E392" s="631"/>
      <c r="F392" s="629"/>
      <c r="G392" s="631"/>
      <c r="H392" s="631"/>
      <c r="K392" s="633"/>
      <c r="L392" s="631"/>
      <c r="M392" s="634"/>
      <c r="N392" s="631"/>
      <c r="O392" s="629"/>
      <c r="P392" s="631"/>
    </row>
    <row r="393" spans="2:16">
      <c r="B393" s="628"/>
      <c r="C393" s="629"/>
      <c r="D393" s="630"/>
      <c r="E393" s="631"/>
      <c r="F393" s="629"/>
      <c r="G393" s="631"/>
      <c r="H393" s="631"/>
      <c r="K393" s="633"/>
      <c r="L393" s="631"/>
      <c r="M393" s="634"/>
      <c r="N393" s="631"/>
      <c r="O393" s="629"/>
      <c r="P393" s="631"/>
    </row>
    <row r="394" spans="2:16">
      <c r="B394" s="628"/>
      <c r="C394" s="629"/>
      <c r="D394" s="630"/>
      <c r="E394" s="631"/>
      <c r="F394" s="629"/>
      <c r="G394" s="631"/>
      <c r="H394" s="631"/>
      <c r="K394" s="633"/>
      <c r="L394" s="631"/>
      <c r="M394" s="634"/>
      <c r="N394" s="631"/>
      <c r="O394" s="629"/>
      <c r="P394" s="631"/>
    </row>
    <row r="395" spans="2:16">
      <c r="B395" s="628"/>
      <c r="C395" s="629"/>
      <c r="D395" s="630"/>
      <c r="E395" s="631"/>
      <c r="F395" s="629"/>
      <c r="G395" s="631"/>
      <c r="H395" s="631"/>
      <c r="K395" s="633"/>
      <c r="L395" s="631"/>
      <c r="M395" s="634"/>
      <c r="N395" s="631"/>
      <c r="O395" s="629"/>
      <c r="P395" s="631"/>
    </row>
    <row r="396" spans="2:16">
      <c r="B396" s="628"/>
      <c r="C396" s="629"/>
      <c r="D396" s="630"/>
      <c r="E396" s="631"/>
      <c r="F396" s="629"/>
      <c r="G396" s="631"/>
      <c r="H396" s="631"/>
      <c r="K396" s="633"/>
      <c r="L396" s="631"/>
      <c r="M396" s="634"/>
      <c r="N396" s="631"/>
      <c r="O396" s="629"/>
      <c r="P396" s="631"/>
    </row>
    <row r="397" spans="2:16">
      <c r="B397" s="628"/>
      <c r="C397" s="629"/>
      <c r="D397" s="630"/>
      <c r="E397" s="631"/>
      <c r="F397" s="629"/>
      <c r="G397" s="631"/>
      <c r="H397" s="631"/>
      <c r="K397" s="633"/>
      <c r="L397" s="631"/>
      <c r="M397" s="634"/>
      <c r="N397" s="631"/>
      <c r="O397" s="629"/>
      <c r="P397" s="631"/>
    </row>
    <row r="398" spans="2:16">
      <c r="B398" s="628"/>
      <c r="C398" s="629"/>
      <c r="D398" s="630"/>
      <c r="E398" s="631"/>
      <c r="F398" s="629"/>
      <c r="G398" s="631"/>
      <c r="H398" s="631"/>
      <c r="K398" s="633"/>
      <c r="L398" s="631"/>
      <c r="M398" s="634"/>
      <c r="N398" s="631"/>
      <c r="O398" s="629"/>
      <c r="P398" s="631"/>
    </row>
    <row r="399" spans="2:16">
      <c r="B399" s="628"/>
      <c r="C399" s="629"/>
      <c r="D399" s="630"/>
      <c r="E399" s="631"/>
      <c r="F399" s="629"/>
      <c r="G399" s="631"/>
      <c r="H399" s="631"/>
      <c r="K399" s="633"/>
      <c r="L399" s="631"/>
      <c r="M399" s="634"/>
      <c r="N399" s="631"/>
      <c r="O399" s="629"/>
      <c r="P399" s="631"/>
    </row>
    <row r="400" spans="2:16">
      <c r="B400" s="628"/>
      <c r="C400" s="629"/>
      <c r="D400" s="630"/>
      <c r="E400" s="631"/>
      <c r="F400" s="629"/>
      <c r="G400" s="631"/>
      <c r="H400" s="631"/>
      <c r="K400" s="633"/>
      <c r="L400" s="631"/>
      <c r="M400" s="634"/>
      <c r="N400" s="631"/>
      <c r="O400" s="629"/>
      <c r="P400" s="631"/>
    </row>
    <row r="401" spans="2:16">
      <c r="B401" s="628"/>
      <c r="C401" s="629"/>
      <c r="D401" s="630"/>
      <c r="E401" s="631"/>
      <c r="F401" s="629"/>
      <c r="G401" s="631"/>
      <c r="H401" s="631"/>
      <c r="K401" s="633"/>
      <c r="L401" s="631"/>
      <c r="M401" s="634"/>
      <c r="N401" s="631"/>
      <c r="O401" s="629"/>
      <c r="P401" s="631"/>
    </row>
    <row r="402" spans="2:16">
      <c r="B402" s="628"/>
      <c r="C402" s="629"/>
      <c r="D402" s="630"/>
      <c r="E402" s="631"/>
      <c r="F402" s="629"/>
      <c r="G402" s="631"/>
      <c r="H402" s="631"/>
      <c r="K402" s="633"/>
      <c r="L402" s="631"/>
      <c r="M402" s="634"/>
      <c r="N402" s="631"/>
      <c r="O402" s="629"/>
      <c r="P402" s="631"/>
    </row>
    <row r="403" spans="2:16">
      <c r="B403" s="628"/>
      <c r="C403" s="629"/>
      <c r="D403" s="630"/>
      <c r="E403" s="631"/>
      <c r="F403" s="629"/>
      <c r="G403" s="631"/>
      <c r="H403" s="631"/>
      <c r="K403" s="633"/>
      <c r="L403" s="631"/>
      <c r="M403" s="634"/>
      <c r="N403" s="631"/>
      <c r="O403" s="629"/>
      <c r="P403" s="631"/>
    </row>
    <row r="404" spans="2:16">
      <c r="B404" s="628"/>
      <c r="C404" s="629"/>
      <c r="D404" s="630"/>
      <c r="E404" s="631"/>
      <c r="F404" s="629"/>
      <c r="G404" s="631"/>
      <c r="H404" s="631"/>
      <c r="K404" s="633"/>
      <c r="L404" s="631"/>
      <c r="M404" s="634"/>
      <c r="N404" s="631"/>
      <c r="O404" s="629"/>
      <c r="P404" s="631"/>
    </row>
    <row r="405" spans="2:16">
      <c r="B405" s="628"/>
      <c r="C405" s="629"/>
      <c r="D405" s="630"/>
      <c r="E405" s="631"/>
      <c r="F405" s="629"/>
      <c r="G405" s="631"/>
      <c r="H405" s="631"/>
      <c r="K405" s="633"/>
      <c r="L405" s="631"/>
      <c r="M405" s="634"/>
      <c r="N405" s="631"/>
      <c r="O405" s="629"/>
      <c r="P405" s="631"/>
    </row>
    <row r="406" spans="2:16">
      <c r="B406" s="628"/>
      <c r="C406" s="629"/>
      <c r="D406" s="630"/>
      <c r="E406" s="631"/>
      <c r="F406" s="629"/>
      <c r="G406" s="631"/>
      <c r="H406" s="631"/>
      <c r="K406" s="633"/>
      <c r="L406" s="631"/>
      <c r="M406" s="634"/>
      <c r="N406" s="631"/>
      <c r="O406" s="629"/>
      <c r="P406" s="631"/>
    </row>
    <row r="407" spans="2:16">
      <c r="B407" s="628"/>
      <c r="C407" s="629"/>
      <c r="D407" s="630"/>
      <c r="E407" s="631"/>
      <c r="F407" s="629"/>
      <c r="G407" s="631"/>
      <c r="H407" s="631"/>
      <c r="K407" s="633"/>
      <c r="L407" s="631"/>
      <c r="M407" s="634"/>
      <c r="N407" s="631"/>
      <c r="O407" s="629"/>
      <c r="P407" s="631"/>
    </row>
    <row r="408" spans="2:16">
      <c r="B408" s="628"/>
      <c r="C408" s="629"/>
      <c r="D408" s="630"/>
      <c r="E408" s="631"/>
      <c r="F408" s="629"/>
      <c r="G408" s="631"/>
      <c r="H408" s="631"/>
      <c r="K408" s="633"/>
      <c r="L408" s="631"/>
      <c r="M408" s="634"/>
      <c r="N408" s="631"/>
      <c r="O408" s="629"/>
      <c r="P408" s="631"/>
    </row>
    <row r="409" spans="2:16">
      <c r="B409" s="628"/>
      <c r="C409" s="629"/>
      <c r="D409" s="630"/>
      <c r="E409" s="631"/>
      <c r="F409" s="629"/>
      <c r="G409" s="631"/>
      <c r="H409" s="631"/>
      <c r="K409" s="633"/>
      <c r="L409" s="631"/>
      <c r="M409" s="634"/>
      <c r="N409" s="631"/>
      <c r="O409" s="629"/>
      <c r="P409" s="631"/>
    </row>
    <row r="410" spans="2:16">
      <c r="B410" s="628"/>
      <c r="C410" s="629"/>
      <c r="D410" s="630"/>
      <c r="E410" s="631"/>
      <c r="F410" s="629"/>
      <c r="G410" s="631"/>
      <c r="H410" s="631"/>
      <c r="K410" s="633"/>
      <c r="L410" s="631"/>
      <c r="M410" s="634"/>
      <c r="N410" s="631"/>
      <c r="O410" s="629"/>
      <c r="P410" s="631"/>
    </row>
    <row r="411" spans="2:16">
      <c r="B411" s="628"/>
      <c r="C411" s="629"/>
      <c r="D411" s="630"/>
      <c r="E411" s="631"/>
      <c r="F411" s="629"/>
      <c r="G411" s="631"/>
      <c r="H411" s="631"/>
      <c r="K411" s="633"/>
      <c r="L411" s="631"/>
      <c r="M411" s="634"/>
      <c r="N411" s="631"/>
      <c r="O411" s="629"/>
      <c r="P411" s="631"/>
    </row>
    <row r="412" spans="2:16">
      <c r="B412" s="628"/>
      <c r="C412" s="629"/>
      <c r="D412" s="630"/>
      <c r="E412" s="631"/>
      <c r="F412" s="629"/>
      <c r="G412" s="631"/>
      <c r="H412" s="631"/>
      <c r="K412" s="633"/>
      <c r="L412" s="631"/>
      <c r="M412" s="634"/>
      <c r="N412" s="631"/>
      <c r="O412" s="629"/>
      <c r="P412" s="631"/>
    </row>
    <row r="413" spans="2:16">
      <c r="B413" s="628"/>
      <c r="C413" s="629"/>
      <c r="D413" s="630"/>
      <c r="E413" s="631"/>
      <c r="F413" s="629"/>
      <c r="G413" s="631"/>
      <c r="H413" s="631"/>
      <c r="K413" s="633"/>
      <c r="L413" s="631"/>
      <c r="M413" s="634"/>
      <c r="N413" s="631"/>
      <c r="O413" s="629"/>
      <c r="P413" s="631"/>
    </row>
    <row r="414" spans="2:16">
      <c r="B414" s="628"/>
      <c r="C414" s="629"/>
      <c r="D414" s="630"/>
      <c r="E414" s="631"/>
      <c r="F414" s="629"/>
      <c r="G414" s="631"/>
      <c r="H414" s="631"/>
      <c r="K414" s="633"/>
      <c r="L414" s="631"/>
      <c r="M414" s="634"/>
      <c r="N414" s="631"/>
      <c r="O414" s="629"/>
      <c r="P414" s="631"/>
    </row>
    <row r="415" spans="2:16">
      <c r="B415" s="628"/>
      <c r="C415" s="629"/>
      <c r="D415" s="630"/>
      <c r="E415" s="631"/>
      <c r="F415" s="629"/>
      <c r="G415" s="631"/>
      <c r="H415" s="631"/>
      <c r="K415" s="633"/>
      <c r="L415" s="631"/>
      <c r="M415" s="634"/>
      <c r="N415" s="631"/>
      <c r="O415" s="629"/>
      <c r="P415" s="631"/>
    </row>
    <row r="416" spans="2:16">
      <c r="B416" s="628"/>
      <c r="C416" s="629"/>
      <c r="D416" s="630"/>
      <c r="E416" s="631"/>
      <c r="F416" s="629"/>
      <c r="G416" s="631"/>
      <c r="H416" s="631"/>
      <c r="K416" s="633"/>
      <c r="L416" s="631"/>
      <c r="M416" s="634"/>
      <c r="N416" s="631"/>
      <c r="O416" s="629"/>
      <c r="P416" s="631"/>
    </row>
    <row r="417" spans="2:16">
      <c r="B417" s="628"/>
      <c r="C417" s="629"/>
      <c r="D417" s="630"/>
      <c r="E417" s="631"/>
      <c r="F417" s="629"/>
      <c r="G417" s="631"/>
      <c r="H417" s="631"/>
      <c r="K417" s="633"/>
      <c r="L417" s="631"/>
      <c r="M417" s="634"/>
      <c r="N417" s="631"/>
      <c r="O417" s="629"/>
      <c r="P417" s="631"/>
    </row>
    <row r="418" spans="2:16">
      <c r="B418" s="628"/>
      <c r="C418" s="629"/>
      <c r="D418" s="630"/>
      <c r="E418" s="631"/>
      <c r="F418" s="629"/>
      <c r="G418" s="631"/>
      <c r="H418" s="631"/>
      <c r="K418" s="633"/>
      <c r="L418" s="631"/>
      <c r="M418" s="634"/>
      <c r="N418" s="631"/>
      <c r="O418" s="629"/>
      <c r="P418" s="631"/>
    </row>
    <row r="419" spans="2:16">
      <c r="B419" s="628"/>
      <c r="C419" s="629"/>
      <c r="D419" s="630"/>
      <c r="E419" s="631"/>
      <c r="F419" s="629"/>
      <c r="G419" s="631"/>
      <c r="H419" s="631"/>
      <c r="K419" s="633"/>
      <c r="L419" s="631"/>
      <c r="M419" s="634"/>
      <c r="N419" s="631"/>
      <c r="O419" s="629"/>
      <c r="P419" s="631"/>
    </row>
    <row r="420" spans="2:16">
      <c r="B420" s="628"/>
      <c r="C420" s="629"/>
      <c r="D420" s="630"/>
      <c r="E420" s="631"/>
      <c r="F420" s="629"/>
      <c r="G420" s="631"/>
      <c r="H420" s="631"/>
      <c r="K420" s="633"/>
      <c r="L420" s="631"/>
      <c r="M420" s="634"/>
      <c r="N420" s="631"/>
      <c r="O420" s="629"/>
      <c r="P420" s="631"/>
    </row>
    <row r="421" spans="2:16">
      <c r="B421" s="628"/>
      <c r="C421" s="629"/>
      <c r="D421" s="630"/>
      <c r="E421" s="631"/>
      <c r="F421" s="629"/>
      <c r="G421" s="631"/>
      <c r="H421" s="631"/>
      <c r="K421" s="633"/>
      <c r="L421" s="631"/>
      <c r="M421" s="634"/>
      <c r="N421" s="631"/>
      <c r="O421" s="629"/>
      <c r="P421" s="631"/>
    </row>
    <row r="422" spans="2:16">
      <c r="B422" s="628"/>
      <c r="C422" s="629"/>
      <c r="D422" s="630"/>
      <c r="E422" s="631"/>
      <c r="F422" s="629"/>
      <c r="G422" s="631"/>
      <c r="H422" s="631"/>
      <c r="K422" s="633"/>
      <c r="L422" s="631"/>
      <c r="M422" s="634"/>
      <c r="N422" s="631"/>
      <c r="O422" s="629"/>
      <c r="P422" s="631"/>
    </row>
    <row r="423" spans="2:16">
      <c r="B423" s="628"/>
      <c r="C423" s="629"/>
      <c r="D423" s="630"/>
      <c r="E423" s="631"/>
      <c r="F423" s="629"/>
      <c r="G423" s="631"/>
      <c r="H423" s="631"/>
      <c r="K423" s="633"/>
      <c r="L423" s="631"/>
      <c r="M423" s="634"/>
      <c r="N423" s="631"/>
      <c r="O423" s="629"/>
      <c r="P423" s="631"/>
    </row>
    <row r="424" spans="2:16">
      <c r="B424" s="628"/>
      <c r="C424" s="629"/>
      <c r="D424" s="630"/>
      <c r="E424" s="631"/>
      <c r="F424" s="629"/>
      <c r="G424" s="631"/>
      <c r="H424" s="631"/>
      <c r="K424" s="633"/>
      <c r="L424" s="631"/>
      <c r="M424" s="634"/>
      <c r="N424" s="631"/>
      <c r="O424" s="629"/>
      <c r="P424" s="631"/>
    </row>
    <row r="425" spans="2:16">
      <c r="B425" s="628"/>
      <c r="C425" s="629"/>
      <c r="D425" s="630"/>
      <c r="E425" s="631"/>
      <c r="F425" s="629"/>
      <c r="G425" s="631"/>
      <c r="H425" s="631"/>
      <c r="K425" s="633"/>
      <c r="L425" s="631"/>
      <c r="M425" s="634"/>
      <c r="N425" s="631"/>
      <c r="O425" s="629"/>
      <c r="P425" s="631"/>
    </row>
    <row r="426" spans="2:16">
      <c r="B426" s="628"/>
      <c r="C426" s="629"/>
      <c r="D426" s="630"/>
      <c r="E426" s="631"/>
      <c r="F426" s="629"/>
      <c r="G426" s="631"/>
      <c r="H426" s="631"/>
      <c r="K426" s="633"/>
      <c r="L426" s="631"/>
      <c r="M426" s="634"/>
      <c r="N426" s="631"/>
      <c r="O426" s="629"/>
      <c r="P426" s="631"/>
    </row>
    <row r="427" spans="2:16">
      <c r="B427" s="628"/>
      <c r="C427" s="629"/>
      <c r="D427" s="630"/>
      <c r="E427" s="631"/>
      <c r="F427" s="629"/>
      <c r="G427" s="631"/>
      <c r="H427" s="631"/>
      <c r="K427" s="633"/>
      <c r="L427" s="631"/>
      <c r="M427" s="634"/>
      <c r="N427" s="631"/>
      <c r="O427" s="629"/>
      <c r="P427" s="631"/>
    </row>
    <row r="428" spans="2:16">
      <c r="B428" s="628"/>
      <c r="C428" s="629"/>
      <c r="D428" s="630"/>
      <c r="E428" s="631"/>
      <c r="F428" s="629"/>
      <c r="G428" s="631"/>
      <c r="H428" s="631"/>
      <c r="K428" s="633"/>
      <c r="L428" s="631"/>
      <c r="M428" s="634"/>
      <c r="N428" s="631"/>
      <c r="O428" s="629"/>
      <c r="P428" s="631"/>
    </row>
    <row r="429" spans="2:16">
      <c r="B429" s="628"/>
      <c r="C429" s="629"/>
      <c r="D429" s="630"/>
      <c r="E429" s="631"/>
      <c r="F429" s="629"/>
      <c r="G429" s="631"/>
      <c r="H429" s="631"/>
      <c r="K429" s="633"/>
      <c r="L429" s="631"/>
      <c r="M429" s="634"/>
      <c r="N429" s="631"/>
      <c r="O429" s="629"/>
      <c r="P429" s="631"/>
    </row>
    <row r="430" spans="2:16">
      <c r="B430" s="628"/>
      <c r="C430" s="629"/>
      <c r="D430" s="630"/>
      <c r="E430" s="631"/>
      <c r="F430" s="629"/>
      <c r="G430" s="631"/>
      <c r="H430" s="631"/>
      <c r="K430" s="633"/>
      <c r="L430" s="631"/>
      <c r="M430" s="634"/>
      <c r="N430" s="631"/>
      <c r="O430" s="629"/>
      <c r="P430" s="631"/>
    </row>
    <row r="431" spans="2:16">
      <c r="B431" s="628"/>
      <c r="C431" s="629"/>
      <c r="D431" s="630"/>
      <c r="E431" s="631"/>
      <c r="F431" s="629"/>
      <c r="G431" s="631"/>
      <c r="H431" s="631"/>
      <c r="K431" s="633"/>
      <c r="L431" s="631"/>
      <c r="M431" s="634"/>
      <c r="N431" s="631"/>
      <c r="O431" s="629"/>
      <c r="P431" s="631"/>
    </row>
    <row r="432" spans="2:16">
      <c r="B432" s="628"/>
      <c r="C432" s="629"/>
      <c r="D432" s="630"/>
      <c r="E432" s="631"/>
      <c r="F432" s="629"/>
      <c r="G432" s="631"/>
      <c r="H432" s="631"/>
      <c r="K432" s="633"/>
      <c r="L432" s="631"/>
      <c r="M432" s="634"/>
      <c r="N432" s="631"/>
      <c r="O432" s="629"/>
      <c r="P432" s="631"/>
    </row>
    <row r="433" spans="2:16">
      <c r="B433" s="628"/>
      <c r="C433" s="629"/>
      <c r="D433" s="630"/>
      <c r="E433" s="631"/>
      <c r="F433" s="629"/>
      <c r="G433" s="631"/>
      <c r="H433" s="631"/>
      <c r="K433" s="633"/>
      <c r="L433" s="631"/>
      <c r="M433" s="634"/>
      <c r="N433" s="631"/>
      <c r="O433" s="629"/>
      <c r="P433" s="631"/>
    </row>
    <row r="434" spans="2:16">
      <c r="B434" s="628"/>
      <c r="C434" s="629"/>
      <c r="D434" s="630"/>
      <c r="E434" s="631"/>
      <c r="F434" s="629"/>
      <c r="G434" s="631"/>
      <c r="H434" s="631"/>
      <c r="K434" s="633"/>
      <c r="L434" s="631"/>
      <c r="M434" s="634"/>
      <c r="N434" s="631"/>
      <c r="O434" s="629"/>
      <c r="P434" s="631"/>
    </row>
    <row r="435" spans="2:16">
      <c r="B435" s="628"/>
      <c r="C435" s="629"/>
      <c r="D435" s="630"/>
      <c r="E435" s="631"/>
      <c r="F435" s="629"/>
      <c r="G435" s="631"/>
      <c r="H435" s="631"/>
      <c r="K435" s="633"/>
      <c r="L435" s="631"/>
      <c r="M435" s="634"/>
      <c r="N435" s="631"/>
      <c r="O435" s="629"/>
      <c r="P435" s="631"/>
    </row>
    <row r="436" spans="2:16">
      <c r="B436" s="628"/>
      <c r="C436" s="629"/>
      <c r="D436" s="630"/>
      <c r="E436" s="631"/>
      <c r="F436" s="629"/>
      <c r="G436" s="631"/>
      <c r="H436" s="631"/>
      <c r="K436" s="633"/>
      <c r="L436" s="631"/>
      <c r="M436" s="634"/>
      <c r="N436" s="631"/>
      <c r="O436" s="629"/>
      <c r="P436" s="631"/>
    </row>
    <row r="437" spans="2:16">
      <c r="B437" s="628"/>
      <c r="C437" s="629"/>
      <c r="D437" s="630"/>
      <c r="E437" s="631"/>
      <c r="F437" s="629"/>
      <c r="G437" s="631"/>
      <c r="H437" s="631"/>
      <c r="K437" s="633"/>
      <c r="L437" s="631"/>
      <c r="M437" s="634"/>
      <c r="N437" s="631"/>
      <c r="O437" s="629"/>
      <c r="P437" s="631"/>
    </row>
    <row r="438" spans="2:16">
      <c r="B438" s="628"/>
      <c r="C438" s="629"/>
      <c r="D438" s="630"/>
      <c r="E438" s="631"/>
      <c r="F438" s="629"/>
      <c r="G438" s="631"/>
      <c r="H438" s="631"/>
      <c r="K438" s="633"/>
      <c r="L438" s="631"/>
      <c r="M438" s="634"/>
      <c r="N438" s="631"/>
      <c r="O438" s="629"/>
      <c r="P438" s="631"/>
    </row>
    <row r="439" spans="2:16">
      <c r="B439" s="628"/>
      <c r="C439" s="629"/>
      <c r="D439" s="630"/>
      <c r="E439" s="631"/>
      <c r="F439" s="629"/>
      <c r="G439" s="631"/>
      <c r="H439" s="631"/>
      <c r="K439" s="633"/>
      <c r="L439" s="631"/>
      <c r="M439" s="634"/>
      <c r="N439" s="631"/>
      <c r="O439" s="629"/>
      <c r="P439" s="631"/>
    </row>
    <row r="440" spans="2:16">
      <c r="B440" s="628"/>
      <c r="C440" s="629"/>
      <c r="D440" s="630"/>
      <c r="E440" s="631"/>
      <c r="F440" s="629"/>
      <c r="G440" s="631"/>
      <c r="H440" s="631"/>
      <c r="K440" s="633"/>
      <c r="L440" s="631"/>
      <c r="M440" s="634"/>
      <c r="N440" s="631"/>
      <c r="O440" s="629"/>
      <c r="P440" s="631"/>
    </row>
    <row r="441" spans="2:16">
      <c r="B441" s="628"/>
      <c r="C441" s="629"/>
      <c r="D441" s="630"/>
      <c r="E441" s="631"/>
      <c r="F441" s="629"/>
      <c r="G441" s="631"/>
      <c r="H441" s="631"/>
      <c r="K441" s="633"/>
      <c r="L441" s="631"/>
      <c r="M441" s="634"/>
      <c r="N441" s="631"/>
      <c r="O441" s="629"/>
      <c r="P441" s="631"/>
    </row>
    <row r="442" spans="2:16">
      <c r="B442" s="628"/>
      <c r="C442" s="629"/>
      <c r="D442" s="630"/>
      <c r="E442" s="631"/>
      <c r="F442" s="629"/>
      <c r="G442" s="631"/>
      <c r="H442" s="631"/>
      <c r="K442" s="633"/>
      <c r="L442" s="631"/>
      <c r="M442" s="634"/>
      <c r="N442" s="631"/>
      <c r="O442" s="629"/>
      <c r="P442" s="631"/>
    </row>
    <row r="443" spans="2:16">
      <c r="B443" s="628"/>
      <c r="C443" s="629"/>
      <c r="D443" s="630"/>
      <c r="E443" s="631"/>
      <c r="F443" s="629"/>
      <c r="G443" s="631"/>
      <c r="H443" s="631"/>
      <c r="K443" s="633"/>
      <c r="L443" s="631"/>
      <c r="M443" s="634"/>
      <c r="N443" s="631"/>
      <c r="O443" s="629"/>
      <c r="P443" s="631"/>
    </row>
    <row r="444" spans="2:16">
      <c r="B444" s="628"/>
      <c r="C444" s="629"/>
      <c r="D444" s="630"/>
      <c r="E444" s="631"/>
      <c r="F444" s="629"/>
      <c r="G444" s="631"/>
      <c r="H444" s="631"/>
      <c r="K444" s="633"/>
      <c r="L444" s="631"/>
      <c r="M444" s="634"/>
      <c r="N444" s="631"/>
      <c r="O444" s="629"/>
      <c r="P444" s="631"/>
    </row>
    <row r="445" spans="2:16">
      <c r="B445" s="628"/>
      <c r="C445" s="629"/>
      <c r="D445" s="630"/>
      <c r="E445" s="631"/>
      <c r="F445" s="629"/>
      <c r="G445" s="631"/>
      <c r="H445" s="631"/>
      <c r="K445" s="633"/>
      <c r="L445" s="631"/>
      <c r="M445" s="634"/>
      <c r="N445" s="631"/>
      <c r="O445" s="629"/>
      <c r="P445" s="631"/>
    </row>
    <row r="446" spans="2:16">
      <c r="B446" s="628"/>
      <c r="C446" s="629"/>
      <c r="D446" s="630"/>
      <c r="E446" s="631"/>
      <c r="F446" s="629"/>
      <c r="G446" s="631"/>
      <c r="H446" s="631"/>
      <c r="K446" s="633"/>
      <c r="L446" s="631"/>
      <c r="M446" s="634"/>
      <c r="N446" s="631"/>
      <c r="O446" s="629"/>
      <c r="P446" s="631"/>
    </row>
    <row r="447" spans="2:16">
      <c r="B447" s="628"/>
      <c r="C447" s="629"/>
      <c r="D447" s="630"/>
      <c r="E447" s="631"/>
      <c r="F447" s="629"/>
      <c r="G447" s="631"/>
      <c r="H447" s="631"/>
      <c r="K447" s="633"/>
      <c r="L447" s="631"/>
      <c r="M447" s="634"/>
      <c r="N447" s="631"/>
      <c r="O447" s="629"/>
      <c r="P447" s="631"/>
    </row>
    <row r="448" spans="2:16">
      <c r="B448" s="628"/>
      <c r="C448" s="629"/>
      <c r="D448" s="630"/>
      <c r="E448" s="631"/>
      <c r="F448" s="629"/>
      <c r="G448" s="631"/>
      <c r="H448" s="631"/>
      <c r="K448" s="633"/>
      <c r="L448" s="631"/>
      <c r="M448" s="634"/>
      <c r="N448" s="631"/>
      <c r="O448" s="629"/>
      <c r="P448" s="631"/>
    </row>
    <row r="449" spans="2:16">
      <c r="B449" s="628"/>
      <c r="C449" s="629"/>
      <c r="D449" s="630"/>
      <c r="E449" s="631"/>
      <c r="F449" s="629"/>
      <c r="G449" s="631"/>
      <c r="H449" s="631"/>
      <c r="K449" s="633"/>
      <c r="L449" s="631"/>
      <c r="M449" s="634"/>
      <c r="N449" s="631"/>
      <c r="O449" s="629"/>
      <c r="P449" s="631"/>
    </row>
    <row r="450" spans="2:16">
      <c r="B450" s="628"/>
      <c r="C450" s="629"/>
      <c r="D450" s="630"/>
      <c r="E450" s="631"/>
      <c r="F450" s="629"/>
      <c r="G450" s="631"/>
      <c r="H450" s="631"/>
      <c r="K450" s="633"/>
      <c r="L450" s="631"/>
      <c r="M450" s="634"/>
      <c r="N450" s="631"/>
      <c r="O450" s="629"/>
      <c r="P450" s="631"/>
    </row>
    <row r="451" spans="2:16">
      <c r="B451" s="628"/>
      <c r="C451" s="629"/>
      <c r="D451" s="630"/>
      <c r="E451" s="631"/>
      <c r="F451" s="629"/>
      <c r="G451" s="631"/>
      <c r="H451" s="631"/>
      <c r="K451" s="633"/>
      <c r="L451" s="631"/>
      <c r="M451" s="634"/>
      <c r="N451" s="631"/>
      <c r="O451" s="629"/>
      <c r="P451" s="631"/>
    </row>
    <row r="452" spans="2:16">
      <c r="B452" s="628"/>
      <c r="C452" s="629"/>
      <c r="D452" s="630"/>
      <c r="E452" s="631"/>
      <c r="F452" s="629"/>
      <c r="G452" s="631"/>
      <c r="H452" s="631"/>
      <c r="K452" s="633"/>
      <c r="L452" s="631"/>
      <c r="M452" s="634"/>
      <c r="N452" s="631"/>
      <c r="O452" s="629"/>
      <c r="P452" s="631"/>
    </row>
    <row r="453" spans="2:16">
      <c r="B453" s="628"/>
      <c r="C453" s="629"/>
      <c r="D453" s="630"/>
      <c r="E453" s="631"/>
      <c r="F453" s="629"/>
      <c r="G453" s="631"/>
      <c r="H453" s="631"/>
      <c r="K453" s="633"/>
      <c r="L453" s="631"/>
      <c r="M453" s="634"/>
      <c r="N453" s="631"/>
      <c r="O453" s="629"/>
      <c r="P453" s="631"/>
    </row>
    <row r="454" spans="2:16">
      <c r="B454" s="628"/>
      <c r="C454" s="629"/>
      <c r="D454" s="630"/>
      <c r="E454" s="631"/>
      <c r="F454" s="629"/>
      <c r="G454" s="631"/>
      <c r="H454" s="631"/>
      <c r="K454" s="633"/>
      <c r="L454" s="631"/>
      <c r="M454" s="634"/>
      <c r="N454" s="631"/>
      <c r="O454" s="629"/>
      <c r="P454" s="631"/>
    </row>
    <row r="455" spans="2:16">
      <c r="B455" s="628"/>
      <c r="C455" s="629"/>
      <c r="D455" s="630"/>
      <c r="E455" s="631"/>
      <c r="F455" s="629"/>
      <c r="G455" s="631"/>
      <c r="H455" s="631"/>
      <c r="K455" s="633"/>
      <c r="L455" s="631"/>
      <c r="M455" s="634"/>
      <c r="N455" s="631"/>
      <c r="O455" s="629"/>
      <c r="P455" s="631"/>
    </row>
    <row r="456" spans="2:16">
      <c r="B456" s="628"/>
      <c r="C456" s="629"/>
      <c r="D456" s="630"/>
      <c r="E456" s="631"/>
      <c r="F456" s="629"/>
      <c r="G456" s="631"/>
      <c r="H456" s="631"/>
      <c r="K456" s="633"/>
      <c r="L456" s="631"/>
      <c r="M456" s="634"/>
      <c r="N456" s="631"/>
      <c r="O456" s="629"/>
      <c r="P456" s="631"/>
    </row>
    <row r="457" spans="2:16">
      <c r="B457" s="628"/>
      <c r="C457" s="629"/>
      <c r="D457" s="630"/>
      <c r="E457" s="631"/>
      <c r="F457" s="629"/>
      <c r="G457" s="631"/>
      <c r="H457" s="631"/>
      <c r="K457" s="633"/>
      <c r="L457" s="631"/>
      <c r="M457" s="634"/>
      <c r="N457" s="631"/>
      <c r="O457" s="629"/>
      <c r="P457" s="631"/>
    </row>
    <row r="458" spans="2:16">
      <c r="B458" s="628"/>
      <c r="C458" s="629"/>
      <c r="D458" s="630"/>
      <c r="E458" s="631"/>
      <c r="F458" s="629"/>
      <c r="G458" s="631"/>
      <c r="H458" s="631"/>
      <c r="K458" s="633"/>
      <c r="L458" s="631"/>
      <c r="M458" s="634"/>
      <c r="N458" s="631"/>
      <c r="O458" s="629"/>
      <c r="P458" s="631"/>
    </row>
    <row r="459" spans="2:16">
      <c r="B459" s="628"/>
      <c r="C459" s="629"/>
      <c r="D459" s="630"/>
      <c r="E459" s="631"/>
      <c r="F459" s="629"/>
      <c r="G459" s="631"/>
      <c r="H459" s="631"/>
      <c r="K459" s="633"/>
      <c r="L459" s="631"/>
      <c r="M459" s="634"/>
      <c r="N459" s="631"/>
      <c r="O459" s="629"/>
      <c r="P459" s="631"/>
    </row>
    <row r="460" spans="2:16">
      <c r="B460" s="628"/>
      <c r="C460" s="629"/>
      <c r="D460" s="630"/>
      <c r="E460" s="631"/>
      <c r="F460" s="629"/>
      <c r="G460" s="631"/>
      <c r="H460" s="631"/>
      <c r="K460" s="633"/>
      <c r="L460" s="631"/>
      <c r="M460" s="634"/>
      <c r="N460" s="631"/>
      <c r="O460" s="629"/>
      <c r="P460" s="631"/>
    </row>
    <row r="461" spans="2:16">
      <c r="B461" s="628"/>
      <c r="C461" s="629"/>
      <c r="D461" s="630"/>
      <c r="E461" s="631"/>
      <c r="F461" s="629"/>
      <c r="G461" s="631"/>
      <c r="H461" s="631"/>
      <c r="K461" s="633"/>
      <c r="L461" s="631"/>
      <c r="M461" s="634"/>
      <c r="N461" s="631"/>
      <c r="O461" s="629"/>
      <c r="P461" s="631"/>
    </row>
    <row r="462" spans="2:16">
      <c r="B462" s="628"/>
      <c r="C462" s="629"/>
      <c r="D462" s="630"/>
      <c r="E462" s="631"/>
      <c r="F462" s="629"/>
      <c r="G462" s="631"/>
      <c r="H462" s="631"/>
      <c r="K462" s="633"/>
      <c r="L462" s="631"/>
      <c r="M462" s="634"/>
      <c r="N462" s="631"/>
      <c r="O462" s="629"/>
      <c r="P462" s="631"/>
    </row>
    <row r="463" spans="2:16">
      <c r="B463" s="628"/>
      <c r="C463" s="629"/>
      <c r="D463" s="630"/>
      <c r="E463" s="631"/>
      <c r="F463" s="629"/>
      <c r="G463" s="631"/>
      <c r="H463" s="631"/>
      <c r="K463" s="633"/>
      <c r="L463" s="631"/>
      <c r="M463" s="634"/>
      <c r="N463" s="631"/>
      <c r="O463" s="629"/>
      <c r="P463" s="631"/>
    </row>
    <row r="464" spans="2:16">
      <c r="B464" s="628"/>
      <c r="C464" s="629"/>
      <c r="D464" s="630"/>
      <c r="E464" s="631"/>
      <c r="F464" s="629"/>
      <c r="G464" s="631"/>
      <c r="H464" s="631"/>
      <c r="K464" s="633"/>
      <c r="L464" s="631"/>
      <c r="M464" s="634"/>
      <c r="N464" s="631"/>
      <c r="O464" s="629"/>
      <c r="P464" s="631"/>
    </row>
    <row r="465" spans="2:16">
      <c r="B465" s="628"/>
      <c r="C465" s="629"/>
      <c r="D465" s="630"/>
      <c r="E465" s="631"/>
      <c r="F465" s="629"/>
      <c r="G465" s="631"/>
      <c r="H465" s="631"/>
      <c r="K465" s="633"/>
      <c r="L465" s="631"/>
      <c r="M465" s="634"/>
      <c r="N465" s="631"/>
      <c r="O465" s="629"/>
      <c r="P465" s="631"/>
    </row>
    <row r="466" spans="2:16">
      <c r="B466" s="628"/>
      <c r="C466" s="629"/>
      <c r="D466" s="630"/>
      <c r="E466" s="631"/>
      <c r="F466" s="629"/>
      <c r="G466" s="631"/>
      <c r="H466" s="631"/>
      <c r="K466" s="633"/>
      <c r="L466" s="631"/>
      <c r="M466" s="634"/>
      <c r="N466" s="631"/>
      <c r="O466" s="629"/>
      <c r="P466" s="631"/>
    </row>
    <row r="467" spans="2:16">
      <c r="B467" s="628"/>
      <c r="C467" s="629"/>
      <c r="D467" s="630"/>
      <c r="E467" s="631"/>
      <c r="F467" s="629"/>
      <c r="G467" s="631"/>
      <c r="H467" s="631"/>
      <c r="K467" s="633"/>
      <c r="L467" s="631"/>
      <c r="M467" s="634"/>
      <c r="N467" s="631"/>
      <c r="O467" s="629"/>
      <c r="P467" s="631"/>
    </row>
    <row r="468" spans="2:16">
      <c r="B468" s="628"/>
      <c r="C468" s="629"/>
      <c r="D468" s="630"/>
      <c r="E468" s="631"/>
      <c r="F468" s="629"/>
      <c r="G468" s="631"/>
      <c r="H468" s="631"/>
      <c r="K468" s="633"/>
      <c r="L468" s="631"/>
      <c r="M468" s="634"/>
      <c r="N468" s="631"/>
      <c r="O468" s="629"/>
      <c r="P468" s="631"/>
    </row>
    <row r="469" spans="2:16">
      <c r="B469" s="628"/>
      <c r="C469" s="629"/>
      <c r="D469" s="630"/>
      <c r="E469" s="631"/>
      <c r="F469" s="629"/>
      <c r="G469" s="631"/>
      <c r="H469" s="631"/>
      <c r="K469" s="633"/>
      <c r="L469" s="631"/>
      <c r="M469" s="634"/>
      <c r="N469" s="631"/>
      <c r="O469" s="629"/>
      <c r="P469" s="631"/>
    </row>
    <row r="470" spans="2:16">
      <c r="B470" s="628"/>
      <c r="C470" s="629"/>
      <c r="D470" s="630"/>
      <c r="E470" s="631"/>
      <c r="F470" s="629"/>
      <c r="G470" s="631"/>
      <c r="H470" s="631"/>
      <c r="K470" s="633"/>
      <c r="L470" s="631"/>
      <c r="M470" s="634"/>
      <c r="N470" s="631"/>
      <c r="O470" s="629"/>
      <c r="P470" s="631"/>
    </row>
    <row r="471" spans="2:16">
      <c r="B471" s="628"/>
      <c r="C471" s="629"/>
      <c r="D471" s="630"/>
      <c r="E471" s="631"/>
      <c r="F471" s="629"/>
      <c r="G471" s="631"/>
      <c r="H471" s="631"/>
      <c r="K471" s="633"/>
      <c r="L471" s="631"/>
      <c r="M471" s="634"/>
      <c r="N471" s="631"/>
      <c r="O471" s="629"/>
      <c r="P471" s="631"/>
    </row>
    <row r="472" spans="2:16">
      <c r="B472" s="628"/>
      <c r="C472" s="629"/>
      <c r="D472" s="630"/>
      <c r="E472" s="631"/>
      <c r="F472" s="629"/>
      <c r="G472" s="631"/>
      <c r="H472" s="631"/>
      <c r="K472" s="633"/>
      <c r="L472" s="631"/>
      <c r="M472" s="634"/>
      <c r="N472" s="631"/>
      <c r="O472" s="629"/>
      <c r="P472" s="631"/>
    </row>
    <row r="473" spans="2:16">
      <c r="B473" s="628"/>
      <c r="C473" s="629"/>
      <c r="D473" s="630"/>
      <c r="E473" s="631"/>
      <c r="F473" s="629"/>
      <c r="G473" s="631"/>
      <c r="H473" s="631"/>
      <c r="K473" s="633"/>
      <c r="L473" s="631"/>
      <c r="M473" s="634"/>
      <c r="N473" s="631"/>
      <c r="O473" s="629"/>
      <c r="P473" s="631"/>
    </row>
    <row r="474" spans="2:16">
      <c r="B474" s="628"/>
      <c r="C474" s="629"/>
      <c r="D474" s="630"/>
      <c r="E474" s="631"/>
      <c r="F474" s="629"/>
      <c r="G474" s="631"/>
      <c r="H474" s="631"/>
      <c r="K474" s="633"/>
      <c r="L474" s="631"/>
      <c r="M474" s="634"/>
      <c r="N474" s="631"/>
      <c r="O474" s="629"/>
      <c r="P474" s="631"/>
    </row>
    <row r="475" spans="2:16">
      <c r="B475" s="628"/>
      <c r="C475" s="629"/>
      <c r="D475" s="630"/>
      <c r="E475" s="631"/>
      <c r="F475" s="629"/>
      <c r="G475" s="631"/>
      <c r="H475" s="631"/>
      <c r="K475" s="633"/>
      <c r="L475" s="631"/>
      <c r="M475" s="634"/>
      <c r="N475" s="631"/>
      <c r="O475" s="629"/>
      <c r="P475" s="631"/>
    </row>
    <row r="476" spans="2:16">
      <c r="B476" s="628"/>
      <c r="C476" s="629"/>
      <c r="D476" s="630"/>
      <c r="E476" s="631"/>
      <c r="F476" s="629"/>
      <c r="G476" s="631"/>
      <c r="H476" s="631"/>
      <c r="K476" s="633"/>
      <c r="L476" s="631"/>
      <c r="M476" s="634"/>
      <c r="N476" s="631"/>
      <c r="O476" s="629"/>
      <c r="P476" s="631"/>
    </row>
    <row r="477" spans="2:16">
      <c r="B477" s="628"/>
      <c r="C477" s="629"/>
      <c r="D477" s="630"/>
      <c r="E477" s="631"/>
      <c r="F477" s="629"/>
      <c r="G477" s="631"/>
      <c r="H477" s="631"/>
      <c r="K477" s="633"/>
      <c r="L477" s="631"/>
      <c r="M477" s="634"/>
      <c r="N477" s="631"/>
      <c r="O477" s="629"/>
      <c r="P477" s="631"/>
    </row>
    <row r="478" spans="2:16">
      <c r="B478" s="628"/>
      <c r="C478" s="629"/>
      <c r="D478" s="630"/>
      <c r="E478" s="631"/>
      <c r="F478" s="629"/>
      <c r="G478" s="631"/>
      <c r="H478" s="631"/>
      <c r="K478" s="633"/>
      <c r="L478" s="631"/>
      <c r="M478" s="634"/>
      <c r="N478" s="631"/>
      <c r="O478" s="629"/>
      <c r="P478" s="631"/>
    </row>
    <row r="479" spans="2:16">
      <c r="B479" s="628"/>
      <c r="C479" s="629"/>
      <c r="D479" s="630"/>
      <c r="E479" s="631"/>
      <c r="F479" s="629"/>
      <c r="G479" s="631"/>
      <c r="H479" s="631"/>
      <c r="K479" s="633"/>
      <c r="L479" s="631"/>
      <c r="M479" s="634"/>
      <c r="N479" s="631"/>
      <c r="O479" s="629"/>
      <c r="P479" s="631"/>
    </row>
    <row r="480" spans="2:16">
      <c r="B480" s="628"/>
      <c r="C480" s="629"/>
      <c r="D480" s="630"/>
      <c r="E480" s="631"/>
      <c r="F480" s="629"/>
      <c r="G480" s="631"/>
      <c r="H480" s="631"/>
      <c r="K480" s="633"/>
      <c r="L480" s="631"/>
      <c r="M480" s="634"/>
      <c r="N480" s="631"/>
      <c r="O480" s="629"/>
      <c r="P480" s="631"/>
    </row>
    <row r="481" spans="2:16">
      <c r="B481" s="628"/>
      <c r="C481" s="629"/>
      <c r="D481" s="630"/>
      <c r="E481" s="631"/>
      <c r="F481" s="629"/>
      <c r="G481" s="631"/>
      <c r="H481" s="631"/>
      <c r="K481" s="633"/>
      <c r="L481" s="631"/>
      <c r="M481" s="634"/>
      <c r="N481" s="631"/>
      <c r="O481" s="629"/>
      <c r="P481" s="631"/>
    </row>
    <row r="482" spans="2:16">
      <c r="B482" s="628"/>
      <c r="C482" s="629"/>
      <c r="D482" s="630"/>
      <c r="E482" s="631"/>
      <c r="F482" s="629"/>
      <c r="G482" s="631"/>
      <c r="H482" s="631"/>
      <c r="K482" s="633"/>
      <c r="L482" s="631"/>
      <c r="M482" s="634"/>
      <c r="N482" s="631"/>
      <c r="O482" s="629"/>
      <c r="P482" s="631"/>
    </row>
    <row r="483" spans="2:16">
      <c r="B483" s="628"/>
      <c r="C483" s="629"/>
      <c r="D483" s="630"/>
      <c r="E483" s="631"/>
      <c r="F483" s="629"/>
      <c r="G483" s="631"/>
      <c r="H483" s="631"/>
      <c r="K483" s="633"/>
      <c r="L483" s="631"/>
      <c r="M483" s="634"/>
      <c r="N483" s="631"/>
      <c r="O483" s="629"/>
      <c r="P483" s="631"/>
    </row>
    <row r="484" spans="2:16">
      <c r="B484" s="628"/>
      <c r="C484" s="629"/>
      <c r="D484" s="630"/>
      <c r="E484" s="631"/>
      <c r="F484" s="629"/>
      <c r="G484" s="631"/>
      <c r="H484" s="631"/>
      <c r="K484" s="633"/>
      <c r="L484" s="631"/>
      <c r="M484" s="634"/>
      <c r="N484" s="631"/>
      <c r="O484" s="629"/>
      <c r="P484" s="631"/>
    </row>
    <row r="485" spans="2:16">
      <c r="B485" s="628"/>
      <c r="C485" s="629"/>
      <c r="D485" s="630"/>
      <c r="E485" s="631"/>
      <c r="F485" s="629"/>
      <c r="G485" s="631"/>
      <c r="H485" s="631"/>
      <c r="K485" s="633"/>
      <c r="L485" s="631"/>
      <c r="M485" s="634"/>
      <c r="N485" s="631"/>
      <c r="O485" s="629"/>
      <c r="P485" s="631"/>
    </row>
    <row r="486" spans="2:16">
      <c r="B486" s="628"/>
      <c r="C486" s="629"/>
      <c r="D486" s="630"/>
      <c r="E486" s="631"/>
      <c r="F486" s="629"/>
      <c r="G486" s="631"/>
      <c r="H486" s="631"/>
      <c r="K486" s="633"/>
      <c r="L486" s="631"/>
      <c r="M486" s="634"/>
      <c r="N486" s="631"/>
      <c r="O486" s="629"/>
      <c r="P486" s="631"/>
    </row>
    <row r="487" spans="2:16">
      <c r="B487" s="628"/>
      <c r="C487" s="629"/>
      <c r="D487" s="630"/>
      <c r="E487" s="631"/>
      <c r="F487" s="629"/>
      <c r="G487" s="631"/>
      <c r="H487" s="631"/>
      <c r="K487" s="633"/>
      <c r="L487" s="631"/>
      <c r="M487" s="634"/>
      <c r="N487" s="631"/>
      <c r="O487" s="629"/>
      <c r="P487" s="631"/>
    </row>
    <row r="488" spans="2:16">
      <c r="B488" s="628"/>
      <c r="C488" s="629"/>
      <c r="D488" s="630"/>
      <c r="E488" s="631"/>
      <c r="F488" s="629"/>
      <c r="G488" s="631"/>
      <c r="H488" s="631"/>
      <c r="K488" s="633"/>
      <c r="L488" s="631"/>
      <c r="M488" s="634"/>
      <c r="N488" s="631"/>
      <c r="O488" s="629"/>
      <c r="P488" s="631"/>
    </row>
    <row r="489" spans="2:16">
      <c r="B489" s="628"/>
      <c r="C489" s="629"/>
      <c r="D489" s="630"/>
      <c r="E489" s="631"/>
      <c r="F489" s="629"/>
      <c r="G489" s="631"/>
      <c r="H489" s="631"/>
      <c r="K489" s="633"/>
      <c r="L489" s="631"/>
      <c r="M489" s="634"/>
      <c r="N489" s="631"/>
      <c r="O489" s="629"/>
      <c r="P489" s="631"/>
    </row>
    <row r="490" spans="2:16">
      <c r="B490" s="628"/>
      <c r="C490" s="629"/>
      <c r="D490" s="630"/>
      <c r="E490" s="631"/>
      <c r="F490" s="629"/>
      <c r="G490" s="631"/>
      <c r="H490" s="631"/>
      <c r="K490" s="633"/>
      <c r="L490" s="631"/>
      <c r="M490" s="634"/>
      <c r="N490" s="631"/>
      <c r="O490" s="629"/>
      <c r="P490" s="631"/>
    </row>
    <row r="491" spans="2:16">
      <c r="B491" s="628"/>
      <c r="C491" s="629"/>
      <c r="D491" s="630"/>
      <c r="E491" s="631"/>
      <c r="F491" s="629"/>
      <c r="G491" s="631"/>
      <c r="H491" s="631"/>
      <c r="K491" s="633"/>
      <c r="L491" s="631"/>
      <c r="M491" s="634"/>
      <c r="N491" s="631"/>
      <c r="O491" s="629"/>
      <c r="P491" s="631"/>
    </row>
    <row r="492" spans="2:16">
      <c r="B492" s="628"/>
      <c r="C492" s="629"/>
      <c r="D492" s="630"/>
      <c r="E492" s="631"/>
      <c r="F492" s="629"/>
      <c r="G492" s="631"/>
      <c r="H492" s="631"/>
      <c r="K492" s="633"/>
      <c r="L492" s="631"/>
      <c r="M492" s="634"/>
      <c r="N492" s="631"/>
      <c r="O492" s="629"/>
      <c r="P492" s="631"/>
    </row>
    <row r="493" spans="2:16">
      <c r="B493" s="628"/>
      <c r="C493" s="629"/>
      <c r="D493" s="630"/>
      <c r="E493" s="631"/>
      <c r="F493" s="629"/>
      <c r="G493" s="631"/>
      <c r="H493" s="631"/>
      <c r="K493" s="633"/>
      <c r="L493" s="631"/>
      <c r="M493" s="634"/>
      <c r="N493" s="631"/>
      <c r="O493" s="629"/>
      <c r="P493" s="631"/>
    </row>
    <row r="494" spans="2:16">
      <c r="B494" s="628"/>
      <c r="C494" s="629"/>
      <c r="D494" s="630"/>
      <c r="E494" s="631"/>
      <c r="F494" s="629"/>
      <c r="G494" s="631"/>
      <c r="H494" s="631"/>
      <c r="K494" s="633"/>
      <c r="L494" s="631"/>
      <c r="M494" s="634"/>
      <c r="N494" s="631"/>
      <c r="O494" s="629"/>
      <c r="P494" s="631"/>
    </row>
    <row r="495" spans="2:16">
      <c r="B495" s="628"/>
      <c r="C495" s="629"/>
      <c r="D495" s="630"/>
      <c r="E495" s="631"/>
      <c r="F495" s="629"/>
      <c r="G495" s="631"/>
      <c r="H495" s="631"/>
      <c r="K495" s="633"/>
      <c r="L495" s="631"/>
      <c r="M495" s="634"/>
      <c r="N495" s="631"/>
      <c r="O495" s="629"/>
      <c r="P495" s="631"/>
    </row>
    <row r="496" spans="2:16">
      <c r="B496" s="628"/>
      <c r="C496" s="629"/>
      <c r="D496" s="630"/>
      <c r="E496" s="631"/>
      <c r="F496" s="629"/>
      <c r="G496" s="631"/>
      <c r="H496" s="631"/>
      <c r="K496" s="633"/>
      <c r="L496" s="631"/>
      <c r="M496" s="634"/>
      <c r="N496" s="631"/>
      <c r="O496" s="629"/>
      <c r="P496" s="631"/>
    </row>
    <row r="497" spans="2:16">
      <c r="B497" s="628"/>
      <c r="C497" s="629"/>
      <c r="D497" s="630"/>
      <c r="E497" s="631"/>
      <c r="F497" s="629"/>
      <c r="G497" s="631"/>
      <c r="H497" s="631"/>
      <c r="K497" s="633"/>
      <c r="L497" s="631"/>
      <c r="M497" s="634"/>
      <c r="N497" s="631"/>
      <c r="O497" s="629"/>
      <c r="P497" s="631"/>
    </row>
    <row r="498" spans="2:16">
      <c r="B498" s="628"/>
      <c r="C498" s="629"/>
      <c r="D498" s="630"/>
      <c r="E498" s="631"/>
      <c r="F498" s="629"/>
      <c r="G498" s="631"/>
      <c r="H498" s="631"/>
      <c r="K498" s="633"/>
      <c r="L498" s="631"/>
      <c r="M498" s="634"/>
      <c r="N498" s="631"/>
      <c r="O498" s="629"/>
      <c r="P498" s="631"/>
    </row>
    <row r="499" spans="2:16">
      <c r="B499" s="628"/>
      <c r="C499" s="629"/>
      <c r="D499" s="630"/>
      <c r="E499" s="631"/>
      <c r="F499" s="629"/>
      <c r="G499" s="631"/>
      <c r="H499" s="631"/>
      <c r="K499" s="633"/>
      <c r="L499" s="631"/>
      <c r="M499" s="634"/>
      <c r="N499" s="631"/>
      <c r="O499" s="629"/>
      <c r="P499" s="631"/>
    </row>
    <row r="500" spans="2:16">
      <c r="B500" s="628"/>
      <c r="C500" s="629"/>
      <c r="D500" s="630"/>
      <c r="E500" s="631"/>
      <c r="F500" s="629"/>
      <c r="G500" s="631"/>
      <c r="H500" s="631"/>
      <c r="K500" s="633"/>
      <c r="L500" s="631"/>
      <c r="M500" s="634"/>
      <c r="N500" s="631"/>
      <c r="O500" s="629"/>
      <c r="P500" s="631"/>
    </row>
    <row r="501" spans="2:16">
      <c r="B501" s="628"/>
      <c r="C501" s="629"/>
      <c r="D501" s="630"/>
      <c r="E501" s="631"/>
      <c r="F501" s="629"/>
      <c r="G501" s="631"/>
      <c r="H501" s="631"/>
      <c r="K501" s="633"/>
      <c r="L501" s="631"/>
      <c r="M501" s="634"/>
      <c r="N501" s="631"/>
      <c r="O501" s="629"/>
      <c r="P501" s="631"/>
    </row>
    <row r="502" spans="2:16">
      <c r="B502" s="628"/>
      <c r="C502" s="629"/>
      <c r="D502" s="630"/>
      <c r="E502" s="631"/>
      <c r="F502" s="629"/>
      <c r="G502" s="631"/>
      <c r="H502" s="631"/>
      <c r="K502" s="633"/>
      <c r="L502" s="631"/>
      <c r="M502" s="634"/>
      <c r="N502" s="631"/>
      <c r="O502" s="629"/>
      <c r="P502" s="631"/>
    </row>
    <row r="503" spans="2:16">
      <c r="B503" s="628"/>
      <c r="C503" s="629"/>
      <c r="D503" s="630"/>
      <c r="E503" s="631"/>
      <c r="F503" s="629"/>
      <c r="G503" s="631"/>
      <c r="H503" s="631"/>
      <c r="K503" s="633"/>
      <c r="L503" s="631"/>
      <c r="M503" s="634"/>
      <c r="N503" s="631"/>
      <c r="O503" s="629"/>
      <c r="P503" s="631"/>
    </row>
    <row r="504" spans="2:16">
      <c r="B504" s="628"/>
      <c r="C504" s="629"/>
      <c r="D504" s="630"/>
      <c r="E504" s="631"/>
      <c r="F504" s="629"/>
      <c r="G504" s="631"/>
      <c r="H504" s="631"/>
      <c r="K504" s="633"/>
      <c r="L504" s="631"/>
      <c r="M504" s="634"/>
      <c r="N504" s="631"/>
      <c r="O504" s="629"/>
      <c r="P504" s="631"/>
    </row>
    <row r="505" spans="2:16">
      <c r="B505" s="628"/>
      <c r="C505" s="629"/>
      <c r="D505" s="630"/>
      <c r="E505" s="631"/>
      <c r="F505" s="629"/>
      <c r="G505" s="631"/>
      <c r="H505" s="631"/>
      <c r="K505" s="633"/>
      <c r="L505" s="631"/>
      <c r="M505" s="634"/>
      <c r="N505" s="631"/>
      <c r="O505" s="629"/>
      <c r="P505" s="631"/>
    </row>
    <row r="506" spans="2:16">
      <c r="B506" s="628"/>
      <c r="C506" s="629"/>
      <c r="D506" s="630"/>
      <c r="E506" s="631"/>
      <c r="F506" s="629"/>
      <c r="G506" s="631"/>
      <c r="H506" s="631"/>
      <c r="K506" s="633"/>
      <c r="L506" s="631"/>
      <c r="M506" s="634"/>
      <c r="N506" s="631"/>
      <c r="O506" s="629"/>
      <c r="P506" s="631"/>
    </row>
    <row r="507" spans="2:16">
      <c r="B507" s="628"/>
      <c r="C507" s="629"/>
      <c r="D507" s="630"/>
      <c r="E507" s="631"/>
      <c r="F507" s="629"/>
      <c r="G507" s="631"/>
      <c r="H507" s="631"/>
      <c r="K507" s="633"/>
      <c r="L507" s="631"/>
      <c r="M507" s="634"/>
      <c r="N507" s="631"/>
      <c r="O507" s="629"/>
      <c r="P507" s="631"/>
    </row>
    <row r="508" spans="2:16">
      <c r="B508" s="628"/>
      <c r="C508" s="629"/>
      <c r="D508" s="630"/>
      <c r="E508" s="631"/>
      <c r="F508" s="629"/>
      <c r="G508" s="631"/>
      <c r="H508" s="631"/>
      <c r="K508" s="633"/>
      <c r="L508" s="631"/>
      <c r="M508" s="634"/>
      <c r="N508" s="631"/>
      <c r="O508" s="629"/>
      <c r="P508" s="631"/>
    </row>
    <row r="509" spans="2:16">
      <c r="B509" s="628"/>
      <c r="C509" s="629"/>
      <c r="D509" s="630"/>
      <c r="E509" s="631"/>
      <c r="F509" s="629"/>
      <c r="G509" s="631"/>
      <c r="H509" s="631"/>
      <c r="K509" s="633"/>
      <c r="L509" s="631"/>
      <c r="M509" s="634"/>
      <c r="N509" s="631"/>
      <c r="O509" s="629"/>
      <c r="P509" s="631"/>
    </row>
    <row r="510" spans="2:16">
      <c r="B510" s="628"/>
      <c r="C510" s="629"/>
      <c r="D510" s="630"/>
      <c r="E510" s="631"/>
      <c r="F510" s="629"/>
      <c r="G510" s="631"/>
      <c r="H510" s="631"/>
      <c r="K510" s="633"/>
      <c r="L510" s="631"/>
      <c r="M510" s="634"/>
      <c r="N510" s="631"/>
      <c r="O510" s="629"/>
      <c r="P510" s="631"/>
    </row>
    <row r="511" spans="2:16">
      <c r="B511" s="628"/>
      <c r="C511" s="629"/>
      <c r="D511" s="630"/>
      <c r="E511" s="631"/>
      <c r="F511" s="629"/>
      <c r="G511" s="631"/>
      <c r="H511" s="631"/>
      <c r="K511" s="633"/>
      <c r="L511" s="631"/>
      <c r="M511" s="634"/>
      <c r="N511" s="631"/>
      <c r="O511" s="629"/>
      <c r="P511" s="631"/>
    </row>
    <row r="512" spans="2:16">
      <c r="B512" s="628"/>
      <c r="C512" s="629"/>
      <c r="D512" s="630"/>
      <c r="E512" s="631"/>
      <c r="F512" s="629"/>
      <c r="G512" s="631"/>
      <c r="H512" s="631"/>
      <c r="K512" s="633"/>
      <c r="L512" s="631"/>
      <c r="M512" s="634"/>
      <c r="N512" s="631"/>
      <c r="O512" s="629"/>
      <c r="P512" s="631"/>
    </row>
    <row r="513" spans="2:16">
      <c r="B513" s="628"/>
      <c r="C513" s="629"/>
      <c r="D513" s="630"/>
      <c r="E513" s="631"/>
      <c r="F513" s="629"/>
      <c r="G513" s="631"/>
      <c r="H513" s="631"/>
      <c r="K513" s="633"/>
      <c r="L513" s="631"/>
      <c r="M513" s="634"/>
      <c r="N513" s="631"/>
      <c r="O513" s="629"/>
      <c r="P513" s="631"/>
    </row>
    <row r="514" spans="2:16">
      <c r="B514" s="628"/>
      <c r="C514" s="629"/>
      <c r="D514" s="630"/>
      <c r="E514" s="631"/>
      <c r="F514" s="629"/>
      <c r="G514" s="631"/>
      <c r="H514" s="631"/>
      <c r="K514" s="633"/>
      <c r="L514" s="631"/>
      <c r="M514" s="634"/>
      <c r="N514" s="631"/>
      <c r="O514" s="629"/>
      <c r="P514" s="631"/>
    </row>
    <row r="515" spans="2:16">
      <c r="B515" s="628"/>
      <c r="C515" s="629"/>
      <c r="D515" s="630"/>
      <c r="E515" s="631"/>
      <c r="F515" s="629"/>
      <c r="G515" s="631"/>
      <c r="H515" s="631"/>
      <c r="K515" s="633"/>
      <c r="L515" s="631"/>
      <c r="M515" s="634"/>
      <c r="N515" s="631"/>
      <c r="O515" s="629"/>
      <c r="P515" s="631"/>
    </row>
    <row r="516" spans="2:16">
      <c r="B516" s="628"/>
      <c r="C516" s="629"/>
      <c r="D516" s="630"/>
      <c r="E516" s="631"/>
      <c r="F516" s="629"/>
      <c r="G516" s="631"/>
      <c r="H516" s="631"/>
      <c r="K516" s="633"/>
      <c r="L516" s="631"/>
      <c r="M516" s="634"/>
      <c r="N516" s="631"/>
      <c r="O516" s="629"/>
      <c r="P516" s="631"/>
    </row>
    <row r="517" spans="2:16">
      <c r="B517" s="628"/>
      <c r="C517" s="629"/>
      <c r="D517" s="630"/>
      <c r="E517" s="631"/>
      <c r="F517" s="629"/>
      <c r="G517" s="631"/>
      <c r="H517" s="631"/>
      <c r="K517" s="633"/>
      <c r="L517" s="631"/>
      <c r="M517" s="634"/>
      <c r="N517" s="631"/>
      <c r="O517" s="629"/>
      <c r="P517" s="631"/>
    </row>
    <row r="518" spans="2:16">
      <c r="B518" s="628"/>
      <c r="C518" s="629"/>
      <c r="D518" s="630"/>
      <c r="E518" s="631"/>
      <c r="F518" s="629"/>
      <c r="G518" s="631"/>
      <c r="H518" s="631"/>
      <c r="K518" s="633"/>
      <c r="L518" s="631"/>
      <c r="M518" s="634"/>
      <c r="N518" s="631"/>
      <c r="O518" s="629"/>
      <c r="P518" s="631"/>
    </row>
    <row r="519" spans="2:16">
      <c r="B519" s="628"/>
      <c r="C519" s="629"/>
      <c r="D519" s="630"/>
      <c r="E519" s="631"/>
      <c r="F519" s="629"/>
      <c r="G519" s="631"/>
      <c r="H519" s="631"/>
      <c r="K519" s="633"/>
      <c r="L519" s="631"/>
      <c r="M519" s="634"/>
      <c r="N519" s="631"/>
      <c r="O519" s="629"/>
      <c r="P519" s="631"/>
    </row>
    <row r="520" spans="2:16">
      <c r="B520" s="628"/>
      <c r="C520" s="629"/>
      <c r="D520" s="630"/>
      <c r="E520" s="631"/>
      <c r="F520" s="629"/>
      <c r="G520" s="631"/>
      <c r="H520" s="631"/>
      <c r="K520" s="633"/>
      <c r="L520" s="631"/>
      <c r="M520" s="634"/>
      <c r="N520" s="631"/>
      <c r="O520" s="629"/>
      <c r="P520" s="631"/>
    </row>
    <row r="521" spans="2:16">
      <c r="B521" s="628"/>
      <c r="C521" s="629"/>
      <c r="D521" s="630"/>
      <c r="E521" s="631"/>
      <c r="F521" s="629"/>
      <c r="G521" s="631"/>
      <c r="H521" s="631"/>
      <c r="K521" s="633"/>
      <c r="L521" s="631"/>
      <c r="M521" s="634"/>
      <c r="N521" s="631"/>
      <c r="O521" s="629"/>
      <c r="P521" s="631"/>
    </row>
    <row r="522" spans="2:16">
      <c r="B522" s="628"/>
      <c r="C522" s="629"/>
      <c r="D522" s="630"/>
      <c r="E522" s="631"/>
      <c r="F522" s="629"/>
      <c r="G522" s="631"/>
      <c r="H522" s="631"/>
      <c r="K522" s="633"/>
      <c r="L522" s="631"/>
      <c r="M522" s="634"/>
      <c r="N522" s="631"/>
      <c r="O522" s="629"/>
      <c r="P522" s="631"/>
    </row>
    <row r="523" spans="2:16">
      <c r="B523" s="628"/>
      <c r="C523" s="629"/>
      <c r="D523" s="630"/>
      <c r="E523" s="631"/>
      <c r="F523" s="629"/>
      <c r="G523" s="631"/>
      <c r="H523" s="631"/>
      <c r="K523" s="633"/>
      <c r="L523" s="631"/>
      <c r="M523" s="634"/>
      <c r="N523" s="631"/>
      <c r="O523" s="629"/>
      <c r="P523" s="631"/>
    </row>
    <row r="524" spans="2:16">
      <c r="B524" s="628"/>
      <c r="C524" s="629"/>
      <c r="D524" s="630"/>
      <c r="E524" s="631"/>
      <c r="F524" s="629"/>
      <c r="G524" s="631"/>
      <c r="H524" s="631"/>
      <c r="K524" s="633"/>
      <c r="L524" s="631"/>
      <c r="M524" s="634"/>
      <c r="N524" s="631"/>
      <c r="O524" s="629"/>
      <c r="P524" s="631"/>
    </row>
    <row r="525" spans="2:16">
      <c r="B525" s="628"/>
      <c r="C525" s="629"/>
      <c r="D525" s="630"/>
      <c r="E525" s="631"/>
      <c r="F525" s="629"/>
      <c r="G525" s="631"/>
      <c r="H525" s="631"/>
      <c r="K525" s="633"/>
      <c r="L525" s="631"/>
      <c r="M525" s="634"/>
      <c r="N525" s="631"/>
      <c r="O525" s="629"/>
      <c r="P525" s="631"/>
    </row>
    <row r="526" spans="2:16">
      <c r="B526" s="628"/>
      <c r="C526" s="629"/>
      <c r="D526" s="630"/>
      <c r="E526" s="631"/>
      <c r="F526" s="629"/>
      <c r="G526" s="631"/>
      <c r="H526" s="631"/>
      <c r="K526" s="633"/>
      <c r="L526" s="631"/>
      <c r="M526" s="634"/>
      <c r="N526" s="631"/>
      <c r="O526" s="629"/>
      <c r="P526" s="631"/>
    </row>
    <row r="527" spans="2:16">
      <c r="B527" s="628"/>
      <c r="C527" s="629"/>
      <c r="D527" s="630"/>
      <c r="E527" s="631"/>
      <c r="F527" s="629"/>
      <c r="G527" s="631"/>
      <c r="H527" s="631"/>
      <c r="K527" s="633"/>
      <c r="L527" s="631"/>
      <c r="M527" s="634"/>
      <c r="N527" s="631"/>
      <c r="O527" s="629"/>
      <c r="P527" s="631"/>
    </row>
    <row r="528" spans="2:16">
      <c r="B528" s="628"/>
      <c r="C528" s="629"/>
      <c r="D528" s="630"/>
      <c r="E528" s="631"/>
      <c r="F528" s="629"/>
      <c r="G528" s="631"/>
      <c r="H528" s="631"/>
      <c r="K528" s="633"/>
      <c r="L528" s="631"/>
      <c r="M528" s="634"/>
      <c r="N528" s="631"/>
      <c r="O528" s="629"/>
      <c r="P528" s="631"/>
    </row>
    <row r="529" spans="2:16">
      <c r="B529" s="628"/>
      <c r="C529" s="629"/>
      <c r="D529" s="630"/>
      <c r="E529" s="631"/>
      <c r="F529" s="629"/>
      <c r="G529" s="631"/>
      <c r="H529" s="631"/>
      <c r="K529" s="633"/>
      <c r="L529" s="631"/>
      <c r="M529" s="634"/>
      <c r="N529" s="631"/>
      <c r="O529" s="629"/>
      <c r="P529" s="631"/>
    </row>
    <row r="530" spans="2:16">
      <c r="B530" s="628"/>
      <c r="C530" s="629"/>
      <c r="D530" s="630"/>
      <c r="E530" s="631"/>
      <c r="F530" s="629"/>
      <c r="G530" s="631"/>
      <c r="H530" s="631"/>
      <c r="K530" s="633"/>
      <c r="L530" s="631"/>
      <c r="M530" s="634"/>
      <c r="N530" s="631"/>
      <c r="O530" s="629"/>
      <c r="P530" s="631"/>
    </row>
    <row r="531" spans="2:16">
      <c r="B531" s="628"/>
      <c r="C531" s="629"/>
      <c r="D531" s="630"/>
      <c r="E531" s="631"/>
      <c r="F531" s="629"/>
      <c r="G531" s="631"/>
      <c r="H531" s="631"/>
      <c r="K531" s="633"/>
      <c r="L531" s="631"/>
      <c r="M531" s="634"/>
      <c r="N531" s="631"/>
      <c r="O531" s="629"/>
      <c r="P531" s="631"/>
    </row>
    <row r="532" spans="2:16">
      <c r="B532" s="628"/>
      <c r="C532" s="629"/>
      <c r="D532" s="630"/>
      <c r="E532" s="631"/>
      <c r="F532" s="629"/>
      <c r="G532" s="631"/>
      <c r="H532" s="631"/>
      <c r="K532" s="633"/>
      <c r="L532" s="631"/>
      <c r="M532" s="634"/>
      <c r="N532" s="631"/>
      <c r="O532" s="629"/>
      <c r="P532" s="631"/>
    </row>
    <row r="533" spans="2:16">
      <c r="B533" s="628"/>
      <c r="C533" s="629"/>
      <c r="D533" s="630"/>
      <c r="E533" s="631"/>
      <c r="F533" s="629"/>
      <c r="G533" s="631"/>
      <c r="H533" s="631"/>
      <c r="K533" s="633"/>
      <c r="L533" s="631"/>
      <c r="M533" s="634"/>
      <c r="N533" s="631"/>
      <c r="O533" s="629"/>
      <c r="P533" s="631"/>
    </row>
    <row r="534" spans="2:16">
      <c r="B534" s="628"/>
      <c r="C534" s="629"/>
      <c r="D534" s="630"/>
      <c r="E534" s="631"/>
      <c r="F534" s="629"/>
      <c r="G534" s="631"/>
      <c r="H534" s="631"/>
      <c r="K534" s="633"/>
      <c r="L534" s="631"/>
      <c r="M534" s="634"/>
      <c r="N534" s="631"/>
      <c r="O534" s="629"/>
      <c r="P534" s="631"/>
    </row>
    <row r="535" spans="2:16">
      <c r="B535" s="628"/>
      <c r="C535" s="629"/>
      <c r="D535" s="630"/>
      <c r="E535" s="631"/>
      <c r="F535" s="629"/>
      <c r="G535" s="631"/>
      <c r="H535" s="631"/>
      <c r="K535" s="633"/>
      <c r="L535" s="631"/>
      <c r="M535" s="634"/>
      <c r="N535" s="631"/>
      <c r="O535" s="629"/>
      <c r="P535" s="631"/>
    </row>
    <row r="536" spans="2:16">
      <c r="B536" s="628"/>
      <c r="C536" s="629"/>
      <c r="D536" s="630"/>
      <c r="E536" s="631"/>
      <c r="F536" s="629"/>
      <c r="G536" s="631"/>
      <c r="H536" s="631"/>
      <c r="K536" s="633"/>
      <c r="L536" s="631"/>
      <c r="M536" s="634"/>
      <c r="N536" s="631"/>
      <c r="O536" s="629"/>
      <c r="P536" s="631"/>
    </row>
    <row r="537" spans="2:16">
      <c r="B537" s="628"/>
      <c r="C537" s="629"/>
      <c r="D537" s="630"/>
      <c r="E537" s="631"/>
      <c r="F537" s="629"/>
      <c r="G537" s="631"/>
      <c r="H537" s="631"/>
      <c r="K537" s="633"/>
      <c r="L537" s="631"/>
      <c r="M537" s="634"/>
      <c r="N537" s="631"/>
      <c r="O537" s="629"/>
      <c r="P537" s="631"/>
    </row>
    <row r="538" spans="2:16">
      <c r="B538" s="628"/>
      <c r="C538" s="629"/>
      <c r="D538" s="630"/>
      <c r="E538" s="631"/>
      <c r="F538" s="629"/>
      <c r="G538" s="631"/>
      <c r="H538" s="631"/>
      <c r="K538" s="633"/>
      <c r="L538" s="631"/>
      <c r="M538" s="634"/>
      <c r="N538" s="631"/>
      <c r="O538" s="629"/>
      <c r="P538" s="631"/>
    </row>
    <row r="539" spans="2:16">
      <c r="B539" s="628"/>
      <c r="C539" s="629"/>
      <c r="D539" s="630"/>
      <c r="E539" s="631"/>
      <c r="F539" s="629"/>
      <c r="G539" s="631"/>
      <c r="H539" s="631"/>
      <c r="K539" s="633"/>
      <c r="L539" s="631"/>
      <c r="M539" s="634"/>
      <c r="N539" s="631"/>
      <c r="O539" s="629"/>
      <c r="P539" s="631"/>
    </row>
    <row r="540" spans="2:16">
      <c r="B540" s="628"/>
      <c r="C540" s="629"/>
      <c r="D540" s="630"/>
      <c r="E540" s="631"/>
      <c r="F540" s="629"/>
      <c r="G540" s="631"/>
      <c r="H540" s="631"/>
      <c r="K540" s="633"/>
      <c r="L540" s="631"/>
      <c r="M540" s="634"/>
      <c r="N540" s="631"/>
      <c r="O540" s="629"/>
      <c r="P540" s="631"/>
    </row>
    <row r="541" spans="2:16">
      <c r="B541" s="628"/>
      <c r="C541" s="629"/>
      <c r="D541" s="630"/>
      <c r="E541" s="631"/>
      <c r="F541" s="629"/>
      <c r="G541" s="631"/>
      <c r="H541" s="631"/>
      <c r="K541" s="633"/>
      <c r="L541" s="631"/>
      <c r="M541" s="634"/>
      <c r="N541" s="631"/>
      <c r="O541" s="629"/>
      <c r="P541" s="631"/>
    </row>
    <row r="542" spans="2:16">
      <c r="B542" s="628"/>
      <c r="C542" s="629"/>
      <c r="D542" s="630"/>
      <c r="E542" s="631"/>
      <c r="F542" s="629"/>
      <c r="G542" s="631"/>
      <c r="H542" s="631"/>
      <c r="K542" s="633"/>
      <c r="L542" s="631"/>
      <c r="M542" s="634"/>
      <c r="N542" s="631"/>
      <c r="O542" s="629"/>
      <c r="P542" s="631"/>
    </row>
    <row r="543" spans="2:16">
      <c r="B543" s="628"/>
      <c r="C543" s="629"/>
      <c r="D543" s="630"/>
      <c r="E543" s="631"/>
      <c r="F543" s="629"/>
      <c r="G543" s="631"/>
      <c r="H543" s="631"/>
      <c r="K543" s="633"/>
      <c r="L543" s="631"/>
      <c r="M543" s="634"/>
      <c r="N543" s="631"/>
      <c r="O543" s="629"/>
      <c r="P543" s="631"/>
    </row>
    <row r="544" spans="2:16">
      <c r="B544" s="628"/>
      <c r="C544" s="629"/>
      <c r="D544" s="630"/>
      <c r="E544" s="631"/>
      <c r="F544" s="629"/>
      <c r="G544" s="631"/>
      <c r="H544" s="631"/>
      <c r="K544" s="633"/>
      <c r="L544" s="631"/>
      <c r="M544" s="634"/>
      <c r="N544" s="631"/>
      <c r="O544" s="629"/>
      <c r="P544" s="631"/>
    </row>
    <row r="545" spans="2:16">
      <c r="B545" s="628"/>
      <c r="C545" s="629"/>
      <c r="D545" s="630"/>
      <c r="E545" s="631"/>
      <c r="F545" s="629"/>
      <c r="G545" s="631"/>
      <c r="H545" s="631"/>
      <c r="K545" s="633"/>
      <c r="L545" s="631"/>
      <c r="M545" s="634"/>
      <c r="N545" s="631"/>
      <c r="O545" s="629"/>
      <c r="P545" s="631"/>
    </row>
    <row r="546" spans="2:16">
      <c r="B546" s="628"/>
      <c r="C546" s="629"/>
      <c r="D546" s="630"/>
      <c r="E546" s="631"/>
      <c r="F546" s="629"/>
      <c r="G546" s="631"/>
      <c r="H546" s="631"/>
      <c r="K546" s="633"/>
      <c r="L546" s="631"/>
      <c r="M546" s="634"/>
      <c r="N546" s="631"/>
      <c r="O546" s="629"/>
      <c r="P546" s="631"/>
    </row>
    <row r="547" spans="2:16">
      <c r="B547" s="628"/>
      <c r="C547" s="629"/>
      <c r="D547" s="630"/>
      <c r="E547" s="631"/>
      <c r="F547" s="629"/>
      <c r="G547" s="631"/>
      <c r="H547" s="631"/>
      <c r="K547" s="633"/>
      <c r="L547" s="631"/>
      <c r="M547" s="634"/>
      <c r="N547" s="631"/>
      <c r="O547" s="629"/>
      <c r="P547" s="631"/>
    </row>
    <row r="548" spans="2:16">
      <c r="B548" s="628"/>
      <c r="C548" s="629"/>
      <c r="D548" s="630"/>
      <c r="E548" s="631"/>
      <c r="F548" s="629"/>
      <c r="G548" s="631"/>
      <c r="H548" s="631"/>
      <c r="K548" s="633"/>
      <c r="L548" s="631"/>
      <c r="M548" s="634"/>
      <c r="N548" s="631"/>
      <c r="O548" s="629"/>
      <c r="P548" s="631"/>
    </row>
    <row r="549" spans="2:16">
      <c r="B549" s="628"/>
      <c r="C549" s="629"/>
      <c r="D549" s="630"/>
      <c r="E549" s="631"/>
      <c r="F549" s="629"/>
      <c r="G549" s="631"/>
      <c r="H549" s="631"/>
      <c r="K549" s="633"/>
      <c r="L549" s="631"/>
      <c r="M549" s="634"/>
      <c r="N549" s="631"/>
      <c r="O549" s="629"/>
      <c r="P549" s="631"/>
    </row>
    <row r="550" spans="2:16">
      <c r="B550" s="628"/>
      <c r="C550" s="629"/>
      <c r="D550" s="630"/>
      <c r="E550" s="631"/>
      <c r="F550" s="629"/>
      <c r="G550" s="631"/>
      <c r="H550" s="631"/>
      <c r="K550" s="633"/>
      <c r="L550" s="631"/>
      <c r="M550" s="634"/>
      <c r="N550" s="631"/>
      <c r="O550" s="629"/>
      <c r="P550" s="631"/>
    </row>
    <row r="551" spans="2:16">
      <c r="B551" s="628"/>
      <c r="C551" s="629"/>
      <c r="D551" s="630"/>
      <c r="E551" s="631"/>
      <c r="F551" s="629"/>
      <c r="G551" s="631"/>
      <c r="H551" s="631"/>
      <c r="K551" s="633"/>
      <c r="L551" s="631"/>
      <c r="M551" s="634"/>
      <c r="N551" s="631"/>
      <c r="O551" s="629"/>
      <c r="P551" s="631"/>
    </row>
    <row r="552" spans="2:16">
      <c r="B552" s="628"/>
      <c r="C552" s="629"/>
      <c r="D552" s="630"/>
      <c r="E552" s="631"/>
      <c r="F552" s="629"/>
      <c r="G552" s="631"/>
      <c r="H552" s="631"/>
      <c r="K552" s="633"/>
      <c r="L552" s="631"/>
      <c r="M552" s="634"/>
      <c r="N552" s="631"/>
      <c r="O552" s="629"/>
      <c r="P552" s="631"/>
    </row>
    <row r="553" spans="2:16">
      <c r="B553" s="628"/>
      <c r="C553" s="629"/>
      <c r="D553" s="630"/>
      <c r="E553" s="631"/>
      <c r="F553" s="629"/>
      <c r="G553" s="631"/>
      <c r="H553" s="631"/>
      <c r="K553" s="633"/>
      <c r="L553" s="631"/>
      <c r="M553" s="634"/>
      <c r="N553" s="631"/>
      <c r="O553" s="629"/>
      <c r="P553" s="631"/>
    </row>
    <row r="554" spans="2:16">
      <c r="B554" s="628"/>
      <c r="C554" s="629"/>
      <c r="D554" s="630"/>
      <c r="E554" s="631"/>
      <c r="F554" s="629"/>
      <c r="G554" s="631"/>
      <c r="H554" s="631"/>
      <c r="K554" s="633"/>
      <c r="L554" s="631"/>
      <c r="M554" s="634"/>
      <c r="N554" s="631"/>
      <c r="O554" s="629"/>
      <c r="P554" s="631"/>
    </row>
    <row r="555" spans="2:16">
      <c r="B555" s="628"/>
      <c r="C555" s="629"/>
      <c r="D555" s="630"/>
      <c r="E555" s="631"/>
      <c r="F555" s="629"/>
      <c r="G555" s="631"/>
      <c r="H555" s="631"/>
      <c r="K555" s="633"/>
      <c r="L555" s="631"/>
      <c r="M555" s="634"/>
      <c r="N555" s="631"/>
      <c r="O555" s="629"/>
      <c r="P555" s="631"/>
    </row>
    <row r="556" spans="2:16">
      <c r="B556" s="628"/>
      <c r="C556" s="629"/>
      <c r="D556" s="630"/>
      <c r="E556" s="631"/>
      <c r="F556" s="629"/>
      <c r="G556" s="631"/>
      <c r="H556" s="631"/>
      <c r="K556" s="633"/>
      <c r="L556" s="631"/>
      <c r="M556" s="634"/>
      <c r="N556" s="631"/>
      <c r="O556" s="629"/>
      <c r="P556" s="631"/>
    </row>
    <row r="557" spans="2:16">
      <c r="B557" s="628"/>
      <c r="C557" s="629"/>
      <c r="D557" s="630"/>
      <c r="E557" s="631"/>
      <c r="F557" s="629"/>
      <c r="G557" s="631"/>
      <c r="H557" s="631"/>
      <c r="K557" s="633"/>
      <c r="L557" s="631"/>
      <c r="M557" s="634"/>
      <c r="N557" s="631"/>
      <c r="O557" s="629"/>
      <c r="P557" s="631"/>
    </row>
    <row r="558" spans="2:16">
      <c r="B558" s="628"/>
      <c r="C558" s="629"/>
      <c r="D558" s="630"/>
      <c r="E558" s="631"/>
      <c r="F558" s="629"/>
      <c r="G558" s="631"/>
      <c r="H558" s="631"/>
      <c r="K558" s="633"/>
      <c r="L558" s="631"/>
      <c r="M558" s="634"/>
      <c r="N558" s="631"/>
      <c r="O558" s="629"/>
      <c r="P558" s="631"/>
    </row>
    <row r="559" spans="2:16">
      <c r="B559" s="628"/>
      <c r="C559" s="629"/>
      <c r="D559" s="630"/>
      <c r="E559" s="631"/>
      <c r="F559" s="629"/>
      <c r="G559" s="631"/>
      <c r="H559" s="631"/>
      <c r="K559" s="633"/>
      <c r="L559" s="631"/>
      <c r="M559" s="634"/>
      <c r="N559" s="631"/>
      <c r="O559" s="629"/>
      <c r="P559" s="631"/>
    </row>
    <row r="560" spans="2:16">
      <c r="B560" s="628"/>
      <c r="C560" s="629"/>
      <c r="D560" s="630"/>
      <c r="E560" s="631"/>
      <c r="F560" s="629"/>
      <c r="G560" s="631"/>
      <c r="H560" s="631"/>
      <c r="K560" s="633"/>
      <c r="L560" s="631"/>
      <c r="M560" s="634"/>
      <c r="N560" s="631"/>
      <c r="O560" s="629"/>
      <c r="P560" s="631"/>
    </row>
    <row r="561" spans="2:16">
      <c r="B561" s="628"/>
      <c r="C561" s="629"/>
      <c r="D561" s="630"/>
      <c r="E561" s="631"/>
      <c r="F561" s="629"/>
      <c r="G561" s="631"/>
      <c r="H561" s="631"/>
      <c r="K561" s="633"/>
      <c r="L561" s="631"/>
      <c r="M561" s="634"/>
      <c r="N561" s="631"/>
      <c r="O561" s="629"/>
      <c r="P561" s="631"/>
    </row>
    <row r="562" spans="2:16">
      <c r="B562" s="628"/>
      <c r="C562" s="629"/>
      <c r="D562" s="630"/>
      <c r="E562" s="631"/>
      <c r="F562" s="629"/>
      <c r="G562" s="631"/>
      <c r="H562" s="631"/>
      <c r="K562" s="633"/>
      <c r="L562" s="631"/>
      <c r="M562" s="634"/>
      <c r="N562" s="631"/>
      <c r="O562" s="629"/>
      <c r="P562" s="631"/>
    </row>
    <row r="563" spans="2:16">
      <c r="B563" s="628"/>
      <c r="C563" s="629"/>
      <c r="D563" s="630"/>
      <c r="E563" s="631"/>
      <c r="F563" s="629"/>
      <c r="G563" s="631"/>
      <c r="H563" s="631"/>
      <c r="K563" s="633"/>
      <c r="L563" s="631"/>
      <c r="M563" s="634"/>
      <c r="N563" s="631"/>
      <c r="O563" s="629"/>
      <c r="P563" s="631"/>
    </row>
    <row r="564" spans="2:16">
      <c r="B564" s="628"/>
      <c r="C564" s="629"/>
      <c r="D564" s="630"/>
      <c r="E564" s="631"/>
      <c r="F564" s="629"/>
      <c r="G564" s="631"/>
      <c r="H564" s="631"/>
      <c r="K564" s="633"/>
      <c r="L564" s="631"/>
      <c r="M564" s="634"/>
      <c r="N564" s="631"/>
      <c r="O564" s="629"/>
      <c r="P564" s="631"/>
    </row>
    <row r="565" spans="2:16">
      <c r="B565" s="628"/>
      <c r="C565" s="629"/>
      <c r="D565" s="630"/>
      <c r="E565" s="631"/>
      <c r="F565" s="629"/>
      <c r="G565" s="631"/>
      <c r="H565" s="631"/>
      <c r="K565" s="633"/>
      <c r="L565" s="631"/>
      <c r="M565" s="634"/>
      <c r="N565" s="631"/>
      <c r="O565" s="629"/>
      <c r="P565" s="631"/>
    </row>
    <row r="566" spans="2:16">
      <c r="B566" s="628"/>
      <c r="C566" s="629"/>
      <c r="D566" s="630"/>
      <c r="E566" s="631"/>
      <c r="F566" s="629"/>
      <c r="G566" s="631"/>
      <c r="H566" s="631"/>
      <c r="K566" s="633"/>
      <c r="L566" s="631"/>
      <c r="M566" s="634"/>
      <c r="N566" s="631"/>
      <c r="O566" s="629"/>
      <c r="P566" s="631"/>
    </row>
    <row r="567" spans="2:16">
      <c r="B567" s="628"/>
      <c r="C567" s="629"/>
      <c r="D567" s="630"/>
      <c r="E567" s="631"/>
      <c r="F567" s="629"/>
      <c r="G567" s="631"/>
      <c r="H567" s="631"/>
      <c r="K567" s="633"/>
      <c r="L567" s="631"/>
      <c r="M567" s="634"/>
      <c r="N567" s="631"/>
      <c r="O567" s="629"/>
      <c r="P567" s="631"/>
    </row>
    <row r="568" spans="2:16">
      <c r="B568" s="628"/>
      <c r="C568" s="629"/>
      <c r="D568" s="630"/>
      <c r="E568" s="631"/>
      <c r="F568" s="629"/>
      <c r="G568" s="631"/>
      <c r="H568" s="631"/>
      <c r="K568" s="633"/>
      <c r="L568" s="631"/>
      <c r="M568" s="634"/>
      <c r="N568" s="631"/>
      <c r="O568" s="629"/>
      <c r="P568" s="631"/>
    </row>
    <row r="569" spans="2:16">
      <c r="B569" s="628"/>
      <c r="C569" s="629"/>
      <c r="D569" s="630"/>
      <c r="E569" s="631"/>
      <c r="F569" s="629"/>
      <c r="G569" s="631"/>
      <c r="H569" s="631"/>
      <c r="K569" s="633"/>
      <c r="L569" s="631"/>
      <c r="M569" s="634"/>
      <c r="N569" s="631"/>
      <c r="O569" s="629"/>
      <c r="P569" s="631"/>
    </row>
    <row r="570" spans="2:16">
      <c r="B570" s="628"/>
      <c r="C570" s="629"/>
      <c r="D570" s="630"/>
      <c r="E570" s="631"/>
      <c r="F570" s="629"/>
      <c r="G570" s="631"/>
      <c r="H570" s="631"/>
      <c r="K570" s="633"/>
      <c r="L570" s="631"/>
      <c r="M570" s="634"/>
      <c r="N570" s="631"/>
      <c r="O570" s="629"/>
      <c r="P570" s="631"/>
    </row>
    <row r="571" spans="2:16">
      <c r="B571" s="628"/>
      <c r="C571" s="629"/>
      <c r="D571" s="630"/>
      <c r="E571" s="631"/>
      <c r="F571" s="629"/>
      <c r="G571" s="631"/>
      <c r="H571" s="631"/>
      <c r="K571" s="633"/>
      <c r="L571" s="631"/>
      <c r="M571" s="634"/>
      <c r="N571" s="631"/>
      <c r="O571" s="629"/>
      <c r="P571" s="631"/>
    </row>
    <row r="572" spans="2:16">
      <c r="B572" s="628"/>
      <c r="C572" s="629"/>
      <c r="D572" s="630"/>
      <c r="E572" s="631"/>
      <c r="F572" s="629"/>
      <c r="G572" s="631"/>
      <c r="H572" s="631"/>
      <c r="K572" s="633"/>
      <c r="L572" s="631"/>
      <c r="M572" s="634"/>
      <c r="N572" s="631"/>
      <c r="O572" s="629"/>
      <c r="P572" s="631"/>
    </row>
    <row r="573" spans="2:16">
      <c r="B573" s="628"/>
      <c r="C573" s="629"/>
      <c r="D573" s="630"/>
      <c r="E573" s="631"/>
      <c r="F573" s="629"/>
      <c r="G573" s="631"/>
      <c r="H573" s="631"/>
      <c r="K573" s="633"/>
      <c r="L573" s="631"/>
      <c r="M573" s="634"/>
      <c r="N573" s="631"/>
      <c r="O573" s="629"/>
      <c r="P573" s="631"/>
    </row>
    <row r="574" spans="2:16">
      <c r="B574" s="628"/>
      <c r="C574" s="629"/>
      <c r="D574" s="630"/>
      <c r="E574" s="631"/>
      <c r="F574" s="629"/>
      <c r="G574" s="631"/>
      <c r="H574" s="631"/>
      <c r="K574" s="633"/>
      <c r="L574" s="631"/>
      <c r="M574" s="634"/>
      <c r="N574" s="631"/>
      <c r="O574" s="629"/>
      <c r="P574" s="631"/>
    </row>
    <row r="575" spans="2:16">
      <c r="B575" s="628"/>
      <c r="C575" s="629"/>
      <c r="D575" s="630"/>
      <c r="E575" s="631"/>
      <c r="F575" s="629"/>
      <c r="G575" s="631"/>
      <c r="H575" s="631"/>
      <c r="K575" s="633"/>
      <c r="L575" s="631"/>
      <c r="M575" s="634"/>
      <c r="N575" s="631"/>
      <c r="O575" s="629"/>
      <c r="P575" s="631"/>
    </row>
    <row r="576" spans="2:16">
      <c r="B576" s="628"/>
      <c r="C576" s="629"/>
      <c r="D576" s="630"/>
      <c r="E576" s="631"/>
      <c r="F576" s="629"/>
      <c r="G576" s="631"/>
      <c r="H576" s="631"/>
      <c r="K576" s="633"/>
      <c r="L576" s="631"/>
      <c r="M576" s="634"/>
      <c r="N576" s="631"/>
      <c r="O576" s="629"/>
      <c r="P576" s="631"/>
    </row>
    <row r="577" spans="2:16">
      <c r="B577" s="628"/>
      <c r="C577" s="629"/>
      <c r="D577" s="630"/>
      <c r="E577" s="631"/>
      <c r="F577" s="629"/>
      <c r="G577" s="631"/>
      <c r="H577" s="631"/>
      <c r="K577" s="633"/>
      <c r="L577" s="631"/>
      <c r="M577" s="634"/>
      <c r="N577" s="631"/>
      <c r="O577" s="629"/>
      <c r="P577" s="631"/>
    </row>
    <row r="578" spans="2:16">
      <c r="B578" s="628"/>
      <c r="C578" s="629"/>
      <c r="D578" s="630"/>
      <c r="E578" s="631"/>
      <c r="F578" s="629"/>
      <c r="G578" s="631"/>
      <c r="H578" s="631"/>
      <c r="K578" s="633"/>
      <c r="L578" s="631"/>
      <c r="M578" s="634"/>
      <c r="N578" s="631"/>
      <c r="O578" s="629"/>
      <c r="P578" s="631"/>
    </row>
    <row r="579" spans="2:16">
      <c r="B579" s="628"/>
      <c r="C579" s="629"/>
      <c r="D579" s="630"/>
      <c r="E579" s="631"/>
      <c r="F579" s="629"/>
      <c r="G579" s="631"/>
      <c r="H579" s="631"/>
      <c r="K579" s="633"/>
      <c r="L579" s="631"/>
      <c r="M579" s="634"/>
      <c r="N579" s="631"/>
      <c r="O579" s="629"/>
      <c r="P579" s="631"/>
    </row>
    <row r="580" spans="2:16">
      <c r="B580" s="628"/>
      <c r="C580" s="629"/>
      <c r="D580" s="630"/>
      <c r="E580" s="631"/>
      <c r="F580" s="629"/>
      <c r="G580" s="631"/>
      <c r="H580" s="631"/>
      <c r="K580" s="633"/>
      <c r="L580" s="631"/>
      <c r="M580" s="634"/>
      <c r="N580" s="631"/>
      <c r="O580" s="629"/>
      <c r="P580" s="631"/>
    </row>
    <row r="581" spans="2:16">
      <c r="B581" s="628"/>
      <c r="C581" s="629"/>
      <c r="D581" s="630"/>
      <c r="E581" s="631"/>
      <c r="F581" s="629"/>
      <c r="G581" s="631"/>
      <c r="H581" s="631"/>
      <c r="K581" s="633"/>
      <c r="L581" s="631"/>
      <c r="M581" s="634"/>
      <c r="N581" s="631"/>
      <c r="O581" s="629"/>
      <c r="P581" s="631"/>
    </row>
    <row r="582" spans="2:16">
      <c r="B582" s="628"/>
      <c r="C582" s="629"/>
      <c r="D582" s="630"/>
      <c r="E582" s="631"/>
      <c r="F582" s="629"/>
      <c r="G582" s="631"/>
      <c r="H582" s="631"/>
      <c r="K582" s="633"/>
      <c r="L582" s="631"/>
      <c r="M582" s="634"/>
      <c r="N582" s="631"/>
      <c r="O582" s="629"/>
      <c r="P582" s="631"/>
    </row>
    <row r="583" spans="2:16">
      <c r="B583" s="628"/>
      <c r="C583" s="629"/>
      <c r="D583" s="630"/>
      <c r="E583" s="631"/>
      <c r="F583" s="629"/>
      <c r="G583" s="631"/>
      <c r="H583" s="631"/>
      <c r="K583" s="633"/>
      <c r="L583" s="631"/>
      <c r="M583" s="634"/>
      <c r="N583" s="631"/>
      <c r="O583" s="629"/>
      <c r="P583" s="631"/>
    </row>
    <row r="584" spans="2:16">
      <c r="B584" s="628"/>
      <c r="C584" s="629"/>
      <c r="D584" s="630"/>
      <c r="E584" s="631"/>
      <c r="F584" s="629"/>
      <c r="G584" s="631"/>
      <c r="H584" s="631"/>
      <c r="K584" s="633"/>
      <c r="L584" s="631"/>
      <c r="M584" s="634"/>
      <c r="N584" s="631"/>
      <c r="O584" s="629"/>
      <c r="P584" s="631"/>
    </row>
    <row r="585" spans="2:16">
      <c r="B585" s="628"/>
      <c r="C585" s="629"/>
      <c r="D585" s="630"/>
      <c r="E585" s="631"/>
      <c r="F585" s="629"/>
      <c r="G585" s="631"/>
      <c r="H585" s="631"/>
      <c r="K585" s="633"/>
      <c r="L585" s="631"/>
      <c r="M585" s="634"/>
      <c r="N585" s="631"/>
      <c r="O585" s="629"/>
      <c r="P585" s="631"/>
    </row>
    <row r="586" spans="2:16">
      <c r="B586" s="628"/>
      <c r="C586" s="629"/>
      <c r="D586" s="630"/>
      <c r="E586" s="631"/>
      <c r="F586" s="629"/>
      <c r="G586" s="631"/>
      <c r="H586" s="631"/>
      <c r="K586" s="633"/>
      <c r="L586" s="631"/>
      <c r="M586" s="634"/>
      <c r="N586" s="631"/>
      <c r="O586" s="629"/>
      <c r="P586" s="631"/>
    </row>
    <row r="587" spans="2:16">
      <c r="B587" s="628"/>
      <c r="C587" s="629"/>
      <c r="D587" s="630"/>
      <c r="E587" s="631"/>
      <c r="F587" s="629"/>
      <c r="G587" s="631"/>
      <c r="H587" s="631"/>
      <c r="K587" s="633"/>
      <c r="L587" s="631"/>
      <c r="M587" s="634"/>
      <c r="N587" s="631"/>
      <c r="O587" s="629"/>
      <c r="P587" s="631"/>
    </row>
    <row r="588" spans="2:16">
      <c r="B588" s="628"/>
      <c r="C588" s="629"/>
      <c r="D588" s="630"/>
      <c r="E588" s="631"/>
      <c r="F588" s="629"/>
      <c r="G588" s="631"/>
      <c r="H588" s="631"/>
      <c r="K588" s="633"/>
      <c r="L588" s="631"/>
      <c r="M588" s="634"/>
      <c r="N588" s="631"/>
      <c r="O588" s="629"/>
      <c r="P588" s="631"/>
    </row>
    <row r="589" spans="2:16">
      <c r="B589" s="628"/>
      <c r="C589" s="629"/>
      <c r="D589" s="630"/>
      <c r="E589" s="631"/>
      <c r="F589" s="629"/>
      <c r="G589" s="631"/>
      <c r="H589" s="631"/>
      <c r="K589" s="633"/>
      <c r="L589" s="631"/>
      <c r="M589" s="634"/>
      <c r="N589" s="631"/>
      <c r="O589" s="629"/>
      <c r="P589" s="631"/>
    </row>
    <row r="590" spans="2:16">
      <c r="B590" s="628"/>
      <c r="C590" s="629"/>
      <c r="D590" s="630"/>
      <c r="E590" s="631"/>
      <c r="F590" s="629"/>
      <c r="G590" s="631"/>
      <c r="H590" s="631"/>
      <c r="K590" s="633"/>
      <c r="L590" s="631"/>
      <c r="M590" s="634"/>
      <c r="N590" s="631"/>
      <c r="O590" s="629"/>
      <c r="P590" s="631"/>
    </row>
    <row r="591" spans="2:16">
      <c r="B591" s="628"/>
      <c r="C591" s="629"/>
      <c r="D591" s="630"/>
      <c r="E591" s="631"/>
      <c r="F591" s="629"/>
      <c r="G591" s="631"/>
      <c r="H591" s="631"/>
      <c r="K591" s="633"/>
      <c r="L591" s="631"/>
      <c r="M591" s="634"/>
      <c r="N591" s="631"/>
      <c r="O591" s="629"/>
      <c r="P591" s="631"/>
    </row>
    <row r="592" spans="2:16">
      <c r="B592" s="628"/>
      <c r="C592" s="629"/>
      <c r="D592" s="630"/>
      <c r="E592" s="631"/>
      <c r="F592" s="629"/>
      <c r="G592" s="631"/>
      <c r="H592" s="631"/>
      <c r="K592" s="633"/>
      <c r="L592" s="631"/>
      <c r="M592" s="634"/>
      <c r="N592" s="631"/>
      <c r="O592" s="629"/>
      <c r="P592" s="631"/>
    </row>
    <row r="593" spans="2:16">
      <c r="B593" s="628"/>
      <c r="C593" s="629"/>
      <c r="D593" s="630"/>
      <c r="E593" s="631"/>
      <c r="F593" s="629"/>
      <c r="G593" s="631"/>
      <c r="H593" s="631"/>
      <c r="K593" s="633"/>
      <c r="L593" s="631"/>
      <c r="M593" s="634"/>
      <c r="N593" s="631"/>
      <c r="O593" s="629"/>
      <c r="P593" s="631"/>
    </row>
    <row r="594" spans="2:16">
      <c r="B594" s="628"/>
      <c r="C594" s="629"/>
      <c r="D594" s="630"/>
      <c r="E594" s="631"/>
      <c r="F594" s="629"/>
      <c r="G594" s="631"/>
      <c r="H594" s="631"/>
      <c r="K594" s="633"/>
      <c r="L594" s="631"/>
      <c r="M594" s="634"/>
      <c r="N594" s="631"/>
      <c r="O594" s="629"/>
      <c r="P594" s="631"/>
    </row>
    <row r="595" spans="2:16">
      <c r="B595" s="628"/>
      <c r="C595" s="629"/>
      <c r="D595" s="630"/>
      <c r="E595" s="631"/>
      <c r="F595" s="629"/>
      <c r="G595" s="631"/>
      <c r="H595" s="631"/>
      <c r="K595" s="633"/>
      <c r="L595" s="631"/>
      <c r="M595" s="634"/>
      <c r="N595" s="631"/>
      <c r="O595" s="629"/>
      <c r="P595" s="631"/>
    </row>
    <row r="596" spans="2:16">
      <c r="B596" s="628"/>
      <c r="C596" s="629"/>
      <c r="D596" s="630"/>
      <c r="E596" s="631"/>
      <c r="F596" s="629"/>
      <c r="G596" s="631"/>
      <c r="H596" s="631"/>
      <c r="K596" s="633"/>
      <c r="L596" s="631"/>
      <c r="M596" s="634"/>
      <c r="N596" s="631"/>
      <c r="O596" s="629"/>
      <c r="P596" s="631"/>
    </row>
    <row r="597" spans="2:16">
      <c r="B597" s="628"/>
      <c r="C597" s="629"/>
      <c r="D597" s="630"/>
      <c r="E597" s="631"/>
      <c r="F597" s="629"/>
      <c r="G597" s="631"/>
      <c r="H597" s="631"/>
      <c r="K597" s="633"/>
      <c r="L597" s="631"/>
      <c r="M597" s="634"/>
      <c r="N597" s="631"/>
      <c r="O597" s="629"/>
      <c r="P597" s="631"/>
    </row>
    <row r="598" spans="2:16">
      <c r="B598" s="628"/>
      <c r="C598" s="629"/>
      <c r="D598" s="630"/>
      <c r="E598" s="631"/>
      <c r="F598" s="629"/>
      <c r="G598" s="631"/>
      <c r="H598" s="631"/>
      <c r="K598" s="633"/>
      <c r="L598" s="631"/>
      <c r="M598" s="634"/>
      <c r="N598" s="631"/>
      <c r="O598" s="629"/>
      <c r="P598" s="631"/>
    </row>
    <row r="599" spans="2:16">
      <c r="B599" s="628"/>
      <c r="C599" s="629"/>
      <c r="D599" s="630"/>
      <c r="E599" s="631"/>
      <c r="F599" s="629"/>
      <c r="G599" s="631"/>
      <c r="H599" s="631"/>
      <c r="K599" s="633"/>
      <c r="L599" s="631"/>
      <c r="M599" s="634"/>
      <c r="N599" s="631"/>
      <c r="O599" s="629"/>
      <c r="P599" s="631"/>
    </row>
    <row r="600" spans="2:16">
      <c r="K600" s="633"/>
      <c r="L600" s="631"/>
      <c r="M600" s="634"/>
      <c r="N600" s="631"/>
      <c r="O600" s="629"/>
      <c r="P600" s="631"/>
    </row>
    <row r="601" spans="2:16">
      <c r="K601" s="633"/>
      <c r="L601" s="631"/>
      <c r="M601" s="634"/>
      <c r="N601" s="631"/>
      <c r="O601" s="629"/>
      <c r="P601" s="631"/>
    </row>
    <row r="602" spans="2:16">
      <c r="K602" s="633"/>
      <c r="L602" s="631"/>
      <c r="M602" s="634"/>
      <c r="N602" s="631"/>
      <c r="O602" s="629"/>
      <c r="P602" s="631"/>
    </row>
    <row r="603" spans="2:16">
      <c r="K603" s="633"/>
      <c r="L603" s="631"/>
      <c r="M603" s="634"/>
      <c r="N603" s="631"/>
      <c r="O603" s="629"/>
      <c r="P603" s="631"/>
    </row>
    <row r="604" spans="2:16">
      <c r="K604" s="633"/>
      <c r="L604" s="631"/>
      <c r="M604" s="634"/>
      <c r="N604" s="631"/>
      <c r="O604" s="629"/>
      <c r="P604" s="631"/>
    </row>
    <row r="605" spans="2:16">
      <c r="K605" s="633"/>
      <c r="L605" s="631"/>
      <c r="M605" s="634"/>
      <c r="N605" s="631"/>
      <c r="O605" s="629"/>
      <c r="P605" s="631"/>
    </row>
    <row r="606" spans="2:16">
      <c r="K606" s="633"/>
      <c r="L606" s="631"/>
      <c r="M606" s="634"/>
      <c r="N606" s="631"/>
      <c r="O606" s="629"/>
      <c r="P606" s="631"/>
    </row>
    <row r="607" spans="2:16">
      <c r="K607" s="633"/>
      <c r="L607" s="631"/>
      <c r="M607" s="634"/>
      <c r="N607" s="631"/>
      <c r="O607" s="629"/>
      <c r="P607" s="631"/>
    </row>
    <row r="608" spans="2:16">
      <c r="K608" s="633"/>
      <c r="L608" s="631"/>
      <c r="M608" s="634"/>
      <c r="N608" s="631"/>
      <c r="O608" s="629"/>
      <c r="P608" s="631"/>
    </row>
    <row r="609" spans="11:16">
      <c r="K609" s="633"/>
      <c r="L609" s="631"/>
      <c r="M609" s="634"/>
      <c r="N609" s="631"/>
      <c r="O609" s="629"/>
      <c r="P609" s="631"/>
    </row>
    <row r="610" spans="11:16">
      <c r="K610" s="633"/>
      <c r="L610" s="631"/>
      <c r="M610" s="634"/>
      <c r="N610" s="631"/>
      <c r="O610" s="629"/>
      <c r="P610" s="631"/>
    </row>
    <row r="611" spans="11:16">
      <c r="K611" s="633"/>
      <c r="L611" s="631"/>
      <c r="M611" s="634"/>
      <c r="N611" s="631"/>
      <c r="O611" s="629"/>
      <c r="P611" s="631"/>
    </row>
    <row r="612" spans="11:16">
      <c r="K612" s="633"/>
      <c r="L612" s="631"/>
      <c r="M612" s="634"/>
      <c r="N612" s="631"/>
      <c r="O612" s="629"/>
      <c r="P612" s="631"/>
    </row>
    <row r="613" spans="11:16">
      <c r="K613" s="633"/>
      <c r="L613" s="631"/>
      <c r="M613" s="634"/>
      <c r="N613" s="631"/>
      <c r="O613" s="629"/>
      <c r="P613" s="631"/>
    </row>
    <row r="614" spans="11:16">
      <c r="K614" s="633"/>
      <c r="L614" s="631"/>
      <c r="M614" s="634"/>
      <c r="N614" s="631"/>
      <c r="O614" s="629"/>
      <c r="P614" s="631"/>
    </row>
    <row r="615" spans="11:16">
      <c r="K615" s="633"/>
      <c r="L615" s="631"/>
      <c r="M615" s="634"/>
      <c r="N615" s="631"/>
      <c r="O615" s="629"/>
      <c r="P615" s="631"/>
    </row>
    <row r="616" spans="11:16">
      <c r="K616" s="633"/>
      <c r="L616" s="631"/>
      <c r="M616" s="634"/>
      <c r="N616" s="631"/>
      <c r="O616" s="629"/>
      <c r="P616" s="631"/>
    </row>
    <row r="617" spans="11:16">
      <c r="K617" s="633"/>
      <c r="L617" s="631"/>
      <c r="M617" s="634"/>
      <c r="N617" s="631"/>
      <c r="O617" s="629"/>
      <c r="P617" s="631"/>
    </row>
    <row r="618" spans="11:16">
      <c r="K618" s="633"/>
      <c r="L618" s="631"/>
      <c r="M618" s="634"/>
      <c r="N618" s="631"/>
      <c r="O618" s="629"/>
      <c r="P618" s="631"/>
    </row>
    <row r="619" spans="11:16">
      <c r="K619" s="633"/>
      <c r="L619" s="631"/>
      <c r="M619" s="634"/>
      <c r="N619" s="631"/>
      <c r="O619" s="629"/>
      <c r="P619" s="631"/>
    </row>
    <row r="620" spans="11:16">
      <c r="K620" s="633"/>
      <c r="L620" s="631"/>
      <c r="M620" s="634"/>
      <c r="N620" s="631"/>
      <c r="O620" s="629"/>
      <c r="P620" s="631"/>
    </row>
    <row r="621" spans="11:16">
      <c r="K621" s="633"/>
      <c r="L621" s="631"/>
      <c r="M621" s="634"/>
      <c r="N621" s="631"/>
      <c r="O621" s="629"/>
      <c r="P621" s="631"/>
    </row>
    <row r="622" spans="11:16">
      <c r="K622" s="633"/>
      <c r="L622" s="631"/>
      <c r="M622" s="634"/>
      <c r="N622" s="631"/>
      <c r="O622" s="629"/>
      <c r="P622" s="631"/>
    </row>
    <row r="623" spans="11:16">
      <c r="K623" s="633"/>
      <c r="L623" s="631"/>
      <c r="M623" s="634"/>
      <c r="N623" s="631"/>
      <c r="O623" s="629"/>
      <c r="P623" s="631"/>
    </row>
    <row r="624" spans="11:16">
      <c r="K624" s="633"/>
      <c r="L624" s="631"/>
      <c r="M624" s="634"/>
      <c r="N624" s="631"/>
      <c r="O624" s="629"/>
      <c r="P624" s="631"/>
    </row>
    <row r="625" spans="11:16">
      <c r="K625" s="633"/>
      <c r="L625" s="631"/>
      <c r="M625" s="634"/>
      <c r="N625" s="631"/>
      <c r="O625" s="629"/>
      <c r="P625" s="631"/>
    </row>
    <row r="626" spans="11:16">
      <c r="K626" s="633"/>
      <c r="L626" s="631"/>
      <c r="M626" s="634"/>
      <c r="N626" s="631"/>
      <c r="O626" s="629"/>
      <c r="P626" s="631"/>
    </row>
    <row r="627" spans="11:16">
      <c r="K627" s="633"/>
      <c r="L627" s="631"/>
      <c r="M627" s="634"/>
      <c r="N627" s="631"/>
      <c r="O627" s="629"/>
      <c r="P627" s="631"/>
    </row>
    <row r="628" spans="11:16">
      <c r="K628" s="633"/>
      <c r="L628" s="631"/>
      <c r="M628" s="634"/>
      <c r="N628" s="631"/>
      <c r="O628" s="629"/>
      <c r="P628" s="631"/>
    </row>
    <row r="629" spans="11:16">
      <c r="K629" s="633"/>
      <c r="L629" s="631"/>
      <c r="M629" s="634"/>
      <c r="N629" s="631"/>
      <c r="O629" s="629"/>
      <c r="P629" s="631"/>
    </row>
    <row r="630" spans="11:16">
      <c r="K630" s="633"/>
      <c r="L630" s="631"/>
      <c r="M630" s="634"/>
      <c r="N630" s="631"/>
      <c r="O630" s="629"/>
      <c r="P630" s="631"/>
    </row>
    <row r="631" spans="11:16">
      <c r="K631" s="633"/>
      <c r="L631" s="631"/>
      <c r="M631" s="634"/>
      <c r="N631" s="631"/>
      <c r="O631" s="629"/>
      <c r="P631" s="631"/>
    </row>
    <row r="632" spans="11:16">
      <c r="K632" s="633"/>
      <c r="L632" s="631"/>
      <c r="M632" s="634"/>
      <c r="N632" s="631"/>
      <c r="O632" s="629"/>
      <c r="P632" s="631"/>
    </row>
    <row r="633" spans="11:16">
      <c r="K633" s="633"/>
      <c r="L633" s="631"/>
      <c r="M633" s="634"/>
      <c r="N633" s="631"/>
      <c r="O633" s="629"/>
      <c r="P633" s="631"/>
    </row>
  </sheetData>
  <autoFilter ref="A1:P387" xr:uid="{927ED1C0-5CC4-4794-B196-35074778E2DF}"/>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4B862-D8EE-9142-8585-F0064E47E329}">
  <dimension ref="A1:AS500"/>
  <sheetViews>
    <sheetView topLeftCell="D1" zoomScale="90" zoomScaleNormal="90" workbookViewId="0">
      <pane ySplit="1" topLeftCell="A27" activePane="bottomLeft" state="frozen"/>
      <selection activeCell="C1" sqref="C1"/>
      <selection pane="bottomLeft" activeCell="H66" sqref="H66"/>
    </sheetView>
  </sheetViews>
  <sheetFormatPr baseColWidth="10" defaultColWidth="11.5" defaultRowHeight="16"/>
  <cols>
    <col min="1" max="1" width="11.5" style="191"/>
    <col min="2" max="4" width="22.6640625" style="320" customWidth="1"/>
    <col min="5" max="5" width="31.33203125" style="320" bestFit="1" customWidth="1"/>
    <col min="6" max="6" width="22.6640625" style="320" customWidth="1"/>
    <col min="7" max="7" width="22.6640625" style="297" customWidth="1"/>
    <col min="8" max="8" width="22.6640625" style="298" customWidth="1"/>
    <col min="9" max="9" width="22.6640625" style="320" customWidth="1"/>
    <col min="10" max="10" width="22.6640625" style="320" hidden="1" customWidth="1"/>
    <col min="11" max="18" width="22.6640625" style="191" hidden="1" customWidth="1"/>
    <col min="19" max="19" width="11.6640625" style="191" hidden="1" customWidth="1"/>
    <col min="20" max="20" width="21.33203125" style="191" customWidth="1"/>
    <col min="21" max="21" width="22.6640625" style="321" customWidth="1"/>
    <col min="22" max="25" width="22.6640625" style="320" customWidth="1"/>
    <col min="26" max="31" width="22.6640625" style="191" customWidth="1"/>
    <col min="32" max="35" width="22.6640625" style="191" hidden="1" customWidth="1"/>
    <col min="36" max="36" width="2.33203125" style="191" customWidth="1"/>
    <col min="37" max="37" width="22.83203125" style="191" customWidth="1"/>
    <col min="38" max="38" width="2.83203125" style="311" customWidth="1"/>
    <col min="39" max="41" width="22.83203125" style="294" customWidth="1"/>
    <col min="42" max="42" width="23.83203125" style="191" customWidth="1"/>
    <col min="43" max="43" width="30" style="319" customWidth="1"/>
    <col min="44" max="44" width="23.33203125" style="319" customWidth="1"/>
    <col min="45" max="45" width="18.6640625" style="191" customWidth="1"/>
    <col min="46" max="16384" width="11.5" style="191"/>
  </cols>
  <sheetData>
    <row r="1" spans="2:45" ht="51">
      <c r="B1" s="286" t="s">
        <v>178</v>
      </c>
      <c r="C1" s="286" t="s">
        <v>274</v>
      </c>
      <c r="D1" s="286" t="s">
        <v>293</v>
      </c>
      <c r="E1" s="286" t="s">
        <v>273</v>
      </c>
      <c r="F1" s="286" t="s">
        <v>667</v>
      </c>
      <c r="G1" s="286" t="s">
        <v>299</v>
      </c>
      <c r="H1" s="288" t="s">
        <v>300</v>
      </c>
      <c r="I1" s="288" t="s">
        <v>294</v>
      </c>
      <c r="J1" s="286" t="s">
        <v>272</v>
      </c>
      <c r="K1" s="287" t="s">
        <v>332</v>
      </c>
      <c r="L1" s="287" t="s">
        <v>295</v>
      </c>
      <c r="M1" s="287" t="s">
        <v>301</v>
      </c>
      <c r="N1" s="287" t="s">
        <v>296</v>
      </c>
      <c r="O1" s="287" t="s">
        <v>302</v>
      </c>
      <c r="P1" s="287" t="s">
        <v>303</v>
      </c>
      <c r="Q1" s="287" t="s">
        <v>97</v>
      </c>
      <c r="R1" s="290" t="s">
        <v>304</v>
      </c>
      <c r="S1" s="287" t="s">
        <v>291</v>
      </c>
      <c r="T1" s="558" t="s">
        <v>662</v>
      </c>
      <c r="U1" s="288" t="s">
        <v>333</v>
      </c>
      <c r="V1" s="286" t="s">
        <v>305</v>
      </c>
      <c r="W1" s="286" t="s">
        <v>292</v>
      </c>
      <c r="X1" s="286" t="s">
        <v>668</v>
      </c>
      <c r="Y1" s="286" t="s">
        <v>306</v>
      </c>
      <c r="Z1" s="287" t="s">
        <v>56</v>
      </c>
      <c r="AA1" s="287" t="s">
        <v>307</v>
      </c>
      <c r="AB1" s="287" t="s">
        <v>308</v>
      </c>
      <c r="AC1" s="287" t="s">
        <v>309</v>
      </c>
      <c r="AD1" s="290" t="s">
        <v>304</v>
      </c>
      <c r="AE1" s="290" t="s">
        <v>287</v>
      </c>
      <c r="AF1" s="287" t="s">
        <v>99</v>
      </c>
      <c r="AG1" s="287" t="s">
        <v>100</v>
      </c>
      <c r="AH1" s="290" t="s">
        <v>101</v>
      </c>
      <c r="AI1" s="290" t="s">
        <v>102</v>
      </c>
      <c r="AJ1" s="291" t="s">
        <v>103</v>
      </c>
      <c r="AK1" s="290" t="s">
        <v>104</v>
      </c>
      <c r="AL1" s="293" t="s">
        <v>626</v>
      </c>
      <c r="AM1" s="287" t="s">
        <v>627</v>
      </c>
      <c r="AN1" s="287" t="s">
        <v>4</v>
      </c>
      <c r="AO1" s="286" t="s">
        <v>5</v>
      </c>
      <c r="AP1" s="294"/>
      <c r="AQ1" s="295" t="s">
        <v>199</v>
      </c>
      <c r="AR1" s="295" t="s">
        <v>200</v>
      </c>
      <c r="AS1" s="295" t="s">
        <v>334</v>
      </c>
    </row>
    <row r="2" spans="2:45">
      <c r="B2" s="296" t="s">
        <v>851</v>
      </c>
      <c r="C2" s="299" t="s">
        <v>114</v>
      </c>
      <c r="D2" s="296" t="s">
        <v>268</v>
      </c>
      <c r="E2" s="298" t="s">
        <v>741</v>
      </c>
      <c r="F2" s="299" t="s">
        <v>59</v>
      </c>
      <c r="G2" s="300">
        <v>44551</v>
      </c>
      <c r="H2" s="303">
        <v>-6</v>
      </c>
      <c r="I2" s="303">
        <v>3851.98</v>
      </c>
      <c r="J2" s="322" t="str">
        <f t="shared" ref="J2:J65" si="0">IF(E2=0,0,IF(OR(C2=$AQ$5,C2=$AQ$6),"Derivados Cap IV, Sec II - SIC &amp; BMV","Derivados Cap IX - No SIC"))</f>
        <v>Derivados Cap IV, Sec II - SIC &amp; BMV</v>
      </c>
      <c r="K2" s="305">
        <f>IF(F2="MXN",1/HLOOKUP(YEAR(G2)+(MONTH(G2)/100),TC!$5:$37,DAY(G2)+2,FALSE),VLOOKUP(F2,Equivalencia!$5:$23,((MAX(Equivalencia!$3:$3)-YEAR(G2))*14)+MONTH(G2)+2,FALSE))</f>
        <v>1</v>
      </c>
      <c r="L2" s="306">
        <f>+I2*K2</f>
        <v>3851.98</v>
      </c>
      <c r="M2" s="305">
        <f>IF(G2=0,0,HLOOKUP(YEAR(G2)+(MONTH(G2)/100),TC!$5:$37,DAY(G2)+2,FALSE))</f>
        <v>20.733699999999999</v>
      </c>
      <c r="N2" s="306">
        <f>+L2*M2</f>
        <v>79865.79772599999</v>
      </c>
      <c r="O2" s="308">
        <f>IF(G2=0,0,VLOOKUP(YEAR(G2),INPC!$B$4:$P$30,MONTH(G2)+2))</f>
        <v>117.30800000000001</v>
      </c>
      <c r="P2" s="308">
        <f>IF(W2=0,0,IF(OR(C2=$AQ$5,C2=AQ6),VLOOKUP(YEAR(W2),INPC!$B$4:$P$30,MONTH(W2)+1),VLOOKUP(YEAR(W2),INPC!$B$4:$P$30,MONTH(W2)+2)))</f>
        <v>118.98099999999999</v>
      </c>
      <c r="Q2" s="309">
        <f>IF(W2=0,0,IF(TRUNC(P2/O2,4)&gt;=1,TRUNC(P2/O2,4),1))</f>
        <v>1.0142</v>
      </c>
      <c r="R2" s="310">
        <f>+Q2*N2</f>
        <v>80999.892053709191</v>
      </c>
      <c r="S2" s="310">
        <f>IF(U2=0,0,R2/U2)</f>
        <v>13499.982008951532</v>
      </c>
      <c r="T2" s="559" t="str">
        <f>+IF(W2=0,"NO","SI")</f>
        <v>SI</v>
      </c>
      <c r="U2" s="323">
        <v>6</v>
      </c>
      <c r="V2" s="299" t="s">
        <v>267</v>
      </c>
      <c r="W2" s="300">
        <v>44637</v>
      </c>
      <c r="X2" s="299" t="s">
        <v>59</v>
      </c>
      <c r="Y2" s="303">
        <v>-47.34</v>
      </c>
      <c r="Z2" s="305">
        <f>IF(Y2=0,0,IF(X2="MXN",1/HLOOKUP(YEAR(W2)+(MONTH(W2)/100),TC!$5:$37,DAY(W2)+2,FALSE),VLOOKUP(X2,Equivalencia!$1:$23,((MAX(Equivalencia!$3:$3)-YEAR(W2))*14)+MONTH(W2)+2,FALSE)))</f>
        <v>1</v>
      </c>
      <c r="AA2" s="306">
        <f t="shared" ref="AA2:AA9" si="1">+Z2*Y2</f>
        <v>-47.34</v>
      </c>
      <c r="AB2" s="305">
        <f>+IF(W2=0,0,HLOOKUP(YEAR(W2)+(MONTH(W2)/100),TC!$5:$37,DAY(W2)+2,FALSE))</f>
        <v>20.874300000000002</v>
      </c>
      <c r="AC2" s="306">
        <f t="shared" ref="AC2:AC7" si="2">+AB2*AA2</f>
        <v>-988.18936200000019</v>
      </c>
      <c r="AD2" s="314">
        <f>+U2*S2</f>
        <v>80999.892053709191</v>
      </c>
      <c r="AE2" s="315">
        <f>AC2+AD2</f>
        <v>80011.702691709186</v>
      </c>
      <c r="AF2" s="316">
        <f t="shared" ref="AF2:AF65" si="3">+IF(OR(C2=$AQ$5,C2=$AQ$6),1,((W2-G2)/365))</f>
        <v>1</v>
      </c>
      <c r="AG2" s="314">
        <v>1</v>
      </c>
      <c r="AH2" s="314">
        <f>(AE2/AG2)</f>
        <v>80011.702691709186</v>
      </c>
      <c r="AI2" s="314">
        <f>+AE2-AH2</f>
        <v>0</v>
      </c>
      <c r="AJ2" s="317"/>
      <c r="AK2" s="315">
        <f>+AA2+L2</f>
        <v>3804.64</v>
      </c>
      <c r="AL2" s="293"/>
      <c r="AM2" s="553"/>
      <c r="AN2" s="553"/>
      <c r="AO2" s="553"/>
      <c r="AP2" s="294"/>
      <c r="AS2" s="319"/>
    </row>
    <row r="3" spans="2:45">
      <c r="B3" s="296" t="s">
        <v>851</v>
      </c>
      <c r="C3" s="299" t="s">
        <v>114</v>
      </c>
      <c r="D3" s="296" t="s">
        <v>268</v>
      </c>
      <c r="E3" s="298" t="s">
        <v>742</v>
      </c>
      <c r="F3" s="299" t="s">
        <v>59</v>
      </c>
      <c r="G3" s="300">
        <v>44537</v>
      </c>
      <c r="H3" s="303">
        <v>-6</v>
      </c>
      <c r="I3" s="303">
        <v>4712.91</v>
      </c>
      <c r="J3" s="322" t="str">
        <f t="shared" si="0"/>
        <v>Derivados Cap IV, Sec II - SIC &amp; BMV</v>
      </c>
      <c r="K3" s="305">
        <f>IF(F3="MXN",1/HLOOKUP(YEAR(G3)+(MONTH(G3)/100),TC!$5:$37,DAY(G3)+2,FALSE),VLOOKUP(F3,Equivalencia!$5:$23,((MAX(Equivalencia!$3:$3)-YEAR(G3))*14)+MONTH(G3)+2,FALSE))</f>
        <v>1</v>
      </c>
      <c r="L3" s="306">
        <f t="shared" ref="L3:L66" si="4">+I3*K3</f>
        <v>4712.91</v>
      </c>
      <c r="M3" s="305">
        <f>IF(G3=0,0,HLOOKUP(YEAR(G3)+(MONTH(G3)/100),TC!$5:$37,DAY(G3)+2,FALSE))</f>
        <v>21.4177</v>
      </c>
      <c r="N3" s="306">
        <f t="shared" ref="N3:N66" si="5">+L3*M3</f>
        <v>100939.692507</v>
      </c>
      <c r="O3" s="308">
        <f>IF(G3=0,0,VLOOKUP(YEAR(G3),INPC!$B$4:$P$30,MONTH(G3)+2))</f>
        <v>117.30800000000001</v>
      </c>
      <c r="P3" s="308">
        <f>IF(W3=0,0,IF(OR(C3=$AQ$5,C3=AQ7),VLOOKUP(YEAR(W3),INPC!$B$4:$P$30,MONTH(W3)+1),VLOOKUP(YEAR(W3),INPC!$B$4:$P$30,MONTH(W3)+2)))</f>
        <v>120.15900000000001</v>
      </c>
      <c r="Q3" s="309">
        <f t="shared" ref="Q3:Q66" si="6">IF(W3=0,0,IF(TRUNC(P3/O3,4)&gt;=1,TRUNC(P3/O3,4),1))</f>
        <v>1.0243</v>
      </c>
      <c r="R3" s="310">
        <f t="shared" ref="R3:R66" si="7">+Q3*N3</f>
        <v>103392.5270349201</v>
      </c>
      <c r="S3" s="310">
        <f t="shared" ref="S3:S66" si="8">IF(U3=0,0,R3/U3)</f>
        <v>17232.087839153352</v>
      </c>
      <c r="T3" s="559" t="str">
        <f t="shared" ref="T3:T66" si="9">+IF(W3=0,"NO","SI")</f>
        <v>SI</v>
      </c>
      <c r="U3" s="323">
        <v>6</v>
      </c>
      <c r="V3" s="299" t="s">
        <v>267</v>
      </c>
      <c r="W3" s="300">
        <v>44637</v>
      </c>
      <c r="X3" s="299" t="s">
        <v>59</v>
      </c>
      <c r="Y3" s="303">
        <v>-113.4</v>
      </c>
      <c r="Z3" s="305">
        <f>IF(Y3=0,0,IF(X3="MXN",1/HLOOKUP(YEAR(W3)+(MONTH(W3)/100),TC!$5:$37,DAY(W3)+2,FALSE),VLOOKUP(X3,Equivalencia!$1:$23,((MAX(Equivalencia!$3:$3)-YEAR(W3))*14)+MONTH(W3)+2,FALSE)))</f>
        <v>1</v>
      </c>
      <c r="AA3" s="306">
        <f t="shared" si="1"/>
        <v>-113.4</v>
      </c>
      <c r="AB3" s="305">
        <f>+IF(W3=0,0,HLOOKUP(YEAR(W3)+(MONTH(W3)/100),TC!$5:$37,DAY(W3)+2,FALSE))</f>
        <v>20.874300000000002</v>
      </c>
      <c r="AC3" s="306">
        <f t="shared" si="2"/>
        <v>-2367.1456200000002</v>
      </c>
      <c r="AD3" s="314">
        <f t="shared" ref="AD3:AD65" si="10">+U3*S3</f>
        <v>103392.52703492012</v>
      </c>
      <c r="AE3" s="315">
        <f t="shared" ref="AE3:AE66" si="11">AC3+AD3</f>
        <v>101025.38141492012</v>
      </c>
      <c r="AF3" s="316">
        <f t="shared" si="3"/>
        <v>1</v>
      </c>
      <c r="AG3" s="314">
        <v>1</v>
      </c>
      <c r="AH3" s="314">
        <f t="shared" ref="AH3:AH66" si="12">(AE3/AG3)</f>
        <v>101025.38141492012</v>
      </c>
      <c r="AI3" s="314">
        <f t="shared" ref="AI3:AI66" si="13">+AE3-AH3</f>
        <v>0</v>
      </c>
      <c r="AJ3" s="317"/>
      <c r="AK3" s="315">
        <f t="shared" ref="AK3:AK66" si="14">+AA3+L3</f>
        <v>4599.51</v>
      </c>
      <c r="AL3" s="293"/>
      <c r="AM3" s="553"/>
      <c r="AN3" s="553"/>
      <c r="AO3" s="553"/>
      <c r="AP3" s="294"/>
      <c r="AQ3" s="297" t="s">
        <v>109</v>
      </c>
      <c r="AR3" s="297" t="s">
        <v>265</v>
      </c>
      <c r="AS3" s="297" t="s">
        <v>335</v>
      </c>
    </row>
    <row r="4" spans="2:45">
      <c r="B4" s="296" t="s">
        <v>851</v>
      </c>
      <c r="C4" s="299" t="s">
        <v>114</v>
      </c>
      <c r="D4" s="296" t="s">
        <v>268</v>
      </c>
      <c r="E4" s="298" t="s">
        <v>743</v>
      </c>
      <c r="F4" s="299" t="s">
        <v>59</v>
      </c>
      <c r="G4" s="300">
        <v>44490</v>
      </c>
      <c r="H4" s="303">
        <v>-6</v>
      </c>
      <c r="I4" s="303">
        <v>3839.02</v>
      </c>
      <c r="J4" s="322" t="str">
        <f t="shared" si="0"/>
        <v>Derivados Cap IV, Sec II - SIC &amp; BMV</v>
      </c>
      <c r="K4" s="305">
        <f>IF(F4="MXN",1/HLOOKUP(YEAR(G4)+(MONTH(G4)/100),TC!$5:$37,DAY(G4)+2,FALSE),VLOOKUP(F4,Equivalencia!$5:$23,((MAX(Equivalencia!$3:$3)-YEAR(G4))*14)+MONTH(G4)+2,FALSE))</f>
        <v>1</v>
      </c>
      <c r="L4" s="306">
        <f t="shared" si="4"/>
        <v>3839.02</v>
      </c>
      <c r="M4" s="305">
        <f>IF(G4=0,0,HLOOKUP(YEAR(G4)+(MONTH(G4)/100),TC!$5:$37,DAY(G4)+2,FALSE))</f>
        <v>20.264700000000001</v>
      </c>
      <c r="N4" s="306">
        <f t="shared" si="5"/>
        <v>77796.588594000001</v>
      </c>
      <c r="O4" s="308">
        <f>IF(G4=0,0,VLOOKUP(YEAR(G4),INPC!$B$4:$P$30,MONTH(G4)+2))</f>
        <v>115.56100000000001</v>
      </c>
      <c r="P4" s="308">
        <f>IF(W4=0,0,IF(OR(C4=$AQ$5,C4=AQ8),VLOOKUP(YEAR(W4),INPC!$B$4:$P$30,MONTH(W4)+1),VLOOKUP(YEAR(W4),INPC!$B$4:$P$30,MONTH(W4)+2)))</f>
        <v>118.002</v>
      </c>
      <c r="Q4" s="309">
        <f t="shared" si="6"/>
        <v>1.0210999999999999</v>
      </c>
      <c r="R4" s="310">
        <f t="shared" si="7"/>
        <v>79438.096613333386</v>
      </c>
      <c r="S4" s="310">
        <f t="shared" si="8"/>
        <v>13239.682768888897</v>
      </c>
      <c r="T4" s="559" t="str">
        <f t="shared" si="9"/>
        <v>SI</v>
      </c>
      <c r="U4" s="323">
        <v>6</v>
      </c>
      <c r="V4" s="299" t="s">
        <v>267</v>
      </c>
      <c r="W4" s="300">
        <v>44579</v>
      </c>
      <c r="X4" s="299" t="s">
        <v>59</v>
      </c>
      <c r="Y4" s="303">
        <v>-60</v>
      </c>
      <c r="Z4" s="305">
        <f>IF(Y4=0,0,IF(X4="MXN",1/HLOOKUP(YEAR(W4)+(MONTH(W4)/100),TC!$5:$37,DAY(W4)+2,FALSE),VLOOKUP(X4,Equivalencia!$1:$23,((MAX(Equivalencia!$3:$3)-YEAR(W4))*14)+MONTH(W4)+2,FALSE)))</f>
        <v>1</v>
      </c>
      <c r="AA4" s="306">
        <f t="shared" si="1"/>
        <v>-60</v>
      </c>
      <c r="AB4" s="305">
        <f>+IF(W4=0,0,HLOOKUP(YEAR(W4)+(MONTH(W4)/100),TC!$5:$37,DAY(W4)+2,FALSE))</f>
        <v>20.311800000000002</v>
      </c>
      <c r="AC4" s="306">
        <f t="shared" si="2"/>
        <v>-1218.7080000000001</v>
      </c>
      <c r="AD4" s="314">
        <f t="shared" si="10"/>
        <v>79438.096613333386</v>
      </c>
      <c r="AE4" s="315">
        <f t="shared" si="11"/>
        <v>78219.388613333387</v>
      </c>
      <c r="AF4" s="316">
        <f t="shared" si="3"/>
        <v>1</v>
      </c>
      <c r="AG4" s="314">
        <v>1</v>
      </c>
      <c r="AH4" s="314">
        <f t="shared" si="12"/>
        <v>78219.388613333387</v>
      </c>
      <c r="AI4" s="314">
        <f t="shared" si="13"/>
        <v>0</v>
      </c>
      <c r="AJ4" s="317"/>
      <c r="AK4" s="315">
        <f t="shared" si="14"/>
        <v>3779.02</v>
      </c>
      <c r="AL4" s="293"/>
      <c r="AM4" s="553"/>
      <c r="AN4" s="553"/>
      <c r="AO4" s="553"/>
      <c r="AP4" s="294"/>
      <c r="AQ4" s="297" t="s">
        <v>110</v>
      </c>
      <c r="AR4" s="297" t="s">
        <v>266</v>
      </c>
      <c r="AS4" s="299"/>
    </row>
    <row r="5" spans="2:45">
      <c r="B5" s="296" t="s">
        <v>851</v>
      </c>
      <c r="C5" s="299" t="s">
        <v>114</v>
      </c>
      <c r="D5" s="296" t="s">
        <v>268</v>
      </c>
      <c r="E5" s="298" t="s">
        <v>744</v>
      </c>
      <c r="F5" s="299" t="s">
        <v>59</v>
      </c>
      <c r="G5" s="300">
        <v>44502</v>
      </c>
      <c r="H5" s="303">
        <v>-6</v>
      </c>
      <c r="I5" s="303">
        <v>5161.47</v>
      </c>
      <c r="J5" s="322" t="str">
        <f t="shared" si="0"/>
        <v>Derivados Cap IV, Sec II - SIC &amp; BMV</v>
      </c>
      <c r="K5" s="305">
        <f>IF(F5="MXN",1/HLOOKUP(YEAR(G5)+(MONTH(G5)/100),TC!$5:$37,DAY(G5)+2,FALSE),VLOOKUP(F5,Equivalencia!$5:$23,((MAX(Equivalencia!$3:$3)-YEAR(G5))*14)+MONTH(G5)+2,FALSE))</f>
        <v>1</v>
      </c>
      <c r="L5" s="306">
        <f t="shared" si="4"/>
        <v>5161.47</v>
      </c>
      <c r="M5" s="305">
        <f>IF(G5=0,0,HLOOKUP(YEAR(G5)+(MONTH(G5)/100),TC!$5:$37,DAY(G5)+2,FALSE))</f>
        <v>20.529699999999998</v>
      </c>
      <c r="N5" s="306">
        <f t="shared" si="5"/>
        <v>105963.43065899999</v>
      </c>
      <c r="O5" s="308">
        <f>IF(G5=0,0,VLOOKUP(YEAR(G5),INPC!$B$4:$P$30,MONTH(G5)+2))</f>
        <v>116.884</v>
      </c>
      <c r="P5" s="308">
        <f>IF(W5=0,0,IF(OR(C5=$AQ$5,C5=AQ9),VLOOKUP(YEAR(W5),INPC!$B$4:$P$30,MONTH(W5)+1),VLOOKUP(YEAR(W5),INPC!$B$4:$P$30,MONTH(W5)+2)))</f>
        <v>118.98099999999999</v>
      </c>
      <c r="Q5" s="309">
        <f t="shared" si="6"/>
        <v>1.0179</v>
      </c>
      <c r="R5" s="310">
        <f t="shared" si="7"/>
        <v>107860.1760677961</v>
      </c>
      <c r="S5" s="310">
        <f t="shared" si="8"/>
        <v>17976.696011299351</v>
      </c>
      <c r="T5" s="559" t="str">
        <f t="shared" si="9"/>
        <v>SI</v>
      </c>
      <c r="U5" s="323">
        <v>6</v>
      </c>
      <c r="V5" s="299" t="s">
        <v>267</v>
      </c>
      <c r="W5" s="300">
        <v>44609</v>
      </c>
      <c r="X5" s="299" t="s">
        <v>59</v>
      </c>
      <c r="Y5" s="303">
        <v>-370.92</v>
      </c>
      <c r="Z5" s="305">
        <f>IF(Y5=0,0,IF(X5="MXN",1/HLOOKUP(YEAR(W5)+(MONTH(W5)/100),TC!$5:$37,DAY(W5)+2,FALSE),VLOOKUP(X5,Equivalencia!$1:$23,((MAX(Equivalencia!$3:$3)-YEAR(W5))*14)+MONTH(W5)+2,FALSE)))</f>
        <v>1</v>
      </c>
      <c r="AA5" s="306">
        <f t="shared" si="1"/>
        <v>-370.92</v>
      </c>
      <c r="AB5" s="305">
        <f>+IF(W5=0,0,HLOOKUP(YEAR(W5)+(MONTH(W5)/100),TC!$5:$37,DAY(W5)+2,FALSE))</f>
        <v>20.3992</v>
      </c>
      <c r="AC5" s="306">
        <f t="shared" si="2"/>
        <v>-7566.4712640000007</v>
      </c>
      <c r="AD5" s="314">
        <f t="shared" si="10"/>
        <v>107860.1760677961</v>
      </c>
      <c r="AE5" s="315">
        <f t="shared" si="11"/>
        <v>100293.70480379609</v>
      </c>
      <c r="AF5" s="316">
        <f t="shared" si="3"/>
        <v>1</v>
      </c>
      <c r="AG5" s="314">
        <v>1</v>
      </c>
      <c r="AH5" s="314">
        <f t="shared" si="12"/>
        <v>100293.70480379609</v>
      </c>
      <c r="AI5" s="314">
        <f t="shared" si="13"/>
        <v>0</v>
      </c>
      <c r="AJ5" s="317"/>
      <c r="AK5" s="315">
        <f t="shared" si="14"/>
        <v>4790.55</v>
      </c>
      <c r="AL5" s="293"/>
      <c r="AM5" s="553"/>
      <c r="AN5" s="553"/>
      <c r="AO5" s="553"/>
      <c r="AP5" s="294"/>
      <c r="AQ5" s="297" t="s">
        <v>264</v>
      </c>
      <c r="AR5" s="297" t="s">
        <v>267</v>
      </c>
      <c r="AS5" s="299"/>
    </row>
    <row r="6" spans="2:45">
      <c r="B6" s="296" t="s">
        <v>851</v>
      </c>
      <c r="C6" s="299" t="s">
        <v>114</v>
      </c>
      <c r="D6" s="296" t="s">
        <v>268</v>
      </c>
      <c r="E6" s="298" t="s">
        <v>745</v>
      </c>
      <c r="F6" s="299" t="s">
        <v>59</v>
      </c>
      <c r="G6" s="300">
        <v>44522</v>
      </c>
      <c r="H6" s="303">
        <v>-5</v>
      </c>
      <c r="I6" s="303">
        <v>4353.72</v>
      </c>
      <c r="J6" s="322" t="str">
        <f t="shared" si="0"/>
        <v>Derivados Cap IV, Sec II - SIC &amp; BMV</v>
      </c>
      <c r="K6" s="305">
        <f>IF(F6="MXN",1/HLOOKUP(YEAR(G6)+(MONTH(G6)/100),TC!$5:$37,DAY(G6)+2,FALSE),VLOOKUP(F6,Equivalencia!$5:$23,((MAX(Equivalencia!$3:$3)-YEAR(G6))*14)+MONTH(G6)+2,FALSE))</f>
        <v>1</v>
      </c>
      <c r="L6" s="306">
        <f t="shared" si="4"/>
        <v>4353.72</v>
      </c>
      <c r="M6" s="305">
        <f>IF(G6=0,0,HLOOKUP(YEAR(G6)+(MONTH(G6)/100),TC!$5:$37,DAY(G6)+2,FALSE))</f>
        <v>20.762799999999999</v>
      </c>
      <c r="N6" s="306">
        <f t="shared" si="5"/>
        <v>90395.417616000006</v>
      </c>
      <c r="O6" s="308">
        <f>IF(G6=0,0,VLOOKUP(YEAR(G6),INPC!$B$4:$P$30,MONTH(G6)+2))</f>
        <v>116.884</v>
      </c>
      <c r="P6" s="308">
        <f>IF(W6=0,0,IF(OR(C6=$AQ$5,C6=AQ10),VLOOKUP(YEAR(W6),INPC!$B$4:$P$30,MONTH(W6)+1),VLOOKUP(YEAR(W6),INPC!$B$4:$P$30,MONTH(W6)+2)))</f>
        <v>118.98099999999999</v>
      </c>
      <c r="Q6" s="309">
        <f t="shared" si="6"/>
        <v>1.0179</v>
      </c>
      <c r="R6" s="310">
        <f t="shared" si="7"/>
        <v>92013.495591326413</v>
      </c>
      <c r="S6" s="310">
        <f t="shared" si="8"/>
        <v>18402.699118265282</v>
      </c>
      <c r="T6" s="559" t="str">
        <f t="shared" si="9"/>
        <v>SI</v>
      </c>
      <c r="U6" s="323">
        <v>5</v>
      </c>
      <c r="V6" s="299" t="s">
        <v>267</v>
      </c>
      <c r="W6" s="300">
        <v>44609</v>
      </c>
      <c r="X6" s="299" t="s">
        <v>59</v>
      </c>
      <c r="Y6" s="303">
        <v>-3169</v>
      </c>
      <c r="Z6" s="305">
        <f>IF(Y6=0,0,IF(X6="MXN",1/HLOOKUP(YEAR(W6)+(MONTH(W6)/100),TC!$5:$37,DAY(W6)+2,FALSE),VLOOKUP(X6,Equivalencia!$1:$23,((MAX(Equivalencia!$3:$3)-YEAR(W6))*14)+MONTH(W6)+2,FALSE)))</f>
        <v>1</v>
      </c>
      <c r="AA6" s="306">
        <f t="shared" si="1"/>
        <v>-3169</v>
      </c>
      <c r="AB6" s="305">
        <f>+IF(W6=0,0,HLOOKUP(YEAR(W6)+(MONTH(W6)/100),TC!$5:$37,DAY(W6)+2,FALSE))</f>
        <v>20.3992</v>
      </c>
      <c r="AC6" s="306">
        <f t="shared" si="2"/>
        <v>-64645.0648</v>
      </c>
      <c r="AD6" s="314">
        <f t="shared" si="10"/>
        <v>92013.495591326413</v>
      </c>
      <c r="AE6" s="315">
        <f t="shared" si="11"/>
        <v>27368.430791326413</v>
      </c>
      <c r="AF6" s="316">
        <f t="shared" si="3"/>
        <v>1</v>
      </c>
      <c r="AG6" s="314">
        <v>1</v>
      </c>
      <c r="AH6" s="314">
        <f t="shared" si="12"/>
        <v>27368.430791326413</v>
      </c>
      <c r="AI6" s="314">
        <f t="shared" si="13"/>
        <v>0</v>
      </c>
      <c r="AJ6" s="317"/>
      <c r="AK6" s="315">
        <f t="shared" si="14"/>
        <v>1184.7200000000003</v>
      </c>
      <c r="AL6" s="293"/>
      <c r="AM6" s="553"/>
      <c r="AN6" s="553"/>
      <c r="AO6" s="553"/>
      <c r="AP6" s="294"/>
      <c r="AQ6" s="297" t="s">
        <v>114</v>
      </c>
      <c r="AR6" s="297" t="s">
        <v>268</v>
      </c>
      <c r="AS6" s="299"/>
    </row>
    <row r="7" spans="2:45">
      <c r="B7" s="296" t="s">
        <v>851</v>
      </c>
      <c r="C7" s="299" t="s">
        <v>114</v>
      </c>
      <c r="D7" s="296" t="s">
        <v>268</v>
      </c>
      <c r="E7" s="298" t="s">
        <v>746</v>
      </c>
      <c r="F7" s="299" t="s">
        <v>59</v>
      </c>
      <c r="G7" s="300">
        <v>44558</v>
      </c>
      <c r="H7" s="303">
        <v>-5</v>
      </c>
      <c r="I7" s="303">
        <v>1979.98</v>
      </c>
      <c r="J7" s="322" t="str">
        <f t="shared" si="0"/>
        <v>Derivados Cap IV, Sec II - SIC &amp; BMV</v>
      </c>
      <c r="K7" s="305">
        <f>IF(F7="MXN",1/HLOOKUP(YEAR(G7)+(MONTH(G7)/100),TC!$5:$37,DAY(G7)+2,FALSE),VLOOKUP(F7,Equivalencia!$5:$23,((MAX(Equivalencia!$3:$3)-YEAR(G7))*14)+MONTH(G7)+2,FALSE))</f>
        <v>1</v>
      </c>
      <c r="L7" s="306">
        <f t="shared" si="4"/>
        <v>1979.98</v>
      </c>
      <c r="M7" s="305">
        <f>IF(G7=0,0,HLOOKUP(YEAR(G7)+(MONTH(G7)/100),TC!$5:$37,DAY(G7)+2,FALSE))</f>
        <v>20.6112</v>
      </c>
      <c r="N7" s="306">
        <f t="shared" si="5"/>
        <v>40809.763776</v>
      </c>
      <c r="O7" s="308">
        <f>IF(G7=0,0,VLOOKUP(YEAR(G7),INPC!$B$4:$P$30,MONTH(G7)+2))</f>
        <v>117.30800000000001</v>
      </c>
      <c r="P7" s="308">
        <f>IF(W7=0,0,IF(OR(C7=$AQ$5,C7=AQ11),VLOOKUP(YEAR(W7),INPC!$B$4:$P$30,MONTH(W7)+1),VLOOKUP(YEAR(W7),INPC!$B$4:$P$30,MONTH(W7)+2)))</f>
        <v>118.98099999999999</v>
      </c>
      <c r="Q7" s="309">
        <f t="shared" si="6"/>
        <v>1.0142</v>
      </c>
      <c r="R7" s="310">
        <f t="shared" si="7"/>
        <v>41389.262421619198</v>
      </c>
      <c r="S7" s="310">
        <f t="shared" si="8"/>
        <v>8277.8524843238392</v>
      </c>
      <c r="T7" s="559" t="str">
        <f t="shared" si="9"/>
        <v>SI</v>
      </c>
      <c r="U7" s="323">
        <v>5</v>
      </c>
      <c r="V7" s="299" t="s">
        <v>267</v>
      </c>
      <c r="W7" s="300">
        <v>44595</v>
      </c>
      <c r="X7" s="299" t="s">
        <v>59</v>
      </c>
      <c r="Y7" s="303">
        <v>-3205</v>
      </c>
      <c r="Z7" s="305">
        <f>IF(Y7=0,0,IF(X7="MXN",1/HLOOKUP(YEAR(W7)+(MONTH(W7)/100),TC!$5:$37,DAY(W7)+2,FALSE),VLOOKUP(X7,Equivalencia!$1:$23,((MAX(Equivalencia!$3:$3)-YEAR(W7))*14)+MONTH(W7)+2,FALSE)))</f>
        <v>1</v>
      </c>
      <c r="AA7" s="306">
        <f t="shared" si="1"/>
        <v>-3205</v>
      </c>
      <c r="AB7" s="305">
        <f>+IF(W7=0,0,HLOOKUP(YEAR(W7)+(MONTH(W7)/100),TC!$5:$37,DAY(W7)+2,FALSE))</f>
        <v>20.58</v>
      </c>
      <c r="AC7" s="306">
        <f t="shared" si="2"/>
        <v>-65958.899999999994</v>
      </c>
      <c r="AD7" s="314">
        <f t="shared" si="10"/>
        <v>41389.262421619198</v>
      </c>
      <c r="AE7" s="315">
        <f t="shared" si="11"/>
        <v>-24569.637578380796</v>
      </c>
      <c r="AF7" s="316">
        <f t="shared" si="3"/>
        <v>1</v>
      </c>
      <c r="AG7" s="314">
        <v>1</v>
      </c>
      <c r="AH7" s="314">
        <f t="shared" si="12"/>
        <v>-24569.637578380796</v>
      </c>
      <c r="AI7" s="314">
        <f t="shared" si="13"/>
        <v>0</v>
      </c>
      <c r="AJ7" s="317"/>
      <c r="AK7" s="315">
        <f t="shared" si="14"/>
        <v>-1225.02</v>
      </c>
      <c r="AL7" s="293"/>
      <c r="AM7" s="553"/>
      <c r="AN7" s="553"/>
      <c r="AO7" s="553"/>
      <c r="AP7" s="294"/>
      <c r="AQ7" s="299"/>
      <c r="AR7" s="297" t="s">
        <v>269</v>
      </c>
      <c r="AS7" s="299"/>
    </row>
    <row r="8" spans="2:45">
      <c r="B8" s="296" t="s">
        <v>851</v>
      </c>
      <c r="C8" s="299" t="s">
        <v>114</v>
      </c>
      <c r="D8" s="296" t="s">
        <v>268</v>
      </c>
      <c r="E8" s="298" t="s">
        <v>747</v>
      </c>
      <c r="F8" s="299" t="s">
        <v>59</v>
      </c>
      <c r="G8" s="300">
        <v>44566</v>
      </c>
      <c r="H8" s="303">
        <v>-6</v>
      </c>
      <c r="I8" s="303">
        <v>1997.98</v>
      </c>
      <c r="J8" s="322" t="str">
        <f t="shared" si="0"/>
        <v>Derivados Cap IV, Sec II - SIC &amp; BMV</v>
      </c>
      <c r="K8" s="305">
        <f>IF(F8="MXN",1/HLOOKUP(YEAR(G8)+(MONTH(G8)/100),TC!$5:$37,DAY(G8)+2,FALSE),VLOOKUP(F8,Equivalencia!$5:$23,((MAX(Equivalencia!$3:$3)-YEAR(G8))*14)+MONTH(G8)+2,FALSE))</f>
        <v>1</v>
      </c>
      <c r="L8" s="306">
        <f t="shared" si="4"/>
        <v>1997.98</v>
      </c>
      <c r="M8" s="305">
        <f>IF(G8=0,0,HLOOKUP(YEAR(G8)+(MONTH(G8)/100),TC!$5:$37,DAY(G8)+2,FALSE))</f>
        <v>20.588999999999999</v>
      </c>
      <c r="N8" s="306">
        <f t="shared" si="5"/>
        <v>41136.410219999998</v>
      </c>
      <c r="O8" s="308">
        <f>IF(G8=0,0,VLOOKUP(YEAR(G8),INPC!$B$4:$P$30,MONTH(G8)+2))</f>
        <v>118.002</v>
      </c>
      <c r="P8" s="308">
        <f>IF(W8=0,0,IF(OR(C8=$AQ$5,C8=AQ12),VLOOKUP(YEAR(W8),INPC!$B$4:$P$30,MONTH(W8)+1),VLOOKUP(YEAR(W8),INPC!$B$4:$P$30,MONTH(W8)+2)))</f>
        <v>118.98099999999999</v>
      </c>
      <c r="Q8" s="309">
        <f t="shared" si="6"/>
        <v>1.0082</v>
      </c>
      <c r="R8" s="310">
        <f t="shared" si="7"/>
        <v>41473.728783803999</v>
      </c>
      <c r="S8" s="310">
        <f t="shared" si="8"/>
        <v>6912.2881306339996</v>
      </c>
      <c r="T8" s="559" t="str">
        <f t="shared" si="9"/>
        <v>SI</v>
      </c>
      <c r="U8" s="323">
        <v>6</v>
      </c>
      <c r="V8" s="299" t="s">
        <v>267</v>
      </c>
      <c r="W8" s="300">
        <v>44602</v>
      </c>
      <c r="X8" s="299" t="s">
        <v>59</v>
      </c>
      <c r="Y8" s="303">
        <v>-3618</v>
      </c>
      <c r="Z8" s="305">
        <f>IF(Y8=0,0,IF(X8="MXN",1/HLOOKUP(YEAR(W8)+(MONTH(W8)/100),TC!$5:$37,DAY(W8)+2,FALSE),VLOOKUP(X8,Equivalencia!$1:$23,((MAX(Equivalencia!$3:$3)-YEAR(W8))*14)+MONTH(W8)+2,FALSE)))</f>
        <v>1</v>
      </c>
      <c r="AA8" s="306">
        <f t="shared" si="1"/>
        <v>-3618</v>
      </c>
      <c r="AB8" s="305">
        <f>+IF(W8=0,0,HLOOKUP(YEAR(W8)+(MONTH(W8)/100),TC!$5:$37,DAY(W8)+2,FALSE))</f>
        <v>20.641300000000001</v>
      </c>
      <c r="AC8" s="306">
        <f t="shared" ref="AC8:AC66" si="15">+AB8*AA8</f>
        <v>-74680.223400000003</v>
      </c>
      <c r="AD8" s="314">
        <f t="shared" si="10"/>
        <v>41473.728783803999</v>
      </c>
      <c r="AE8" s="315">
        <f t="shared" si="11"/>
        <v>-33206.494616196003</v>
      </c>
      <c r="AF8" s="316">
        <f t="shared" si="3"/>
        <v>1</v>
      </c>
      <c r="AG8" s="314">
        <v>1</v>
      </c>
      <c r="AH8" s="314">
        <f t="shared" si="12"/>
        <v>-33206.494616196003</v>
      </c>
      <c r="AI8" s="314">
        <f t="shared" si="13"/>
        <v>0</v>
      </c>
      <c r="AJ8" s="317"/>
      <c r="AK8" s="315">
        <f t="shared" si="14"/>
        <v>-1620.02</v>
      </c>
      <c r="AL8" s="293"/>
      <c r="AM8" s="553"/>
      <c r="AN8" s="553"/>
      <c r="AO8" s="553"/>
      <c r="AP8" s="294"/>
      <c r="AQ8" s="299"/>
      <c r="AR8" s="297" t="s">
        <v>270</v>
      </c>
      <c r="AS8" s="299"/>
    </row>
    <row r="9" spans="2:45">
      <c r="B9" s="296" t="s">
        <v>851</v>
      </c>
      <c r="C9" s="299" t="s">
        <v>114</v>
      </c>
      <c r="D9" s="296" t="s">
        <v>268</v>
      </c>
      <c r="E9" s="298" t="s">
        <v>748</v>
      </c>
      <c r="F9" s="299" t="s">
        <v>59</v>
      </c>
      <c r="G9" s="300">
        <v>44572</v>
      </c>
      <c r="H9" s="303">
        <v>-6</v>
      </c>
      <c r="I9" s="303">
        <v>4055.97</v>
      </c>
      <c r="J9" s="322" t="str">
        <f t="shared" si="0"/>
        <v>Derivados Cap IV, Sec II - SIC &amp; BMV</v>
      </c>
      <c r="K9" s="305">
        <f>IF(F9="MXN",1/HLOOKUP(YEAR(G9)+(MONTH(G9)/100),TC!$5:$37,DAY(G9)+2,FALSE),VLOOKUP(F9,Equivalencia!$5:$23,((MAX(Equivalencia!$3:$3)-YEAR(G9))*14)+MONTH(G9)+2,FALSE))</f>
        <v>1</v>
      </c>
      <c r="L9" s="306">
        <f t="shared" si="4"/>
        <v>4055.97</v>
      </c>
      <c r="M9" s="305">
        <f>IF(G9=0,0,HLOOKUP(YEAR(G9)+(MONTH(G9)/100),TC!$5:$37,DAY(G9)+2,FALSE))</f>
        <v>20.4237</v>
      </c>
      <c r="N9" s="306">
        <f t="shared" si="5"/>
        <v>82837.914489000003</v>
      </c>
      <c r="O9" s="308">
        <f>IF(G9=0,0,VLOOKUP(YEAR(G9),INPC!$B$4:$P$30,MONTH(G9)+2))</f>
        <v>118.002</v>
      </c>
      <c r="P9" s="308">
        <f>IF(W9=0,0,IF(OR(C9=$AQ$5,C9=AQ13),VLOOKUP(YEAR(W9),INPC!$B$4:$P$30,MONTH(W9)+1),VLOOKUP(YEAR(W9),INPC!$B$4:$P$30,MONTH(W9)+2)))</f>
        <v>120.809</v>
      </c>
      <c r="Q9" s="309">
        <f t="shared" si="6"/>
        <v>1.0237000000000001</v>
      </c>
      <c r="R9" s="310">
        <f t="shared" si="7"/>
        <v>84801.173062389309</v>
      </c>
      <c r="S9" s="310">
        <f t="shared" si="8"/>
        <v>14133.528843731552</v>
      </c>
      <c r="T9" s="559" t="str">
        <f t="shared" si="9"/>
        <v>SI</v>
      </c>
      <c r="U9" s="323">
        <v>6</v>
      </c>
      <c r="V9" s="299" t="s">
        <v>267</v>
      </c>
      <c r="W9" s="300">
        <v>44659</v>
      </c>
      <c r="X9" s="299" t="s">
        <v>59</v>
      </c>
      <c r="Y9" s="303">
        <v>-126</v>
      </c>
      <c r="Z9" s="305">
        <f>IF(Y9=0,0,IF(X9="MXN",1/HLOOKUP(YEAR(W9)+(MONTH(W9)/100),TC!$5:$37,DAY(W9)+2,FALSE),VLOOKUP(X9,Equivalencia!$1:$23,((MAX(Equivalencia!$3:$3)-YEAR(W9))*14)+MONTH(W9)+2,FALSE)))</f>
        <v>1</v>
      </c>
      <c r="AA9" s="306">
        <f t="shared" si="1"/>
        <v>-126</v>
      </c>
      <c r="AB9" s="305">
        <f>+IF(W9=0,0,HLOOKUP(YEAR(W9)+(MONTH(W9)/100),TC!$5:$37,DAY(W9)+2,FALSE))</f>
        <v>20.066500000000001</v>
      </c>
      <c r="AC9" s="306">
        <f t="shared" si="15"/>
        <v>-2528.3790000000004</v>
      </c>
      <c r="AD9" s="314">
        <f t="shared" si="10"/>
        <v>84801.173062389309</v>
      </c>
      <c r="AE9" s="315">
        <f t="shared" si="11"/>
        <v>82272.794062389308</v>
      </c>
      <c r="AF9" s="316">
        <f t="shared" si="3"/>
        <v>1</v>
      </c>
      <c r="AG9" s="314">
        <v>1</v>
      </c>
      <c r="AH9" s="314">
        <f t="shared" si="12"/>
        <v>82272.794062389308</v>
      </c>
      <c r="AI9" s="314">
        <f t="shared" si="13"/>
        <v>0</v>
      </c>
      <c r="AJ9" s="317"/>
      <c r="AK9" s="315">
        <f t="shared" si="14"/>
        <v>3929.97</v>
      </c>
      <c r="AL9" s="293"/>
      <c r="AM9" s="553"/>
      <c r="AN9" s="553"/>
      <c r="AO9" s="553"/>
      <c r="AP9" s="294"/>
      <c r="AQ9" s="299"/>
      <c r="AR9" s="299"/>
      <c r="AS9" s="299"/>
    </row>
    <row r="10" spans="2:45">
      <c r="B10" s="296" t="s">
        <v>851</v>
      </c>
      <c r="C10" s="299" t="s">
        <v>114</v>
      </c>
      <c r="D10" s="296" t="s">
        <v>268</v>
      </c>
      <c r="E10" s="298" t="s">
        <v>749</v>
      </c>
      <c r="F10" s="299" t="s">
        <v>59</v>
      </c>
      <c r="G10" s="300">
        <v>44579</v>
      </c>
      <c r="H10" s="303">
        <v>-6</v>
      </c>
      <c r="I10" s="303">
        <v>2237.98</v>
      </c>
      <c r="J10" s="322" t="str">
        <f t="shared" si="0"/>
        <v>Derivados Cap IV, Sec II - SIC &amp; BMV</v>
      </c>
      <c r="K10" s="305">
        <f>IF(F10="MXN",1/HLOOKUP(YEAR(G10)+(MONTH(G10)/100),TC!$5:$37,DAY(G10)+2,FALSE),VLOOKUP(F10,Equivalencia!$5:$23,((MAX(Equivalencia!$3:$3)-YEAR(G10))*14)+MONTH(G10)+2,FALSE))</f>
        <v>1</v>
      </c>
      <c r="L10" s="306">
        <f t="shared" si="4"/>
        <v>2237.98</v>
      </c>
      <c r="M10" s="305">
        <f>IF(G10=0,0,HLOOKUP(YEAR(G10)+(MONTH(G10)/100),TC!$5:$37,DAY(G10)+2,FALSE))</f>
        <v>20.311800000000002</v>
      </c>
      <c r="N10" s="306">
        <f t="shared" si="5"/>
        <v>45457.402164000006</v>
      </c>
      <c r="O10" s="308">
        <f>IF(G10=0,0,VLOOKUP(YEAR(G10),INPC!$B$4:$P$30,MONTH(G10)+2))</f>
        <v>118.002</v>
      </c>
      <c r="P10" s="308">
        <f>IF(W10=0,0,IF(OR(C10=$AQ$5,C10=AQ14),VLOOKUP(YEAR(W10),INPC!$B$4:$P$30,MONTH(W10)+1),VLOOKUP(YEAR(W10),INPC!$B$4:$P$30,MONTH(W10)+2)))</f>
        <v>120.15900000000001</v>
      </c>
      <c r="Q10" s="309">
        <f t="shared" si="6"/>
        <v>1.0182</v>
      </c>
      <c r="R10" s="310">
        <f t="shared" si="7"/>
        <v>46284.726883384807</v>
      </c>
      <c r="S10" s="310">
        <f t="shared" si="8"/>
        <v>7714.1211472308014</v>
      </c>
      <c r="T10" s="559" t="str">
        <f t="shared" si="9"/>
        <v>SI</v>
      </c>
      <c r="U10" s="323">
        <v>6</v>
      </c>
      <c r="V10" s="299" t="s">
        <v>267</v>
      </c>
      <c r="W10" s="300">
        <v>44623</v>
      </c>
      <c r="X10" s="299" t="s">
        <v>59</v>
      </c>
      <c r="Y10" s="303">
        <v>-132</v>
      </c>
      <c r="Z10" s="305">
        <f>IF(Y10=0,0,IF(X10="MXN",1/HLOOKUP(YEAR(W10)+(MONTH(W10)/100),TC!$5:$37,DAY(W10)+2,FALSE),VLOOKUP(X10,Equivalencia!$1:$23,((MAX(Equivalencia!$3:$3)-YEAR(W10))*14)+MONTH(W10)+2,FALSE)))</f>
        <v>1</v>
      </c>
      <c r="AA10" s="306">
        <f t="shared" ref="AA10:AA66" si="16">+Z10*Y10</f>
        <v>-132</v>
      </c>
      <c r="AB10" s="305">
        <f>+IF(W10=0,0,HLOOKUP(YEAR(W10)+(MONTH(W10)/100),TC!$5:$37,DAY(W10)+2,FALSE))</f>
        <v>20.527200000000001</v>
      </c>
      <c r="AC10" s="306">
        <f t="shared" si="15"/>
        <v>-2709.5904</v>
      </c>
      <c r="AD10" s="314">
        <f t="shared" si="10"/>
        <v>46284.726883384807</v>
      </c>
      <c r="AE10" s="315">
        <f t="shared" si="11"/>
        <v>43575.136483384806</v>
      </c>
      <c r="AF10" s="316">
        <f t="shared" si="3"/>
        <v>1</v>
      </c>
      <c r="AG10" s="314">
        <v>1</v>
      </c>
      <c r="AH10" s="314">
        <f t="shared" si="12"/>
        <v>43575.136483384806</v>
      </c>
      <c r="AI10" s="314">
        <f t="shared" si="13"/>
        <v>0</v>
      </c>
      <c r="AJ10" s="317"/>
      <c r="AK10" s="315">
        <f t="shared" si="14"/>
        <v>2105.98</v>
      </c>
      <c r="AL10" s="293"/>
      <c r="AM10" s="553"/>
      <c r="AN10" s="553"/>
      <c r="AO10" s="553"/>
      <c r="AP10" s="294"/>
      <c r="AQ10" s="299"/>
      <c r="AR10" s="299"/>
      <c r="AS10" s="299"/>
    </row>
    <row r="11" spans="2:45">
      <c r="B11" s="296" t="s">
        <v>851</v>
      </c>
      <c r="C11" s="299" t="s">
        <v>114</v>
      </c>
      <c r="D11" s="296" t="s">
        <v>268</v>
      </c>
      <c r="E11" s="298" t="s">
        <v>750</v>
      </c>
      <c r="F11" s="299" t="s">
        <v>59</v>
      </c>
      <c r="G11" s="300">
        <v>44476</v>
      </c>
      <c r="H11" s="303">
        <v>-7</v>
      </c>
      <c r="I11" s="303">
        <v>4502.09</v>
      </c>
      <c r="J11" s="322" t="str">
        <f t="shared" si="0"/>
        <v>Derivados Cap IV, Sec II - SIC &amp; BMV</v>
      </c>
      <c r="K11" s="305">
        <f>IF(F11="MXN",1/HLOOKUP(YEAR(G11)+(MONTH(G11)/100),TC!$5:$37,DAY(G11)+2,FALSE),VLOOKUP(F11,Equivalencia!$5:$23,((MAX(Equivalencia!$3:$3)-YEAR(G11))*14)+MONTH(G11)+2,FALSE))</f>
        <v>1</v>
      </c>
      <c r="L11" s="306">
        <f t="shared" si="4"/>
        <v>4502.09</v>
      </c>
      <c r="M11" s="305">
        <f>IF(G11=0,0,HLOOKUP(YEAR(G11)+(MONTH(G11)/100),TC!$5:$37,DAY(G11)+2,FALSE))</f>
        <v>20.581800000000001</v>
      </c>
      <c r="N11" s="306">
        <f t="shared" si="5"/>
        <v>92661.115962000011</v>
      </c>
      <c r="O11" s="308">
        <f>IF(G11=0,0,VLOOKUP(YEAR(G11),INPC!$B$4:$P$30,MONTH(G11)+2))</f>
        <v>115.56100000000001</v>
      </c>
      <c r="P11" s="308">
        <f>IF(W11=0,0,IF(OR(C11=$AQ$5,C11=AQ15),VLOOKUP(YEAR(W11),INPC!$B$4:$P$30,MONTH(W11)+1),VLOOKUP(YEAR(W11),INPC!$B$4:$P$30,MONTH(W11)+2)))</f>
        <v>118.002</v>
      </c>
      <c r="Q11" s="309">
        <f t="shared" si="6"/>
        <v>1.0210999999999999</v>
      </c>
      <c r="R11" s="310">
        <f t="shared" si="7"/>
        <v>94616.265508798198</v>
      </c>
      <c r="S11" s="310">
        <f t="shared" si="8"/>
        <v>13516.609358399743</v>
      </c>
      <c r="T11" s="559" t="str">
        <f t="shared" si="9"/>
        <v>SI</v>
      </c>
      <c r="U11" s="323">
        <v>7</v>
      </c>
      <c r="V11" s="299" t="s">
        <v>267</v>
      </c>
      <c r="W11" s="300">
        <v>44566</v>
      </c>
      <c r="X11" s="299" t="s">
        <v>59</v>
      </c>
      <c r="Y11" s="303">
        <v>-84</v>
      </c>
      <c r="Z11" s="305">
        <f>IF(Y11=0,0,IF(X11="MXN",1/HLOOKUP(YEAR(W11)+(MONTH(W11)/100),TC!$5:$37,DAY(W11)+2,FALSE),VLOOKUP(X11,Equivalencia!$1:$23,((MAX(Equivalencia!$3:$3)-YEAR(W11))*14)+MONTH(W11)+2,FALSE)))</f>
        <v>1</v>
      </c>
      <c r="AA11" s="306">
        <f t="shared" si="16"/>
        <v>-84</v>
      </c>
      <c r="AB11" s="305">
        <f>+IF(W11=0,0,HLOOKUP(YEAR(W11)+(MONTH(W11)/100),TC!$5:$37,DAY(W11)+2,FALSE))</f>
        <v>20.588999999999999</v>
      </c>
      <c r="AC11" s="306">
        <f t="shared" si="15"/>
        <v>-1729.4759999999999</v>
      </c>
      <c r="AD11" s="314">
        <f t="shared" si="10"/>
        <v>94616.265508798198</v>
      </c>
      <c r="AE11" s="315">
        <f t="shared" si="11"/>
        <v>92886.789508798203</v>
      </c>
      <c r="AF11" s="316">
        <f t="shared" si="3"/>
        <v>1</v>
      </c>
      <c r="AG11" s="314">
        <v>1</v>
      </c>
      <c r="AH11" s="314">
        <f t="shared" si="12"/>
        <v>92886.789508798203</v>
      </c>
      <c r="AI11" s="314">
        <f t="shared" si="13"/>
        <v>0</v>
      </c>
      <c r="AJ11" s="317"/>
      <c r="AK11" s="315">
        <f t="shared" si="14"/>
        <v>4418.09</v>
      </c>
      <c r="AL11" s="293"/>
      <c r="AM11" s="553"/>
      <c r="AN11" s="553"/>
      <c r="AO11" s="553"/>
      <c r="AP11" s="294"/>
      <c r="AQ11" s="299"/>
      <c r="AR11" s="299"/>
      <c r="AS11" s="299"/>
    </row>
    <row r="12" spans="2:45">
      <c r="B12" s="296" t="s">
        <v>851</v>
      </c>
      <c r="C12" s="299" t="s">
        <v>114</v>
      </c>
      <c r="D12" s="296" t="s">
        <v>268</v>
      </c>
      <c r="E12" s="298" t="s">
        <v>751</v>
      </c>
      <c r="F12" s="299" t="s">
        <v>59</v>
      </c>
      <c r="G12" s="300">
        <v>44543</v>
      </c>
      <c r="H12" s="303">
        <v>-6</v>
      </c>
      <c r="I12" s="303">
        <v>2249.98</v>
      </c>
      <c r="J12" s="322" t="str">
        <f t="shared" si="0"/>
        <v>Derivados Cap IV, Sec II - SIC &amp; BMV</v>
      </c>
      <c r="K12" s="305">
        <f>IF(F12="MXN",1/HLOOKUP(YEAR(G12)+(MONTH(G12)/100),TC!$5:$37,DAY(G12)+2,FALSE),VLOOKUP(F12,Equivalencia!$5:$23,((MAX(Equivalencia!$3:$3)-YEAR(G12))*14)+MONTH(G12)+2,FALSE))</f>
        <v>1</v>
      </c>
      <c r="L12" s="306">
        <f t="shared" si="4"/>
        <v>2249.98</v>
      </c>
      <c r="M12" s="305">
        <f>IF(G12=0,0,HLOOKUP(YEAR(G12)+(MONTH(G12)/100),TC!$5:$37,DAY(G12)+2,FALSE))</f>
        <v>21.032800000000002</v>
      </c>
      <c r="N12" s="306">
        <f t="shared" si="5"/>
        <v>47323.379344000001</v>
      </c>
      <c r="O12" s="308">
        <f>IF(G12=0,0,VLOOKUP(YEAR(G12),INPC!$B$4:$P$30,MONTH(G12)+2))</f>
        <v>117.30800000000001</v>
      </c>
      <c r="P12" s="308">
        <f>IF(W12=0,0,IF(OR(C12=$AQ$5,C12=AQ16),VLOOKUP(YEAR(W12),INPC!$B$4:$P$30,MONTH(W12)+1),VLOOKUP(YEAR(W12),INPC!$B$4:$P$30,MONTH(W12)+2)))</f>
        <v>118.002</v>
      </c>
      <c r="Q12" s="309">
        <f t="shared" si="6"/>
        <v>1.0059</v>
      </c>
      <c r="R12" s="310">
        <f t="shared" si="7"/>
        <v>47602.5872821296</v>
      </c>
      <c r="S12" s="310">
        <f t="shared" si="8"/>
        <v>7933.7645470216003</v>
      </c>
      <c r="T12" s="559" t="str">
        <f t="shared" si="9"/>
        <v>SI</v>
      </c>
      <c r="U12" s="323">
        <v>6</v>
      </c>
      <c r="V12" s="299" t="s">
        <v>267</v>
      </c>
      <c r="W12" s="300">
        <v>44572</v>
      </c>
      <c r="X12" s="299" t="s">
        <v>59</v>
      </c>
      <c r="Y12" s="303">
        <v>-78</v>
      </c>
      <c r="Z12" s="305">
        <f>IF(Y12=0,0,IF(X12="MXN",1/HLOOKUP(YEAR(W12)+(MONTH(W12)/100),TC!$5:$37,DAY(W12)+2,FALSE),VLOOKUP(X12,Equivalencia!$1:$23,((MAX(Equivalencia!$3:$3)-YEAR(W12))*14)+MONTH(W12)+2,FALSE)))</f>
        <v>1</v>
      </c>
      <c r="AA12" s="306">
        <f t="shared" si="16"/>
        <v>-78</v>
      </c>
      <c r="AB12" s="305">
        <f>+IF(W12=0,0,HLOOKUP(YEAR(W12)+(MONTH(W12)/100),TC!$5:$37,DAY(W12)+2,FALSE))</f>
        <v>20.4237</v>
      </c>
      <c r="AC12" s="306">
        <f t="shared" si="15"/>
        <v>-1593.0486000000001</v>
      </c>
      <c r="AD12" s="314">
        <f t="shared" si="10"/>
        <v>47602.5872821296</v>
      </c>
      <c r="AE12" s="315">
        <f t="shared" si="11"/>
        <v>46009.538682129598</v>
      </c>
      <c r="AF12" s="316">
        <f t="shared" si="3"/>
        <v>1</v>
      </c>
      <c r="AG12" s="314">
        <v>1</v>
      </c>
      <c r="AH12" s="314">
        <f t="shared" si="12"/>
        <v>46009.538682129598</v>
      </c>
      <c r="AI12" s="314">
        <f t="shared" si="13"/>
        <v>0</v>
      </c>
      <c r="AJ12" s="317"/>
      <c r="AK12" s="315">
        <f t="shared" si="14"/>
        <v>2171.98</v>
      </c>
      <c r="AL12" s="293"/>
      <c r="AM12" s="553"/>
      <c r="AN12" s="553"/>
      <c r="AO12" s="553"/>
      <c r="AP12" s="294"/>
      <c r="AQ12" s="299"/>
      <c r="AR12" s="299"/>
      <c r="AS12" s="299"/>
    </row>
    <row r="13" spans="2:45">
      <c r="B13" s="296" t="s">
        <v>851</v>
      </c>
      <c r="C13" s="299" t="s">
        <v>114</v>
      </c>
      <c r="D13" s="296" t="s">
        <v>268</v>
      </c>
      <c r="E13" s="298" t="s">
        <v>752</v>
      </c>
      <c r="F13" s="299" t="s">
        <v>59</v>
      </c>
      <c r="G13" s="300">
        <v>44595</v>
      </c>
      <c r="H13" s="303">
        <v>-6</v>
      </c>
      <c r="I13" s="303">
        <v>6814.7</v>
      </c>
      <c r="J13" s="322" t="str">
        <f t="shared" si="0"/>
        <v>Derivados Cap IV, Sec II - SIC &amp; BMV</v>
      </c>
      <c r="K13" s="305">
        <f>IF(F13="MXN",1/HLOOKUP(YEAR(G13)+(MONTH(G13)/100),TC!$5:$37,DAY(G13)+2,FALSE),VLOOKUP(F13,Equivalencia!$5:$23,((MAX(Equivalencia!$3:$3)-YEAR(G13))*14)+MONTH(G13)+2,FALSE))</f>
        <v>1</v>
      </c>
      <c r="L13" s="306">
        <f t="shared" si="4"/>
        <v>6814.7</v>
      </c>
      <c r="M13" s="305">
        <f>IF(G13=0,0,HLOOKUP(YEAR(G13)+(MONTH(G13)/100),TC!$5:$37,DAY(G13)+2,FALSE))</f>
        <v>20.58</v>
      </c>
      <c r="N13" s="306">
        <f t="shared" si="5"/>
        <v>140246.52599999998</v>
      </c>
      <c r="O13" s="308">
        <f>IF(G13=0,0,VLOOKUP(YEAR(G13),INPC!$B$4:$P$30,MONTH(G13)+2))</f>
        <v>118.98099999999999</v>
      </c>
      <c r="P13" s="308">
        <f>IF(W13=0,0,IF(OR(C13=$AQ$5,C13=AQ17),VLOOKUP(YEAR(W13),INPC!$B$4:$P$30,MONTH(W13)+1),VLOOKUP(YEAR(W13),INPC!$B$4:$P$30,MONTH(W13)+2)))</f>
        <v>121.02200000000001</v>
      </c>
      <c r="Q13" s="309">
        <f t="shared" si="6"/>
        <v>1.0170999999999999</v>
      </c>
      <c r="R13" s="310">
        <f t="shared" si="7"/>
        <v>142644.74159459997</v>
      </c>
      <c r="S13" s="310">
        <f t="shared" si="8"/>
        <v>23774.123599099996</v>
      </c>
      <c r="T13" s="559" t="str">
        <f t="shared" si="9"/>
        <v>SI</v>
      </c>
      <c r="U13" s="323">
        <v>6</v>
      </c>
      <c r="V13" s="299" t="s">
        <v>267</v>
      </c>
      <c r="W13" s="300">
        <v>44697</v>
      </c>
      <c r="X13" s="299" t="s">
        <v>59</v>
      </c>
      <c r="Y13" s="303">
        <v>-12670.74</v>
      </c>
      <c r="Z13" s="305">
        <f>IF(Y13=0,0,IF(X13="MXN",1/HLOOKUP(YEAR(W13)+(MONTH(W13)/100),TC!$5:$37,DAY(W13)+2,FALSE),VLOOKUP(X13,Equivalencia!$1:$23,((MAX(Equivalencia!$3:$3)-YEAR(W13))*14)+MONTH(W13)+2,FALSE)))</f>
        <v>1</v>
      </c>
      <c r="AA13" s="306">
        <f t="shared" si="16"/>
        <v>-12670.74</v>
      </c>
      <c r="AB13" s="305">
        <f>+IF(W13=0,0,HLOOKUP(YEAR(W13)+(MONTH(W13)/100),TC!$5:$37,DAY(W13)+2,FALSE))</f>
        <v>20.32</v>
      </c>
      <c r="AC13" s="306">
        <f t="shared" si="15"/>
        <v>-257469.4368</v>
      </c>
      <c r="AD13" s="314">
        <f t="shared" si="10"/>
        <v>142644.74159459997</v>
      </c>
      <c r="AE13" s="315">
        <f t="shared" si="11"/>
        <v>-114824.69520540003</v>
      </c>
      <c r="AF13" s="316">
        <f t="shared" si="3"/>
        <v>1</v>
      </c>
      <c r="AG13" s="314">
        <v>1</v>
      </c>
      <c r="AH13" s="314">
        <f t="shared" si="12"/>
        <v>-114824.69520540003</v>
      </c>
      <c r="AI13" s="314">
        <f t="shared" si="13"/>
        <v>0</v>
      </c>
      <c r="AJ13" s="317"/>
      <c r="AK13" s="315">
        <f t="shared" si="14"/>
        <v>-5856.04</v>
      </c>
      <c r="AL13" s="293"/>
      <c r="AM13" s="553"/>
      <c r="AN13" s="553"/>
      <c r="AO13" s="553"/>
      <c r="AP13" s="294"/>
      <c r="AQ13" s="299"/>
      <c r="AR13" s="299"/>
      <c r="AS13" s="299"/>
    </row>
    <row r="14" spans="2:45">
      <c r="B14" s="296" t="s">
        <v>851</v>
      </c>
      <c r="C14" s="299" t="s">
        <v>114</v>
      </c>
      <c r="D14" s="296" t="s">
        <v>268</v>
      </c>
      <c r="E14" s="298" t="s">
        <v>753</v>
      </c>
      <c r="F14" s="299" t="s">
        <v>59</v>
      </c>
      <c r="G14" s="300">
        <v>44602</v>
      </c>
      <c r="H14" s="303">
        <v>-6</v>
      </c>
      <c r="I14" s="303">
        <v>5336.79</v>
      </c>
      <c r="J14" s="322" t="str">
        <f t="shared" si="0"/>
        <v>Derivados Cap IV, Sec II - SIC &amp; BMV</v>
      </c>
      <c r="K14" s="305">
        <f>IF(F14="MXN",1/HLOOKUP(YEAR(G14)+(MONTH(G14)/100),TC!$5:$37,DAY(G14)+2,FALSE),VLOOKUP(F14,Equivalencia!$5:$23,((MAX(Equivalencia!$3:$3)-YEAR(G14))*14)+MONTH(G14)+2,FALSE))</f>
        <v>1</v>
      </c>
      <c r="L14" s="306">
        <f t="shared" si="4"/>
        <v>5336.79</v>
      </c>
      <c r="M14" s="305">
        <f>IF(G14=0,0,HLOOKUP(YEAR(G14)+(MONTH(G14)/100),TC!$5:$37,DAY(G14)+2,FALSE))</f>
        <v>20.641300000000001</v>
      </c>
      <c r="N14" s="306">
        <f t="shared" si="5"/>
        <v>110158.283427</v>
      </c>
      <c r="O14" s="308">
        <f>IF(G14=0,0,VLOOKUP(YEAR(G14),INPC!$B$4:$P$30,MONTH(G14)+2))</f>
        <v>118.98099999999999</v>
      </c>
      <c r="P14" s="308">
        <f>IF(W14=0,0,IF(OR(C14=$AQ$5,C14=AQ18),VLOOKUP(YEAR(W14),INPC!$B$4:$P$30,MONTH(W14)+1),VLOOKUP(YEAR(W14),INPC!$B$4:$P$30,MONTH(W14)+2)))</f>
        <v>120.809</v>
      </c>
      <c r="Q14" s="309">
        <f t="shared" si="6"/>
        <v>1.0153000000000001</v>
      </c>
      <c r="R14" s="310">
        <f t="shared" si="7"/>
        <v>111843.70516343311</v>
      </c>
      <c r="S14" s="310">
        <f t="shared" si="8"/>
        <v>18640.617527238854</v>
      </c>
      <c r="T14" s="559" t="str">
        <f t="shared" si="9"/>
        <v>SI</v>
      </c>
      <c r="U14" s="323">
        <v>6</v>
      </c>
      <c r="V14" s="299" t="s">
        <v>267</v>
      </c>
      <c r="W14" s="300">
        <v>44663</v>
      </c>
      <c r="X14" s="299" t="s">
        <v>59</v>
      </c>
      <c r="Y14" s="303">
        <v>-107.4</v>
      </c>
      <c r="Z14" s="305">
        <f>IF(Y14=0,0,IF(X14="MXN",1/HLOOKUP(YEAR(W14)+(MONTH(W14)/100),TC!$5:$37,DAY(W14)+2,FALSE),VLOOKUP(X14,Equivalencia!$1:$23,((MAX(Equivalencia!$3:$3)-YEAR(W14))*14)+MONTH(W14)+2,FALSE)))</f>
        <v>1</v>
      </c>
      <c r="AA14" s="306">
        <f t="shared" si="16"/>
        <v>-107.4</v>
      </c>
      <c r="AB14" s="305">
        <f>+IF(W14=0,0,HLOOKUP(YEAR(W14)+(MONTH(W14)/100),TC!$5:$37,DAY(W14)+2,FALSE))</f>
        <v>20.12</v>
      </c>
      <c r="AC14" s="306">
        <f t="shared" si="15"/>
        <v>-2160.8880000000004</v>
      </c>
      <c r="AD14" s="314">
        <f t="shared" si="10"/>
        <v>111843.70516343313</v>
      </c>
      <c r="AE14" s="315">
        <f t="shared" si="11"/>
        <v>109682.81716343312</v>
      </c>
      <c r="AF14" s="316">
        <f t="shared" si="3"/>
        <v>1</v>
      </c>
      <c r="AG14" s="314">
        <v>1</v>
      </c>
      <c r="AH14" s="314">
        <f t="shared" si="12"/>
        <v>109682.81716343312</v>
      </c>
      <c r="AI14" s="314">
        <f t="shared" si="13"/>
        <v>0</v>
      </c>
      <c r="AJ14" s="317"/>
      <c r="AK14" s="315">
        <f t="shared" si="14"/>
        <v>5229.3900000000003</v>
      </c>
      <c r="AL14" s="293"/>
      <c r="AM14" s="553"/>
      <c r="AN14" s="553"/>
      <c r="AO14" s="553"/>
      <c r="AP14" s="294"/>
      <c r="AQ14" s="299"/>
      <c r="AR14" s="299"/>
      <c r="AS14" s="299"/>
    </row>
    <row r="15" spans="2:45">
      <c r="B15" s="296" t="s">
        <v>851</v>
      </c>
      <c r="C15" s="299" t="s">
        <v>114</v>
      </c>
      <c r="D15" s="296" t="s">
        <v>268</v>
      </c>
      <c r="E15" s="298" t="s">
        <v>754</v>
      </c>
      <c r="F15" s="299" t="s">
        <v>59</v>
      </c>
      <c r="G15" s="300">
        <v>44602</v>
      </c>
      <c r="H15" s="303">
        <v>-6</v>
      </c>
      <c r="I15" s="303">
        <v>5003.97</v>
      </c>
      <c r="J15" s="322" t="str">
        <f t="shared" si="0"/>
        <v>Derivados Cap IV, Sec II - SIC &amp; BMV</v>
      </c>
      <c r="K15" s="305">
        <f>IF(F15="MXN",1/HLOOKUP(YEAR(G15)+(MONTH(G15)/100),TC!$5:$37,DAY(G15)+2,FALSE),VLOOKUP(F15,Equivalencia!$5:$23,((MAX(Equivalencia!$3:$3)-YEAR(G15))*14)+MONTH(G15)+2,FALSE))</f>
        <v>1</v>
      </c>
      <c r="L15" s="306">
        <f t="shared" si="4"/>
        <v>5003.97</v>
      </c>
      <c r="M15" s="305">
        <f>IF(G15=0,0,HLOOKUP(YEAR(G15)+(MONTH(G15)/100),TC!$5:$37,DAY(G15)+2,FALSE))</f>
        <v>20.641300000000001</v>
      </c>
      <c r="N15" s="306">
        <f t="shared" si="5"/>
        <v>103288.445961</v>
      </c>
      <c r="O15" s="308">
        <f>IF(G15=0,0,VLOOKUP(YEAR(G15),INPC!$B$4:$P$30,MONTH(G15)+2))</f>
        <v>118.98099999999999</v>
      </c>
      <c r="P15" s="308">
        <f>IF(W15=0,0,IF(OR(C15=$AQ$5,C15=AQ19),VLOOKUP(YEAR(W15),INPC!$B$4:$P$30,MONTH(W15)+1),VLOOKUP(YEAR(W15),INPC!$B$4:$P$30,MONTH(W15)+2)))</f>
        <v>120.15900000000001</v>
      </c>
      <c r="Q15" s="309">
        <f t="shared" si="6"/>
        <v>1.0099</v>
      </c>
      <c r="R15" s="310">
        <f t="shared" si="7"/>
        <v>104311.00157601391</v>
      </c>
      <c r="S15" s="310">
        <f t="shared" si="8"/>
        <v>17385.16692933565</v>
      </c>
      <c r="T15" s="559" t="str">
        <f t="shared" si="9"/>
        <v>SI</v>
      </c>
      <c r="U15" s="323">
        <v>6</v>
      </c>
      <c r="V15" s="299" t="s">
        <v>267</v>
      </c>
      <c r="W15" s="300">
        <v>44648</v>
      </c>
      <c r="X15" s="299" t="s">
        <v>59</v>
      </c>
      <c r="Y15" s="303">
        <v>-143.88</v>
      </c>
      <c r="Z15" s="305">
        <f>IF(Y15=0,0,IF(X15="MXN",1/HLOOKUP(YEAR(W15)+(MONTH(W15)/100),TC!$5:$37,DAY(W15)+2,FALSE),VLOOKUP(X15,Equivalencia!$1:$23,((MAX(Equivalencia!$3:$3)-YEAR(W15))*14)+MONTH(W15)+2,FALSE)))</f>
        <v>1</v>
      </c>
      <c r="AA15" s="306">
        <f t="shared" si="16"/>
        <v>-143.88</v>
      </c>
      <c r="AB15" s="305">
        <f>+IF(W15=0,0,HLOOKUP(YEAR(W15)+(MONTH(W15)/100),TC!$5:$37,DAY(W15)+2,FALSE))</f>
        <v>20.1313</v>
      </c>
      <c r="AC15" s="306">
        <f t="shared" si="15"/>
        <v>-2896.4914439999998</v>
      </c>
      <c r="AD15" s="314">
        <f t="shared" si="10"/>
        <v>104311.00157601389</v>
      </c>
      <c r="AE15" s="315">
        <f t="shared" si="11"/>
        <v>101414.51013201389</v>
      </c>
      <c r="AF15" s="316">
        <f t="shared" si="3"/>
        <v>1</v>
      </c>
      <c r="AG15" s="314">
        <v>1</v>
      </c>
      <c r="AH15" s="314">
        <f t="shared" si="12"/>
        <v>101414.51013201389</v>
      </c>
      <c r="AI15" s="314">
        <f t="shared" si="13"/>
        <v>0</v>
      </c>
      <c r="AJ15" s="317"/>
      <c r="AK15" s="315">
        <f t="shared" si="14"/>
        <v>4860.09</v>
      </c>
      <c r="AM15" s="553"/>
      <c r="AN15" s="553"/>
      <c r="AO15" s="553"/>
      <c r="AQ15" s="299"/>
      <c r="AR15" s="299"/>
      <c r="AS15" s="299"/>
    </row>
    <row r="16" spans="2:45">
      <c r="B16" s="296" t="s">
        <v>851</v>
      </c>
      <c r="C16" s="299" t="s">
        <v>114</v>
      </c>
      <c r="D16" s="296" t="s">
        <v>268</v>
      </c>
      <c r="E16" s="298" t="s">
        <v>755</v>
      </c>
      <c r="F16" s="299" t="s">
        <v>59</v>
      </c>
      <c r="G16" s="300">
        <v>44609</v>
      </c>
      <c r="H16" s="303">
        <v>-7</v>
      </c>
      <c r="I16" s="303">
        <v>5383.74</v>
      </c>
      <c r="J16" s="322" t="str">
        <f t="shared" si="0"/>
        <v>Derivados Cap IV, Sec II - SIC &amp; BMV</v>
      </c>
      <c r="K16" s="305">
        <f>IF(F16="MXN",1/HLOOKUP(YEAR(G16)+(MONTH(G16)/100),TC!$5:$37,DAY(G16)+2,FALSE),VLOOKUP(F16,Equivalencia!$5:$23,((MAX(Equivalencia!$3:$3)-YEAR(G16))*14)+MONTH(G16)+2,FALSE))</f>
        <v>1</v>
      </c>
      <c r="L16" s="306">
        <f t="shared" si="4"/>
        <v>5383.74</v>
      </c>
      <c r="M16" s="305">
        <f>IF(G16=0,0,HLOOKUP(YEAR(G16)+(MONTH(G16)/100),TC!$5:$37,DAY(G16)+2,FALSE))</f>
        <v>20.3992</v>
      </c>
      <c r="N16" s="306">
        <f t="shared" si="5"/>
        <v>109823.989008</v>
      </c>
      <c r="O16" s="308">
        <f>IF(G16=0,0,VLOOKUP(YEAR(G16),INPC!$B$4:$P$30,MONTH(G16)+2))</f>
        <v>118.98099999999999</v>
      </c>
      <c r="P16" s="308">
        <f>IF(W16=0,0,IF(OR(C16=$AQ$5,C16=AQ20),VLOOKUP(YEAR(W16),INPC!$B$4:$P$30,MONTH(W16)+1),VLOOKUP(YEAR(W16),INPC!$B$4:$P$30,MONTH(W16)+2)))</f>
        <v>122.044</v>
      </c>
      <c r="Q16" s="309">
        <f t="shared" si="6"/>
        <v>1.0257000000000001</v>
      </c>
      <c r="R16" s="310">
        <f t="shared" si="7"/>
        <v>112646.46552550561</v>
      </c>
      <c r="S16" s="310">
        <f t="shared" si="8"/>
        <v>16092.352217929374</v>
      </c>
      <c r="T16" s="559" t="str">
        <f t="shared" si="9"/>
        <v>SI</v>
      </c>
      <c r="U16" s="323">
        <v>7</v>
      </c>
      <c r="V16" s="299" t="s">
        <v>267</v>
      </c>
      <c r="W16" s="300">
        <v>44728</v>
      </c>
      <c r="X16" s="299" t="s">
        <v>59</v>
      </c>
      <c r="Y16" s="303">
        <v>-9971.15</v>
      </c>
      <c r="Z16" s="305">
        <f>IF(Y16=0,0,IF(X16="MXN",1/HLOOKUP(YEAR(W16)+(MONTH(W16)/100),TC!$5:$37,DAY(W16)+2,FALSE),VLOOKUP(X16,Equivalencia!$1:$23,((MAX(Equivalencia!$3:$3)-YEAR(W16))*14)+MONTH(W16)+2,FALSE)))</f>
        <v>1</v>
      </c>
      <c r="AA16" s="306">
        <f t="shared" si="16"/>
        <v>-9971.15</v>
      </c>
      <c r="AB16" s="305">
        <f>+IF(W16=0,0,HLOOKUP(YEAR(W16)+(MONTH(W16)/100),TC!$5:$37,DAY(W16)+2,FALSE))</f>
        <v>20.658300000000001</v>
      </c>
      <c r="AC16" s="306">
        <f t="shared" si="15"/>
        <v>-205987.008045</v>
      </c>
      <c r="AD16" s="314">
        <f t="shared" si="10"/>
        <v>112646.46552550561</v>
      </c>
      <c r="AE16" s="315">
        <f t="shared" si="11"/>
        <v>-93340.542519494382</v>
      </c>
      <c r="AF16" s="316">
        <f t="shared" si="3"/>
        <v>1</v>
      </c>
      <c r="AG16" s="314">
        <v>1</v>
      </c>
      <c r="AH16" s="314">
        <f t="shared" si="12"/>
        <v>-93340.542519494382</v>
      </c>
      <c r="AI16" s="314">
        <f t="shared" si="13"/>
        <v>0</v>
      </c>
      <c r="AJ16" s="317"/>
      <c r="AK16" s="315">
        <f t="shared" si="14"/>
        <v>-4587.41</v>
      </c>
      <c r="AM16" s="553"/>
      <c r="AN16" s="553"/>
      <c r="AO16" s="553"/>
      <c r="AQ16" s="299"/>
      <c r="AR16" s="299"/>
      <c r="AS16" s="299"/>
    </row>
    <row r="17" spans="1:45">
      <c r="B17" s="296" t="s">
        <v>851</v>
      </c>
      <c r="C17" s="299" t="s">
        <v>114</v>
      </c>
      <c r="D17" s="296" t="s">
        <v>268</v>
      </c>
      <c r="E17" s="298" t="s">
        <v>756</v>
      </c>
      <c r="F17" s="299" t="s">
        <v>59</v>
      </c>
      <c r="G17" s="300">
        <v>44609</v>
      </c>
      <c r="H17" s="303">
        <v>-6</v>
      </c>
      <c r="I17" s="303">
        <v>4231.1099999999997</v>
      </c>
      <c r="J17" s="322" t="str">
        <f t="shared" si="0"/>
        <v>Derivados Cap IV, Sec II - SIC &amp; BMV</v>
      </c>
      <c r="K17" s="305">
        <f>IF(F17="MXN",1/HLOOKUP(YEAR(G17)+(MONTH(G17)/100),TC!$5:$37,DAY(G17)+2,FALSE),VLOOKUP(F17,Equivalencia!$5:$23,((MAX(Equivalencia!$3:$3)-YEAR(G17))*14)+MONTH(G17)+2,FALSE))</f>
        <v>1</v>
      </c>
      <c r="L17" s="306">
        <f t="shared" si="4"/>
        <v>4231.1099999999997</v>
      </c>
      <c r="M17" s="305">
        <f>IF(G17=0,0,HLOOKUP(YEAR(G17)+(MONTH(G17)/100),TC!$5:$37,DAY(G17)+2,FALSE))</f>
        <v>20.3992</v>
      </c>
      <c r="N17" s="306">
        <f t="shared" si="5"/>
        <v>86311.259112</v>
      </c>
      <c r="O17" s="308">
        <f>IF(G17=0,0,VLOOKUP(YEAR(G17),INPC!$B$4:$P$30,MONTH(G17)+2))</f>
        <v>118.98099999999999</v>
      </c>
      <c r="P17" s="308">
        <f>IF(W17=0,0,IF(OR(C17=$AQ$5,C17=AQ21),VLOOKUP(YEAR(W17),INPC!$B$4:$P$30,MONTH(W17)+1),VLOOKUP(YEAR(W17),INPC!$B$4:$P$30,MONTH(W17)+2)))</f>
        <v>121.02200000000001</v>
      </c>
      <c r="Q17" s="309">
        <f t="shared" si="6"/>
        <v>1.0170999999999999</v>
      </c>
      <c r="R17" s="310">
        <f t="shared" si="7"/>
        <v>87787.181642815194</v>
      </c>
      <c r="S17" s="310">
        <f t="shared" si="8"/>
        <v>14631.196940469199</v>
      </c>
      <c r="T17" s="559" t="str">
        <f t="shared" si="9"/>
        <v>SI</v>
      </c>
      <c r="U17" s="323">
        <v>6</v>
      </c>
      <c r="V17" s="299" t="s">
        <v>267</v>
      </c>
      <c r="W17" s="300">
        <v>44697</v>
      </c>
      <c r="X17" s="299" t="s">
        <v>59</v>
      </c>
      <c r="Y17" s="303">
        <v>-1054.56</v>
      </c>
      <c r="Z17" s="305">
        <f>IF(Y17=0,0,IF(X17="MXN",1/HLOOKUP(YEAR(W17)+(MONTH(W17)/100),TC!$5:$37,DAY(W17)+2,FALSE),VLOOKUP(X17,Equivalencia!$1:$23,((MAX(Equivalencia!$3:$3)-YEAR(W17))*14)+MONTH(W17)+2,FALSE)))</f>
        <v>1</v>
      </c>
      <c r="AA17" s="306">
        <f t="shared" si="16"/>
        <v>-1054.56</v>
      </c>
      <c r="AB17" s="305">
        <f>+IF(W17=0,0,HLOOKUP(YEAR(W17)+(MONTH(W17)/100),TC!$5:$37,DAY(W17)+2,FALSE))</f>
        <v>20.32</v>
      </c>
      <c r="AC17" s="306">
        <f t="shared" si="15"/>
        <v>-21428.659199999998</v>
      </c>
      <c r="AD17" s="314">
        <f t="shared" si="10"/>
        <v>87787.181642815194</v>
      </c>
      <c r="AE17" s="315">
        <f t="shared" si="11"/>
        <v>66358.5224428152</v>
      </c>
      <c r="AF17" s="316">
        <f t="shared" si="3"/>
        <v>1</v>
      </c>
      <c r="AG17" s="314">
        <v>1</v>
      </c>
      <c r="AH17" s="314">
        <f t="shared" si="12"/>
        <v>66358.5224428152</v>
      </c>
      <c r="AI17" s="314">
        <f t="shared" si="13"/>
        <v>0</v>
      </c>
      <c r="AJ17" s="317"/>
      <c r="AK17" s="315">
        <f t="shared" si="14"/>
        <v>3176.5499999999997</v>
      </c>
      <c r="AM17" s="553"/>
      <c r="AN17" s="553"/>
      <c r="AO17" s="553"/>
      <c r="AQ17" s="299"/>
      <c r="AR17" s="299"/>
      <c r="AS17" s="299"/>
    </row>
    <row r="18" spans="1:45">
      <c r="B18" s="296" t="s">
        <v>851</v>
      </c>
      <c r="C18" s="299" t="s">
        <v>114</v>
      </c>
      <c r="D18" s="296" t="s">
        <v>268</v>
      </c>
      <c r="E18" s="298" t="s">
        <v>757</v>
      </c>
      <c r="F18" s="299" t="s">
        <v>59</v>
      </c>
      <c r="G18" s="300">
        <v>44623</v>
      </c>
      <c r="H18" s="303">
        <v>-6</v>
      </c>
      <c r="I18" s="303">
        <v>5399.97</v>
      </c>
      <c r="J18" s="322" t="str">
        <f t="shared" si="0"/>
        <v>Derivados Cap IV, Sec II - SIC &amp; BMV</v>
      </c>
      <c r="K18" s="305">
        <f>IF(F18="MXN",1/HLOOKUP(YEAR(G18)+(MONTH(G18)/100),TC!$5:$37,DAY(G18)+2,FALSE),VLOOKUP(F18,Equivalencia!$5:$23,((MAX(Equivalencia!$3:$3)-YEAR(G18))*14)+MONTH(G18)+2,FALSE))</f>
        <v>1</v>
      </c>
      <c r="L18" s="306">
        <f t="shared" si="4"/>
        <v>5399.97</v>
      </c>
      <c r="M18" s="305">
        <f>IF(G18=0,0,HLOOKUP(YEAR(G18)+(MONTH(G18)/100),TC!$5:$37,DAY(G18)+2,FALSE))</f>
        <v>20.527200000000001</v>
      </c>
      <c r="N18" s="306">
        <f t="shared" si="5"/>
        <v>110846.26418400001</v>
      </c>
      <c r="O18" s="308">
        <f>IF(G18=0,0,VLOOKUP(YEAR(G18),INPC!$B$4:$P$30,MONTH(G18)+2))</f>
        <v>120.15900000000001</v>
      </c>
      <c r="P18" s="308">
        <f>IF(W18=0,0,IF(OR(C18=$AQ$5,C18=AQ22),VLOOKUP(YEAR(W18),INPC!$B$4:$P$30,MONTH(W18)+1),VLOOKUP(YEAR(W18),INPC!$B$4:$P$30,MONTH(W18)+2)))</f>
        <v>122.044</v>
      </c>
      <c r="Q18" s="309">
        <f t="shared" si="6"/>
        <v>1.0156000000000001</v>
      </c>
      <c r="R18" s="310">
        <f t="shared" si="7"/>
        <v>112575.46590527042</v>
      </c>
      <c r="S18" s="310">
        <f t="shared" si="8"/>
        <v>18762.577650878404</v>
      </c>
      <c r="T18" s="559" t="str">
        <f t="shared" si="9"/>
        <v>SI</v>
      </c>
      <c r="U18" s="323">
        <v>6</v>
      </c>
      <c r="V18" s="299" t="s">
        <v>267</v>
      </c>
      <c r="W18" s="300">
        <v>44728</v>
      </c>
      <c r="X18" s="299" t="s">
        <v>59</v>
      </c>
      <c r="Y18" s="303">
        <v>-11412</v>
      </c>
      <c r="Z18" s="305">
        <f>IF(Y18=0,0,IF(X18="MXN",1/HLOOKUP(YEAR(W18)+(MONTH(W18)/100),TC!$5:$37,DAY(W18)+2,FALSE),VLOOKUP(X18,Equivalencia!$1:$23,((MAX(Equivalencia!$3:$3)-YEAR(W18))*14)+MONTH(W18)+2,FALSE)))</f>
        <v>1</v>
      </c>
      <c r="AA18" s="306">
        <f t="shared" si="16"/>
        <v>-11412</v>
      </c>
      <c r="AB18" s="305">
        <f>+IF(W18=0,0,HLOOKUP(YEAR(W18)+(MONTH(W18)/100),TC!$5:$37,DAY(W18)+2,FALSE))</f>
        <v>20.658300000000001</v>
      </c>
      <c r="AC18" s="306">
        <f t="shared" si="15"/>
        <v>-235752.5196</v>
      </c>
      <c r="AD18" s="314">
        <f t="shared" si="10"/>
        <v>112575.46590527042</v>
      </c>
      <c r="AE18" s="315">
        <f t="shared" si="11"/>
        <v>-123177.05369472958</v>
      </c>
      <c r="AF18" s="316">
        <f t="shared" si="3"/>
        <v>1</v>
      </c>
      <c r="AG18" s="314">
        <v>1</v>
      </c>
      <c r="AH18" s="314">
        <f t="shared" si="12"/>
        <v>-123177.05369472958</v>
      </c>
      <c r="AI18" s="314">
        <f t="shared" si="13"/>
        <v>0</v>
      </c>
      <c r="AJ18" s="317"/>
      <c r="AK18" s="315">
        <f t="shared" si="14"/>
        <v>-6012.03</v>
      </c>
      <c r="AM18" s="553"/>
      <c r="AN18" s="553"/>
      <c r="AO18" s="553"/>
      <c r="AQ18" s="299"/>
      <c r="AR18" s="299"/>
      <c r="AS18" s="299"/>
    </row>
    <row r="19" spans="1:45">
      <c r="B19" s="296" t="s">
        <v>851</v>
      </c>
      <c r="C19" s="299" t="s">
        <v>114</v>
      </c>
      <c r="D19" s="296" t="s">
        <v>268</v>
      </c>
      <c r="E19" s="298" t="s">
        <v>758</v>
      </c>
      <c r="F19" s="299" t="s">
        <v>59</v>
      </c>
      <c r="G19" s="300">
        <v>44637</v>
      </c>
      <c r="H19" s="303">
        <v>-6</v>
      </c>
      <c r="I19" s="303">
        <v>4470.45</v>
      </c>
      <c r="J19" s="322" t="str">
        <f t="shared" si="0"/>
        <v>Derivados Cap IV, Sec II - SIC &amp; BMV</v>
      </c>
      <c r="K19" s="305">
        <f>IF(F19="MXN",1/HLOOKUP(YEAR(G19)+(MONTH(G19)/100),TC!$5:$37,DAY(G19)+2,FALSE),VLOOKUP(F19,Equivalencia!$5:$23,((MAX(Equivalencia!$3:$3)-YEAR(G19))*14)+MONTH(G19)+2,FALSE))</f>
        <v>1</v>
      </c>
      <c r="L19" s="306">
        <f t="shared" si="4"/>
        <v>4470.45</v>
      </c>
      <c r="M19" s="305">
        <f>IF(G19=0,0,HLOOKUP(YEAR(G19)+(MONTH(G19)/100),TC!$5:$37,DAY(G19)+2,FALSE))</f>
        <v>20.874300000000002</v>
      </c>
      <c r="N19" s="306">
        <f t="shared" si="5"/>
        <v>93317.514435000005</v>
      </c>
      <c r="O19" s="308">
        <f>IF(G19=0,0,VLOOKUP(YEAR(G19),INPC!$B$4:$P$30,MONTH(G19)+2))</f>
        <v>120.15900000000001</v>
      </c>
      <c r="P19" s="308">
        <f>IF(W19=0,0,IF(OR(C19=$AQ$5,C19=AQ23),VLOOKUP(YEAR(W19),INPC!$B$4:$P$30,MONTH(W19)+1),VLOOKUP(YEAR(W19),INPC!$B$4:$P$30,MONTH(W19)+2)))</f>
        <v>120.809</v>
      </c>
      <c r="Q19" s="309">
        <f t="shared" si="6"/>
        <v>1.0054000000000001</v>
      </c>
      <c r="R19" s="310">
        <f t="shared" si="7"/>
        <v>93821.429012949011</v>
      </c>
      <c r="S19" s="310">
        <f t="shared" si="8"/>
        <v>15636.904835491501</v>
      </c>
      <c r="T19" s="559" t="str">
        <f t="shared" si="9"/>
        <v>SI</v>
      </c>
      <c r="U19" s="323">
        <v>6</v>
      </c>
      <c r="V19" s="299" t="s">
        <v>267</v>
      </c>
      <c r="W19" s="300">
        <v>44672</v>
      </c>
      <c r="X19" s="299" t="s">
        <v>59</v>
      </c>
      <c r="Y19" s="303">
        <v>-162</v>
      </c>
      <c r="Z19" s="305">
        <f>IF(Y19=0,0,IF(X19="MXN",1/HLOOKUP(YEAR(W19)+(MONTH(W19)/100),TC!$5:$37,DAY(W19)+2,FALSE),VLOOKUP(X19,Equivalencia!$1:$23,((MAX(Equivalencia!$3:$3)-YEAR(W19))*14)+MONTH(W19)+2,FALSE)))</f>
        <v>1</v>
      </c>
      <c r="AA19" s="306">
        <f t="shared" si="16"/>
        <v>-162</v>
      </c>
      <c r="AB19" s="305">
        <f>+IF(W19=0,0,HLOOKUP(YEAR(W19)+(MONTH(W19)/100),TC!$5:$37,DAY(W19)+2,FALSE))</f>
        <v>20.044699999999999</v>
      </c>
      <c r="AC19" s="306">
        <f t="shared" si="15"/>
        <v>-3247.2413999999999</v>
      </c>
      <c r="AD19" s="314">
        <f t="shared" si="10"/>
        <v>93821.429012949011</v>
      </c>
      <c r="AE19" s="315">
        <f t="shared" si="11"/>
        <v>90574.187612949012</v>
      </c>
      <c r="AF19" s="316">
        <f t="shared" si="3"/>
        <v>1</v>
      </c>
      <c r="AG19" s="314">
        <v>1</v>
      </c>
      <c r="AH19" s="314">
        <f t="shared" si="12"/>
        <v>90574.187612949012</v>
      </c>
      <c r="AI19" s="314">
        <f t="shared" si="13"/>
        <v>0</v>
      </c>
      <c r="AJ19" s="317"/>
      <c r="AK19" s="315">
        <f t="shared" si="14"/>
        <v>4308.45</v>
      </c>
      <c r="AM19" s="553"/>
      <c r="AN19" s="553"/>
      <c r="AO19" s="553"/>
      <c r="AQ19" s="299"/>
      <c r="AR19" s="299"/>
      <c r="AS19" s="299"/>
    </row>
    <row r="20" spans="1:45">
      <c r="B20" s="296" t="s">
        <v>851</v>
      </c>
      <c r="C20" s="299" t="s">
        <v>114</v>
      </c>
      <c r="D20" s="296" t="s">
        <v>268</v>
      </c>
      <c r="E20" s="298" t="s">
        <v>759</v>
      </c>
      <c r="F20" s="299" t="s">
        <v>59</v>
      </c>
      <c r="G20" s="300">
        <v>44648</v>
      </c>
      <c r="H20" s="303">
        <v>-6</v>
      </c>
      <c r="I20" s="303">
        <v>3432.04</v>
      </c>
      <c r="J20" s="322" t="str">
        <f t="shared" si="0"/>
        <v>Derivados Cap IV, Sec II - SIC &amp; BMV</v>
      </c>
      <c r="K20" s="305">
        <f>IF(F20="MXN",1/HLOOKUP(YEAR(G20)+(MONTH(G20)/100),TC!$5:$37,DAY(G20)+2,FALSE),VLOOKUP(F20,Equivalencia!$5:$23,((MAX(Equivalencia!$3:$3)-YEAR(G20))*14)+MONTH(G20)+2,FALSE))</f>
        <v>1</v>
      </c>
      <c r="L20" s="306">
        <f t="shared" si="4"/>
        <v>3432.04</v>
      </c>
      <c r="M20" s="305">
        <f>IF(G20=0,0,HLOOKUP(YEAR(G20)+(MONTH(G20)/100),TC!$5:$37,DAY(G20)+2,FALSE))</f>
        <v>20.1313</v>
      </c>
      <c r="N20" s="306">
        <f t="shared" si="5"/>
        <v>69091.426852000004</v>
      </c>
      <c r="O20" s="308">
        <f>IF(G20=0,0,VLOOKUP(YEAR(G20),INPC!$B$4:$P$30,MONTH(G20)+2))</f>
        <v>120.15900000000001</v>
      </c>
      <c r="P20" s="308">
        <f>IF(W20=0,0,IF(OR(C20=$AQ$5,C20=AQ24),VLOOKUP(YEAR(W20),INPC!$B$4:$P$30,MONTH(W20)+1),VLOOKUP(YEAR(W20),INPC!$B$4:$P$30,MONTH(W20)+2)))</f>
        <v>121.02200000000001</v>
      </c>
      <c r="Q20" s="309">
        <f t="shared" si="6"/>
        <v>1.0071000000000001</v>
      </c>
      <c r="R20" s="310">
        <f t="shared" si="7"/>
        <v>69581.975982649208</v>
      </c>
      <c r="S20" s="310">
        <f t="shared" si="8"/>
        <v>11596.995997108201</v>
      </c>
      <c r="T20" s="559" t="str">
        <f t="shared" si="9"/>
        <v>SI</v>
      </c>
      <c r="U20" s="323">
        <v>6</v>
      </c>
      <c r="V20" s="299" t="s">
        <v>267</v>
      </c>
      <c r="W20" s="300">
        <v>44686</v>
      </c>
      <c r="X20" s="299" t="s">
        <v>59</v>
      </c>
      <c r="Y20" s="303">
        <v>-11804.28</v>
      </c>
      <c r="Z20" s="305">
        <f>IF(Y20=0,0,IF(X20="MXN",1/HLOOKUP(YEAR(W20)+(MONTH(W20)/100),TC!$5:$37,DAY(W20)+2,FALSE),VLOOKUP(X20,Equivalencia!$1:$23,((MAX(Equivalencia!$3:$3)-YEAR(W20))*14)+MONTH(W20)+2,FALSE)))</f>
        <v>1</v>
      </c>
      <c r="AA20" s="306">
        <f t="shared" si="16"/>
        <v>-11804.28</v>
      </c>
      <c r="AB20" s="305">
        <f>+IF(W20=0,0,HLOOKUP(YEAR(W20)+(MONTH(W20)/100),TC!$5:$37,DAY(W20)+2,FALSE))</f>
        <v>20.335000000000001</v>
      </c>
      <c r="AC20" s="306">
        <f t="shared" si="15"/>
        <v>-240040.03380000003</v>
      </c>
      <c r="AD20" s="314">
        <f t="shared" si="10"/>
        <v>69581.975982649208</v>
      </c>
      <c r="AE20" s="315">
        <f t="shared" si="11"/>
        <v>-170458.05781735084</v>
      </c>
      <c r="AF20" s="316">
        <f t="shared" si="3"/>
        <v>1</v>
      </c>
      <c r="AG20" s="314">
        <v>1</v>
      </c>
      <c r="AH20" s="314">
        <f t="shared" si="12"/>
        <v>-170458.05781735084</v>
      </c>
      <c r="AI20" s="314">
        <f t="shared" si="13"/>
        <v>0</v>
      </c>
      <c r="AJ20" s="317"/>
      <c r="AK20" s="315">
        <f t="shared" si="14"/>
        <v>-8372.2400000000016</v>
      </c>
      <c r="AM20" s="553"/>
      <c r="AN20" s="553"/>
      <c r="AO20" s="553"/>
    </row>
    <row r="21" spans="1:45">
      <c r="A21" s="674"/>
      <c r="B21" s="659" t="s">
        <v>851</v>
      </c>
      <c r="C21" s="656" t="s">
        <v>114</v>
      </c>
      <c r="D21" s="659" t="s">
        <v>268</v>
      </c>
      <c r="E21" s="660" t="s">
        <v>760</v>
      </c>
      <c r="F21" s="656" t="s">
        <v>59</v>
      </c>
      <c r="G21" s="657">
        <v>44659</v>
      </c>
      <c r="H21" s="658">
        <v>-1</v>
      </c>
      <c r="I21" s="658">
        <f>(3137.98/6)*1</f>
        <v>522.99666666666667</v>
      </c>
      <c r="J21" s="322" t="str">
        <f t="shared" si="0"/>
        <v>Derivados Cap IV, Sec II - SIC &amp; BMV</v>
      </c>
      <c r="K21" s="305">
        <f>IF(F21="MXN",1/HLOOKUP(YEAR(G21)+(MONTH(G21)/100),TC!$5:$37,DAY(G21)+2,FALSE),VLOOKUP(F21,Equivalencia!$5:$23,((MAX(Equivalencia!$3:$3)-YEAR(G21))*14)+MONTH(G21)+2,FALSE))</f>
        <v>1</v>
      </c>
      <c r="L21" s="306">
        <f t="shared" si="4"/>
        <v>522.99666666666667</v>
      </c>
      <c r="M21" s="305">
        <f>IF(G21=0,0,HLOOKUP(YEAR(G21)+(MONTH(G21)/100),TC!$5:$37,DAY(G21)+2,FALSE))</f>
        <v>20.066500000000001</v>
      </c>
      <c r="N21" s="306">
        <f t="shared" si="5"/>
        <v>10494.712611666668</v>
      </c>
      <c r="O21" s="308">
        <f>IF(G21=0,0,VLOOKUP(YEAR(G21),INPC!$B$4:$P$30,MONTH(G21)+2))</f>
        <v>120.809</v>
      </c>
      <c r="P21" s="308">
        <f>IF(W21=0,0,IF(OR(C21=$AQ$5,C21=AQ25),VLOOKUP(YEAR(W21),INPC!$B$4:$P$30,MONTH(W21)+1),VLOOKUP(YEAR(W21),INPC!$B$4:$P$30,MONTH(W21)+2)))</f>
        <v>121.02200000000001</v>
      </c>
      <c r="Q21" s="309">
        <f t="shared" si="6"/>
        <v>1.0017</v>
      </c>
      <c r="R21" s="310">
        <f t="shared" si="7"/>
        <v>10512.553623106502</v>
      </c>
      <c r="S21" s="310">
        <f t="shared" si="8"/>
        <v>10512.553623106502</v>
      </c>
      <c r="T21" s="559" t="str">
        <f t="shared" si="9"/>
        <v>SI</v>
      </c>
      <c r="U21" s="655">
        <v>1</v>
      </c>
      <c r="V21" s="656" t="s">
        <v>267</v>
      </c>
      <c r="W21" s="657">
        <v>44707</v>
      </c>
      <c r="X21" s="656" t="s">
        <v>59</v>
      </c>
      <c r="Y21" s="658">
        <v>-1851.18</v>
      </c>
      <c r="Z21" s="305">
        <f>IF(Y21=0,0,IF(X21="MXN",1/HLOOKUP(YEAR(W21)+(MONTH(W21)/100),TC!$5:$37,DAY(W21)+2,FALSE),VLOOKUP(X21,Equivalencia!$1:$23,((MAX(Equivalencia!$3:$3)-YEAR(W21))*14)+MONTH(W21)+2,FALSE)))</f>
        <v>1</v>
      </c>
      <c r="AA21" s="306">
        <f t="shared" si="16"/>
        <v>-1851.18</v>
      </c>
      <c r="AB21" s="305">
        <f>+IF(W21=0,0,HLOOKUP(YEAR(W21)+(MONTH(W21)/100),TC!$5:$37,DAY(W21)+2,FALSE))</f>
        <v>19.887</v>
      </c>
      <c r="AC21" s="306">
        <f t="shared" si="15"/>
        <v>-36814.416660000003</v>
      </c>
      <c r="AD21" s="314">
        <f t="shared" si="10"/>
        <v>10512.553623106502</v>
      </c>
      <c r="AE21" s="315">
        <f t="shared" si="11"/>
        <v>-26301.863036893501</v>
      </c>
      <c r="AF21" s="316">
        <f t="shared" si="3"/>
        <v>1</v>
      </c>
      <c r="AG21" s="314">
        <v>1</v>
      </c>
      <c r="AH21" s="314">
        <f t="shared" si="12"/>
        <v>-26301.863036893501</v>
      </c>
      <c r="AI21" s="314">
        <f t="shared" si="13"/>
        <v>0</v>
      </c>
      <c r="AJ21" s="317"/>
      <c r="AK21" s="315">
        <f t="shared" si="14"/>
        <v>-1328.1833333333334</v>
      </c>
      <c r="AM21" s="553"/>
      <c r="AN21" s="553"/>
      <c r="AO21" s="553"/>
    </row>
    <row r="22" spans="1:45">
      <c r="A22" s="688"/>
      <c r="B22" s="682" t="s">
        <v>851</v>
      </c>
      <c r="C22" s="683" t="s">
        <v>114</v>
      </c>
      <c r="D22" s="682" t="s">
        <v>268</v>
      </c>
      <c r="E22" s="684" t="s">
        <v>761</v>
      </c>
      <c r="F22" s="683" t="s">
        <v>59</v>
      </c>
      <c r="G22" s="685">
        <v>44663</v>
      </c>
      <c r="H22" s="686">
        <v>-2</v>
      </c>
      <c r="I22" s="686">
        <f>(7077.52/7)*2</f>
        <v>2022.1485714285716</v>
      </c>
      <c r="J22" s="322" t="str">
        <f t="shared" si="0"/>
        <v>Derivados Cap IV, Sec II - SIC &amp; BMV</v>
      </c>
      <c r="K22" s="305">
        <f>IF(F22="MXN",1/HLOOKUP(YEAR(G22)+(MONTH(G22)/100),TC!$5:$37,DAY(G22)+2,FALSE),VLOOKUP(F22,Equivalencia!$5:$23,((MAX(Equivalencia!$3:$3)-YEAR(G22))*14)+MONTH(G22)+2,FALSE))</f>
        <v>1</v>
      </c>
      <c r="L22" s="306">
        <f t="shared" si="4"/>
        <v>2022.1485714285716</v>
      </c>
      <c r="M22" s="305">
        <f>IF(G22=0,0,HLOOKUP(YEAR(G22)+(MONTH(G22)/100),TC!$5:$37,DAY(G22)+2,FALSE))</f>
        <v>20.12</v>
      </c>
      <c r="N22" s="306">
        <f t="shared" si="5"/>
        <v>40685.629257142864</v>
      </c>
      <c r="O22" s="308">
        <f>IF(G22=0,0,VLOOKUP(YEAR(G22),INPC!$B$4:$P$30,MONTH(G22)+2))</f>
        <v>120.809</v>
      </c>
      <c r="P22" s="308">
        <f>IF(W22=0,0,IF(OR(C22=$AQ$5,C22=AQ26),VLOOKUP(YEAR(W22),INPC!$B$4:$P$30,MONTH(W22)+1),VLOOKUP(YEAR(W22),INPC!$B$4:$P$30,MONTH(W22)+2)))</f>
        <v>122.94799999999999</v>
      </c>
      <c r="Q22" s="309">
        <f t="shared" si="6"/>
        <v>1.0177</v>
      </c>
      <c r="R22" s="310">
        <f t="shared" si="7"/>
        <v>41405.764894994296</v>
      </c>
      <c r="S22" s="310">
        <f t="shared" si="8"/>
        <v>20702.882447497148</v>
      </c>
      <c r="T22" s="559" t="str">
        <f t="shared" si="9"/>
        <v>SI</v>
      </c>
      <c r="U22" s="687">
        <v>2</v>
      </c>
      <c r="V22" s="683" t="s">
        <v>267</v>
      </c>
      <c r="W22" s="685">
        <v>44756</v>
      </c>
      <c r="X22" s="683" t="s">
        <v>59</v>
      </c>
      <c r="Y22" s="686">
        <v>-7920</v>
      </c>
      <c r="Z22" s="305">
        <f>IF(Y22=0,0,IF(X22="MXN",1/HLOOKUP(YEAR(W22)+(MONTH(W22)/100),TC!$5:$37,DAY(W22)+2,FALSE),VLOOKUP(X22,Equivalencia!$1:$23,((MAX(Equivalencia!$3:$3)-YEAR(W22))*14)+MONTH(W22)+2,FALSE)))</f>
        <v>1</v>
      </c>
      <c r="AA22" s="306">
        <f t="shared" si="16"/>
        <v>-7920</v>
      </c>
      <c r="AB22" s="305">
        <f>+IF(W22=0,0,HLOOKUP(YEAR(W22)+(MONTH(W22)/100),TC!$5:$37,DAY(W22)+2,FALSE))</f>
        <v>20.7882</v>
      </c>
      <c r="AC22" s="306">
        <f t="shared" si="15"/>
        <v>-164642.54399999999</v>
      </c>
      <c r="AD22" s="314">
        <f t="shared" si="10"/>
        <v>41405.764894994296</v>
      </c>
      <c r="AE22" s="315">
        <f t="shared" si="11"/>
        <v>-123236.7791050057</v>
      </c>
      <c r="AF22" s="316">
        <f t="shared" si="3"/>
        <v>1</v>
      </c>
      <c r="AG22" s="314">
        <v>1</v>
      </c>
      <c r="AH22" s="314">
        <f t="shared" si="12"/>
        <v>-123236.7791050057</v>
      </c>
      <c r="AI22" s="314">
        <f t="shared" si="13"/>
        <v>0</v>
      </c>
      <c r="AJ22" s="317"/>
      <c r="AK22" s="315">
        <f t="shared" si="14"/>
        <v>-5897.8514285714282</v>
      </c>
      <c r="AM22" s="553"/>
      <c r="AN22" s="553"/>
      <c r="AO22" s="553"/>
    </row>
    <row r="23" spans="1:45">
      <c r="A23" s="681"/>
      <c r="B23" s="675" t="s">
        <v>851</v>
      </c>
      <c r="C23" s="676" t="s">
        <v>114</v>
      </c>
      <c r="D23" s="675" t="s">
        <v>268</v>
      </c>
      <c r="E23" s="677" t="s">
        <v>762</v>
      </c>
      <c r="F23" s="676" t="s">
        <v>59</v>
      </c>
      <c r="G23" s="678">
        <v>44672</v>
      </c>
      <c r="H23" s="679">
        <v>-2</v>
      </c>
      <c r="I23" s="679">
        <f>(4529.97/6)*2</f>
        <v>1509.99</v>
      </c>
      <c r="J23" s="322" t="str">
        <f t="shared" si="0"/>
        <v>Derivados Cap IV, Sec II - SIC &amp; BMV</v>
      </c>
      <c r="K23" s="305">
        <f>IF(F23="MXN",1/HLOOKUP(YEAR(G23)+(MONTH(G23)/100),TC!$5:$37,DAY(G23)+2,FALSE),VLOOKUP(F23,Equivalencia!$5:$23,((MAX(Equivalencia!$3:$3)-YEAR(G23))*14)+MONTH(G23)+2,FALSE))</f>
        <v>1</v>
      </c>
      <c r="L23" s="306">
        <f t="shared" si="4"/>
        <v>1509.99</v>
      </c>
      <c r="M23" s="305">
        <f>IF(G23=0,0,HLOOKUP(YEAR(G23)+(MONTH(G23)/100),TC!$5:$37,DAY(G23)+2,FALSE))</f>
        <v>20.044699999999999</v>
      </c>
      <c r="N23" s="306">
        <f t="shared" si="5"/>
        <v>30267.296553</v>
      </c>
      <c r="O23" s="308">
        <f>IF(G23=0,0,VLOOKUP(YEAR(G23),INPC!$B$4:$P$30,MONTH(G23)+2))</f>
        <v>120.809</v>
      </c>
      <c r="P23" s="308">
        <f>IF(W23=0,0,IF(OR(C23=$AQ$5,C23=AQ27),VLOOKUP(YEAR(W23),INPC!$B$4:$P$30,MONTH(W23)+1),VLOOKUP(YEAR(W23),INPC!$B$4:$P$30,MONTH(W23)+2)))</f>
        <v>122.044</v>
      </c>
      <c r="Q23" s="309">
        <f t="shared" si="6"/>
        <v>1.0102</v>
      </c>
      <c r="R23" s="310">
        <f t="shared" si="7"/>
        <v>30576.022977840599</v>
      </c>
      <c r="S23" s="310">
        <f t="shared" si="8"/>
        <v>15288.0114889203</v>
      </c>
      <c r="T23" s="559" t="str">
        <f t="shared" si="9"/>
        <v>SI</v>
      </c>
      <c r="U23" s="680">
        <v>2</v>
      </c>
      <c r="V23" s="676" t="s">
        <v>267</v>
      </c>
      <c r="W23" s="678">
        <v>44741</v>
      </c>
      <c r="X23" s="676" t="s">
        <v>59</v>
      </c>
      <c r="Y23" s="679">
        <v>-7914.26</v>
      </c>
      <c r="Z23" s="305">
        <f>IF(Y23=0,0,IF(X23="MXN",1/HLOOKUP(YEAR(W23)+(MONTH(W23)/100),TC!$5:$37,DAY(W23)+2,FALSE),VLOOKUP(X23,Equivalencia!$1:$23,((MAX(Equivalencia!$3:$3)-YEAR(W23))*14)+MONTH(W23)+2,FALSE)))</f>
        <v>1</v>
      </c>
      <c r="AA23" s="306">
        <f t="shared" si="16"/>
        <v>-7914.26</v>
      </c>
      <c r="AB23" s="305">
        <f>+IF(W23=0,0,HLOOKUP(YEAR(W23)+(MONTH(W23)/100),TC!$5:$37,DAY(W23)+2,FALSE))</f>
        <v>19.8797</v>
      </c>
      <c r="AC23" s="306">
        <f t="shared" si="15"/>
        <v>-157333.11452199999</v>
      </c>
      <c r="AD23" s="314">
        <f t="shared" si="10"/>
        <v>30576.022977840599</v>
      </c>
      <c r="AE23" s="315">
        <f t="shared" si="11"/>
        <v>-126757.0915441594</v>
      </c>
      <c r="AF23" s="316">
        <f t="shared" si="3"/>
        <v>1</v>
      </c>
      <c r="AG23" s="314">
        <v>1</v>
      </c>
      <c r="AH23" s="314">
        <f t="shared" si="12"/>
        <v>-126757.0915441594</v>
      </c>
      <c r="AI23" s="314">
        <f t="shared" si="13"/>
        <v>0</v>
      </c>
      <c r="AJ23" s="317"/>
      <c r="AK23" s="315">
        <f t="shared" si="14"/>
        <v>-6404.27</v>
      </c>
      <c r="AM23" s="553"/>
      <c r="AN23" s="553"/>
      <c r="AO23" s="553"/>
    </row>
    <row r="24" spans="1:45">
      <c r="B24" s="296" t="s">
        <v>851</v>
      </c>
      <c r="C24" s="299" t="s">
        <v>114</v>
      </c>
      <c r="D24" s="296" t="s">
        <v>268</v>
      </c>
      <c r="E24" s="298" t="s">
        <v>763</v>
      </c>
      <c r="F24" s="299" t="s">
        <v>59</v>
      </c>
      <c r="G24" s="300">
        <v>44686</v>
      </c>
      <c r="H24" s="303">
        <v>-7</v>
      </c>
      <c r="I24" s="303">
        <v>10366.94</v>
      </c>
      <c r="J24" s="322" t="str">
        <f t="shared" si="0"/>
        <v>Derivados Cap IV, Sec II - SIC &amp; BMV</v>
      </c>
      <c r="K24" s="305">
        <f>IF(F24="MXN",1/HLOOKUP(YEAR(G24)+(MONTH(G24)/100),TC!$5:$37,DAY(G24)+2,FALSE),VLOOKUP(F24,Equivalencia!$5:$23,((MAX(Equivalencia!$3:$3)-YEAR(G24))*14)+MONTH(G24)+2,FALSE))</f>
        <v>1</v>
      </c>
      <c r="L24" s="306">
        <f t="shared" si="4"/>
        <v>10366.94</v>
      </c>
      <c r="M24" s="305">
        <f>IF(G24=0,0,HLOOKUP(YEAR(G24)+(MONTH(G24)/100),TC!$5:$37,DAY(G24)+2,FALSE))</f>
        <v>20.335000000000001</v>
      </c>
      <c r="N24" s="306">
        <f t="shared" si="5"/>
        <v>210811.72490000003</v>
      </c>
      <c r="O24" s="308">
        <f>IF(G24=0,0,VLOOKUP(YEAR(G24),INPC!$B$4:$P$30,MONTH(G24)+2))</f>
        <v>121.02200000000001</v>
      </c>
      <c r="P24" s="308">
        <f>IF(W24=0,0,IF(OR(C24=$AQ$5,C24=AQ28),VLOOKUP(YEAR(W24),INPC!$B$4:$P$30,MONTH(W24)+1),VLOOKUP(YEAR(W24),INPC!$B$4:$P$30,MONTH(W24)+2)))</f>
        <v>123.803</v>
      </c>
      <c r="Q24" s="309">
        <f t="shared" si="6"/>
        <v>1.0228999999999999</v>
      </c>
      <c r="R24" s="310">
        <f t="shared" si="7"/>
        <v>215639.31340021003</v>
      </c>
      <c r="S24" s="310">
        <f t="shared" si="8"/>
        <v>30805.616200030003</v>
      </c>
      <c r="T24" s="559" t="str">
        <f t="shared" si="9"/>
        <v>SI</v>
      </c>
      <c r="U24" s="323">
        <v>7</v>
      </c>
      <c r="V24" s="299" t="s">
        <v>267</v>
      </c>
      <c r="W24" s="300">
        <v>44785</v>
      </c>
      <c r="X24" s="299" t="s">
        <v>59</v>
      </c>
      <c r="Y24" s="303">
        <v>-56</v>
      </c>
      <c r="Z24" s="305">
        <f>IF(Y24=0,0,IF(X24="MXN",1/HLOOKUP(YEAR(W24)+(MONTH(W24)/100),TC!$5:$37,DAY(W24)+2,FALSE),VLOOKUP(X24,Equivalencia!$1:$23,((MAX(Equivalencia!$3:$3)-YEAR(W24))*14)+MONTH(W24)+2,FALSE)))</f>
        <v>1</v>
      </c>
      <c r="AA24" s="306">
        <f t="shared" si="16"/>
        <v>-56</v>
      </c>
      <c r="AB24" s="305">
        <f>+IF(W24=0,0,HLOOKUP(YEAR(W24)+(MONTH(W24)/100),TC!$5:$37,DAY(W24)+2,FALSE))</f>
        <v>19.956199999999999</v>
      </c>
      <c r="AC24" s="306">
        <f t="shared" si="15"/>
        <v>-1117.5472</v>
      </c>
      <c r="AD24" s="314">
        <f t="shared" si="10"/>
        <v>215639.31340021003</v>
      </c>
      <c r="AE24" s="315">
        <f t="shared" si="11"/>
        <v>214521.76620021003</v>
      </c>
      <c r="AF24" s="316">
        <f t="shared" si="3"/>
        <v>1</v>
      </c>
      <c r="AG24" s="314">
        <v>1</v>
      </c>
      <c r="AH24" s="314">
        <f t="shared" si="12"/>
        <v>214521.76620021003</v>
      </c>
      <c r="AI24" s="314">
        <f t="shared" si="13"/>
        <v>0</v>
      </c>
      <c r="AJ24" s="317"/>
      <c r="AK24" s="315">
        <f t="shared" si="14"/>
        <v>10310.94</v>
      </c>
      <c r="AM24" s="553"/>
      <c r="AN24" s="553"/>
      <c r="AO24" s="553"/>
    </row>
    <row r="25" spans="1:45">
      <c r="B25" s="296" t="s">
        <v>851</v>
      </c>
      <c r="C25" s="299" t="s">
        <v>114</v>
      </c>
      <c r="D25" s="296" t="s">
        <v>268</v>
      </c>
      <c r="E25" s="298" t="s">
        <v>764</v>
      </c>
      <c r="F25" s="299" t="s">
        <v>59</v>
      </c>
      <c r="G25" s="300">
        <v>44686</v>
      </c>
      <c r="H25" s="303">
        <v>-5</v>
      </c>
      <c r="I25" s="303">
        <v>4599.97</v>
      </c>
      <c r="J25" s="322" t="str">
        <f t="shared" si="0"/>
        <v>Derivados Cap IV, Sec II - SIC &amp; BMV</v>
      </c>
      <c r="K25" s="305">
        <f>IF(F25="MXN",1/HLOOKUP(YEAR(G25)+(MONTH(G25)/100),TC!$5:$37,DAY(G25)+2,FALSE),VLOOKUP(F25,Equivalencia!$5:$23,((MAX(Equivalencia!$3:$3)-YEAR(G25))*14)+MONTH(G25)+2,FALSE))</f>
        <v>1</v>
      </c>
      <c r="L25" s="306">
        <f t="shared" si="4"/>
        <v>4599.97</v>
      </c>
      <c r="M25" s="305">
        <f>IF(G25=0,0,HLOOKUP(YEAR(G25)+(MONTH(G25)/100),TC!$5:$37,DAY(G25)+2,FALSE))</f>
        <v>20.335000000000001</v>
      </c>
      <c r="N25" s="306">
        <f t="shared" si="5"/>
        <v>93540.389950000012</v>
      </c>
      <c r="O25" s="308">
        <f>IF(G25=0,0,VLOOKUP(YEAR(G25),INPC!$B$4:$P$30,MONTH(G25)+2))</f>
        <v>121.02200000000001</v>
      </c>
      <c r="P25" s="308">
        <f>IF(W25=0,0,IF(OR(C25=$AQ$5,C25=AQ29),VLOOKUP(YEAR(W25),INPC!$B$4:$P$30,MONTH(W25)+1),VLOOKUP(YEAR(W25),INPC!$B$4:$P$30,MONTH(W25)+2)))</f>
        <v>122.044</v>
      </c>
      <c r="Q25" s="309">
        <f t="shared" si="6"/>
        <v>1.0084</v>
      </c>
      <c r="R25" s="310">
        <f t="shared" si="7"/>
        <v>94326.129225580007</v>
      </c>
      <c r="S25" s="310">
        <f t="shared" si="8"/>
        <v>18865.225845116001</v>
      </c>
      <c r="T25" s="559" t="str">
        <f t="shared" si="9"/>
        <v>SI</v>
      </c>
      <c r="U25" s="323">
        <v>5</v>
      </c>
      <c r="V25" s="299" t="s">
        <v>267</v>
      </c>
      <c r="W25" s="300">
        <v>44721</v>
      </c>
      <c r="X25" s="299" t="s">
        <v>59</v>
      </c>
      <c r="Y25" s="303">
        <v>-240</v>
      </c>
      <c r="Z25" s="305">
        <f>IF(Y25=0,0,IF(X25="MXN",1/HLOOKUP(YEAR(W25)+(MONTH(W25)/100),TC!$5:$37,DAY(W25)+2,FALSE),VLOOKUP(X25,Equivalencia!$1:$23,((MAX(Equivalencia!$3:$3)-YEAR(W25))*14)+MONTH(W25)+2,FALSE)))</f>
        <v>1</v>
      </c>
      <c r="AA25" s="306">
        <f t="shared" si="16"/>
        <v>-240</v>
      </c>
      <c r="AB25" s="305">
        <f>+IF(W25=0,0,HLOOKUP(YEAR(W25)+(MONTH(W25)/100),TC!$5:$37,DAY(W25)+2,FALSE))</f>
        <v>19.599799999999998</v>
      </c>
      <c r="AC25" s="306">
        <f t="shared" si="15"/>
        <v>-4703.9519999999993</v>
      </c>
      <c r="AD25" s="314">
        <f t="shared" si="10"/>
        <v>94326.129225580007</v>
      </c>
      <c r="AE25" s="315">
        <f t="shared" si="11"/>
        <v>89622.177225580002</v>
      </c>
      <c r="AF25" s="316">
        <f t="shared" si="3"/>
        <v>1</v>
      </c>
      <c r="AG25" s="314">
        <v>1</v>
      </c>
      <c r="AH25" s="314">
        <f t="shared" si="12"/>
        <v>89622.177225580002</v>
      </c>
      <c r="AI25" s="314">
        <f t="shared" si="13"/>
        <v>0</v>
      </c>
      <c r="AJ25" s="317"/>
      <c r="AK25" s="315">
        <f t="shared" si="14"/>
        <v>4359.97</v>
      </c>
      <c r="AM25" s="553"/>
      <c r="AN25" s="553"/>
      <c r="AO25" s="553"/>
    </row>
    <row r="26" spans="1:45">
      <c r="B26" s="296" t="s">
        <v>851</v>
      </c>
      <c r="C26" s="299" t="s">
        <v>114</v>
      </c>
      <c r="D26" s="296" t="s">
        <v>268</v>
      </c>
      <c r="E26" s="298" t="s">
        <v>765</v>
      </c>
      <c r="F26" s="299" t="s">
        <v>59</v>
      </c>
      <c r="G26" s="300">
        <v>44697</v>
      </c>
      <c r="H26" s="303">
        <v>-7</v>
      </c>
      <c r="I26" s="303">
        <v>7344.58</v>
      </c>
      <c r="J26" s="322" t="str">
        <f t="shared" si="0"/>
        <v>Derivados Cap IV, Sec II - SIC &amp; BMV</v>
      </c>
      <c r="K26" s="305">
        <f>IF(F26="MXN",1/HLOOKUP(YEAR(G26)+(MONTH(G26)/100),TC!$5:$37,DAY(G26)+2,FALSE),VLOOKUP(F26,Equivalencia!$5:$23,((MAX(Equivalencia!$3:$3)-YEAR(G26))*14)+MONTH(G26)+2,FALSE))</f>
        <v>1</v>
      </c>
      <c r="L26" s="306">
        <f t="shared" si="4"/>
        <v>7344.58</v>
      </c>
      <c r="M26" s="305">
        <f>IF(G26=0,0,HLOOKUP(YEAR(G26)+(MONTH(G26)/100),TC!$5:$37,DAY(G26)+2,FALSE))</f>
        <v>20.32</v>
      </c>
      <c r="N26" s="306">
        <f t="shared" si="5"/>
        <v>149241.86559999999</v>
      </c>
      <c r="O26" s="308">
        <f>IF(G26=0,0,VLOOKUP(YEAR(G26),INPC!$B$4:$P$30,MONTH(G26)+2))</f>
        <v>121.02200000000001</v>
      </c>
      <c r="P26" s="308">
        <f>IF(W26=0,0,IF(OR(C26=$AQ$5,C26=AQ30),VLOOKUP(YEAR(W26),INPC!$B$4:$P$30,MONTH(W26)+1),VLOOKUP(YEAR(W26),INPC!$B$4:$P$30,MONTH(W26)+2)))</f>
        <v>123.803</v>
      </c>
      <c r="Q26" s="309">
        <f t="shared" si="6"/>
        <v>1.0228999999999999</v>
      </c>
      <c r="R26" s="310">
        <f t="shared" si="7"/>
        <v>152659.50432223998</v>
      </c>
      <c r="S26" s="310">
        <f t="shared" si="8"/>
        <v>21808.500617462854</v>
      </c>
      <c r="T26" s="559" t="str">
        <f t="shared" si="9"/>
        <v>SI</v>
      </c>
      <c r="U26" s="323">
        <v>7</v>
      </c>
      <c r="V26" s="299" t="s">
        <v>267</v>
      </c>
      <c r="W26" s="300">
        <v>44789</v>
      </c>
      <c r="X26" s="299" t="s">
        <v>59</v>
      </c>
      <c r="Y26" s="303">
        <v>-21</v>
      </c>
      <c r="Z26" s="305">
        <f>IF(Y26=0,0,IF(X26="MXN",1/HLOOKUP(YEAR(W26)+(MONTH(W26)/100),TC!$5:$37,DAY(W26)+2,FALSE),VLOOKUP(X26,Equivalencia!$1:$23,((MAX(Equivalencia!$3:$3)-YEAR(W26))*14)+MONTH(W26)+2,FALSE)))</f>
        <v>1</v>
      </c>
      <c r="AA26" s="306">
        <f t="shared" si="16"/>
        <v>-21</v>
      </c>
      <c r="AB26" s="305">
        <f>+IF(W26=0,0,HLOOKUP(YEAR(W26)+(MONTH(W26)/100),TC!$5:$37,DAY(W26)+2,FALSE))</f>
        <v>19.873999999999999</v>
      </c>
      <c r="AC26" s="306">
        <f t="shared" si="15"/>
        <v>-417.35399999999998</v>
      </c>
      <c r="AD26" s="314">
        <f t="shared" si="10"/>
        <v>152659.50432223998</v>
      </c>
      <c r="AE26" s="315">
        <f t="shared" si="11"/>
        <v>152242.15032223999</v>
      </c>
      <c r="AF26" s="316">
        <f t="shared" si="3"/>
        <v>1</v>
      </c>
      <c r="AG26" s="314">
        <v>1</v>
      </c>
      <c r="AH26" s="314">
        <f t="shared" si="12"/>
        <v>152242.15032223999</v>
      </c>
      <c r="AI26" s="314">
        <f t="shared" si="13"/>
        <v>0</v>
      </c>
      <c r="AJ26" s="317"/>
      <c r="AK26" s="315">
        <f t="shared" si="14"/>
        <v>7323.58</v>
      </c>
      <c r="AM26" s="553"/>
      <c r="AN26" s="553"/>
      <c r="AO26" s="553"/>
    </row>
    <row r="27" spans="1:45">
      <c r="B27" s="296" t="s">
        <v>851</v>
      </c>
      <c r="C27" s="299" t="s">
        <v>114</v>
      </c>
      <c r="D27" s="296" t="s">
        <v>268</v>
      </c>
      <c r="E27" s="298" t="s">
        <v>766</v>
      </c>
      <c r="F27" s="299" t="s">
        <v>59</v>
      </c>
      <c r="G27" s="300">
        <v>44697</v>
      </c>
      <c r="H27" s="303">
        <v>-6</v>
      </c>
      <c r="I27" s="303">
        <v>5322.95</v>
      </c>
      <c r="J27" s="322" t="str">
        <f t="shared" si="0"/>
        <v>Derivados Cap IV, Sec II - SIC &amp; BMV</v>
      </c>
      <c r="K27" s="305">
        <f>IF(F27="MXN",1/HLOOKUP(YEAR(G27)+(MONTH(G27)/100),TC!$5:$37,DAY(G27)+2,FALSE),VLOOKUP(F27,Equivalencia!$5:$23,((MAX(Equivalencia!$3:$3)-YEAR(G27))*14)+MONTH(G27)+2,FALSE))</f>
        <v>1</v>
      </c>
      <c r="L27" s="306">
        <f t="shared" si="4"/>
        <v>5322.95</v>
      </c>
      <c r="M27" s="305">
        <f>IF(G27=0,0,HLOOKUP(YEAR(G27)+(MONTH(G27)/100),TC!$5:$37,DAY(G27)+2,FALSE))</f>
        <v>20.32</v>
      </c>
      <c r="N27" s="306">
        <f t="shared" si="5"/>
        <v>108162.344</v>
      </c>
      <c r="O27" s="308">
        <f>IF(G27=0,0,VLOOKUP(YEAR(G27),INPC!$B$4:$P$30,MONTH(G27)+2))</f>
        <v>121.02200000000001</v>
      </c>
      <c r="P27" s="308">
        <f>IF(W27=0,0,IF(OR(C27=$AQ$5,C27=AQ31),VLOOKUP(YEAR(W27),INPC!$B$4:$P$30,MONTH(W27)+1),VLOOKUP(YEAR(W27),INPC!$B$4:$P$30,MONTH(W27)+2)))</f>
        <v>122.94799999999999</v>
      </c>
      <c r="Q27" s="309">
        <f t="shared" si="6"/>
        <v>1.0159</v>
      </c>
      <c r="R27" s="310">
        <f t="shared" si="7"/>
        <v>109882.1252696</v>
      </c>
      <c r="S27" s="310">
        <f t="shared" si="8"/>
        <v>18313.687544933335</v>
      </c>
      <c r="T27" s="559" t="str">
        <f t="shared" si="9"/>
        <v>SI</v>
      </c>
      <c r="U27" s="323">
        <v>6</v>
      </c>
      <c r="V27" s="299" t="s">
        <v>267</v>
      </c>
      <c r="W27" s="300">
        <v>44756</v>
      </c>
      <c r="X27" s="299" t="s">
        <v>59</v>
      </c>
      <c r="Y27" s="303">
        <v>-2322</v>
      </c>
      <c r="Z27" s="305">
        <f>IF(Y27=0,0,IF(X27="MXN",1/HLOOKUP(YEAR(W27)+(MONTH(W27)/100),TC!$5:$37,DAY(W27)+2,FALSE),VLOOKUP(X27,Equivalencia!$1:$23,((MAX(Equivalencia!$3:$3)-YEAR(W27))*14)+MONTH(W27)+2,FALSE)))</f>
        <v>1</v>
      </c>
      <c r="AA27" s="306">
        <f t="shared" si="16"/>
        <v>-2322</v>
      </c>
      <c r="AB27" s="305">
        <f>+IF(W27=0,0,HLOOKUP(YEAR(W27)+(MONTH(W27)/100),TC!$5:$37,DAY(W27)+2,FALSE))</f>
        <v>20.7882</v>
      </c>
      <c r="AC27" s="306">
        <f t="shared" si="15"/>
        <v>-48270.200400000002</v>
      </c>
      <c r="AD27" s="314">
        <f t="shared" si="10"/>
        <v>109882.12526960002</v>
      </c>
      <c r="AE27" s="315">
        <f t="shared" si="11"/>
        <v>61611.924869600014</v>
      </c>
      <c r="AF27" s="316">
        <f t="shared" si="3"/>
        <v>1</v>
      </c>
      <c r="AG27" s="314">
        <v>1</v>
      </c>
      <c r="AH27" s="314">
        <f t="shared" si="12"/>
        <v>61611.924869600014</v>
      </c>
      <c r="AI27" s="314">
        <f t="shared" si="13"/>
        <v>0</v>
      </c>
      <c r="AJ27" s="317"/>
      <c r="AK27" s="315">
        <f t="shared" si="14"/>
        <v>3000.95</v>
      </c>
      <c r="AM27" s="553"/>
      <c r="AN27" s="553"/>
      <c r="AO27" s="553"/>
    </row>
    <row r="28" spans="1:45">
      <c r="B28" s="296"/>
      <c r="C28" s="299"/>
      <c r="D28" s="296"/>
      <c r="E28" s="298"/>
      <c r="F28" s="299"/>
      <c r="G28" s="300"/>
      <c r="H28" s="303"/>
      <c r="I28" s="303"/>
      <c r="J28" s="322">
        <f t="shared" si="0"/>
        <v>0</v>
      </c>
      <c r="K28" s="305" t="e">
        <f>IF(F28="MXN",1/HLOOKUP(YEAR(G28)+(MONTH(G28)/100),TC!$5:$37,DAY(G28)+2,FALSE),VLOOKUP(F28,Equivalencia!$5:$23,((MAX(Equivalencia!$3:$3)-YEAR(G28))*14)+MONTH(G28)+2,FALSE))</f>
        <v>#N/A</v>
      </c>
      <c r="L28" s="306" t="e">
        <f t="shared" si="4"/>
        <v>#N/A</v>
      </c>
      <c r="M28" s="305">
        <f>IF(G28=0,0,HLOOKUP(YEAR(G28)+(MONTH(G28)/100),TC!$5:$37,DAY(G28)+2,FALSE))</f>
        <v>0</v>
      </c>
      <c r="N28" s="306" t="e">
        <f t="shared" si="5"/>
        <v>#N/A</v>
      </c>
      <c r="O28" s="308">
        <f>IF(G28=0,0,VLOOKUP(YEAR(G28),INPC!$B$4:$P$30,MONTH(G28)+2))</f>
        <v>0</v>
      </c>
      <c r="P28" s="308">
        <f>IF(W28=0,0,IF(OR(C28=$AQ$5,C28=AQ32),VLOOKUP(YEAR(W28),INPC!$B$4:$P$30,MONTH(W28)+1),VLOOKUP(YEAR(W28),INPC!$B$4:$P$30,MONTH(W28)+2)))</f>
        <v>0</v>
      </c>
      <c r="Q28" s="309">
        <f t="shared" si="6"/>
        <v>0</v>
      </c>
      <c r="R28" s="310" t="e">
        <f t="shared" si="7"/>
        <v>#N/A</v>
      </c>
      <c r="S28" s="310">
        <f t="shared" si="8"/>
        <v>0</v>
      </c>
      <c r="T28" s="559" t="str">
        <f t="shared" si="9"/>
        <v>NO</v>
      </c>
      <c r="U28" s="323"/>
      <c r="V28" s="299"/>
      <c r="W28" s="300"/>
      <c r="X28" s="299"/>
      <c r="Y28" s="303"/>
      <c r="Z28" s="305">
        <f>IF(Y28=0,0,IF(X28="MXN",1/HLOOKUP(YEAR(W28)+(MONTH(W28)/100),TC!$5:$37,DAY(W28)+2,FALSE),VLOOKUP(X28,Equivalencia!$1:$23,((MAX(Equivalencia!$3:$3)-YEAR(W28))*14)+MONTH(W28)+2,FALSE)))</f>
        <v>0</v>
      </c>
      <c r="AA28" s="306">
        <f t="shared" si="16"/>
        <v>0</v>
      </c>
      <c r="AB28" s="305">
        <f>+IF(W28=0,0,HLOOKUP(YEAR(W28)+(MONTH(W28)/100),TC!$5:$37,DAY(W28)+2,FALSE))</f>
        <v>0</v>
      </c>
      <c r="AC28" s="306">
        <f t="shared" si="15"/>
        <v>0</v>
      </c>
      <c r="AD28" s="314">
        <f t="shared" si="10"/>
        <v>0</v>
      </c>
      <c r="AE28" s="315">
        <f t="shared" si="11"/>
        <v>0</v>
      </c>
      <c r="AF28" s="316">
        <f t="shared" si="3"/>
        <v>0</v>
      </c>
      <c r="AG28" s="314">
        <v>1</v>
      </c>
      <c r="AH28" s="314">
        <f t="shared" si="12"/>
        <v>0</v>
      </c>
      <c r="AI28" s="314">
        <f t="shared" si="13"/>
        <v>0</v>
      </c>
      <c r="AJ28" s="317"/>
      <c r="AK28" s="315" t="e">
        <f t="shared" si="14"/>
        <v>#N/A</v>
      </c>
      <c r="AM28" s="553"/>
      <c r="AN28" s="553"/>
      <c r="AO28" s="553"/>
    </row>
    <row r="29" spans="1:45">
      <c r="B29" s="296" t="s">
        <v>851</v>
      </c>
      <c r="C29" s="299" t="s">
        <v>114</v>
      </c>
      <c r="D29" s="296" t="s">
        <v>268</v>
      </c>
      <c r="E29" s="298" t="s">
        <v>767</v>
      </c>
      <c r="F29" s="299" t="s">
        <v>59</v>
      </c>
      <c r="G29" s="300">
        <v>44707</v>
      </c>
      <c r="H29" s="303">
        <v>-6</v>
      </c>
      <c r="I29" s="303">
        <v>5843.86</v>
      </c>
      <c r="J29" s="322" t="str">
        <f t="shared" si="0"/>
        <v>Derivados Cap IV, Sec II - SIC &amp; BMV</v>
      </c>
      <c r="K29" s="305">
        <f>IF(F29="MXN",1/HLOOKUP(YEAR(G29)+(MONTH(G29)/100),TC!$5:$37,DAY(G29)+2,FALSE),VLOOKUP(F29,Equivalencia!$5:$23,((MAX(Equivalencia!$3:$3)-YEAR(G29))*14)+MONTH(G29)+2,FALSE))</f>
        <v>1</v>
      </c>
      <c r="L29" s="306">
        <f t="shared" si="4"/>
        <v>5843.86</v>
      </c>
      <c r="M29" s="305">
        <f>IF(G29=0,0,HLOOKUP(YEAR(G29)+(MONTH(G29)/100),TC!$5:$37,DAY(G29)+2,FALSE))</f>
        <v>19.887</v>
      </c>
      <c r="N29" s="306">
        <f t="shared" si="5"/>
        <v>116216.84381999999</v>
      </c>
      <c r="O29" s="308">
        <f>IF(G29=0,0,VLOOKUP(YEAR(G29),INPC!$B$4:$P$30,MONTH(G29)+2))</f>
        <v>121.02200000000001</v>
      </c>
      <c r="P29" s="308">
        <f>IF(W29=0,0,IF(OR(C29=$AQ$5,C29=AQ33),VLOOKUP(YEAR(W29),INPC!$B$4:$P$30,MONTH(W29)+1),VLOOKUP(YEAR(W29),INPC!$B$4:$P$30,MONTH(W29)+2)))</f>
        <v>124.571</v>
      </c>
      <c r="Q29" s="309">
        <f t="shared" si="6"/>
        <v>1.0293000000000001</v>
      </c>
      <c r="R29" s="310">
        <f t="shared" si="7"/>
        <v>119621.99734392601</v>
      </c>
      <c r="S29" s="310">
        <f t="shared" si="8"/>
        <v>19936.999557321</v>
      </c>
      <c r="T29" s="559" t="str">
        <f t="shared" si="9"/>
        <v>SI</v>
      </c>
      <c r="U29" s="323">
        <v>6</v>
      </c>
      <c r="V29" s="299" t="s">
        <v>267</v>
      </c>
      <c r="W29" s="300">
        <v>44832</v>
      </c>
      <c r="X29" s="299" t="s">
        <v>59</v>
      </c>
      <c r="Y29" s="303">
        <v>-856.98</v>
      </c>
      <c r="Z29" s="305">
        <f>IF(Y29=0,0,IF(X29="MXN",1/HLOOKUP(YEAR(W29)+(MONTH(W29)/100),TC!$5:$37,DAY(W29)+2,FALSE),VLOOKUP(X29,Equivalencia!$1:$23,((MAX(Equivalencia!$3:$3)-YEAR(W29))*14)+MONTH(W29)+2,FALSE)))</f>
        <v>1</v>
      </c>
      <c r="AA29" s="306">
        <f t="shared" si="16"/>
        <v>-856.98</v>
      </c>
      <c r="AB29" s="305">
        <f>+IF(W29=0,0,HLOOKUP(YEAR(W29)+(MONTH(W29)/100),TC!$5:$37,DAY(W29)+2,FALSE))</f>
        <v>20.351700000000001</v>
      </c>
      <c r="AC29" s="306">
        <f t="shared" si="15"/>
        <v>-17440.999866000002</v>
      </c>
      <c r="AD29" s="314">
        <f t="shared" si="10"/>
        <v>119621.99734392599</v>
      </c>
      <c r="AE29" s="315">
        <f t="shared" si="11"/>
        <v>102180.99747792599</v>
      </c>
      <c r="AF29" s="316">
        <f t="shared" si="3"/>
        <v>1</v>
      </c>
      <c r="AG29" s="314">
        <v>1</v>
      </c>
      <c r="AH29" s="314">
        <f t="shared" si="12"/>
        <v>102180.99747792599</v>
      </c>
      <c r="AI29" s="314">
        <f t="shared" si="13"/>
        <v>0</v>
      </c>
      <c r="AJ29" s="317"/>
      <c r="AK29" s="315">
        <f t="shared" si="14"/>
        <v>4986.8799999999992</v>
      </c>
      <c r="AM29" s="553"/>
      <c r="AN29" s="553"/>
      <c r="AO29" s="553"/>
    </row>
    <row r="30" spans="1:45">
      <c r="B30" s="296" t="s">
        <v>851</v>
      </c>
      <c r="C30" s="299" t="s">
        <v>114</v>
      </c>
      <c r="D30" s="296" t="s">
        <v>268</v>
      </c>
      <c r="E30" s="298" t="s">
        <v>768</v>
      </c>
      <c r="F30" s="299" t="s">
        <v>59</v>
      </c>
      <c r="G30" s="300">
        <v>44707</v>
      </c>
      <c r="H30" s="303">
        <v>-7</v>
      </c>
      <c r="I30" s="303">
        <v>6791.38</v>
      </c>
      <c r="J30" s="322" t="str">
        <f t="shared" si="0"/>
        <v>Derivados Cap IV, Sec II - SIC &amp; BMV</v>
      </c>
      <c r="K30" s="305">
        <f>IF(F30="MXN",1/HLOOKUP(YEAR(G30)+(MONTH(G30)/100),TC!$5:$37,DAY(G30)+2,FALSE),VLOOKUP(F30,Equivalencia!$5:$23,((MAX(Equivalencia!$3:$3)-YEAR(G30))*14)+MONTH(G30)+2,FALSE))</f>
        <v>1</v>
      </c>
      <c r="L30" s="306">
        <f t="shared" si="4"/>
        <v>6791.38</v>
      </c>
      <c r="M30" s="305">
        <f>IF(G30=0,0,HLOOKUP(YEAR(G30)+(MONTH(G30)/100),TC!$5:$37,DAY(G30)+2,FALSE))</f>
        <v>19.887</v>
      </c>
      <c r="N30" s="306">
        <f t="shared" si="5"/>
        <v>135060.17406000002</v>
      </c>
      <c r="O30" s="308">
        <f>IF(G30=0,0,VLOOKUP(YEAR(G30),INPC!$B$4:$P$30,MONTH(G30)+2))</f>
        <v>121.02200000000001</v>
      </c>
      <c r="P30" s="308">
        <f>IF(W30=0,0,IF(OR(C30=$AQ$5,C30=AQ34),VLOOKUP(YEAR(W30),INPC!$B$4:$P$30,MONTH(W30)+1),VLOOKUP(YEAR(W30),INPC!$B$4:$P$30,MONTH(W30)+2)))</f>
        <v>124.571</v>
      </c>
      <c r="Q30" s="309">
        <f t="shared" si="6"/>
        <v>1.0293000000000001</v>
      </c>
      <c r="R30" s="310">
        <f t="shared" si="7"/>
        <v>139017.43715995803</v>
      </c>
      <c r="S30" s="310">
        <f t="shared" si="8"/>
        <v>19859.633879994006</v>
      </c>
      <c r="T30" s="559" t="str">
        <f t="shared" si="9"/>
        <v>SI</v>
      </c>
      <c r="U30" s="323">
        <v>7</v>
      </c>
      <c r="V30" s="299" t="s">
        <v>267</v>
      </c>
      <c r="W30" s="300">
        <v>44819</v>
      </c>
      <c r="X30" s="299" t="s">
        <v>59</v>
      </c>
      <c r="Y30" s="303">
        <v>-42</v>
      </c>
      <c r="Z30" s="305">
        <f>IF(Y30=0,0,IF(X30="MXN",1/HLOOKUP(YEAR(W30)+(MONTH(W30)/100),TC!$5:$37,DAY(W30)+2,FALSE),VLOOKUP(X30,Equivalencia!$1:$23,((MAX(Equivalencia!$3:$3)-YEAR(W30))*14)+MONTH(W30)+2,FALSE)))</f>
        <v>1</v>
      </c>
      <c r="AA30" s="306">
        <f t="shared" si="16"/>
        <v>-42</v>
      </c>
      <c r="AB30" s="305">
        <f>+IF(W30=0,0,HLOOKUP(YEAR(W30)+(MONTH(W30)/100),TC!$5:$37,DAY(W30)+2,FALSE))</f>
        <v>20.055</v>
      </c>
      <c r="AC30" s="306">
        <f t="shared" si="15"/>
        <v>-842.31</v>
      </c>
      <c r="AD30" s="314">
        <f t="shared" si="10"/>
        <v>139017.43715995803</v>
      </c>
      <c r="AE30" s="315">
        <f t="shared" si="11"/>
        <v>138175.12715995804</v>
      </c>
      <c r="AF30" s="316">
        <f t="shared" si="3"/>
        <v>1</v>
      </c>
      <c r="AG30" s="314">
        <v>1</v>
      </c>
      <c r="AH30" s="314">
        <f t="shared" si="12"/>
        <v>138175.12715995804</v>
      </c>
      <c r="AI30" s="314">
        <f t="shared" si="13"/>
        <v>0</v>
      </c>
      <c r="AJ30" s="317"/>
      <c r="AK30" s="315">
        <f t="shared" si="14"/>
        <v>6749.38</v>
      </c>
      <c r="AM30" s="553"/>
      <c r="AN30" s="553"/>
      <c r="AO30" s="553"/>
    </row>
    <row r="31" spans="1:45">
      <c r="B31" s="296" t="s">
        <v>851</v>
      </c>
      <c r="C31" s="299" t="s">
        <v>114</v>
      </c>
      <c r="D31" s="296" t="s">
        <v>268</v>
      </c>
      <c r="E31" s="298" t="s">
        <v>769</v>
      </c>
      <c r="F31" s="299" t="s">
        <v>59</v>
      </c>
      <c r="G31" s="300">
        <v>44721</v>
      </c>
      <c r="H31" s="303">
        <v>-5</v>
      </c>
      <c r="I31" s="303">
        <v>3271.87</v>
      </c>
      <c r="J31" s="322" t="str">
        <f t="shared" si="0"/>
        <v>Derivados Cap IV, Sec II - SIC &amp; BMV</v>
      </c>
      <c r="K31" s="305">
        <f>IF(F31="MXN",1/HLOOKUP(YEAR(G31)+(MONTH(G31)/100),TC!$5:$37,DAY(G31)+2,FALSE),VLOOKUP(F31,Equivalencia!$5:$23,((MAX(Equivalencia!$3:$3)-YEAR(G31))*14)+MONTH(G31)+2,FALSE))</f>
        <v>1</v>
      </c>
      <c r="L31" s="306">
        <f t="shared" si="4"/>
        <v>3271.87</v>
      </c>
      <c r="M31" s="305">
        <f>IF(G31=0,0,HLOOKUP(YEAR(G31)+(MONTH(G31)/100),TC!$5:$37,DAY(G31)+2,FALSE))</f>
        <v>19.599799999999998</v>
      </c>
      <c r="N31" s="306">
        <f t="shared" si="5"/>
        <v>64127.997625999989</v>
      </c>
      <c r="O31" s="308">
        <f>IF(G31=0,0,VLOOKUP(YEAR(G31),INPC!$B$4:$P$30,MONTH(G31)+2))</f>
        <v>122.044</v>
      </c>
      <c r="P31" s="308">
        <f>IF(W31=0,0,IF(OR(C31=$AQ$5,C31=AQ35),VLOOKUP(YEAR(W31),INPC!$B$4:$P$30,MONTH(W31)+1),VLOOKUP(YEAR(W31),INPC!$B$4:$P$30,MONTH(W31)+2)))</f>
        <v>122.94799999999999</v>
      </c>
      <c r="Q31" s="309">
        <f t="shared" si="6"/>
        <v>1.0074000000000001</v>
      </c>
      <c r="R31" s="310">
        <f t="shared" si="7"/>
        <v>64602.544808432394</v>
      </c>
      <c r="S31" s="310">
        <f t="shared" si="8"/>
        <v>12920.508961686479</v>
      </c>
      <c r="T31" s="559" t="str">
        <f t="shared" si="9"/>
        <v>SI</v>
      </c>
      <c r="U31" s="323">
        <v>5</v>
      </c>
      <c r="V31" s="299" t="s">
        <v>267</v>
      </c>
      <c r="W31" s="300">
        <v>44768</v>
      </c>
      <c r="X31" s="299" t="s">
        <v>59</v>
      </c>
      <c r="Y31" s="303">
        <v>-1250</v>
      </c>
      <c r="Z31" s="305">
        <f>IF(Y31=0,0,IF(X31="MXN",1/HLOOKUP(YEAR(W31)+(MONTH(W31)/100),TC!$5:$37,DAY(W31)+2,FALSE),VLOOKUP(X31,Equivalencia!$1:$23,((MAX(Equivalencia!$3:$3)-YEAR(W31))*14)+MONTH(W31)+2,FALSE)))</f>
        <v>1</v>
      </c>
      <c r="AA31" s="306">
        <f t="shared" si="16"/>
        <v>-1250</v>
      </c>
      <c r="AB31" s="305">
        <f>+IF(W31=0,0,HLOOKUP(YEAR(W31)+(MONTH(W31)/100),TC!$5:$37,DAY(W31)+2,FALSE))</f>
        <v>20.515000000000001</v>
      </c>
      <c r="AC31" s="306">
        <f t="shared" si="15"/>
        <v>-25643.75</v>
      </c>
      <c r="AD31" s="314">
        <f t="shared" si="10"/>
        <v>64602.544808432394</v>
      </c>
      <c r="AE31" s="315">
        <f t="shared" si="11"/>
        <v>38958.794808432394</v>
      </c>
      <c r="AF31" s="316">
        <f t="shared" si="3"/>
        <v>1</v>
      </c>
      <c r="AG31" s="314">
        <v>1</v>
      </c>
      <c r="AH31" s="314">
        <f t="shared" si="12"/>
        <v>38958.794808432394</v>
      </c>
      <c r="AI31" s="314">
        <f t="shared" si="13"/>
        <v>0</v>
      </c>
      <c r="AJ31" s="317"/>
      <c r="AK31" s="315">
        <f t="shared" si="14"/>
        <v>2021.87</v>
      </c>
      <c r="AM31" s="553"/>
      <c r="AN31" s="553"/>
      <c r="AO31" s="553"/>
    </row>
    <row r="32" spans="1:45">
      <c r="B32" s="296" t="s">
        <v>851</v>
      </c>
      <c r="C32" s="299" t="s">
        <v>114</v>
      </c>
      <c r="D32" s="296" t="s">
        <v>268</v>
      </c>
      <c r="E32" s="298" t="s">
        <v>770</v>
      </c>
      <c r="F32" s="299" t="s">
        <v>59</v>
      </c>
      <c r="G32" s="300">
        <v>44728</v>
      </c>
      <c r="H32" s="303">
        <v>-7</v>
      </c>
      <c r="I32" s="303">
        <v>8676.23</v>
      </c>
      <c r="J32" s="322" t="str">
        <f t="shared" si="0"/>
        <v>Derivados Cap IV, Sec II - SIC &amp; BMV</v>
      </c>
      <c r="K32" s="305">
        <f>IF(F32="MXN",1/HLOOKUP(YEAR(G32)+(MONTH(G32)/100),TC!$5:$37,DAY(G32)+2,FALSE),VLOOKUP(F32,Equivalencia!$5:$23,((MAX(Equivalencia!$3:$3)-YEAR(G32))*14)+MONTH(G32)+2,FALSE))</f>
        <v>1</v>
      </c>
      <c r="L32" s="306">
        <f t="shared" si="4"/>
        <v>8676.23</v>
      </c>
      <c r="M32" s="305">
        <f>IF(G32=0,0,HLOOKUP(YEAR(G32)+(MONTH(G32)/100),TC!$5:$37,DAY(G32)+2,FALSE))</f>
        <v>20.658300000000001</v>
      </c>
      <c r="N32" s="306">
        <f t="shared" si="5"/>
        <v>179236.162209</v>
      </c>
      <c r="O32" s="308">
        <f>IF(G32=0,0,VLOOKUP(YEAR(G32),INPC!$B$4:$P$30,MONTH(G32)+2))</f>
        <v>122.044</v>
      </c>
      <c r="P32" s="308">
        <f>IF(W32=0,0,IF(OR(C32=$AQ$5,C32=AQ36),VLOOKUP(YEAR(W32),INPC!$B$4:$P$30,MONTH(W32)+1),VLOOKUP(YEAR(W32),INPC!$B$4:$P$30,MONTH(W32)+2)))</f>
        <v>123.803</v>
      </c>
      <c r="Q32" s="309">
        <f t="shared" si="6"/>
        <v>1.0144</v>
      </c>
      <c r="R32" s="310">
        <f t="shared" si="7"/>
        <v>181817.16294480959</v>
      </c>
      <c r="S32" s="310">
        <f t="shared" si="8"/>
        <v>25973.880420687085</v>
      </c>
      <c r="T32" s="559" t="str">
        <f t="shared" si="9"/>
        <v>SI</v>
      </c>
      <c r="U32" s="323">
        <v>7</v>
      </c>
      <c r="V32" s="299" t="s">
        <v>267</v>
      </c>
      <c r="W32" s="300">
        <v>44778</v>
      </c>
      <c r="X32" s="299" t="s">
        <v>59</v>
      </c>
      <c r="Y32" s="303">
        <v>-1321.88</v>
      </c>
      <c r="Z32" s="305">
        <f>IF(Y32=0,0,IF(X32="MXN",1/HLOOKUP(YEAR(W32)+(MONTH(W32)/100),TC!$5:$37,DAY(W32)+2,FALSE),VLOOKUP(X32,Equivalencia!$1:$23,((MAX(Equivalencia!$3:$3)-YEAR(W32))*14)+MONTH(W32)+2,FALSE)))</f>
        <v>1</v>
      </c>
      <c r="AA32" s="306">
        <f t="shared" si="16"/>
        <v>-1321.88</v>
      </c>
      <c r="AB32" s="305">
        <f>+IF(W32=0,0,HLOOKUP(YEAR(W32)+(MONTH(W32)/100),TC!$5:$37,DAY(W32)+2,FALSE))</f>
        <v>20.630500000000001</v>
      </c>
      <c r="AC32" s="306">
        <f t="shared" si="15"/>
        <v>-27271.045340000004</v>
      </c>
      <c r="AD32" s="314">
        <f t="shared" si="10"/>
        <v>181817.16294480959</v>
      </c>
      <c r="AE32" s="315">
        <f t="shared" si="11"/>
        <v>154546.11760480958</v>
      </c>
      <c r="AF32" s="316">
        <f t="shared" si="3"/>
        <v>1</v>
      </c>
      <c r="AG32" s="314">
        <v>1</v>
      </c>
      <c r="AH32" s="314">
        <f t="shared" si="12"/>
        <v>154546.11760480958</v>
      </c>
      <c r="AI32" s="314">
        <f t="shared" si="13"/>
        <v>0</v>
      </c>
      <c r="AJ32" s="317"/>
      <c r="AK32" s="315">
        <f t="shared" si="14"/>
        <v>7354.3499999999995</v>
      </c>
      <c r="AM32" s="553"/>
      <c r="AN32" s="553"/>
      <c r="AO32" s="553"/>
    </row>
    <row r="33" spans="2:41">
      <c r="B33" s="296" t="s">
        <v>851</v>
      </c>
      <c r="C33" s="299" t="s">
        <v>114</v>
      </c>
      <c r="D33" s="296" t="s">
        <v>268</v>
      </c>
      <c r="E33" s="298" t="s">
        <v>771</v>
      </c>
      <c r="F33" s="299" t="s">
        <v>59</v>
      </c>
      <c r="G33" s="300">
        <v>44733</v>
      </c>
      <c r="H33" s="303">
        <v>-2</v>
      </c>
      <c r="I33" s="303">
        <v>937.97</v>
      </c>
      <c r="J33" s="322" t="str">
        <f t="shared" si="0"/>
        <v>Derivados Cap IV, Sec II - SIC &amp; BMV</v>
      </c>
      <c r="K33" s="305">
        <f>IF(F33="MXN",1/HLOOKUP(YEAR(G33)+(MONTH(G33)/100),TC!$5:$37,DAY(G33)+2,FALSE),VLOOKUP(F33,Equivalencia!$5:$23,((MAX(Equivalencia!$3:$3)-YEAR(G33))*14)+MONTH(G33)+2,FALSE))</f>
        <v>1</v>
      </c>
      <c r="L33" s="306">
        <f t="shared" si="4"/>
        <v>937.97</v>
      </c>
      <c r="M33" s="305">
        <f>IF(G33=0,0,HLOOKUP(YEAR(G33)+(MONTH(G33)/100),TC!$5:$37,DAY(G33)+2,FALSE))</f>
        <v>20.475999999999999</v>
      </c>
      <c r="N33" s="306">
        <f t="shared" si="5"/>
        <v>19205.87372</v>
      </c>
      <c r="O33" s="308">
        <f>IF(G33=0,0,VLOOKUP(YEAR(G33),INPC!$B$4:$P$30,MONTH(G33)+2))</f>
        <v>122.044</v>
      </c>
      <c r="P33" s="308">
        <f>IF(W33=0,0,IF(OR(C33=$AQ$5,C33=AQ37),VLOOKUP(YEAR(W33),INPC!$B$4:$P$30,MONTH(W33)+1),VLOOKUP(YEAR(W33),INPC!$B$4:$P$30,MONTH(W33)+2)))</f>
        <v>123.803</v>
      </c>
      <c r="Q33" s="309">
        <f t="shared" si="6"/>
        <v>1.0144</v>
      </c>
      <c r="R33" s="310">
        <f t="shared" si="7"/>
        <v>19482.438301568</v>
      </c>
      <c r="S33" s="310">
        <f t="shared" si="8"/>
        <v>9741.2191507839998</v>
      </c>
      <c r="T33" s="559" t="str">
        <f t="shared" si="9"/>
        <v>SI</v>
      </c>
      <c r="U33" s="323">
        <v>2</v>
      </c>
      <c r="V33" s="299" t="s">
        <v>267</v>
      </c>
      <c r="W33" s="300">
        <v>44789</v>
      </c>
      <c r="X33" s="299" t="s">
        <v>59</v>
      </c>
      <c r="Y33" s="303">
        <v>-30</v>
      </c>
      <c r="Z33" s="305">
        <f>IF(Y33=0,0,IF(X33="MXN",1/HLOOKUP(YEAR(W33)+(MONTH(W33)/100),TC!$5:$37,DAY(W33)+2,FALSE),VLOOKUP(X33,Equivalencia!$1:$23,((MAX(Equivalencia!$3:$3)-YEAR(W33))*14)+MONTH(W33)+2,FALSE)))</f>
        <v>1</v>
      </c>
      <c r="AA33" s="306">
        <f t="shared" si="16"/>
        <v>-30</v>
      </c>
      <c r="AB33" s="305">
        <f>+IF(W33=0,0,HLOOKUP(YEAR(W33)+(MONTH(W33)/100),TC!$5:$37,DAY(W33)+2,FALSE))</f>
        <v>19.873999999999999</v>
      </c>
      <c r="AC33" s="306">
        <f t="shared" si="15"/>
        <v>-596.21999999999991</v>
      </c>
      <c r="AD33" s="314">
        <f t="shared" si="10"/>
        <v>19482.438301568</v>
      </c>
      <c r="AE33" s="315">
        <f t="shared" si="11"/>
        <v>18886.218301567998</v>
      </c>
      <c r="AF33" s="316">
        <f t="shared" si="3"/>
        <v>1</v>
      </c>
      <c r="AG33" s="314">
        <v>1</v>
      </c>
      <c r="AH33" s="314">
        <f t="shared" si="12"/>
        <v>18886.218301567998</v>
      </c>
      <c r="AI33" s="314">
        <f t="shared" si="13"/>
        <v>0</v>
      </c>
      <c r="AJ33" s="317"/>
      <c r="AK33" s="315">
        <f t="shared" si="14"/>
        <v>907.97</v>
      </c>
      <c r="AM33" s="553"/>
      <c r="AN33" s="553"/>
      <c r="AO33" s="553"/>
    </row>
    <row r="34" spans="2:41">
      <c r="B34" s="296" t="s">
        <v>851</v>
      </c>
      <c r="C34" s="299" t="s">
        <v>114</v>
      </c>
      <c r="D34" s="296" t="s">
        <v>268</v>
      </c>
      <c r="E34" s="298" t="s">
        <v>772</v>
      </c>
      <c r="F34" s="299" t="s">
        <v>59</v>
      </c>
      <c r="G34" s="300">
        <v>44735</v>
      </c>
      <c r="H34" s="303">
        <v>-4</v>
      </c>
      <c r="I34" s="303">
        <v>2275.94</v>
      </c>
      <c r="J34" s="322" t="str">
        <f t="shared" si="0"/>
        <v>Derivados Cap IV, Sec II - SIC &amp; BMV</v>
      </c>
      <c r="K34" s="305">
        <f>IF(F34="MXN",1/HLOOKUP(YEAR(G34)+(MONTH(G34)/100),TC!$5:$37,DAY(G34)+2,FALSE),VLOOKUP(F34,Equivalencia!$5:$23,((MAX(Equivalencia!$3:$3)-YEAR(G34))*14)+MONTH(G34)+2,FALSE))</f>
        <v>1</v>
      </c>
      <c r="L34" s="306">
        <f t="shared" si="4"/>
        <v>2275.94</v>
      </c>
      <c r="M34" s="305">
        <f>IF(G34=0,0,HLOOKUP(YEAR(G34)+(MONTH(G34)/100),TC!$5:$37,DAY(G34)+2,FALSE))</f>
        <v>20.196300000000001</v>
      </c>
      <c r="N34" s="306">
        <f t="shared" si="5"/>
        <v>45965.567022000003</v>
      </c>
      <c r="O34" s="308">
        <f>IF(G34=0,0,VLOOKUP(YEAR(G34),INPC!$B$4:$P$30,MONTH(G34)+2))</f>
        <v>122.044</v>
      </c>
      <c r="P34" s="308">
        <f>IF(W34=0,0,IF(OR(C34=$AQ$5,C34=AQ38),VLOOKUP(YEAR(W34),INPC!$B$4:$P$30,MONTH(W34)+1),VLOOKUP(YEAR(W34),INPC!$B$4:$P$30,MONTH(W34)+2)))</f>
        <v>123.803</v>
      </c>
      <c r="Q34" s="309">
        <f t="shared" si="6"/>
        <v>1.0144</v>
      </c>
      <c r="R34" s="310">
        <f t="shared" si="7"/>
        <v>46627.471187116804</v>
      </c>
      <c r="S34" s="310">
        <f t="shared" si="8"/>
        <v>11656.867796779201</v>
      </c>
      <c r="T34" s="559" t="str">
        <f t="shared" si="9"/>
        <v>SI</v>
      </c>
      <c r="U34" s="323">
        <v>4</v>
      </c>
      <c r="V34" s="299" t="s">
        <v>267</v>
      </c>
      <c r="W34" s="300">
        <v>44778</v>
      </c>
      <c r="X34" s="299" t="s">
        <v>59</v>
      </c>
      <c r="Y34" s="303">
        <v>-432</v>
      </c>
      <c r="Z34" s="305">
        <f>IF(Y34=0,0,IF(X34="MXN",1/HLOOKUP(YEAR(W34)+(MONTH(W34)/100),TC!$5:$37,DAY(W34)+2,FALSE),VLOOKUP(X34,Equivalencia!$1:$23,((MAX(Equivalencia!$3:$3)-YEAR(W34))*14)+MONTH(W34)+2,FALSE)))</f>
        <v>1</v>
      </c>
      <c r="AA34" s="306">
        <f t="shared" si="16"/>
        <v>-432</v>
      </c>
      <c r="AB34" s="305">
        <f>+IF(W34=0,0,HLOOKUP(YEAR(W34)+(MONTH(W34)/100),TC!$5:$37,DAY(W34)+2,FALSE))</f>
        <v>20.630500000000001</v>
      </c>
      <c r="AC34" s="306">
        <f t="shared" si="15"/>
        <v>-8912.3760000000002</v>
      </c>
      <c r="AD34" s="314">
        <f t="shared" si="10"/>
        <v>46627.471187116804</v>
      </c>
      <c r="AE34" s="315">
        <f t="shared" si="11"/>
        <v>37715.095187116807</v>
      </c>
      <c r="AF34" s="316">
        <f t="shared" si="3"/>
        <v>1</v>
      </c>
      <c r="AG34" s="314">
        <v>1</v>
      </c>
      <c r="AH34" s="314">
        <f t="shared" si="12"/>
        <v>37715.095187116807</v>
      </c>
      <c r="AI34" s="314">
        <f t="shared" si="13"/>
        <v>0</v>
      </c>
      <c r="AJ34" s="317"/>
      <c r="AK34" s="315">
        <f t="shared" si="14"/>
        <v>1843.94</v>
      </c>
      <c r="AM34" s="553"/>
      <c r="AN34" s="553"/>
      <c r="AO34" s="553"/>
    </row>
    <row r="35" spans="2:41">
      <c r="B35" s="296" t="s">
        <v>851</v>
      </c>
      <c r="C35" s="299" t="s">
        <v>114</v>
      </c>
      <c r="D35" s="296" t="s">
        <v>268</v>
      </c>
      <c r="E35" s="298" t="s">
        <v>773</v>
      </c>
      <c r="F35" s="299" t="s">
        <v>59</v>
      </c>
      <c r="G35" s="300">
        <v>44741</v>
      </c>
      <c r="H35" s="303">
        <v>-5</v>
      </c>
      <c r="I35" s="303">
        <v>5659.87</v>
      </c>
      <c r="J35" s="322" t="str">
        <f t="shared" si="0"/>
        <v>Derivados Cap IV, Sec II - SIC &amp; BMV</v>
      </c>
      <c r="K35" s="305">
        <f>IF(F35="MXN",1/HLOOKUP(YEAR(G35)+(MONTH(G35)/100),TC!$5:$37,DAY(G35)+2,FALSE),VLOOKUP(F35,Equivalencia!$5:$23,((MAX(Equivalencia!$3:$3)-YEAR(G35))*14)+MONTH(G35)+2,FALSE))</f>
        <v>1</v>
      </c>
      <c r="L35" s="306">
        <f t="shared" si="4"/>
        <v>5659.87</v>
      </c>
      <c r="M35" s="305">
        <f>IF(G35=0,0,HLOOKUP(YEAR(G35)+(MONTH(G35)/100),TC!$5:$37,DAY(G35)+2,FALSE))</f>
        <v>19.8797</v>
      </c>
      <c r="N35" s="306">
        <f t="shared" si="5"/>
        <v>112516.517639</v>
      </c>
      <c r="O35" s="308">
        <f>IF(G35=0,0,VLOOKUP(YEAR(G35),INPC!$B$4:$P$30,MONTH(G35)+2))</f>
        <v>122.044</v>
      </c>
      <c r="P35" s="308">
        <f>IF(W35=0,0,IF(OR(C35=$AQ$5,C35=AQ39),VLOOKUP(YEAR(W35),INPC!$B$4:$P$30,MONTH(W35)+1),VLOOKUP(YEAR(W35),INPC!$B$4:$P$30,MONTH(W35)+2)))</f>
        <v>125.276</v>
      </c>
      <c r="Q35" s="309">
        <f t="shared" si="6"/>
        <v>1.0264</v>
      </c>
      <c r="R35" s="310">
        <f t="shared" si="7"/>
        <v>115486.95370466959</v>
      </c>
      <c r="S35" s="310">
        <f t="shared" si="8"/>
        <v>23097.390740933919</v>
      </c>
      <c r="T35" s="559" t="str">
        <f t="shared" si="9"/>
        <v>SI</v>
      </c>
      <c r="U35" s="323">
        <v>5</v>
      </c>
      <c r="V35" s="299" t="s">
        <v>267</v>
      </c>
      <c r="W35" s="300">
        <v>44853</v>
      </c>
      <c r="X35" s="299" t="s">
        <v>59</v>
      </c>
      <c r="Y35" s="303">
        <v>-125</v>
      </c>
      <c r="Z35" s="305">
        <f>IF(Y35=0,0,IF(X35="MXN",1/HLOOKUP(YEAR(W35)+(MONTH(W35)/100),TC!$5:$37,DAY(W35)+2,FALSE),VLOOKUP(X35,Equivalencia!$1:$23,((MAX(Equivalencia!$3:$3)-YEAR(W35))*14)+MONTH(W35)+2,FALSE)))</f>
        <v>1</v>
      </c>
      <c r="AA35" s="306">
        <f t="shared" si="16"/>
        <v>-125</v>
      </c>
      <c r="AB35" s="305">
        <f>+IF(W35=0,0,HLOOKUP(YEAR(W35)+(MONTH(W35)/100),TC!$5:$37,DAY(W35)+2,FALSE))</f>
        <v>19.991299999999999</v>
      </c>
      <c r="AC35" s="306">
        <f t="shared" si="15"/>
        <v>-2498.9124999999999</v>
      </c>
      <c r="AD35" s="314">
        <f t="shared" si="10"/>
        <v>115486.95370466959</v>
      </c>
      <c r="AE35" s="315">
        <f t="shared" si="11"/>
        <v>112988.04120466959</v>
      </c>
      <c r="AF35" s="316">
        <f t="shared" si="3"/>
        <v>1</v>
      </c>
      <c r="AG35" s="314">
        <v>1</v>
      </c>
      <c r="AH35" s="314">
        <f t="shared" si="12"/>
        <v>112988.04120466959</v>
      </c>
      <c r="AI35" s="314">
        <f t="shared" si="13"/>
        <v>0</v>
      </c>
      <c r="AJ35" s="317"/>
      <c r="AK35" s="315">
        <f t="shared" si="14"/>
        <v>5534.87</v>
      </c>
      <c r="AM35" s="553"/>
      <c r="AN35" s="553"/>
      <c r="AO35" s="553"/>
    </row>
    <row r="36" spans="2:41">
      <c r="B36" s="296"/>
      <c r="C36" s="299"/>
      <c r="D36" s="296"/>
      <c r="E36" s="298"/>
      <c r="F36" s="299"/>
      <c r="G36" s="300"/>
      <c r="H36" s="303"/>
      <c r="I36" s="303"/>
      <c r="J36" s="322">
        <f t="shared" si="0"/>
        <v>0</v>
      </c>
      <c r="K36" s="305" t="e">
        <f>IF(F36="MXN",1/HLOOKUP(YEAR(G36)+(MONTH(G36)/100),TC!$5:$37,DAY(G36)+2,FALSE),VLOOKUP(F36,Equivalencia!$5:$23,((MAX(Equivalencia!$3:$3)-YEAR(G36))*14)+MONTH(G36)+2,FALSE))</f>
        <v>#N/A</v>
      </c>
      <c r="L36" s="306" t="e">
        <f t="shared" si="4"/>
        <v>#N/A</v>
      </c>
      <c r="M36" s="305">
        <f>IF(G36=0,0,HLOOKUP(YEAR(G36)+(MONTH(G36)/100),TC!$5:$37,DAY(G36)+2,FALSE))</f>
        <v>0</v>
      </c>
      <c r="N36" s="306" t="e">
        <f t="shared" si="5"/>
        <v>#N/A</v>
      </c>
      <c r="O36" s="308">
        <f>IF(G36=0,0,VLOOKUP(YEAR(G36),INPC!$B$4:$P$30,MONTH(G36)+2))</f>
        <v>0</v>
      </c>
      <c r="P36" s="308">
        <f>IF(W36=0,0,IF(OR(C36=$AQ$5,C36=AQ40),VLOOKUP(YEAR(W36),INPC!$B$4:$P$30,MONTH(W36)+1),VLOOKUP(YEAR(W36),INPC!$B$4:$P$30,MONTH(W36)+2)))</f>
        <v>0</v>
      </c>
      <c r="Q36" s="309">
        <f t="shared" si="6"/>
        <v>0</v>
      </c>
      <c r="R36" s="310" t="e">
        <f t="shared" si="7"/>
        <v>#N/A</v>
      </c>
      <c r="S36" s="310">
        <f t="shared" si="8"/>
        <v>0</v>
      </c>
      <c r="T36" s="559" t="str">
        <f t="shared" si="9"/>
        <v>NO</v>
      </c>
      <c r="U36" s="323"/>
      <c r="V36" s="299"/>
      <c r="W36" s="300"/>
      <c r="X36" s="299"/>
      <c r="Y36" s="303"/>
      <c r="Z36" s="305">
        <f>IF(Y36=0,0,IF(X36="MXN",1/HLOOKUP(YEAR(W36)+(MONTH(W36)/100),TC!$5:$37,DAY(W36)+2,FALSE),VLOOKUP(X36,Equivalencia!$1:$23,((MAX(Equivalencia!$3:$3)-YEAR(W36))*14)+MONTH(W36)+2,FALSE)))</f>
        <v>0</v>
      </c>
      <c r="AA36" s="306">
        <f t="shared" si="16"/>
        <v>0</v>
      </c>
      <c r="AB36" s="305">
        <f>+IF(W36=0,0,HLOOKUP(YEAR(W36)+(MONTH(W36)/100),TC!$5:$37,DAY(W36)+2,FALSE))</f>
        <v>0</v>
      </c>
      <c r="AC36" s="306">
        <f t="shared" si="15"/>
        <v>0</v>
      </c>
      <c r="AD36" s="314">
        <f t="shared" si="10"/>
        <v>0</v>
      </c>
      <c r="AE36" s="315">
        <f t="shared" si="11"/>
        <v>0</v>
      </c>
      <c r="AF36" s="316">
        <f t="shared" si="3"/>
        <v>0</v>
      </c>
      <c r="AG36" s="314">
        <v>1</v>
      </c>
      <c r="AH36" s="314">
        <f t="shared" si="12"/>
        <v>0</v>
      </c>
      <c r="AI36" s="314">
        <f t="shared" si="13"/>
        <v>0</v>
      </c>
      <c r="AJ36" s="317"/>
      <c r="AK36" s="315" t="e">
        <f t="shared" si="14"/>
        <v>#N/A</v>
      </c>
      <c r="AM36" s="553"/>
      <c r="AN36" s="553"/>
      <c r="AO36" s="553"/>
    </row>
    <row r="37" spans="2:41">
      <c r="B37" s="296"/>
      <c r="C37" s="299"/>
      <c r="D37" s="296"/>
      <c r="E37" s="298"/>
      <c r="F37" s="299"/>
      <c r="G37" s="300"/>
      <c r="H37" s="303"/>
      <c r="I37" s="303"/>
      <c r="J37" s="322">
        <f t="shared" si="0"/>
        <v>0</v>
      </c>
      <c r="K37" s="305" t="e">
        <f>IF(F37="MXN",1/HLOOKUP(YEAR(G37)+(MONTH(G37)/100),TC!$5:$37,DAY(G37)+2,FALSE),VLOOKUP(F37,Equivalencia!$5:$23,((MAX(Equivalencia!$3:$3)-YEAR(G37))*14)+MONTH(G37)+2,FALSE))</f>
        <v>#N/A</v>
      </c>
      <c r="L37" s="306" t="e">
        <f t="shared" si="4"/>
        <v>#N/A</v>
      </c>
      <c r="M37" s="305">
        <f>IF(G37=0,0,HLOOKUP(YEAR(G37)+(MONTH(G37)/100),TC!$5:$37,DAY(G37)+2,FALSE))</f>
        <v>0</v>
      </c>
      <c r="N37" s="306" t="e">
        <f t="shared" si="5"/>
        <v>#N/A</v>
      </c>
      <c r="O37" s="308">
        <f>IF(G37=0,0,VLOOKUP(YEAR(G37),INPC!$B$4:$P$30,MONTH(G37)+2))</f>
        <v>0</v>
      </c>
      <c r="P37" s="308">
        <f>IF(W37=0,0,IF(OR(C37=$AQ$5,C37=AQ41),VLOOKUP(YEAR(W37),INPC!$B$4:$P$30,MONTH(W37)+1),VLOOKUP(YEAR(W37),INPC!$B$4:$P$30,MONTH(W37)+2)))</f>
        <v>0</v>
      </c>
      <c r="Q37" s="309">
        <f t="shared" si="6"/>
        <v>0</v>
      </c>
      <c r="R37" s="310" t="e">
        <f t="shared" si="7"/>
        <v>#N/A</v>
      </c>
      <c r="S37" s="310">
        <f t="shared" si="8"/>
        <v>0</v>
      </c>
      <c r="T37" s="559" t="str">
        <f t="shared" si="9"/>
        <v>NO</v>
      </c>
      <c r="U37" s="323"/>
      <c r="V37" s="299"/>
      <c r="W37" s="300"/>
      <c r="X37" s="299"/>
      <c r="Y37" s="303"/>
      <c r="Z37" s="305">
        <f>IF(Y37=0,0,IF(X37="MXN",1/HLOOKUP(YEAR(W37)+(MONTH(W37)/100),TC!$5:$37,DAY(W37)+2,FALSE),VLOOKUP(X37,Equivalencia!$1:$23,((MAX(Equivalencia!$3:$3)-YEAR(W37))*14)+MONTH(W37)+2,FALSE)))</f>
        <v>0</v>
      </c>
      <c r="AA37" s="306">
        <f t="shared" si="16"/>
        <v>0</v>
      </c>
      <c r="AB37" s="305">
        <f>+IF(W37=0,0,HLOOKUP(YEAR(W37)+(MONTH(W37)/100),TC!$5:$37,DAY(W37)+2,FALSE))</f>
        <v>0</v>
      </c>
      <c r="AC37" s="306">
        <f t="shared" si="15"/>
        <v>0</v>
      </c>
      <c r="AD37" s="314">
        <f t="shared" si="10"/>
        <v>0</v>
      </c>
      <c r="AE37" s="315">
        <f t="shared" si="11"/>
        <v>0</v>
      </c>
      <c r="AF37" s="316">
        <f t="shared" si="3"/>
        <v>0</v>
      </c>
      <c r="AG37" s="314">
        <v>1</v>
      </c>
      <c r="AH37" s="314">
        <f t="shared" si="12"/>
        <v>0</v>
      </c>
      <c r="AI37" s="314">
        <f t="shared" si="13"/>
        <v>0</v>
      </c>
      <c r="AJ37" s="317"/>
      <c r="AK37" s="315" t="e">
        <f t="shared" si="14"/>
        <v>#N/A</v>
      </c>
      <c r="AM37" s="553"/>
      <c r="AN37" s="553"/>
      <c r="AO37" s="553"/>
    </row>
    <row r="38" spans="2:41">
      <c r="B38" s="296"/>
      <c r="C38" s="299"/>
      <c r="D38" s="296"/>
      <c r="E38" s="298"/>
      <c r="F38" s="299"/>
      <c r="G38" s="300"/>
      <c r="H38" s="303"/>
      <c r="I38" s="303"/>
      <c r="J38" s="322">
        <f t="shared" si="0"/>
        <v>0</v>
      </c>
      <c r="K38" s="305" t="e">
        <f>IF(F38="MXN",1/HLOOKUP(YEAR(G38)+(MONTH(G38)/100),TC!$5:$37,DAY(G38)+2,FALSE),VLOOKUP(F38,Equivalencia!$5:$23,((MAX(Equivalencia!$3:$3)-YEAR(G38))*14)+MONTH(G38)+2,FALSE))</f>
        <v>#N/A</v>
      </c>
      <c r="L38" s="306" t="e">
        <f t="shared" si="4"/>
        <v>#N/A</v>
      </c>
      <c r="M38" s="305">
        <f>IF(G38=0,0,HLOOKUP(YEAR(G38)+(MONTH(G38)/100),TC!$5:$37,DAY(G38)+2,FALSE))</f>
        <v>0</v>
      </c>
      <c r="N38" s="306" t="e">
        <f t="shared" si="5"/>
        <v>#N/A</v>
      </c>
      <c r="O38" s="308">
        <f>IF(G38=0,0,VLOOKUP(YEAR(G38),INPC!$B$4:$P$30,MONTH(G38)+2))</f>
        <v>0</v>
      </c>
      <c r="P38" s="308">
        <f>IF(W38=0,0,IF(OR(C38=$AQ$5,C38=AQ42),VLOOKUP(YEAR(W38),INPC!$B$4:$P$30,MONTH(W38)+1),VLOOKUP(YEAR(W38),INPC!$B$4:$P$30,MONTH(W38)+2)))</f>
        <v>0</v>
      </c>
      <c r="Q38" s="309">
        <f t="shared" si="6"/>
        <v>0</v>
      </c>
      <c r="R38" s="310" t="e">
        <f t="shared" si="7"/>
        <v>#N/A</v>
      </c>
      <c r="S38" s="310">
        <f t="shared" si="8"/>
        <v>0</v>
      </c>
      <c r="T38" s="559" t="str">
        <f t="shared" si="9"/>
        <v>NO</v>
      </c>
      <c r="U38" s="323"/>
      <c r="V38" s="299"/>
      <c r="W38" s="300"/>
      <c r="X38" s="299"/>
      <c r="Y38" s="303"/>
      <c r="Z38" s="305">
        <f>IF(Y38=0,0,IF(X38="MXN",1/HLOOKUP(YEAR(W38)+(MONTH(W38)/100),TC!$5:$37,DAY(W38)+2,FALSE),VLOOKUP(X38,Equivalencia!$1:$23,((MAX(Equivalencia!$3:$3)-YEAR(W38))*14)+MONTH(W38)+2,FALSE)))</f>
        <v>0</v>
      </c>
      <c r="AA38" s="306">
        <f t="shared" si="16"/>
        <v>0</v>
      </c>
      <c r="AB38" s="305">
        <f>+IF(W38=0,0,HLOOKUP(YEAR(W38)+(MONTH(W38)/100),TC!$5:$37,DAY(W38)+2,FALSE))</f>
        <v>0</v>
      </c>
      <c r="AC38" s="306">
        <f t="shared" si="15"/>
        <v>0</v>
      </c>
      <c r="AD38" s="314">
        <f t="shared" si="10"/>
        <v>0</v>
      </c>
      <c r="AE38" s="315">
        <f t="shared" si="11"/>
        <v>0</v>
      </c>
      <c r="AF38" s="316">
        <f t="shared" si="3"/>
        <v>0</v>
      </c>
      <c r="AG38" s="314">
        <v>1</v>
      </c>
      <c r="AH38" s="314">
        <f t="shared" si="12"/>
        <v>0</v>
      </c>
      <c r="AI38" s="314">
        <f t="shared" si="13"/>
        <v>0</v>
      </c>
      <c r="AJ38" s="317"/>
      <c r="AK38" s="315" t="e">
        <f t="shared" si="14"/>
        <v>#N/A</v>
      </c>
      <c r="AM38" s="553"/>
      <c r="AN38" s="553"/>
      <c r="AO38" s="553"/>
    </row>
    <row r="39" spans="2:41">
      <c r="B39" s="296"/>
      <c r="C39" s="299"/>
      <c r="D39" s="296"/>
      <c r="E39" s="298"/>
      <c r="F39" s="299"/>
      <c r="G39" s="300"/>
      <c r="H39" s="303"/>
      <c r="I39" s="303"/>
      <c r="J39" s="322">
        <f t="shared" si="0"/>
        <v>0</v>
      </c>
      <c r="K39" s="305" t="e">
        <f>IF(F39="MXN",1/HLOOKUP(YEAR(G39)+(MONTH(G39)/100),TC!$5:$37,DAY(G39)+2,FALSE),VLOOKUP(F39,Equivalencia!$5:$23,((MAX(Equivalencia!$3:$3)-YEAR(G39))*14)+MONTH(G39)+2,FALSE))</f>
        <v>#N/A</v>
      </c>
      <c r="L39" s="306" t="e">
        <f t="shared" si="4"/>
        <v>#N/A</v>
      </c>
      <c r="M39" s="305">
        <f>IF(G39=0,0,HLOOKUP(YEAR(G39)+(MONTH(G39)/100),TC!$5:$37,DAY(G39)+2,FALSE))</f>
        <v>0</v>
      </c>
      <c r="N39" s="306" t="e">
        <f t="shared" si="5"/>
        <v>#N/A</v>
      </c>
      <c r="O39" s="308">
        <f>IF(G39=0,0,VLOOKUP(YEAR(G39),INPC!$B$4:$P$30,MONTH(G39)+2))</f>
        <v>0</v>
      </c>
      <c r="P39" s="308">
        <f>IF(W39=0,0,IF(OR(C39=$AQ$5,C39=AQ43),VLOOKUP(YEAR(W39),INPC!$B$4:$P$30,MONTH(W39)+1),VLOOKUP(YEAR(W39),INPC!$B$4:$P$30,MONTH(W39)+2)))</f>
        <v>0</v>
      </c>
      <c r="Q39" s="309">
        <f t="shared" si="6"/>
        <v>0</v>
      </c>
      <c r="R39" s="310" t="e">
        <f t="shared" si="7"/>
        <v>#N/A</v>
      </c>
      <c r="S39" s="310">
        <f t="shared" si="8"/>
        <v>0</v>
      </c>
      <c r="T39" s="559" t="str">
        <f t="shared" si="9"/>
        <v>NO</v>
      </c>
      <c r="U39" s="323"/>
      <c r="V39" s="299"/>
      <c r="W39" s="300"/>
      <c r="X39" s="299"/>
      <c r="Y39" s="303"/>
      <c r="Z39" s="305">
        <f>IF(Y39=0,0,IF(X39="MXN",1/HLOOKUP(YEAR(W39)+(MONTH(W39)/100),TC!$5:$37,DAY(W39)+2,FALSE),VLOOKUP(X39,Equivalencia!$1:$23,((MAX(Equivalencia!$3:$3)-YEAR(W39))*14)+MONTH(W39)+2,FALSE)))</f>
        <v>0</v>
      </c>
      <c r="AA39" s="306">
        <f t="shared" si="16"/>
        <v>0</v>
      </c>
      <c r="AB39" s="305">
        <f>+IF(W39=0,0,HLOOKUP(YEAR(W39)+(MONTH(W39)/100),TC!$5:$37,DAY(W39)+2,FALSE))</f>
        <v>0</v>
      </c>
      <c r="AC39" s="306">
        <f t="shared" si="15"/>
        <v>0</v>
      </c>
      <c r="AD39" s="314">
        <f t="shared" si="10"/>
        <v>0</v>
      </c>
      <c r="AE39" s="315">
        <f t="shared" si="11"/>
        <v>0</v>
      </c>
      <c r="AF39" s="316">
        <f t="shared" si="3"/>
        <v>0</v>
      </c>
      <c r="AG39" s="314">
        <v>1</v>
      </c>
      <c r="AH39" s="314">
        <f t="shared" si="12"/>
        <v>0</v>
      </c>
      <c r="AI39" s="314">
        <f t="shared" si="13"/>
        <v>0</v>
      </c>
      <c r="AJ39" s="317"/>
      <c r="AK39" s="315" t="e">
        <f t="shared" si="14"/>
        <v>#N/A</v>
      </c>
      <c r="AM39" s="553"/>
      <c r="AN39" s="553"/>
      <c r="AO39" s="553"/>
    </row>
    <row r="40" spans="2:41">
      <c r="B40" s="296" t="s">
        <v>851</v>
      </c>
      <c r="C40" s="299" t="s">
        <v>114</v>
      </c>
      <c r="D40" s="296" t="s">
        <v>268</v>
      </c>
      <c r="E40" s="298" t="s">
        <v>777</v>
      </c>
      <c r="F40" s="299" t="s">
        <v>59</v>
      </c>
      <c r="G40" s="300">
        <v>44754</v>
      </c>
      <c r="H40" s="303">
        <v>-4</v>
      </c>
      <c r="I40" s="303">
        <v>1885.59</v>
      </c>
      <c r="J40" s="322" t="str">
        <f t="shared" si="0"/>
        <v>Derivados Cap IV, Sec II - SIC &amp; BMV</v>
      </c>
      <c r="K40" s="305">
        <f>IF(F40="MXN",1/HLOOKUP(YEAR(G40)+(MONTH(G40)/100),TC!$5:$37,DAY(G40)+2,FALSE),VLOOKUP(F40,Equivalencia!$5:$23,((MAX(Equivalencia!$3:$3)-YEAR(G40))*14)+MONTH(G40)+2,FALSE))</f>
        <v>1</v>
      </c>
      <c r="L40" s="306">
        <f t="shared" si="4"/>
        <v>1885.59</v>
      </c>
      <c r="M40" s="305">
        <f>IF(G40=0,0,HLOOKUP(YEAR(G40)+(MONTH(G40)/100),TC!$5:$37,DAY(G40)+2,FALSE))</f>
        <v>20.442299999999999</v>
      </c>
      <c r="N40" s="306">
        <f t="shared" si="5"/>
        <v>38545.796456999997</v>
      </c>
      <c r="O40" s="308">
        <f>IF(G40=0,0,VLOOKUP(YEAR(G40),INPC!$B$4:$P$30,MONTH(G40)+2))</f>
        <v>122.94799999999999</v>
      </c>
      <c r="P40" s="308">
        <f>IF(W40=0,0,IF(OR(C40=$AQ$5,C40=AQ44),VLOOKUP(YEAR(W40),INPC!$B$4:$P$30,MONTH(W40)+1),VLOOKUP(YEAR(W40),INPC!$B$4:$P$30,MONTH(W40)+2)))</f>
        <v>124.571</v>
      </c>
      <c r="Q40" s="309">
        <f t="shared" si="6"/>
        <v>1.0132000000000001</v>
      </c>
      <c r="R40" s="310">
        <f t="shared" si="7"/>
        <v>39054.600970232401</v>
      </c>
      <c r="S40" s="310">
        <f t="shared" si="8"/>
        <v>9763.6502425581002</v>
      </c>
      <c r="T40" s="559" t="str">
        <f t="shared" si="9"/>
        <v>SI</v>
      </c>
      <c r="U40" s="323">
        <v>4</v>
      </c>
      <c r="V40" s="299" t="s">
        <v>267</v>
      </c>
      <c r="W40" s="300">
        <v>44832</v>
      </c>
      <c r="X40" s="299" t="s">
        <v>59</v>
      </c>
      <c r="Y40" s="303">
        <v>-16</v>
      </c>
      <c r="Z40" s="305">
        <f>IF(Y40=0,0,IF(X40="MXN",1/HLOOKUP(YEAR(W40)+(MONTH(W40)/100),TC!$5:$37,DAY(W40)+2,FALSE),VLOOKUP(X40,Equivalencia!$1:$23,((MAX(Equivalencia!$3:$3)-YEAR(W40))*14)+MONTH(W40)+2,FALSE)))</f>
        <v>1</v>
      </c>
      <c r="AA40" s="306">
        <f t="shared" si="16"/>
        <v>-16</v>
      </c>
      <c r="AB40" s="305">
        <f>+IF(W40=0,0,HLOOKUP(YEAR(W40)+(MONTH(W40)/100),TC!$5:$37,DAY(W40)+2,FALSE))</f>
        <v>20.351700000000001</v>
      </c>
      <c r="AC40" s="306">
        <f t="shared" si="15"/>
        <v>-325.62720000000002</v>
      </c>
      <c r="AD40" s="314">
        <f t="shared" si="10"/>
        <v>39054.600970232401</v>
      </c>
      <c r="AE40" s="315">
        <f t="shared" si="11"/>
        <v>38728.973770232398</v>
      </c>
      <c r="AF40" s="316">
        <f t="shared" si="3"/>
        <v>1</v>
      </c>
      <c r="AG40" s="314">
        <v>1</v>
      </c>
      <c r="AH40" s="314">
        <f t="shared" si="12"/>
        <v>38728.973770232398</v>
      </c>
      <c r="AI40" s="314">
        <f t="shared" si="13"/>
        <v>0</v>
      </c>
      <c r="AJ40" s="317"/>
      <c r="AK40" s="315">
        <f t="shared" si="14"/>
        <v>1869.59</v>
      </c>
      <c r="AM40" s="553"/>
      <c r="AN40" s="553"/>
      <c r="AO40" s="553"/>
    </row>
    <row r="41" spans="2:41">
      <c r="B41" s="296" t="s">
        <v>851</v>
      </c>
      <c r="C41" s="299" t="s">
        <v>114</v>
      </c>
      <c r="D41" s="296" t="s">
        <v>268</v>
      </c>
      <c r="E41" s="298" t="s">
        <v>778</v>
      </c>
      <c r="F41" s="299" t="s">
        <v>59</v>
      </c>
      <c r="G41" s="300">
        <v>44759</v>
      </c>
      <c r="H41" s="303">
        <v>-2</v>
      </c>
      <c r="I41" s="303">
        <v>2049.21</v>
      </c>
      <c r="J41" s="322" t="str">
        <f t="shared" si="0"/>
        <v>Derivados Cap IV, Sec II - SIC &amp; BMV</v>
      </c>
      <c r="K41" s="305">
        <f>IF(F41="MXN",1/HLOOKUP(YEAR(G41)+(MONTH(G41)/100),TC!$5:$37,DAY(G41)+2,FALSE),VLOOKUP(F41,Equivalencia!$5:$23,((MAX(Equivalencia!$3:$3)-YEAR(G41))*14)+MONTH(G41)+2,FALSE))</f>
        <v>1</v>
      </c>
      <c r="L41" s="306">
        <f t="shared" si="4"/>
        <v>2049.21</v>
      </c>
      <c r="M41" s="305">
        <f>IF(G41=0,0,HLOOKUP(YEAR(G41)+(MONTH(G41)/100),TC!$5:$37,DAY(G41)+2,FALSE))</f>
        <v>20.941500000000001</v>
      </c>
      <c r="N41" s="306">
        <f t="shared" si="5"/>
        <v>42913.531215000003</v>
      </c>
      <c r="O41" s="308">
        <f>IF(G41=0,0,VLOOKUP(YEAR(G41),INPC!$B$4:$P$30,MONTH(G41)+2))</f>
        <v>122.94799999999999</v>
      </c>
      <c r="P41" s="308">
        <f>IF(W41=0,0,IF(OR(C41=$AQ$5,C41=AQ45),VLOOKUP(YEAR(W41),INPC!$B$4:$P$30,MONTH(W41)+1),VLOOKUP(YEAR(W41),INPC!$B$4:$P$30,MONTH(W41)+2)))</f>
        <v>125.997</v>
      </c>
      <c r="Q41" s="309">
        <f t="shared" si="6"/>
        <v>1.0246999999999999</v>
      </c>
      <c r="R41" s="310">
        <f t="shared" si="7"/>
        <v>43973.495436010504</v>
      </c>
      <c r="S41" s="310">
        <f t="shared" si="8"/>
        <v>21986.747718005252</v>
      </c>
      <c r="T41" s="559" t="str">
        <f t="shared" si="9"/>
        <v>SI</v>
      </c>
      <c r="U41" s="323">
        <v>2</v>
      </c>
      <c r="V41" s="299" t="s">
        <v>267</v>
      </c>
      <c r="W41" s="300">
        <v>44868</v>
      </c>
      <c r="X41" s="299" t="s">
        <v>59</v>
      </c>
      <c r="Y41" s="303">
        <v>-120</v>
      </c>
      <c r="Z41" s="305">
        <f>IF(Y41=0,0,IF(X41="MXN",1/HLOOKUP(YEAR(W41)+(MONTH(W41)/100),TC!$5:$37,DAY(W41)+2,FALSE),VLOOKUP(X41,Equivalencia!$1:$23,((MAX(Equivalencia!$3:$3)-YEAR(W41))*14)+MONTH(W41)+2,FALSE)))</f>
        <v>1</v>
      </c>
      <c r="AA41" s="306">
        <f t="shared" si="16"/>
        <v>-120</v>
      </c>
      <c r="AB41" s="305">
        <f>+IF(W41=0,0,HLOOKUP(YEAR(W41)+(MONTH(W41)/100),TC!$5:$37,DAY(W41)+2,FALSE))</f>
        <v>19.8245</v>
      </c>
      <c r="AC41" s="306">
        <f t="shared" si="15"/>
        <v>-2378.94</v>
      </c>
      <c r="AD41" s="314">
        <f t="shared" si="10"/>
        <v>43973.495436010504</v>
      </c>
      <c r="AE41" s="315">
        <f t="shared" si="11"/>
        <v>41594.555436010502</v>
      </c>
      <c r="AF41" s="316">
        <f t="shared" si="3"/>
        <v>1</v>
      </c>
      <c r="AG41" s="314">
        <v>1</v>
      </c>
      <c r="AH41" s="314">
        <f t="shared" si="12"/>
        <v>41594.555436010502</v>
      </c>
      <c r="AI41" s="314">
        <f t="shared" si="13"/>
        <v>0</v>
      </c>
      <c r="AJ41" s="317"/>
      <c r="AK41" s="315">
        <f t="shared" si="14"/>
        <v>1929.21</v>
      </c>
      <c r="AM41" s="553"/>
      <c r="AN41" s="553"/>
      <c r="AO41" s="553"/>
    </row>
    <row r="42" spans="2:41">
      <c r="B42" s="296" t="s">
        <v>851</v>
      </c>
      <c r="C42" s="299" t="s">
        <v>114</v>
      </c>
      <c r="D42" s="296" t="s">
        <v>268</v>
      </c>
      <c r="E42" s="298" t="s">
        <v>779</v>
      </c>
      <c r="F42" s="299" t="s">
        <v>59</v>
      </c>
      <c r="G42" s="300">
        <v>44759</v>
      </c>
      <c r="H42" s="303">
        <v>-8</v>
      </c>
      <c r="I42" s="303">
        <v>9143.7900000000009</v>
      </c>
      <c r="J42" s="322" t="str">
        <f t="shared" si="0"/>
        <v>Derivados Cap IV, Sec II - SIC &amp; BMV</v>
      </c>
      <c r="K42" s="305">
        <f>IF(F42="MXN",1/HLOOKUP(YEAR(G42)+(MONTH(G42)/100),TC!$5:$37,DAY(G42)+2,FALSE),VLOOKUP(F42,Equivalencia!$5:$23,((MAX(Equivalencia!$3:$3)-YEAR(G42))*14)+MONTH(G42)+2,FALSE))</f>
        <v>1</v>
      </c>
      <c r="L42" s="306">
        <f t="shared" si="4"/>
        <v>9143.7900000000009</v>
      </c>
      <c r="M42" s="305">
        <f>IF(G42=0,0,HLOOKUP(YEAR(G42)+(MONTH(G42)/100),TC!$5:$37,DAY(G42)+2,FALSE))</f>
        <v>20.941500000000001</v>
      </c>
      <c r="N42" s="306">
        <f t="shared" si="5"/>
        <v>191484.67828500003</v>
      </c>
      <c r="O42" s="308">
        <f>IF(G42=0,0,VLOOKUP(YEAR(G42),INPC!$B$4:$P$30,MONTH(G42)+2))</f>
        <v>122.94799999999999</v>
      </c>
      <c r="P42" s="308">
        <f>IF(W42=0,0,IF(OR(C42=$AQ$5,C42=AQ46),VLOOKUP(YEAR(W42),INPC!$B$4:$P$30,MONTH(W42)+1),VLOOKUP(YEAR(W42),INPC!$B$4:$P$30,MONTH(W42)+2)))</f>
        <v>125.997</v>
      </c>
      <c r="Q42" s="309">
        <f t="shared" si="6"/>
        <v>1.0246999999999999</v>
      </c>
      <c r="R42" s="310">
        <f t="shared" si="7"/>
        <v>196214.34983863952</v>
      </c>
      <c r="S42" s="310">
        <f t="shared" si="8"/>
        <v>24526.79372982994</v>
      </c>
      <c r="T42" s="559" t="str">
        <f t="shared" si="9"/>
        <v>SI</v>
      </c>
      <c r="U42" s="323">
        <v>8</v>
      </c>
      <c r="V42" s="299" t="s">
        <v>267</v>
      </c>
      <c r="W42" s="300">
        <v>44879</v>
      </c>
      <c r="X42" s="299" t="s">
        <v>59</v>
      </c>
      <c r="Y42" s="303">
        <v>-24</v>
      </c>
      <c r="Z42" s="305">
        <f>IF(Y42=0,0,IF(X42="MXN",1/HLOOKUP(YEAR(W42)+(MONTH(W42)/100),TC!$5:$37,DAY(W42)+2,FALSE),VLOOKUP(X42,Equivalencia!$1:$23,((MAX(Equivalencia!$3:$3)-YEAR(W42))*14)+MONTH(W42)+2,FALSE)))</f>
        <v>1</v>
      </c>
      <c r="AA42" s="306">
        <f t="shared" si="16"/>
        <v>-24</v>
      </c>
      <c r="AB42" s="305">
        <f>+IF(W42=0,0,HLOOKUP(YEAR(W42)+(MONTH(W42)/100),TC!$5:$37,DAY(W42)+2,FALSE))</f>
        <v>19.393999999999998</v>
      </c>
      <c r="AC42" s="306">
        <f t="shared" si="15"/>
        <v>-465.45599999999996</v>
      </c>
      <c r="AD42" s="314">
        <f t="shared" si="10"/>
        <v>196214.34983863952</v>
      </c>
      <c r="AE42" s="315">
        <f t="shared" si="11"/>
        <v>195748.89383863952</v>
      </c>
      <c r="AF42" s="316">
        <f t="shared" si="3"/>
        <v>1</v>
      </c>
      <c r="AG42" s="314">
        <v>1</v>
      </c>
      <c r="AH42" s="314">
        <f t="shared" si="12"/>
        <v>195748.89383863952</v>
      </c>
      <c r="AI42" s="314">
        <f t="shared" si="13"/>
        <v>0</v>
      </c>
      <c r="AJ42" s="317"/>
      <c r="AK42" s="315">
        <f t="shared" si="14"/>
        <v>9119.7900000000009</v>
      </c>
      <c r="AM42" s="553"/>
      <c r="AN42" s="553"/>
      <c r="AO42" s="553"/>
    </row>
    <row r="43" spans="2:41">
      <c r="B43" s="296" t="s">
        <v>851</v>
      </c>
      <c r="C43" s="299" t="s">
        <v>114</v>
      </c>
      <c r="D43" s="296" t="s">
        <v>268</v>
      </c>
      <c r="E43" s="298" t="s">
        <v>780</v>
      </c>
      <c r="F43" s="299" t="s">
        <v>59</v>
      </c>
      <c r="G43" s="300">
        <v>44768</v>
      </c>
      <c r="H43" s="303">
        <v>-5</v>
      </c>
      <c r="I43" s="303">
        <v>3004.93</v>
      </c>
      <c r="J43" s="322" t="str">
        <f t="shared" si="0"/>
        <v>Derivados Cap IV, Sec II - SIC &amp; BMV</v>
      </c>
      <c r="K43" s="305">
        <f>IF(F43="MXN",1/HLOOKUP(YEAR(G43)+(MONTH(G43)/100),TC!$5:$37,DAY(G43)+2,FALSE),VLOOKUP(F43,Equivalencia!$5:$23,((MAX(Equivalencia!$3:$3)-YEAR(G43))*14)+MONTH(G43)+2,FALSE))</f>
        <v>1</v>
      </c>
      <c r="L43" s="306">
        <f t="shared" si="4"/>
        <v>3004.93</v>
      </c>
      <c r="M43" s="305">
        <f>IF(G43=0,0,HLOOKUP(YEAR(G43)+(MONTH(G43)/100),TC!$5:$37,DAY(G43)+2,FALSE))</f>
        <v>20.515000000000001</v>
      </c>
      <c r="N43" s="306">
        <f t="shared" si="5"/>
        <v>61646.13895</v>
      </c>
      <c r="O43" s="308">
        <f>IF(G43=0,0,VLOOKUP(YEAR(G43),INPC!$B$4:$P$30,MONTH(G43)+2))</f>
        <v>122.94799999999999</v>
      </c>
      <c r="P43" s="308">
        <f>IF(W43=0,0,IF(OR(C43=$AQ$5,C43=AQ47),VLOOKUP(YEAR(W43),INPC!$B$4:$P$30,MONTH(W43)+1),VLOOKUP(YEAR(W43),INPC!$B$4:$P$30,MONTH(W43)+2)))</f>
        <v>123.803</v>
      </c>
      <c r="Q43" s="309">
        <f t="shared" si="6"/>
        <v>1.0068999999999999</v>
      </c>
      <c r="R43" s="310">
        <f t="shared" si="7"/>
        <v>62071.497308754995</v>
      </c>
      <c r="S43" s="310">
        <f t="shared" si="8"/>
        <v>12414.299461750999</v>
      </c>
      <c r="T43" s="559" t="str">
        <f t="shared" si="9"/>
        <v>SI</v>
      </c>
      <c r="U43" s="323">
        <v>5</v>
      </c>
      <c r="V43" s="299" t="s">
        <v>267</v>
      </c>
      <c r="W43" s="300">
        <v>44798</v>
      </c>
      <c r="X43" s="299" t="s">
        <v>59</v>
      </c>
      <c r="Y43" s="303">
        <v>-10</v>
      </c>
      <c r="Z43" s="305">
        <f>IF(Y43=0,0,IF(X43="MXN",1/HLOOKUP(YEAR(W43)+(MONTH(W43)/100),TC!$5:$37,DAY(W43)+2,FALSE),VLOOKUP(X43,Equivalencia!$1:$23,((MAX(Equivalencia!$3:$3)-YEAR(W43))*14)+MONTH(W43)+2,FALSE)))</f>
        <v>1</v>
      </c>
      <c r="AA43" s="306">
        <f t="shared" si="16"/>
        <v>-10</v>
      </c>
      <c r="AB43" s="305">
        <f>+IF(W43=0,0,HLOOKUP(YEAR(W43)+(MONTH(W43)/100),TC!$5:$37,DAY(W43)+2,FALSE))</f>
        <v>19.998200000000001</v>
      </c>
      <c r="AC43" s="306">
        <f t="shared" si="15"/>
        <v>-199.982</v>
      </c>
      <c r="AD43" s="314">
        <f t="shared" si="10"/>
        <v>62071.497308754995</v>
      </c>
      <c r="AE43" s="315">
        <f t="shared" si="11"/>
        <v>61871.515308754992</v>
      </c>
      <c r="AF43" s="316">
        <f t="shared" si="3"/>
        <v>1</v>
      </c>
      <c r="AG43" s="314">
        <v>1</v>
      </c>
      <c r="AH43" s="314">
        <f t="shared" si="12"/>
        <v>61871.515308754992</v>
      </c>
      <c r="AI43" s="314">
        <f t="shared" si="13"/>
        <v>0</v>
      </c>
      <c r="AJ43" s="317"/>
      <c r="AK43" s="315">
        <f t="shared" si="14"/>
        <v>2994.93</v>
      </c>
      <c r="AM43" s="553"/>
      <c r="AN43" s="553"/>
      <c r="AO43" s="553"/>
    </row>
    <row r="44" spans="2:41">
      <c r="B44" s="296" t="s">
        <v>851</v>
      </c>
      <c r="C44" s="299" t="s">
        <v>114</v>
      </c>
      <c r="D44" s="296" t="s">
        <v>268</v>
      </c>
      <c r="E44" s="298" t="s">
        <v>783</v>
      </c>
      <c r="F44" s="299" t="s">
        <v>59</v>
      </c>
      <c r="G44" s="300">
        <v>44778</v>
      </c>
      <c r="H44" s="303">
        <v>-2</v>
      </c>
      <c r="I44" s="303">
        <v>1019.97</v>
      </c>
      <c r="J44" s="322" t="str">
        <f t="shared" si="0"/>
        <v>Derivados Cap IV, Sec II - SIC &amp; BMV</v>
      </c>
      <c r="K44" s="305">
        <f>IF(F44="MXN",1/HLOOKUP(YEAR(G44)+(MONTH(G44)/100),TC!$5:$37,DAY(G44)+2,FALSE),VLOOKUP(F44,Equivalencia!$5:$23,((MAX(Equivalencia!$3:$3)-YEAR(G44))*14)+MONTH(G44)+2,FALSE))</f>
        <v>1</v>
      </c>
      <c r="L44" s="306">
        <f t="shared" si="4"/>
        <v>1019.97</v>
      </c>
      <c r="M44" s="305">
        <f>IF(G44=0,0,HLOOKUP(YEAR(G44)+(MONTH(G44)/100),TC!$5:$37,DAY(G44)+2,FALSE))</f>
        <v>20.630500000000001</v>
      </c>
      <c r="N44" s="306">
        <f t="shared" si="5"/>
        <v>21042.491085000001</v>
      </c>
      <c r="O44" s="308">
        <f>IF(G44=0,0,VLOOKUP(YEAR(G44),INPC!$B$4:$P$30,MONTH(G44)+2))</f>
        <v>123.803</v>
      </c>
      <c r="P44" s="308">
        <f>IF(W44=0,0,IF(OR(C44=$AQ$5,C44=AQ48),VLOOKUP(YEAR(W44),INPC!$B$4:$P$30,MONTH(W44)+1),VLOOKUP(YEAR(W44),INPC!$B$4:$P$30,MONTH(W44)+2)))</f>
        <v>125.997</v>
      </c>
      <c r="Q44" s="309">
        <f t="shared" si="6"/>
        <v>1.0177</v>
      </c>
      <c r="R44" s="310">
        <f t="shared" si="7"/>
        <v>21414.943177204503</v>
      </c>
      <c r="S44" s="310">
        <f t="shared" si="8"/>
        <v>10707.471588602251</v>
      </c>
      <c r="T44" s="559" t="str">
        <f t="shared" si="9"/>
        <v>SI</v>
      </c>
      <c r="U44" s="323">
        <v>2</v>
      </c>
      <c r="V44" s="299" t="s">
        <v>267</v>
      </c>
      <c r="W44" s="300">
        <v>44879</v>
      </c>
      <c r="X44" s="299" t="s">
        <v>59</v>
      </c>
      <c r="Y44" s="303">
        <v>-8.8000000000000007</v>
      </c>
      <c r="Z44" s="305">
        <f>IF(Y44=0,0,IF(X44="MXN",1/HLOOKUP(YEAR(W44)+(MONTH(W44)/100),TC!$5:$37,DAY(W44)+2,FALSE),VLOOKUP(X44,Equivalencia!$1:$23,((MAX(Equivalencia!$3:$3)-YEAR(W44))*14)+MONTH(W44)+2,FALSE)))</f>
        <v>1</v>
      </c>
      <c r="AA44" s="306">
        <f t="shared" si="16"/>
        <v>-8.8000000000000007</v>
      </c>
      <c r="AB44" s="305">
        <f>+IF(W44=0,0,HLOOKUP(YEAR(W44)+(MONTH(W44)/100),TC!$5:$37,DAY(W44)+2,FALSE))</f>
        <v>19.393999999999998</v>
      </c>
      <c r="AC44" s="306">
        <f t="shared" si="15"/>
        <v>-170.66720000000001</v>
      </c>
      <c r="AD44" s="314">
        <f t="shared" si="10"/>
        <v>21414.943177204503</v>
      </c>
      <c r="AE44" s="315">
        <f t="shared" si="11"/>
        <v>21244.275977204503</v>
      </c>
      <c r="AF44" s="316">
        <f t="shared" si="3"/>
        <v>1</v>
      </c>
      <c r="AG44" s="314">
        <v>1</v>
      </c>
      <c r="AH44" s="314">
        <f t="shared" si="12"/>
        <v>21244.275977204503</v>
      </c>
      <c r="AI44" s="314">
        <f t="shared" si="13"/>
        <v>0</v>
      </c>
      <c r="AJ44" s="317"/>
      <c r="AK44" s="315">
        <f t="shared" si="14"/>
        <v>1011.1700000000001</v>
      </c>
      <c r="AM44" s="553"/>
      <c r="AN44" s="553"/>
      <c r="AO44" s="553"/>
    </row>
    <row r="45" spans="2:41">
      <c r="B45" s="296" t="s">
        <v>851</v>
      </c>
      <c r="C45" s="299" t="s">
        <v>114</v>
      </c>
      <c r="D45" s="296" t="s">
        <v>268</v>
      </c>
      <c r="E45" s="298" t="s">
        <v>784</v>
      </c>
      <c r="F45" s="299" t="s">
        <v>59</v>
      </c>
      <c r="G45" s="300">
        <v>44778</v>
      </c>
      <c r="H45" s="303">
        <v>-7</v>
      </c>
      <c r="I45" s="303">
        <v>4171.8999999999996</v>
      </c>
      <c r="J45" s="322" t="str">
        <f t="shared" si="0"/>
        <v>Derivados Cap IV, Sec II - SIC &amp; BMV</v>
      </c>
      <c r="K45" s="305">
        <f>IF(F45="MXN",1/HLOOKUP(YEAR(G45)+(MONTH(G45)/100),TC!$5:$37,DAY(G45)+2,FALSE),VLOOKUP(F45,Equivalencia!$5:$23,((MAX(Equivalencia!$3:$3)-YEAR(G45))*14)+MONTH(G45)+2,FALSE))</f>
        <v>1</v>
      </c>
      <c r="L45" s="306">
        <f t="shared" si="4"/>
        <v>4171.8999999999996</v>
      </c>
      <c r="M45" s="305">
        <f>IF(G45=0,0,HLOOKUP(YEAR(G45)+(MONTH(G45)/100),TC!$5:$37,DAY(G45)+2,FALSE))</f>
        <v>20.630500000000001</v>
      </c>
      <c r="N45" s="306">
        <f t="shared" si="5"/>
        <v>86068.382949999999</v>
      </c>
      <c r="O45" s="308">
        <f>IF(G45=0,0,VLOOKUP(YEAR(G45),INPC!$B$4:$P$30,MONTH(G45)+2))</f>
        <v>123.803</v>
      </c>
      <c r="P45" s="308">
        <f>IF(W45=0,0,IF(OR(C45=$AQ$5,C45=AQ49),VLOOKUP(YEAR(W45),INPC!$B$4:$P$30,MONTH(W45)+1),VLOOKUP(YEAR(W45),INPC!$B$4:$P$30,MONTH(W45)+2)))</f>
        <v>125.276</v>
      </c>
      <c r="Q45" s="309">
        <f t="shared" si="6"/>
        <v>1.0118</v>
      </c>
      <c r="R45" s="310">
        <f t="shared" si="7"/>
        <v>87083.989868810007</v>
      </c>
      <c r="S45" s="310">
        <f t="shared" si="8"/>
        <v>12440.569981258572</v>
      </c>
      <c r="T45" s="559" t="str">
        <f t="shared" si="9"/>
        <v>SI</v>
      </c>
      <c r="U45" s="323">
        <v>7</v>
      </c>
      <c r="V45" s="299" t="s">
        <v>267</v>
      </c>
      <c r="W45" s="300">
        <v>44853</v>
      </c>
      <c r="X45" s="299" t="s">
        <v>59</v>
      </c>
      <c r="Y45" s="303">
        <v>-5866</v>
      </c>
      <c r="Z45" s="305">
        <f>IF(Y45=0,0,IF(X45="MXN",1/HLOOKUP(YEAR(W45)+(MONTH(W45)/100),TC!$5:$37,DAY(W45)+2,FALSE),VLOOKUP(X45,Equivalencia!$1:$23,((MAX(Equivalencia!$3:$3)-YEAR(W45))*14)+MONTH(W45)+2,FALSE)))</f>
        <v>1</v>
      </c>
      <c r="AA45" s="306">
        <f t="shared" si="16"/>
        <v>-5866</v>
      </c>
      <c r="AB45" s="305">
        <f>+IF(W45=0,0,HLOOKUP(YEAR(W45)+(MONTH(W45)/100),TC!$5:$37,DAY(W45)+2,FALSE))</f>
        <v>19.991299999999999</v>
      </c>
      <c r="AC45" s="306">
        <f t="shared" si="15"/>
        <v>-117268.96579999999</v>
      </c>
      <c r="AD45" s="314">
        <f t="shared" si="10"/>
        <v>87083.989868810007</v>
      </c>
      <c r="AE45" s="315">
        <f t="shared" si="11"/>
        <v>-30184.975931189983</v>
      </c>
      <c r="AF45" s="316">
        <f t="shared" si="3"/>
        <v>1</v>
      </c>
      <c r="AG45" s="314">
        <v>1</v>
      </c>
      <c r="AH45" s="314">
        <f t="shared" si="12"/>
        <v>-30184.975931189983</v>
      </c>
      <c r="AI45" s="314">
        <f t="shared" si="13"/>
        <v>0</v>
      </c>
      <c r="AJ45" s="317"/>
      <c r="AK45" s="315">
        <f t="shared" si="14"/>
        <v>-1694.1000000000004</v>
      </c>
      <c r="AM45" s="553"/>
      <c r="AN45" s="553"/>
      <c r="AO45" s="553"/>
    </row>
    <row r="46" spans="2:41">
      <c r="B46" s="296" t="s">
        <v>851</v>
      </c>
      <c r="C46" s="299" t="s">
        <v>114</v>
      </c>
      <c r="D46" s="296" t="s">
        <v>268</v>
      </c>
      <c r="E46" s="298" t="s">
        <v>785</v>
      </c>
      <c r="F46" s="299" t="s">
        <v>59</v>
      </c>
      <c r="G46" s="300">
        <v>44785</v>
      </c>
      <c r="H46" s="303">
        <v>-6</v>
      </c>
      <c r="I46" s="303">
        <v>2231.94</v>
      </c>
      <c r="J46" s="322" t="str">
        <f t="shared" si="0"/>
        <v>Derivados Cap IV, Sec II - SIC &amp; BMV</v>
      </c>
      <c r="K46" s="305">
        <f>IF(F46="MXN",1/HLOOKUP(YEAR(G46)+(MONTH(G46)/100),TC!$5:$37,DAY(G46)+2,FALSE),VLOOKUP(F46,Equivalencia!$5:$23,((MAX(Equivalencia!$3:$3)-YEAR(G46))*14)+MONTH(G46)+2,FALSE))</f>
        <v>1</v>
      </c>
      <c r="L46" s="306">
        <f t="shared" si="4"/>
        <v>2231.94</v>
      </c>
      <c r="M46" s="305">
        <f>IF(G46=0,0,HLOOKUP(YEAR(G46)+(MONTH(G46)/100),TC!$5:$37,DAY(G46)+2,FALSE))</f>
        <v>19.956199999999999</v>
      </c>
      <c r="N46" s="306">
        <f t="shared" si="5"/>
        <v>44541.041028</v>
      </c>
      <c r="O46" s="308">
        <f>IF(G46=0,0,VLOOKUP(YEAR(G46),INPC!$B$4:$P$30,MONTH(G46)+2))</f>
        <v>123.803</v>
      </c>
      <c r="P46" s="308">
        <f>IF(W46=0,0,IF(OR(C46=$AQ$5,C46=AQ50),VLOOKUP(YEAR(W46),INPC!$B$4:$P$30,MONTH(W46)+1),VLOOKUP(YEAR(W46),INPC!$B$4:$P$30,MONTH(W46)+2)))</f>
        <v>124.571</v>
      </c>
      <c r="Q46" s="309">
        <f t="shared" si="6"/>
        <v>1.0062</v>
      </c>
      <c r="R46" s="310">
        <f t="shared" si="7"/>
        <v>44817.195482373601</v>
      </c>
      <c r="S46" s="310">
        <f t="shared" si="8"/>
        <v>7469.5325803956002</v>
      </c>
      <c r="T46" s="559" t="str">
        <f t="shared" si="9"/>
        <v>SI</v>
      </c>
      <c r="U46" s="323">
        <v>6</v>
      </c>
      <c r="V46" s="299" t="s">
        <v>267</v>
      </c>
      <c r="W46" s="300">
        <v>44823</v>
      </c>
      <c r="X46" s="299" t="s">
        <v>59</v>
      </c>
      <c r="Y46" s="303">
        <v>-8592</v>
      </c>
      <c r="Z46" s="305">
        <f>IF(Y46=0,0,IF(X46="MXN",1/HLOOKUP(YEAR(W46)+(MONTH(W46)/100),TC!$5:$37,DAY(W46)+2,FALSE),VLOOKUP(X46,Equivalencia!$1:$23,((MAX(Equivalencia!$3:$3)-YEAR(W46))*14)+MONTH(W46)+2,FALSE)))</f>
        <v>1</v>
      </c>
      <c r="AA46" s="306">
        <f t="shared" si="16"/>
        <v>-8592</v>
      </c>
      <c r="AB46" s="305">
        <f>+IF(W46=0,0,HLOOKUP(YEAR(W46)+(MONTH(W46)/100),TC!$5:$37,DAY(W46)+2,FALSE))</f>
        <v>19.976800000000001</v>
      </c>
      <c r="AC46" s="306">
        <f t="shared" si="15"/>
        <v>-171640.66560000001</v>
      </c>
      <c r="AD46" s="314">
        <f t="shared" si="10"/>
        <v>44817.195482373601</v>
      </c>
      <c r="AE46" s="315">
        <f t="shared" si="11"/>
        <v>-126823.47011762641</v>
      </c>
      <c r="AF46" s="316">
        <f t="shared" si="3"/>
        <v>1</v>
      </c>
      <c r="AG46" s="314">
        <v>1</v>
      </c>
      <c r="AH46" s="314">
        <f t="shared" si="12"/>
        <v>-126823.47011762641</v>
      </c>
      <c r="AI46" s="314">
        <f t="shared" si="13"/>
        <v>0</v>
      </c>
      <c r="AJ46" s="317"/>
      <c r="AK46" s="315">
        <f t="shared" si="14"/>
        <v>-6360.0599999999995</v>
      </c>
      <c r="AM46" s="553"/>
      <c r="AN46" s="553"/>
      <c r="AO46" s="553"/>
    </row>
    <row r="47" spans="2:41">
      <c r="B47" s="296" t="s">
        <v>851</v>
      </c>
      <c r="C47" s="299" t="s">
        <v>114</v>
      </c>
      <c r="D47" s="296" t="s">
        <v>268</v>
      </c>
      <c r="E47" s="298" t="s">
        <v>786</v>
      </c>
      <c r="F47" s="299" t="s">
        <v>59</v>
      </c>
      <c r="G47" s="300">
        <v>44789</v>
      </c>
      <c r="H47" s="303">
        <v>-2</v>
      </c>
      <c r="I47" s="303">
        <v>971.97</v>
      </c>
      <c r="J47" s="322" t="str">
        <f t="shared" si="0"/>
        <v>Derivados Cap IV, Sec II - SIC &amp; BMV</v>
      </c>
      <c r="K47" s="305">
        <f>IF(F47="MXN",1/HLOOKUP(YEAR(G47)+(MONTH(G47)/100),TC!$5:$37,DAY(G47)+2,FALSE),VLOOKUP(F47,Equivalencia!$5:$23,((MAX(Equivalencia!$3:$3)-YEAR(G47))*14)+MONTH(G47)+2,FALSE))</f>
        <v>1</v>
      </c>
      <c r="L47" s="306">
        <f t="shared" si="4"/>
        <v>971.97</v>
      </c>
      <c r="M47" s="305">
        <f>IF(G47=0,0,HLOOKUP(YEAR(G47)+(MONTH(G47)/100),TC!$5:$37,DAY(G47)+2,FALSE))</f>
        <v>19.873999999999999</v>
      </c>
      <c r="N47" s="306">
        <f t="shared" si="5"/>
        <v>19316.931779999999</v>
      </c>
      <c r="O47" s="308">
        <f>IF(G47=0,0,VLOOKUP(YEAR(G47),INPC!$B$4:$P$30,MONTH(G47)+2))</f>
        <v>123.803</v>
      </c>
      <c r="P47" s="308">
        <f>IF(W47=0,0,IF(OR(C47=$AQ$5,C47=AQ51),VLOOKUP(YEAR(W47),INPC!$B$4:$P$30,MONTH(W47)+1),VLOOKUP(YEAR(W47),INPC!$B$4:$P$30,MONTH(W47)+2)))</f>
        <v>125.997</v>
      </c>
      <c r="Q47" s="309">
        <f t="shared" si="6"/>
        <v>1.0177</v>
      </c>
      <c r="R47" s="310">
        <f t="shared" si="7"/>
        <v>19658.841472505999</v>
      </c>
      <c r="S47" s="310">
        <f t="shared" si="8"/>
        <v>9829.4207362529996</v>
      </c>
      <c r="T47" s="559" t="str">
        <f t="shared" si="9"/>
        <v>SI</v>
      </c>
      <c r="U47" s="323">
        <v>2</v>
      </c>
      <c r="V47" s="299" t="s">
        <v>267</v>
      </c>
      <c r="W47" s="300">
        <v>44879</v>
      </c>
      <c r="X47" s="299" t="s">
        <v>59</v>
      </c>
      <c r="Y47" s="303">
        <v>-48</v>
      </c>
      <c r="Z47" s="305">
        <f>IF(Y47=0,0,IF(X47="MXN",1/HLOOKUP(YEAR(W47)+(MONTH(W47)/100),TC!$5:$37,DAY(W47)+2,FALSE),VLOOKUP(X47,Equivalencia!$1:$23,((MAX(Equivalencia!$3:$3)-YEAR(W47))*14)+MONTH(W47)+2,FALSE)))</f>
        <v>1</v>
      </c>
      <c r="AA47" s="306">
        <f t="shared" si="16"/>
        <v>-48</v>
      </c>
      <c r="AB47" s="305">
        <f>+IF(W47=0,0,HLOOKUP(YEAR(W47)+(MONTH(W47)/100),TC!$5:$37,DAY(W47)+2,FALSE))</f>
        <v>19.393999999999998</v>
      </c>
      <c r="AC47" s="306">
        <f t="shared" si="15"/>
        <v>-930.91199999999992</v>
      </c>
      <c r="AD47" s="314">
        <f t="shared" si="10"/>
        <v>19658.841472505999</v>
      </c>
      <c r="AE47" s="315">
        <f t="shared" si="11"/>
        <v>18727.929472505999</v>
      </c>
      <c r="AF47" s="316">
        <f t="shared" si="3"/>
        <v>1</v>
      </c>
      <c r="AG47" s="314">
        <v>1</v>
      </c>
      <c r="AH47" s="314">
        <f t="shared" si="12"/>
        <v>18727.929472505999</v>
      </c>
      <c r="AI47" s="314">
        <f t="shared" si="13"/>
        <v>0</v>
      </c>
      <c r="AJ47" s="317"/>
      <c r="AK47" s="315">
        <f t="shared" si="14"/>
        <v>923.97</v>
      </c>
      <c r="AM47" s="553"/>
      <c r="AN47" s="553"/>
      <c r="AO47" s="553"/>
    </row>
    <row r="48" spans="2:41">
      <c r="B48" s="296" t="s">
        <v>851</v>
      </c>
      <c r="C48" s="299" t="s">
        <v>114</v>
      </c>
      <c r="D48" s="296" t="s">
        <v>268</v>
      </c>
      <c r="E48" s="298" t="s">
        <v>787</v>
      </c>
      <c r="F48" s="299" t="s">
        <v>59</v>
      </c>
      <c r="G48" s="300">
        <v>44789</v>
      </c>
      <c r="H48" s="303">
        <v>-6</v>
      </c>
      <c r="I48" s="303">
        <v>1349.96</v>
      </c>
      <c r="J48" s="322" t="str">
        <f t="shared" si="0"/>
        <v>Derivados Cap IV, Sec II - SIC &amp; BMV</v>
      </c>
      <c r="K48" s="305">
        <f>IF(F48="MXN",1/HLOOKUP(YEAR(G48)+(MONTH(G48)/100),TC!$5:$37,DAY(G48)+2,FALSE),VLOOKUP(F48,Equivalencia!$5:$23,((MAX(Equivalencia!$3:$3)-YEAR(G48))*14)+MONTH(G48)+2,FALSE))</f>
        <v>1</v>
      </c>
      <c r="L48" s="306">
        <f t="shared" si="4"/>
        <v>1349.96</v>
      </c>
      <c r="M48" s="305">
        <f>IF(G48=0,0,HLOOKUP(YEAR(G48)+(MONTH(G48)/100),TC!$5:$37,DAY(G48)+2,FALSE))</f>
        <v>19.873999999999999</v>
      </c>
      <c r="N48" s="306">
        <f t="shared" si="5"/>
        <v>26829.105039999999</v>
      </c>
      <c r="O48" s="308">
        <f>IF(G48=0,0,VLOOKUP(YEAR(G48),INPC!$B$4:$P$30,MONTH(G48)+2))</f>
        <v>123.803</v>
      </c>
      <c r="P48" s="308">
        <f>IF(W48=0,0,IF(OR(C48=$AQ$5,C48=AQ52),VLOOKUP(YEAR(W48),INPC!$B$4:$P$30,MONTH(W48)+1),VLOOKUP(YEAR(W48),INPC!$B$4:$P$30,MONTH(W48)+2)))</f>
        <v>124.571</v>
      </c>
      <c r="Q48" s="309">
        <f t="shared" si="6"/>
        <v>1.0062</v>
      </c>
      <c r="R48" s="310">
        <f t="shared" si="7"/>
        <v>26995.445491248</v>
      </c>
      <c r="S48" s="310">
        <f t="shared" si="8"/>
        <v>4499.2409152079999</v>
      </c>
      <c r="T48" s="559" t="str">
        <f t="shared" si="9"/>
        <v>SI</v>
      </c>
      <c r="U48" s="323">
        <v>6</v>
      </c>
      <c r="V48" s="299" t="s">
        <v>267</v>
      </c>
      <c r="W48" s="300">
        <v>44819</v>
      </c>
      <c r="X48" s="299" t="s">
        <v>59</v>
      </c>
      <c r="Y48" s="303">
        <v>-8584.08</v>
      </c>
      <c r="Z48" s="305">
        <f>IF(Y48=0,0,IF(X48="MXN",1/HLOOKUP(YEAR(W48)+(MONTH(W48)/100),TC!$5:$37,DAY(W48)+2,FALSE),VLOOKUP(X48,Equivalencia!$1:$23,((MAX(Equivalencia!$3:$3)-YEAR(W48))*14)+MONTH(W48)+2,FALSE)))</f>
        <v>1</v>
      </c>
      <c r="AA48" s="306">
        <f t="shared" si="16"/>
        <v>-8584.08</v>
      </c>
      <c r="AB48" s="305">
        <f>+IF(W48=0,0,HLOOKUP(YEAR(W48)+(MONTH(W48)/100),TC!$5:$37,DAY(W48)+2,FALSE))</f>
        <v>20.055</v>
      </c>
      <c r="AC48" s="306">
        <f t="shared" si="15"/>
        <v>-172153.72440000001</v>
      </c>
      <c r="AD48" s="314">
        <f t="shared" si="10"/>
        <v>26995.445491248</v>
      </c>
      <c r="AE48" s="315">
        <f t="shared" si="11"/>
        <v>-145158.27890875202</v>
      </c>
      <c r="AF48" s="316">
        <f t="shared" si="3"/>
        <v>1</v>
      </c>
      <c r="AG48" s="314">
        <v>1</v>
      </c>
      <c r="AH48" s="314">
        <f t="shared" si="12"/>
        <v>-145158.27890875202</v>
      </c>
      <c r="AI48" s="314">
        <f t="shared" si="13"/>
        <v>0</v>
      </c>
      <c r="AJ48" s="317"/>
      <c r="AK48" s="315">
        <f t="shared" si="14"/>
        <v>-7234.12</v>
      </c>
      <c r="AM48" s="553"/>
      <c r="AN48" s="553"/>
      <c r="AO48" s="553"/>
    </row>
    <row r="49" spans="2:41">
      <c r="B49" s="296" t="s">
        <v>851</v>
      </c>
      <c r="C49" s="299" t="s">
        <v>114</v>
      </c>
      <c r="D49" s="296" t="s">
        <v>268</v>
      </c>
      <c r="E49" s="298" t="s">
        <v>788</v>
      </c>
      <c r="F49" s="299" t="s">
        <v>59</v>
      </c>
      <c r="G49" s="300">
        <v>44798</v>
      </c>
      <c r="H49" s="303">
        <v>-5</v>
      </c>
      <c r="I49" s="303">
        <v>2229.94</v>
      </c>
      <c r="J49" s="322" t="str">
        <f t="shared" si="0"/>
        <v>Derivados Cap IV, Sec II - SIC &amp; BMV</v>
      </c>
      <c r="K49" s="305">
        <f>IF(F49="MXN",1/HLOOKUP(YEAR(G49)+(MONTH(G49)/100),TC!$5:$37,DAY(G49)+2,FALSE),VLOOKUP(F49,Equivalencia!$5:$23,((MAX(Equivalencia!$3:$3)-YEAR(G49))*14)+MONTH(G49)+2,FALSE))</f>
        <v>1</v>
      </c>
      <c r="L49" s="306">
        <f t="shared" si="4"/>
        <v>2229.94</v>
      </c>
      <c r="M49" s="305">
        <f>IF(G49=0,0,HLOOKUP(YEAR(G49)+(MONTH(G49)/100),TC!$5:$37,DAY(G49)+2,FALSE))</f>
        <v>19.998200000000001</v>
      </c>
      <c r="N49" s="306">
        <f t="shared" si="5"/>
        <v>44594.786108</v>
      </c>
      <c r="O49" s="308">
        <f>IF(G49=0,0,VLOOKUP(YEAR(G49),INPC!$B$4:$P$30,MONTH(G49)+2))</f>
        <v>123.803</v>
      </c>
      <c r="P49" s="308">
        <f>IF(W49=0,0,IF(OR(C49=$AQ$5,C49=AQ53),VLOOKUP(YEAR(W49),INPC!$B$4:$P$30,MONTH(W49)+1),VLOOKUP(YEAR(W49),INPC!$B$4:$P$30,MONTH(W49)+2)))</f>
        <v>125.276</v>
      </c>
      <c r="Q49" s="309">
        <f t="shared" si="6"/>
        <v>1.0118</v>
      </c>
      <c r="R49" s="310">
        <f t="shared" si="7"/>
        <v>45121.004584074399</v>
      </c>
      <c r="S49" s="310">
        <f t="shared" si="8"/>
        <v>9024.2009168148797</v>
      </c>
      <c r="T49" s="559" t="str">
        <f t="shared" si="9"/>
        <v>SI</v>
      </c>
      <c r="U49" s="323">
        <v>5</v>
      </c>
      <c r="V49" s="299" t="s">
        <v>267</v>
      </c>
      <c r="W49" s="300">
        <v>44838</v>
      </c>
      <c r="X49" s="299" t="s">
        <v>59</v>
      </c>
      <c r="Y49" s="303">
        <v>-6700.8</v>
      </c>
      <c r="Z49" s="305">
        <f>IF(Y49=0,0,IF(X49="MXN",1/HLOOKUP(YEAR(W49)+(MONTH(W49)/100),TC!$5:$37,DAY(W49)+2,FALSE),VLOOKUP(X49,Equivalencia!$1:$23,((MAX(Equivalencia!$3:$3)-YEAR(W49))*14)+MONTH(W49)+2,FALSE)))</f>
        <v>1</v>
      </c>
      <c r="AA49" s="306">
        <f t="shared" si="16"/>
        <v>-6700.8</v>
      </c>
      <c r="AB49" s="305">
        <f>+IF(W49=0,0,HLOOKUP(YEAR(W49)+(MONTH(W49)/100),TC!$5:$37,DAY(W49)+2,FALSE))</f>
        <v>20.092500000000001</v>
      </c>
      <c r="AC49" s="306">
        <f t="shared" si="15"/>
        <v>-134635.82400000002</v>
      </c>
      <c r="AD49" s="314">
        <f t="shared" si="10"/>
        <v>45121.004584074399</v>
      </c>
      <c r="AE49" s="315">
        <f t="shared" si="11"/>
        <v>-89514.819415925624</v>
      </c>
      <c r="AF49" s="316">
        <f t="shared" si="3"/>
        <v>1</v>
      </c>
      <c r="AG49" s="314">
        <v>1</v>
      </c>
      <c r="AH49" s="314">
        <f t="shared" si="12"/>
        <v>-89514.819415925624</v>
      </c>
      <c r="AI49" s="314">
        <f t="shared" si="13"/>
        <v>0</v>
      </c>
      <c r="AJ49" s="317"/>
      <c r="AK49" s="315">
        <f t="shared" si="14"/>
        <v>-4470.8600000000006</v>
      </c>
      <c r="AM49" s="553"/>
      <c r="AN49" s="553"/>
      <c r="AO49" s="553"/>
    </row>
    <row r="50" spans="2:41">
      <c r="B50" s="296"/>
      <c r="C50" s="299"/>
      <c r="D50" s="296"/>
      <c r="E50" s="298"/>
      <c r="F50" s="299"/>
      <c r="G50" s="300"/>
      <c r="H50" s="303"/>
      <c r="I50" s="303"/>
      <c r="J50" s="322">
        <f t="shared" si="0"/>
        <v>0</v>
      </c>
      <c r="K50" s="305" t="e">
        <f>IF(F50="MXN",1/HLOOKUP(YEAR(G50)+(MONTH(G50)/100),TC!$5:$37,DAY(G50)+2,FALSE),VLOOKUP(F50,Equivalencia!$5:$23,((MAX(Equivalencia!$3:$3)-YEAR(G50))*14)+MONTH(G50)+2,FALSE))</f>
        <v>#N/A</v>
      </c>
      <c r="L50" s="306" t="e">
        <f t="shared" si="4"/>
        <v>#N/A</v>
      </c>
      <c r="M50" s="305">
        <f>IF(G50=0,0,HLOOKUP(YEAR(G50)+(MONTH(G50)/100),TC!$5:$37,DAY(G50)+2,FALSE))</f>
        <v>0</v>
      </c>
      <c r="N50" s="306" t="e">
        <f t="shared" si="5"/>
        <v>#N/A</v>
      </c>
      <c r="O50" s="308">
        <f>IF(G50=0,0,VLOOKUP(YEAR(G50),INPC!$B$4:$P$30,MONTH(G50)+2))</f>
        <v>0</v>
      </c>
      <c r="P50" s="308">
        <f>IF(W50=0,0,IF(OR(C50=$AQ$5,C50=AQ54),VLOOKUP(YEAR(W50),INPC!$B$4:$P$30,MONTH(W50)+1),VLOOKUP(YEAR(W50),INPC!$B$4:$P$30,MONTH(W50)+2)))</f>
        <v>0</v>
      </c>
      <c r="Q50" s="309">
        <f t="shared" si="6"/>
        <v>0</v>
      </c>
      <c r="R50" s="310" t="e">
        <f t="shared" si="7"/>
        <v>#N/A</v>
      </c>
      <c r="S50" s="310">
        <f t="shared" si="8"/>
        <v>0</v>
      </c>
      <c r="T50" s="559" t="str">
        <f t="shared" si="9"/>
        <v>NO</v>
      </c>
      <c r="U50" s="323"/>
      <c r="V50" s="299"/>
      <c r="W50" s="300"/>
      <c r="X50" s="299"/>
      <c r="Y50" s="303"/>
      <c r="Z50" s="305">
        <f>IF(Y50=0,0,IF(X50="MXN",1/HLOOKUP(YEAR(W50)+(MONTH(W50)/100),TC!$5:$37,DAY(W50)+2,FALSE),VLOOKUP(X50,Equivalencia!$1:$23,((MAX(Equivalencia!$3:$3)-YEAR(W50))*14)+MONTH(W50)+2,FALSE)))</f>
        <v>0</v>
      </c>
      <c r="AA50" s="306">
        <f t="shared" si="16"/>
        <v>0</v>
      </c>
      <c r="AB50" s="305">
        <f>+IF(W50=0,0,HLOOKUP(YEAR(W50)+(MONTH(W50)/100),TC!$5:$37,DAY(W50)+2,FALSE))</f>
        <v>0</v>
      </c>
      <c r="AC50" s="306">
        <f t="shared" si="15"/>
        <v>0</v>
      </c>
      <c r="AD50" s="314">
        <f t="shared" si="10"/>
        <v>0</v>
      </c>
      <c r="AE50" s="315">
        <f t="shared" si="11"/>
        <v>0</v>
      </c>
      <c r="AF50" s="316">
        <f t="shared" si="3"/>
        <v>0</v>
      </c>
      <c r="AG50" s="314">
        <v>1</v>
      </c>
      <c r="AH50" s="314">
        <f t="shared" si="12"/>
        <v>0</v>
      </c>
      <c r="AI50" s="314">
        <f t="shared" si="13"/>
        <v>0</v>
      </c>
      <c r="AJ50" s="317"/>
      <c r="AK50" s="315" t="e">
        <f t="shared" si="14"/>
        <v>#N/A</v>
      </c>
      <c r="AM50" s="553"/>
      <c r="AN50" s="553"/>
      <c r="AO50" s="553"/>
    </row>
    <row r="51" spans="2:41">
      <c r="B51" s="296"/>
      <c r="C51" s="299"/>
      <c r="D51" s="296"/>
      <c r="E51" s="298"/>
      <c r="F51" s="299"/>
      <c r="G51" s="300"/>
      <c r="H51" s="303"/>
      <c r="I51" s="303"/>
      <c r="J51" s="322">
        <f t="shared" si="0"/>
        <v>0</v>
      </c>
      <c r="K51" s="305" t="e">
        <f>IF(F51="MXN",1/HLOOKUP(YEAR(G51)+(MONTH(G51)/100),TC!$5:$37,DAY(G51)+2,FALSE),VLOOKUP(F51,Equivalencia!$5:$23,((MAX(Equivalencia!$3:$3)-YEAR(G51))*14)+MONTH(G51)+2,FALSE))</f>
        <v>#N/A</v>
      </c>
      <c r="L51" s="306" t="e">
        <f t="shared" si="4"/>
        <v>#N/A</v>
      </c>
      <c r="M51" s="305">
        <f>IF(G51=0,0,HLOOKUP(YEAR(G51)+(MONTH(G51)/100),TC!$5:$37,DAY(G51)+2,FALSE))</f>
        <v>0</v>
      </c>
      <c r="N51" s="306" t="e">
        <f t="shared" si="5"/>
        <v>#N/A</v>
      </c>
      <c r="O51" s="308">
        <f>IF(G51=0,0,VLOOKUP(YEAR(G51),INPC!$B$4:$P$30,MONTH(G51)+2))</f>
        <v>0</v>
      </c>
      <c r="P51" s="308">
        <f>IF(W51=0,0,IF(OR(C51=$AQ$5,C51=AQ55),VLOOKUP(YEAR(W51),INPC!$B$4:$P$30,MONTH(W51)+1),VLOOKUP(YEAR(W51),INPC!$B$4:$P$30,MONTH(W51)+2)))</f>
        <v>0</v>
      </c>
      <c r="Q51" s="309">
        <f t="shared" si="6"/>
        <v>0</v>
      </c>
      <c r="R51" s="310" t="e">
        <f t="shared" si="7"/>
        <v>#N/A</v>
      </c>
      <c r="S51" s="310">
        <f t="shared" si="8"/>
        <v>0</v>
      </c>
      <c r="T51" s="559" t="str">
        <f t="shared" si="9"/>
        <v>NO</v>
      </c>
      <c r="U51" s="323"/>
      <c r="V51" s="299"/>
      <c r="W51" s="300"/>
      <c r="X51" s="299"/>
      <c r="Y51" s="303"/>
      <c r="Z51" s="305">
        <f>IF(Y51=0,0,IF(X51="MXN",1/HLOOKUP(YEAR(W51)+(MONTH(W51)/100),TC!$5:$37,DAY(W51)+2,FALSE),VLOOKUP(X51,Equivalencia!$1:$23,((MAX(Equivalencia!$3:$3)-YEAR(W51))*14)+MONTH(W51)+2,FALSE)))</f>
        <v>0</v>
      </c>
      <c r="AA51" s="306">
        <f t="shared" si="16"/>
        <v>0</v>
      </c>
      <c r="AB51" s="305">
        <f>+IF(W51=0,0,HLOOKUP(YEAR(W51)+(MONTH(W51)/100),TC!$5:$37,DAY(W51)+2,FALSE))</f>
        <v>0</v>
      </c>
      <c r="AC51" s="306">
        <f t="shared" si="15"/>
        <v>0</v>
      </c>
      <c r="AD51" s="314">
        <f t="shared" si="10"/>
        <v>0</v>
      </c>
      <c r="AE51" s="315">
        <f t="shared" si="11"/>
        <v>0</v>
      </c>
      <c r="AF51" s="316">
        <f t="shared" si="3"/>
        <v>0</v>
      </c>
      <c r="AG51" s="314">
        <v>1</v>
      </c>
      <c r="AH51" s="314">
        <f t="shared" si="12"/>
        <v>0</v>
      </c>
      <c r="AI51" s="314">
        <f t="shared" si="13"/>
        <v>0</v>
      </c>
      <c r="AJ51" s="317"/>
      <c r="AK51" s="315" t="e">
        <f t="shared" si="14"/>
        <v>#N/A</v>
      </c>
      <c r="AM51" s="553"/>
      <c r="AN51" s="553"/>
      <c r="AO51" s="553"/>
    </row>
    <row r="52" spans="2:41">
      <c r="B52" s="659" t="s">
        <v>851</v>
      </c>
      <c r="C52" s="656" t="s">
        <v>114</v>
      </c>
      <c r="D52" s="659" t="s">
        <v>268</v>
      </c>
      <c r="E52" s="660" t="s">
        <v>760</v>
      </c>
      <c r="F52" s="656" t="s">
        <v>59</v>
      </c>
      <c r="G52" s="657">
        <v>44659</v>
      </c>
      <c r="H52" s="658">
        <v>-5</v>
      </c>
      <c r="I52" s="658">
        <f>(3137.98/6)*5</f>
        <v>2614.9833333333336</v>
      </c>
      <c r="J52" s="322" t="str">
        <f t="shared" si="0"/>
        <v>Derivados Cap IV, Sec II - SIC &amp; BMV</v>
      </c>
      <c r="K52" s="305">
        <f>IF(F52="MXN",1/HLOOKUP(YEAR(G52)+(MONTH(G52)/100),TC!$5:$37,DAY(G52)+2,FALSE),VLOOKUP(F52,Equivalencia!$5:$23,((MAX(Equivalencia!$3:$3)-YEAR(G52))*14)+MONTH(G52)+2,FALSE))</f>
        <v>1</v>
      </c>
      <c r="L52" s="306">
        <f t="shared" si="4"/>
        <v>2614.9833333333336</v>
      </c>
      <c r="M52" s="305">
        <f>IF(G52=0,0,HLOOKUP(YEAR(G52)+(MONTH(G52)/100),TC!$5:$37,DAY(G52)+2,FALSE))</f>
        <v>20.066500000000001</v>
      </c>
      <c r="N52" s="306">
        <f t="shared" si="5"/>
        <v>52473.56305833334</v>
      </c>
      <c r="O52" s="308">
        <f>IF(G52=0,0,VLOOKUP(YEAR(G52),INPC!$B$4:$P$30,MONTH(G52)+2))</f>
        <v>120.809</v>
      </c>
      <c r="P52" s="308">
        <f>IF(W52=0,0,IF(OR(C52=$AQ$5,C52=AQ56),VLOOKUP(YEAR(W52),INPC!$B$4:$P$30,MONTH(W52)+1),VLOOKUP(YEAR(W52),INPC!$B$4:$P$30,MONTH(W52)+2)))</f>
        <v>121.02200000000001</v>
      </c>
      <c r="Q52" s="309">
        <f t="shared" si="6"/>
        <v>1.0017</v>
      </c>
      <c r="R52" s="310">
        <f t="shared" si="7"/>
        <v>52562.768115532512</v>
      </c>
      <c r="S52" s="310">
        <f t="shared" si="8"/>
        <v>10512.553623106502</v>
      </c>
      <c r="T52" s="559" t="str">
        <f t="shared" si="9"/>
        <v>SI</v>
      </c>
      <c r="U52" s="655">
        <v>5</v>
      </c>
      <c r="V52" s="656" t="s">
        <v>266</v>
      </c>
      <c r="W52" s="657">
        <v>44705</v>
      </c>
      <c r="X52" s="656" t="s">
        <v>59</v>
      </c>
      <c r="Y52" s="658">
        <v>0</v>
      </c>
      <c r="Z52" s="305">
        <f>IF(Y52=0,0,IF(X52="MXN",1/HLOOKUP(YEAR(W52)+(MONTH(W52)/100),TC!$5:$37,DAY(W52)+2,FALSE),VLOOKUP(X52,Equivalencia!$1:$23,((MAX(Equivalencia!$3:$3)-YEAR(W52))*14)+MONTH(W52)+2,FALSE)))</f>
        <v>0</v>
      </c>
      <c r="AA52" s="306">
        <f t="shared" si="16"/>
        <v>0</v>
      </c>
      <c r="AB52" s="305">
        <f>+IF(W52=0,0,HLOOKUP(YEAR(W52)+(MONTH(W52)/100),TC!$5:$37,DAY(W52)+2,FALSE))</f>
        <v>19.8657</v>
      </c>
      <c r="AC52" s="306">
        <f t="shared" si="15"/>
        <v>0</v>
      </c>
      <c r="AD52" s="314">
        <f t="shared" si="10"/>
        <v>52562.768115532512</v>
      </c>
      <c r="AE52" s="315">
        <f t="shared" si="11"/>
        <v>52562.768115532512</v>
      </c>
      <c r="AF52" s="316">
        <f t="shared" si="3"/>
        <v>1</v>
      </c>
      <c r="AG52" s="314">
        <v>1</v>
      </c>
      <c r="AH52" s="314">
        <f t="shared" si="12"/>
        <v>52562.768115532512</v>
      </c>
      <c r="AI52" s="314">
        <f t="shared" si="13"/>
        <v>0</v>
      </c>
      <c r="AJ52" s="317"/>
      <c r="AK52" s="315">
        <f t="shared" si="14"/>
        <v>2614.9833333333336</v>
      </c>
      <c r="AM52" s="553"/>
      <c r="AN52" s="553"/>
      <c r="AO52" s="553"/>
    </row>
    <row r="53" spans="2:41">
      <c r="B53" s="675" t="s">
        <v>851</v>
      </c>
      <c r="C53" s="676" t="s">
        <v>114</v>
      </c>
      <c r="D53" s="675" t="s">
        <v>268</v>
      </c>
      <c r="E53" s="677" t="s">
        <v>762</v>
      </c>
      <c r="F53" s="676" t="s">
        <v>59</v>
      </c>
      <c r="G53" s="678">
        <v>44672</v>
      </c>
      <c r="H53" s="679">
        <v>-1</v>
      </c>
      <c r="I53" s="679">
        <f>(4529.97/6)*1</f>
        <v>754.995</v>
      </c>
      <c r="J53" s="322" t="str">
        <f t="shared" si="0"/>
        <v>Derivados Cap IV, Sec II - SIC &amp; BMV</v>
      </c>
      <c r="K53" s="305">
        <f>IF(F53="MXN",1/HLOOKUP(YEAR(G53)+(MONTH(G53)/100),TC!$5:$37,DAY(G53)+2,FALSE),VLOOKUP(F53,Equivalencia!$5:$23,((MAX(Equivalencia!$3:$3)-YEAR(G53))*14)+MONTH(G53)+2,FALSE))</f>
        <v>1</v>
      </c>
      <c r="L53" s="306">
        <f t="shared" si="4"/>
        <v>754.995</v>
      </c>
      <c r="M53" s="305">
        <f>IF(G53=0,0,HLOOKUP(YEAR(G53)+(MONTH(G53)/100),TC!$5:$37,DAY(G53)+2,FALSE))</f>
        <v>20.044699999999999</v>
      </c>
      <c r="N53" s="306">
        <f t="shared" si="5"/>
        <v>15133.6482765</v>
      </c>
      <c r="O53" s="308">
        <f>IF(G53=0,0,VLOOKUP(YEAR(G53),INPC!$B$4:$P$30,MONTH(G53)+2))</f>
        <v>120.809</v>
      </c>
      <c r="P53" s="308">
        <f>IF(W53=0,0,IF(OR(C53=$AQ$5,C53=AQ57),VLOOKUP(YEAR(W53),INPC!$B$4:$P$30,MONTH(W53)+1),VLOOKUP(YEAR(W53),INPC!$B$4:$P$30,MONTH(W53)+2)))</f>
        <v>122.044</v>
      </c>
      <c r="Q53" s="309">
        <f t="shared" si="6"/>
        <v>1.0102</v>
      </c>
      <c r="R53" s="310">
        <f t="shared" si="7"/>
        <v>15288.0114889203</v>
      </c>
      <c r="S53" s="310">
        <f t="shared" si="8"/>
        <v>15288.0114889203</v>
      </c>
      <c r="T53" s="559" t="str">
        <f t="shared" si="9"/>
        <v>SI</v>
      </c>
      <c r="U53" s="680">
        <v>1</v>
      </c>
      <c r="V53" s="676" t="s">
        <v>266</v>
      </c>
      <c r="W53" s="678">
        <v>44729</v>
      </c>
      <c r="X53" s="676" t="s">
        <v>59</v>
      </c>
      <c r="Y53" s="679">
        <v>0</v>
      </c>
      <c r="Z53" s="305">
        <f>IF(Y53=0,0,IF(X53="MXN",1/HLOOKUP(YEAR(W53)+(MONTH(W53)/100),TC!$5:$37,DAY(W53)+2,FALSE),VLOOKUP(X53,Equivalencia!$1:$23,((MAX(Equivalencia!$3:$3)-YEAR(W53))*14)+MONTH(W53)+2,FALSE)))</f>
        <v>0</v>
      </c>
      <c r="AA53" s="306">
        <f t="shared" si="16"/>
        <v>0</v>
      </c>
      <c r="AB53" s="305">
        <f>+IF(W53=0,0,HLOOKUP(YEAR(W53)+(MONTH(W53)/100),TC!$5:$37,DAY(W53)+2,FALSE))</f>
        <v>20.6675</v>
      </c>
      <c r="AC53" s="306">
        <f t="shared" si="15"/>
        <v>0</v>
      </c>
      <c r="AD53" s="314">
        <f t="shared" si="10"/>
        <v>15288.0114889203</v>
      </c>
      <c r="AE53" s="315">
        <f t="shared" si="11"/>
        <v>15288.0114889203</v>
      </c>
      <c r="AF53" s="316">
        <f t="shared" si="3"/>
        <v>1</v>
      </c>
      <c r="AG53" s="314">
        <v>1</v>
      </c>
      <c r="AH53" s="314">
        <f t="shared" si="12"/>
        <v>15288.0114889203</v>
      </c>
      <c r="AI53" s="314">
        <f t="shared" si="13"/>
        <v>0</v>
      </c>
      <c r="AJ53" s="317"/>
      <c r="AK53" s="315">
        <f t="shared" si="14"/>
        <v>754.995</v>
      </c>
      <c r="AM53" s="553"/>
      <c r="AN53" s="553"/>
      <c r="AO53" s="553"/>
    </row>
    <row r="54" spans="2:41">
      <c r="B54" s="675" t="s">
        <v>851</v>
      </c>
      <c r="C54" s="676" t="s">
        <v>114</v>
      </c>
      <c r="D54" s="675" t="s">
        <v>268</v>
      </c>
      <c r="E54" s="677" t="s">
        <v>762</v>
      </c>
      <c r="F54" s="676" t="s">
        <v>59</v>
      </c>
      <c r="G54" s="678">
        <v>44672</v>
      </c>
      <c r="H54" s="679">
        <v>-3</v>
      </c>
      <c r="I54" s="679">
        <f>(4529.97/6)*3</f>
        <v>2264.9850000000001</v>
      </c>
      <c r="J54" s="322" t="str">
        <f t="shared" si="0"/>
        <v>Derivados Cap IV, Sec II - SIC &amp; BMV</v>
      </c>
      <c r="K54" s="305">
        <f>IF(F54="MXN",1/HLOOKUP(YEAR(G54)+(MONTH(G54)/100),TC!$5:$37,DAY(G54)+2,FALSE),VLOOKUP(F54,Equivalencia!$5:$23,((MAX(Equivalencia!$3:$3)-YEAR(G54))*14)+MONTH(G54)+2,FALSE))</f>
        <v>1</v>
      </c>
      <c r="L54" s="306">
        <f t="shared" si="4"/>
        <v>2264.9850000000001</v>
      </c>
      <c r="M54" s="305">
        <f>IF(G54=0,0,HLOOKUP(YEAR(G54)+(MONTH(G54)/100),TC!$5:$37,DAY(G54)+2,FALSE))</f>
        <v>20.044699999999999</v>
      </c>
      <c r="N54" s="306">
        <f t="shared" si="5"/>
        <v>45400.944829499997</v>
      </c>
      <c r="O54" s="308">
        <f>IF(G54=0,0,VLOOKUP(YEAR(G54),INPC!$B$4:$P$30,MONTH(G54)+2))</f>
        <v>120.809</v>
      </c>
      <c r="P54" s="308">
        <f>IF(W54=0,0,IF(OR(C54=$AQ$5,C54=AQ58),VLOOKUP(YEAR(W54),INPC!$B$4:$P$30,MONTH(W54)+1),VLOOKUP(YEAR(W54),INPC!$B$4:$P$30,MONTH(W54)+2)))</f>
        <v>122.044</v>
      </c>
      <c r="Q54" s="309">
        <f t="shared" si="6"/>
        <v>1.0102</v>
      </c>
      <c r="R54" s="310">
        <f t="shared" si="7"/>
        <v>45864.034466760895</v>
      </c>
      <c r="S54" s="310">
        <f t="shared" si="8"/>
        <v>15288.011488920298</v>
      </c>
      <c r="T54" s="559" t="str">
        <f t="shared" si="9"/>
        <v>SI</v>
      </c>
      <c r="U54" s="680">
        <v>3</v>
      </c>
      <c r="V54" s="676" t="s">
        <v>266</v>
      </c>
      <c r="W54" s="678">
        <v>44734</v>
      </c>
      <c r="X54" s="676" t="s">
        <v>59</v>
      </c>
      <c r="Y54" s="679">
        <v>0</v>
      </c>
      <c r="Z54" s="305">
        <f>IF(Y54=0,0,IF(X54="MXN",1/HLOOKUP(YEAR(W54)+(MONTH(W54)/100),TC!$5:$37,DAY(W54)+2,FALSE),VLOOKUP(X54,Equivalencia!$1:$23,((MAX(Equivalencia!$3:$3)-YEAR(W54))*14)+MONTH(W54)+2,FALSE)))</f>
        <v>0</v>
      </c>
      <c r="AA54" s="306">
        <f t="shared" si="16"/>
        <v>0</v>
      </c>
      <c r="AB54" s="305">
        <f>+IF(W54=0,0,HLOOKUP(YEAR(W54)+(MONTH(W54)/100),TC!$5:$37,DAY(W54)+2,FALSE))</f>
        <v>20.244199999999999</v>
      </c>
      <c r="AC54" s="306">
        <f t="shared" si="15"/>
        <v>0</v>
      </c>
      <c r="AD54" s="314">
        <f t="shared" si="10"/>
        <v>45864.034466760895</v>
      </c>
      <c r="AE54" s="315">
        <f t="shared" si="11"/>
        <v>45864.034466760895</v>
      </c>
      <c r="AF54" s="316">
        <f t="shared" si="3"/>
        <v>1</v>
      </c>
      <c r="AG54" s="314">
        <v>1</v>
      </c>
      <c r="AH54" s="314">
        <f t="shared" si="12"/>
        <v>45864.034466760895</v>
      </c>
      <c r="AI54" s="314">
        <f t="shared" si="13"/>
        <v>0</v>
      </c>
      <c r="AJ54" s="317"/>
      <c r="AK54" s="315">
        <f t="shared" si="14"/>
        <v>2264.9850000000001</v>
      </c>
      <c r="AM54" s="553"/>
      <c r="AN54" s="553"/>
      <c r="AO54" s="553"/>
    </row>
    <row r="55" spans="2:41">
      <c r="B55" s="682" t="s">
        <v>851</v>
      </c>
      <c r="C55" s="683" t="s">
        <v>114</v>
      </c>
      <c r="D55" s="682" t="s">
        <v>268</v>
      </c>
      <c r="E55" s="684" t="s">
        <v>761</v>
      </c>
      <c r="F55" s="683" t="s">
        <v>59</v>
      </c>
      <c r="G55" s="685">
        <v>44663</v>
      </c>
      <c r="H55" s="686">
        <v>-2</v>
      </c>
      <c r="I55" s="686">
        <f>(7077.52/7)*2</f>
        <v>2022.1485714285716</v>
      </c>
      <c r="J55" s="322" t="str">
        <f t="shared" si="0"/>
        <v>Derivados Cap IV, Sec II - SIC &amp; BMV</v>
      </c>
      <c r="K55" s="305">
        <f>IF(F55="MXN",1/HLOOKUP(YEAR(G55)+(MONTH(G55)/100),TC!$5:$37,DAY(G55)+2,FALSE),VLOOKUP(F55,Equivalencia!$5:$23,((MAX(Equivalencia!$3:$3)-YEAR(G55))*14)+MONTH(G55)+2,FALSE))</f>
        <v>1</v>
      </c>
      <c r="L55" s="306">
        <f t="shared" si="4"/>
        <v>2022.1485714285716</v>
      </c>
      <c r="M55" s="305">
        <f>IF(G55=0,0,HLOOKUP(YEAR(G55)+(MONTH(G55)/100),TC!$5:$37,DAY(G55)+2,FALSE))</f>
        <v>20.12</v>
      </c>
      <c r="N55" s="306">
        <f t="shared" si="5"/>
        <v>40685.629257142864</v>
      </c>
      <c r="O55" s="308">
        <f>IF(G55=0,0,VLOOKUP(YEAR(G55),INPC!$B$4:$P$30,MONTH(G55)+2))</f>
        <v>120.809</v>
      </c>
      <c r="P55" s="308">
        <f>IF(W55=0,0,IF(OR(C55=$AQ$5,C55=AQ59),VLOOKUP(YEAR(W55),INPC!$B$4:$P$30,MONTH(W55)+1),VLOOKUP(YEAR(W55),INPC!$B$4:$P$30,MONTH(W55)+2)))</f>
        <v>122.94799999999999</v>
      </c>
      <c r="Q55" s="309">
        <f t="shared" si="6"/>
        <v>1.0177</v>
      </c>
      <c r="R55" s="310">
        <f t="shared" si="7"/>
        <v>41405.764894994296</v>
      </c>
      <c r="S55" s="310">
        <f t="shared" si="8"/>
        <v>20702.882447497148</v>
      </c>
      <c r="T55" s="559" t="str">
        <f t="shared" si="9"/>
        <v>SI</v>
      </c>
      <c r="U55" s="687">
        <v>2</v>
      </c>
      <c r="V55" s="683" t="s">
        <v>266</v>
      </c>
      <c r="W55" s="685">
        <v>44750</v>
      </c>
      <c r="X55" s="683" t="s">
        <v>59</v>
      </c>
      <c r="Y55" s="686">
        <v>0</v>
      </c>
      <c r="Z55" s="305">
        <f>IF(Y55=0,0,IF(X55="MXN",1/HLOOKUP(YEAR(W55)+(MONTH(W55)/100),TC!$5:$37,DAY(W55)+2,FALSE),VLOOKUP(X55,Equivalencia!$1:$23,((MAX(Equivalencia!$3:$3)-YEAR(W55))*14)+MONTH(W55)+2,FALSE)))</f>
        <v>0</v>
      </c>
      <c r="AA55" s="306">
        <f t="shared" si="16"/>
        <v>0</v>
      </c>
      <c r="AB55" s="305">
        <f>+IF(W55=0,0,HLOOKUP(YEAR(W55)+(MONTH(W55)/100),TC!$5:$37,DAY(W55)+2,FALSE))</f>
        <v>20.722799999999999</v>
      </c>
      <c r="AC55" s="306">
        <f t="shared" si="15"/>
        <v>0</v>
      </c>
      <c r="AD55" s="314">
        <f t="shared" si="10"/>
        <v>41405.764894994296</v>
      </c>
      <c r="AE55" s="315">
        <f t="shared" si="11"/>
        <v>41405.764894994296</v>
      </c>
      <c r="AF55" s="316">
        <f t="shared" si="3"/>
        <v>1</v>
      </c>
      <c r="AG55" s="314">
        <v>1</v>
      </c>
      <c r="AH55" s="314">
        <f t="shared" si="12"/>
        <v>41405.764894994296</v>
      </c>
      <c r="AI55" s="314">
        <f t="shared" si="13"/>
        <v>0</v>
      </c>
      <c r="AJ55" s="317"/>
      <c r="AK55" s="315">
        <f t="shared" si="14"/>
        <v>2022.1485714285716</v>
      </c>
      <c r="AM55" s="553"/>
      <c r="AN55" s="553"/>
      <c r="AO55" s="553"/>
    </row>
    <row r="56" spans="2:41">
      <c r="B56" s="682" t="s">
        <v>851</v>
      </c>
      <c r="C56" s="683" t="s">
        <v>114</v>
      </c>
      <c r="D56" s="682" t="s">
        <v>268</v>
      </c>
      <c r="E56" s="684" t="s">
        <v>761</v>
      </c>
      <c r="F56" s="683" t="s">
        <v>59</v>
      </c>
      <c r="G56" s="685">
        <v>44663</v>
      </c>
      <c r="H56" s="686">
        <v>-3</v>
      </c>
      <c r="I56" s="686">
        <f>(7077.52/7)*3</f>
        <v>3033.2228571428573</v>
      </c>
      <c r="J56" s="322" t="str">
        <f t="shared" si="0"/>
        <v>Derivados Cap IV, Sec II - SIC &amp; BMV</v>
      </c>
      <c r="K56" s="305">
        <f>IF(F56="MXN",1/HLOOKUP(YEAR(G56)+(MONTH(G56)/100),TC!$5:$37,DAY(G56)+2,FALSE),VLOOKUP(F56,Equivalencia!$5:$23,((MAX(Equivalencia!$3:$3)-YEAR(G56))*14)+MONTH(G56)+2,FALSE))</f>
        <v>1</v>
      </c>
      <c r="L56" s="306">
        <f t="shared" si="4"/>
        <v>3033.2228571428573</v>
      </c>
      <c r="M56" s="305">
        <f>IF(G56=0,0,HLOOKUP(YEAR(G56)+(MONTH(G56)/100),TC!$5:$37,DAY(G56)+2,FALSE))</f>
        <v>20.12</v>
      </c>
      <c r="N56" s="306">
        <f t="shared" si="5"/>
        <v>61028.443885714289</v>
      </c>
      <c r="O56" s="308">
        <f>IF(G56=0,0,VLOOKUP(YEAR(G56),INPC!$B$4:$P$30,MONTH(G56)+2))</f>
        <v>120.809</v>
      </c>
      <c r="P56" s="308">
        <f>IF(W56=0,0,IF(OR(C56=$AQ$5,C56=AQ60),VLOOKUP(YEAR(W56),INPC!$B$4:$P$30,MONTH(W56)+1),VLOOKUP(YEAR(W56),INPC!$B$4:$P$30,MONTH(W56)+2)))</f>
        <v>122.94799999999999</v>
      </c>
      <c r="Q56" s="309">
        <f t="shared" si="6"/>
        <v>1.0177</v>
      </c>
      <c r="R56" s="310">
        <f t="shared" si="7"/>
        <v>62108.647342491437</v>
      </c>
      <c r="S56" s="310">
        <f t="shared" si="8"/>
        <v>20702.882447497144</v>
      </c>
      <c r="T56" s="559" t="str">
        <f t="shared" si="9"/>
        <v>SI</v>
      </c>
      <c r="U56" s="687">
        <v>3</v>
      </c>
      <c r="V56" s="683" t="s">
        <v>266</v>
      </c>
      <c r="W56" s="685">
        <v>44753</v>
      </c>
      <c r="X56" s="683" t="s">
        <v>59</v>
      </c>
      <c r="Y56" s="686">
        <v>0</v>
      </c>
      <c r="Z56" s="305">
        <f>IF(Y56=0,0,IF(X56="MXN",1/HLOOKUP(YEAR(W56)+(MONTH(W56)/100),TC!$5:$37,DAY(W56)+2,FALSE),VLOOKUP(X56,Equivalencia!$1:$23,((MAX(Equivalencia!$3:$3)-YEAR(W56))*14)+MONTH(W56)+2,FALSE)))</f>
        <v>0</v>
      </c>
      <c r="AA56" s="306">
        <f t="shared" si="16"/>
        <v>0</v>
      </c>
      <c r="AB56" s="305">
        <f>+IF(W56=0,0,HLOOKUP(YEAR(W56)+(MONTH(W56)/100),TC!$5:$37,DAY(W56)+2,FALSE))</f>
        <v>20.6022</v>
      </c>
      <c r="AC56" s="306">
        <f t="shared" si="15"/>
        <v>0</v>
      </c>
      <c r="AD56" s="314">
        <f t="shared" si="10"/>
        <v>62108.647342491429</v>
      </c>
      <c r="AE56" s="315">
        <f t="shared" si="11"/>
        <v>62108.647342491429</v>
      </c>
      <c r="AF56" s="316">
        <f t="shared" si="3"/>
        <v>1</v>
      </c>
      <c r="AG56" s="314">
        <v>1</v>
      </c>
      <c r="AH56" s="314">
        <f t="shared" si="12"/>
        <v>62108.647342491429</v>
      </c>
      <c r="AI56" s="314">
        <f t="shared" si="13"/>
        <v>0</v>
      </c>
      <c r="AJ56" s="317"/>
      <c r="AK56" s="315">
        <f t="shared" si="14"/>
        <v>3033.2228571428573</v>
      </c>
      <c r="AM56" s="553"/>
      <c r="AN56" s="553"/>
      <c r="AO56" s="553"/>
    </row>
    <row r="57" spans="2:41">
      <c r="B57" s="296"/>
      <c r="C57" s="299"/>
      <c r="D57" s="296"/>
      <c r="E57" s="298"/>
      <c r="F57" s="299"/>
      <c r="G57" s="300"/>
      <c r="H57" s="303"/>
      <c r="I57" s="303"/>
      <c r="J57" s="322">
        <f t="shared" si="0"/>
        <v>0</v>
      </c>
      <c r="K57" s="305" t="e">
        <f>IF(F57="MXN",1/HLOOKUP(YEAR(G57)+(MONTH(G57)/100),TC!$5:$37,DAY(G57)+2,FALSE),VLOOKUP(F57,Equivalencia!$5:$23,((MAX(Equivalencia!$3:$3)-YEAR(G57))*14)+MONTH(G57)+2,FALSE))</f>
        <v>#N/A</v>
      </c>
      <c r="L57" s="306" t="e">
        <f t="shared" si="4"/>
        <v>#N/A</v>
      </c>
      <c r="M57" s="305">
        <f>IF(G57=0,0,HLOOKUP(YEAR(G57)+(MONTH(G57)/100),TC!$5:$37,DAY(G57)+2,FALSE))</f>
        <v>0</v>
      </c>
      <c r="N57" s="306" t="e">
        <f t="shared" si="5"/>
        <v>#N/A</v>
      </c>
      <c r="O57" s="308">
        <f>IF(G57=0,0,VLOOKUP(YEAR(G57),INPC!$B$4:$P$30,MONTH(G57)+2))</f>
        <v>0</v>
      </c>
      <c r="P57" s="308">
        <f>IF(W57=0,0,IF(OR(C57=$AQ$5,C57=AQ61),VLOOKUP(YEAR(W57),INPC!$B$4:$P$30,MONTH(W57)+1),VLOOKUP(YEAR(W57),INPC!$B$4:$P$30,MONTH(W57)+2)))</f>
        <v>0</v>
      </c>
      <c r="Q57" s="309">
        <f t="shared" si="6"/>
        <v>0</v>
      </c>
      <c r="R57" s="310" t="e">
        <f t="shared" si="7"/>
        <v>#N/A</v>
      </c>
      <c r="S57" s="310">
        <f t="shared" si="8"/>
        <v>0</v>
      </c>
      <c r="T57" s="559" t="str">
        <f t="shared" si="9"/>
        <v>NO</v>
      </c>
      <c r="U57" s="323"/>
      <c r="V57" s="299"/>
      <c r="W57" s="300"/>
      <c r="X57" s="299"/>
      <c r="Y57" s="303"/>
      <c r="Z57" s="305">
        <f>IF(Y57=0,0,IF(X57="MXN",1/HLOOKUP(YEAR(W57)+(MONTH(W57)/100),TC!$5:$37,DAY(W57)+2,FALSE),VLOOKUP(X57,Equivalencia!$1:$23,((MAX(Equivalencia!$3:$3)-YEAR(W57))*14)+MONTH(W57)+2,FALSE)))</f>
        <v>0</v>
      </c>
      <c r="AA57" s="306">
        <f t="shared" si="16"/>
        <v>0</v>
      </c>
      <c r="AB57" s="305">
        <f>+IF(W57=0,0,HLOOKUP(YEAR(W57)+(MONTH(W57)/100),TC!$5:$37,DAY(W57)+2,FALSE))</f>
        <v>0</v>
      </c>
      <c r="AC57" s="306">
        <f t="shared" si="15"/>
        <v>0</v>
      </c>
      <c r="AD57" s="314">
        <f t="shared" si="10"/>
        <v>0</v>
      </c>
      <c r="AE57" s="315">
        <f t="shared" si="11"/>
        <v>0</v>
      </c>
      <c r="AF57" s="316">
        <f t="shared" si="3"/>
        <v>0</v>
      </c>
      <c r="AG57" s="314">
        <v>1</v>
      </c>
      <c r="AH57" s="314">
        <f t="shared" si="12"/>
        <v>0</v>
      </c>
      <c r="AI57" s="314">
        <f t="shared" si="13"/>
        <v>0</v>
      </c>
      <c r="AJ57" s="317"/>
      <c r="AK57" s="315" t="e">
        <f t="shared" si="14"/>
        <v>#N/A</v>
      </c>
      <c r="AM57" s="553"/>
      <c r="AN57" s="553"/>
      <c r="AO57" s="553"/>
    </row>
    <row r="58" spans="2:41">
      <c r="B58" s="296" t="s">
        <v>851</v>
      </c>
      <c r="C58" s="299" t="s">
        <v>114</v>
      </c>
      <c r="D58" s="296" t="s">
        <v>268</v>
      </c>
      <c r="E58" s="298" t="s">
        <v>811</v>
      </c>
      <c r="F58" s="299" t="s">
        <v>59</v>
      </c>
      <c r="G58" s="300">
        <v>44838</v>
      </c>
      <c r="H58" s="303">
        <v>-5</v>
      </c>
      <c r="I58" s="303">
        <v>2774.93</v>
      </c>
      <c r="J58" s="322" t="str">
        <f t="shared" si="0"/>
        <v>Derivados Cap IV, Sec II - SIC &amp; BMV</v>
      </c>
      <c r="K58" s="305">
        <f>IF(F58="MXN",1/HLOOKUP(YEAR(G58)+(MONTH(G58)/100),TC!$5:$37,DAY(G58)+2,FALSE),VLOOKUP(F58,Equivalencia!$5:$23,((MAX(Equivalencia!$3:$3)-YEAR(G58))*14)+MONTH(G58)+2,FALSE))</f>
        <v>1</v>
      </c>
      <c r="L58" s="306">
        <f t="shared" si="4"/>
        <v>2774.93</v>
      </c>
      <c r="M58" s="305">
        <f>IF(G58=0,0,HLOOKUP(YEAR(G58)+(MONTH(G58)/100),TC!$5:$37,DAY(G58)+2,FALSE))</f>
        <v>20.092500000000001</v>
      </c>
      <c r="N58" s="306">
        <f t="shared" si="5"/>
        <v>55755.281024999997</v>
      </c>
      <c r="O58" s="308">
        <f>IF(G58=0,0,VLOOKUP(YEAR(G58),INPC!$B$4:$P$30,MONTH(G58)+2))</f>
        <v>125.276</v>
      </c>
      <c r="P58" s="308">
        <f>IF(W58=0,0,IF(OR(C58=$AQ$5,C58=AQ62),VLOOKUP(YEAR(W58),INPC!$B$4:$P$30,MONTH(W58)+1),VLOOKUP(YEAR(W58),INPC!$B$4:$P$30,MONTH(W58)+2)))</f>
        <v>125.997</v>
      </c>
      <c r="Q58" s="309">
        <f t="shared" si="6"/>
        <v>1.0057</v>
      </c>
      <c r="R58" s="310">
        <f t="shared" si="7"/>
        <v>56073.0861268425</v>
      </c>
      <c r="S58" s="310">
        <f t="shared" si="8"/>
        <v>11214.6172253685</v>
      </c>
      <c r="T58" s="559" t="str">
        <f t="shared" si="9"/>
        <v>SI</v>
      </c>
      <c r="U58" s="323">
        <v>5</v>
      </c>
      <c r="V58" s="299" t="s">
        <v>267</v>
      </c>
      <c r="W58" s="300">
        <v>44868</v>
      </c>
      <c r="X58" s="299" t="s">
        <v>59</v>
      </c>
      <c r="Y58" s="303">
        <v>-85</v>
      </c>
      <c r="Z58" s="305">
        <f>IF(Y58=0,0,IF(X58="MXN",1/HLOOKUP(YEAR(W58)+(MONTH(W58)/100),TC!$5:$37,DAY(W58)+2,FALSE),VLOOKUP(X58,Equivalencia!$1:$23,((MAX(Equivalencia!$3:$3)-YEAR(W58))*14)+MONTH(W58)+2,FALSE)))</f>
        <v>1</v>
      </c>
      <c r="AA58" s="306">
        <f t="shared" si="16"/>
        <v>-85</v>
      </c>
      <c r="AB58" s="305">
        <f>+IF(W58=0,0,HLOOKUP(YEAR(W58)+(MONTH(W58)/100),TC!$5:$37,DAY(W58)+2,FALSE))</f>
        <v>19.8245</v>
      </c>
      <c r="AC58" s="306">
        <f t="shared" si="15"/>
        <v>-1685.0825</v>
      </c>
      <c r="AD58" s="314">
        <f t="shared" si="10"/>
        <v>56073.0861268425</v>
      </c>
      <c r="AE58" s="315">
        <f t="shared" si="11"/>
        <v>54388.003626842503</v>
      </c>
      <c r="AF58" s="316">
        <f t="shared" si="3"/>
        <v>1</v>
      </c>
      <c r="AG58" s="314">
        <v>1</v>
      </c>
      <c r="AH58" s="314">
        <f t="shared" si="12"/>
        <v>54388.003626842503</v>
      </c>
      <c r="AI58" s="314">
        <f t="shared" si="13"/>
        <v>0</v>
      </c>
      <c r="AJ58" s="317"/>
      <c r="AK58" s="315">
        <f t="shared" si="14"/>
        <v>2689.93</v>
      </c>
      <c r="AM58" s="553"/>
      <c r="AN58" s="553"/>
      <c r="AO58" s="553"/>
    </row>
    <row r="59" spans="2:41">
      <c r="B59" s="296" t="s">
        <v>851</v>
      </c>
      <c r="C59" s="299" t="s">
        <v>114</v>
      </c>
      <c r="D59" s="296" t="s">
        <v>268</v>
      </c>
      <c r="E59" s="298" t="s">
        <v>812</v>
      </c>
      <c r="F59" s="299" t="s">
        <v>59</v>
      </c>
      <c r="G59" s="300">
        <v>44853</v>
      </c>
      <c r="H59" s="303">
        <v>-7</v>
      </c>
      <c r="I59" s="303">
        <v>4171.8999999999996</v>
      </c>
      <c r="J59" s="322" t="str">
        <f t="shared" si="0"/>
        <v>Derivados Cap IV, Sec II - SIC &amp; BMV</v>
      </c>
      <c r="K59" s="305">
        <f>IF(F59="MXN",1/HLOOKUP(YEAR(G59)+(MONTH(G59)/100),TC!$5:$37,DAY(G59)+2,FALSE),VLOOKUP(F59,Equivalencia!$5:$23,((MAX(Equivalencia!$3:$3)-YEAR(G59))*14)+MONTH(G59)+2,FALSE))</f>
        <v>1</v>
      </c>
      <c r="L59" s="306">
        <f t="shared" si="4"/>
        <v>4171.8999999999996</v>
      </c>
      <c r="M59" s="305">
        <f>IF(G59=0,0,HLOOKUP(YEAR(G59)+(MONTH(G59)/100),TC!$5:$37,DAY(G59)+2,FALSE))</f>
        <v>19.991299999999999</v>
      </c>
      <c r="N59" s="306">
        <f t="shared" si="5"/>
        <v>83401.704469999982</v>
      </c>
      <c r="O59" s="308">
        <f>IF(G59=0,0,VLOOKUP(YEAR(G59),INPC!$B$4:$P$30,MONTH(G59)+2))</f>
        <v>125.276</v>
      </c>
      <c r="P59" s="308">
        <f>IF(W59=0,0,IF(OR(C59=$AQ$5,C59=AQ63),VLOOKUP(YEAR(W59),INPC!$B$4:$P$30,MONTH(W59)+1),VLOOKUP(YEAR(W59),INPC!$B$4:$P$30,MONTH(W59)+2)))</f>
        <v>125.997</v>
      </c>
      <c r="Q59" s="309">
        <f t="shared" si="6"/>
        <v>1.0057</v>
      </c>
      <c r="R59" s="310">
        <f t="shared" si="7"/>
        <v>83877.094185478985</v>
      </c>
      <c r="S59" s="310">
        <f t="shared" si="8"/>
        <v>11982.442026496998</v>
      </c>
      <c r="T59" s="559" t="str">
        <f t="shared" si="9"/>
        <v>SI</v>
      </c>
      <c r="U59" s="323">
        <v>7</v>
      </c>
      <c r="V59" s="299" t="s">
        <v>267</v>
      </c>
      <c r="W59" s="300">
        <v>44888</v>
      </c>
      <c r="X59" s="299" t="s">
        <v>59</v>
      </c>
      <c r="Y59" s="303">
        <v>-35</v>
      </c>
      <c r="Z59" s="305">
        <f>IF(Y59=0,0,IF(X59="MXN",1/HLOOKUP(YEAR(W59)+(MONTH(W59)/100),TC!$5:$37,DAY(W59)+2,FALSE),VLOOKUP(X59,Equivalencia!$1:$23,((MAX(Equivalencia!$3:$3)-YEAR(W59))*14)+MONTH(W59)+2,FALSE)))</f>
        <v>1</v>
      </c>
      <c r="AA59" s="306">
        <f t="shared" si="16"/>
        <v>-35</v>
      </c>
      <c r="AB59" s="305">
        <f>+IF(W59=0,0,HLOOKUP(YEAR(W59)+(MONTH(W59)/100),TC!$5:$37,DAY(W59)+2,FALSE))</f>
        <v>19.492999999999999</v>
      </c>
      <c r="AC59" s="306">
        <f t="shared" si="15"/>
        <v>-682.255</v>
      </c>
      <c r="AD59" s="314">
        <f t="shared" si="10"/>
        <v>83877.094185478985</v>
      </c>
      <c r="AE59" s="315">
        <f t="shared" si="11"/>
        <v>83194.839185478981</v>
      </c>
      <c r="AF59" s="316">
        <f t="shared" si="3"/>
        <v>1</v>
      </c>
      <c r="AG59" s="314">
        <v>1</v>
      </c>
      <c r="AH59" s="314">
        <f t="shared" si="12"/>
        <v>83194.839185478981</v>
      </c>
      <c r="AI59" s="314">
        <f t="shared" si="13"/>
        <v>0</v>
      </c>
      <c r="AJ59" s="317"/>
      <c r="AK59" s="315">
        <f t="shared" si="14"/>
        <v>4136.8999999999996</v>
      </c>
      <c r="AM59" s="553"/>
      <c r="AN59" s="553"/>
      <c r="AO59" s="553"/>
    </row>
    <row r="60" spans="2:41">
      <c r="B60" s="296" t="s">
        <v>851</v>
      </c>
      <c r="C60" s="299" t="s">
        <v>114</v>
      </c>
      <c r="D60" s="296" t="s">
        <v>268</v>
      </c>
      <c r="E60" s="298" t="s">
        <v>813</v>
      </c>
      <c r="F60" s="299" t="s">
        <v>59</v>
      </c>
      <c r="G60" s="300">
        <v>44853</v>
      </c>
      <c r="H60" s="303">
        <v>-4</v>
      </c>
      <c r="I60" s="303">
        <v>2882.13</v>
      </c>
      <c r="J60" s="322" t="str">
        <f t="shared" si="0"/>
        <v>Derivados Cap IV, Sec II - SIC &amp; BMV</v>
      </c>
      <c r="K60" s="305">
        <f>IF(F60="MXN",1/HLOOKUP(YEAR(G60)+(MONTH(G60)/100),TC!$5:$37,DAY(G60)+2,FALSE),VLOOKUP(F60,Equivalencia!$5:$23,((MAX(Equivalencia!$3:$3)-YEAR(G60))*14)+MONTH(G60)+2,FALSE))</f>
        <v>1</v>
      </c>
      <c r="L60" s="306">
        <f t="shared" si="4"/>
        <v>2882.13</v>
      </c>
      <c r="M60" s="305">
        <f>IF(G60=0,0,HLOOKUP(YEAR(G60)+(MONTH(G60)/100),TC!$5:$37,DAY(G60)+2,FALSE))</f>
        <v>19.991299999999999</v>
      </c>
      <c r="N60" s="306">
        <f t="shared" si="5"/>
        <v>57617.525469</v>
      </c>
      <c r="O60" s="308">
        <f>IF(G60=0,0,VLOOKUP(YEAR(G60),INPC!$B$4:$P$30,MONTH(G60)+2))</f>
        <v>125.276</v>
      </c>
      <c r="P60" s="308">
        <f>IF(W60=0,0,IF(OR(C60=$AQ$5,C60=AQ64),VLOOKUP(YEAR(W60),INPC!$B$4:$P$30,MONTH(W60)+1),VLOOKUP(YEAR(W60),INPC!$B$4:$P$30,MONTH(W60)+2)))</f>
        <v>125.997</v>
      </c>
      <c r="Q60" s="309">
        <f t="shared" si="6"/>
        <v>1.0057</v>
      </c>
      <c r="R60" s="310">
        <f t="shared" si="7"/>
        <v>57945.945364173305</v>
      </c>
      <c r="S60" s="310">
        <f t="shared" si="8"/>
        <v>14486.486341043326</v>
      </c>
      <c r="T60" s="559" t="str">
        <f t="shared" si="9"/>
        <v>SI</v>
      </c>
      <c r="U60" s="323">
        <v>4</v>
      </c>
      <c r="V60" s="690" t="s">
        <v>267</v>
      </c>
      <c r="W60" s="300">
        <v>44888</v>
      </c>
      <c r="X60" s="299" t="s">
        <v>59</v>
      </c>
      <c r="Y60" s="303">
        <v>-24</v>
      </c>
      <c r="Z60" s="305">
        <f>IF(Y60=0,0,IF(X60="MXN",1/HLOOKUP(YEAR(W60)+(MONTH(W60)/100),TC!$5:$37,DAY(W60)+2,FALSE),VLOOKUP(X60,Equivalencia!$1:$23,((MAX(Equivalencia!$3:$3)-YEAR(W60))*14)+MONTH(W60)+2,FALSE)))</f>
        <v>1</v>
      </c>
      <c r="AA60" s="306">
        <f t="shared" si="16"/>
        <v>-24</v>
      </c>
      <c r="AB60" s="305">
        <f>+IF(W60=0,0,HLOOKUP(YEAR(W60)+(MONTH(W60)/100),TC!$5:$37,DAY(W60)+2,FALSE))</f>
        <v>19.492999999999999</v>
      </c>
      <c r="AC60" s="306">
        <f t="shared" si="15"/>
        <v>-467.83199999999999</v>
      </c>
      <c r="AD60" s="314">
        <f t="shared" si="10"/>
        <v>57945.945364173305</v>
      </c>
      <c r="AE60" s="315">
        <f t="shared" si="11"/>
        <v>57478.113364173303</v>
      </c>
      <c r="AF60" s="316">
        <f t="shared" si="3"/>
        <v>1</v>
      </c>
      <c r="AG60" s="314">
        <v>1</v>
      </c>
      <c r="AH60" s="314">
        <f t="shared" si="12"/>
        <v>57478.113364173303</v>
      </c>
      <c r="AI60" s="314">
        <f t="shared" si="13"/>
        <v>0</v>
      </c>
      <c r="AJ60" s="317"/>
      <c r="AK60" s="315">
        <f t="shared" si="14"/>
        <v>2858.13</v>
      </c>
      <c r="AM60" s="553"/>
      <c r="AN60" s="553"/>
      <c r="AO60" s="553"/>
    </row>
    <row r="61" spans="2:41">
      <c r="B61" s="296" t="s">
        <v>851</v>
      </c>
      <c r="C61" s="299" t="s">
        <v>114</v>
      </c>
      <c r="D61" s="296" t="s">
        <v>268</v>
      </c>
      <c r="E61" s="298" t="s">
        <v>814</v>
      </c>
      <c r="F61" s="299" t="s">
        <v>59</v>
      </c>
      <c r="G61" s="300">
        <v>44861</v>
      </c>
      <c r="H61" s="303">
        <v>-7</v>
      </c>
      <c r="I61" s="303">
        <v>3036.25</v>
      </c>
      <c r="J61" s="322" t="str">
        <f t="shared" si="0"/>
        <v>Derivados Cap IV, Sec II - SIC &amp; BMV</v>
      </c>
      <c r="K61" s="305">
        <f>IF(F61="MXN",1/HLOOKUP(YEAR(G61)+(MONTH(G61)/100),TC!$5:$37,DAY(G61)+2,FALSE),VLOOKUP(F61,Equivalencia!$5:$23,((MAX(Equivalencia!$3:$3)-YEAR(G61))*14)+MONTH(G61)+2,FALSE))</f>
        <v>1</v>
      </c>
      <c r="L61" s="306">
        <f t="shared" si="4"/>
        <v>3036.25</v>
      </c>
      <c r="M61" s="305">
        <f>IF(G61=0,0,HLOOKUP(YEAR(G61)+(MONTH(G61)/100),TC!$5:$37,DAY(G61)+2,FALSE))</f>
        <v>19.871200000000002</v>
      </c>
      <c r="N61" s="306">
        <f t="shared" si="5"/>
        <v>60333.931000000004</v>
      </c>
      <c r="O61" s="308">
        <f>IF(G61=0,0,VLOOKUP(YEAR(G61),INPC!$B$4:$P$30,MONTH(G61)+2))</f>
        <v>125.276</v>
      </c>
      <c r="P61" s="308">
        <f>IF(W61=0,0,IF(OR(C61=$AQ$5,C61=AQ65),VLOOKUP(YEAR(W61),INPC!$B$4:$P$30,MONTH(W61)+1),VLOOKUP(YEAR(W61),INPC!$B$4:$P$30,MONTH(W61)+2)))</f>
        <v>126.47799999999999</v>
      </c>
      <c r="Q61" s="309">
        <f t="shared" si="6"/>
        <v>1.0095000000000001</v>
      </c>
      <c r="R61" s="310">
        <f t="shared" si="7"/>
        <v>60907.103344500007</v>
      </c>
      <c r="S61" s="310">
        <f t="shared" si="8"/>
        <v>8701.0147635000012</v>
      </c>
      <c r="T61" s="559" t="str">
        <f t="shared" si="9"/>
        <v>SI</v>
      </c>
      <c r="U61" s="323">
        <v>7</v>
      </c>
      <c r="V61" s="690" t="s">
        <v>267</v>
      </c>
      <c r="W61" s="300">
        <v>44897</v>
      </c>
      <c r="X61" s="299" t="s">
        <v>59</v>
      </c>
      <c r="Y61" s="303">
        <v>-35</v>
      </c>
      <c r="Z61" s="305">
        <f>IF(Y61=0,0,IF(X61="MXN",1/HLOOKUP(YEAR(W61)+(MONTH(W61)/100),TC!$5:$37,DAY(W61)+2,FALSE),VLOOKUP(X61,Equivalencia!$1:$23,((MAX(Equivalencia!$3:$3)-YEAR(W61))*14)+MONTH(W61)+2,FALSE)))</f>
        <v>1</v>
      </c>
      <c r="AA61" s="306">
        <f t="shared" si="16"/>
        <v>-35</v>
      </c>
      <c r="AB61" s="305">
        <f>+IF(W61=0,0,HLOOKUP(YEAR(W61)+(MONTH(W61)/100),TC!$5:$37,DAY(W61)+2,FALSE))</f>
        <v>19.3965</v>
      </c>
      <c r="AC61" s="306">
        <f t="shared" si="15"/>
        <v>-678.87749999999994</v>
      </c>
      <c r="AD61" s="314">
        <f t="shared" si="10"/>
        <v>60907.103344500007</v>
      </c>
      <c r="AE61" s="315">
        <f t="shared" si="11"/>
        <v>60228.225844500004</v>
      </c>
      <c r="AF61" s="316">
        <f t="shared" si="3"/>
        <v>1</v>
      </c>
      <c r="AG61" s="314">
        <v>1</v>
      </c>
      <c r="AH61" s="314">
        <f t="shared" si="12"/>
        <v>60228.225844500004</v>
      </c>
      <c r="AI61" s="314">
        <f t="shared" si="13"/>
        <v>0</v>
      </c>
      <c r="AJ61" s="317"/>
      <c r="AK61" s="315">
        <f t="shared" si="14"/>
        <v>3001.25</v>
      </c>
      <c r="AM61" s="553"/>
      <c r="AN61" s="553"/>
      <c r="AO61" s="553"/>
    </row>
    <row r="62" spans="2:41">
      <c r="B62" s="296" t="s">
        <v>851</v>
      </c>
      <c r="C62" s="299" t="s">
        <v>114</v>
      </c>
      <c r="D62" s="296" t="s">
        <v>268</v>
      </c>
      <c r="E62" s="298" t="s">
        <v>815</v>
      </c>
      <c r="F62" s="299" t="s">
        <v>59</v>
      </c>
      <c r="G62" s="300">
        <v>44819</v>
      </c>
      <c r="H62" s="303">
        <v>-7</v>
      </c>
      <c r="I62" s="303">
        <v>4061.02</v>
      </c>
      <c r="J62" s="322" t="str">
        <f t="shared" si="0"/>
        <v>Derivados Cap IV, Sec II - SIC &amp; BMV</v>
      </c>
      <c r="K62" s="305">
        <f>IF(F62="MXN",1/HLOOKUP(YEAR(G62)+(MONTH(G62)/100),TC!$5:$37,DAY(G62)+2,FALSE),VLOOKUP(F62,Equivalencia!$5:$23,((MAX(Equivalencia!$3:$3)-YEAR(G62))*14)+MONTH(G62)+2,FALSE))</f>
        <v>1</v>
      </c>
      <c r="L62" s="306">
        <f t="shared" si="4"/>
        <v>4061.02</v>
      </c>
      <c r="M62" s="305">
        <f>IF(G62=0,0,HLOOKUP(YEAR(G62)+(MONTH(G62)/100),TC!$5:$37,DAY(G62)+2,FALSE))</f>
        <v>20.055</v>
      </c>
      <c r="N62" s="306">
        <f t="shared" si="5"/>
        <v>81443.756099999999</v>
      </c>
      <c r="O62" s="308">
        <f>IF(G62=0,0,VLOOKUP(YEAR(G62),INPC!$B$4:$P$30,MONTH(G62)+2))</f>
        <v>124.571</v>
      </c>
      <c r="P62" s="308">
        <f>IF(W62=0,0,IF(OR(C62=$AQ$5,C62=AQ66),VLOOKUP(YEAR(W62),INPC!$B$4:$P$30,MONTH(W62)+1),VLOOKUP(YEAR(W62),INPC!$B$4:$P$30,MONTH(W62)+2)))</f>
        <v>125.276</v>
      </c>
      <c r="Q62" s="309">
        <f t="shared" si="6"/>
        <v>1.0056</v>
      </c>
      <c r="R62" s="310">
        <f t="shared" si="7"/>
        <v>81899.84113416</v>
      </c>
      <c r="S62" s="310">
        <f t="shared" si="8"/>
        <v>11699.97730488</v>
      </c>
      <c r="T62" s="559" t="str">
        <f t="shared" si="9"/>
        <v>SI</v>
      </c>
      <c r="U62" s="323">
        <v>7</v>
      </c>
      <c r="V62" s="299" t="s">
        <v>267</v>
      </c>
      <c r="W62" s="300">
        <v>44861</v>
      </c>
      <c r="X62" s="299" t="s">
        <v>59</v>
      </c>
      <c r="Y62" s="303">
        <v>-98</v>
      </c>
      <c r="Z62" s="305">
        <f>IF(Y62=0,0,IF(X62="MXN",1/HLOOKUP(YEAR(W62)+(MONTH(W62)/100),TC!$5:$37,DAY(W62)+2,FALSE),VLOOKUP(X62,Equivalencia!$1:$23,((MAX(Equivalencia!$3:$3)-YEAR(W62))*14)+MONTH(W62)+2,FALSE)))</f>
        <v>1</v>
      </c>
      <c r="AA62" s="306">
        <f t="shared" si="16"/>
        <v>-98</v>
      </c>
      <c r="AB62" s="305">
        <f>+IF(W62=0,0,HLOOKUP(YEAR(W62)+(MONTH(W62)/100),TC!$5:$37,DAY(W62)+2,FALSE))</f>
        <v>19.871200000000002</v>
      </c>
      <c r="AC62" s="306">
        <f t="shared" si="15"/>
        <v>-1947.3776000000003</v>
      </c>
      <c r="AD62" s="314">
        <f t="shared" si="10"/>
        <v>81899.84113416</v>
      </c>
      <c r="AE62" s="315">
        <f t="shared" si="11"/>
        <v>79952.463534159993</v>
      </c>
      <c r="AF62" s="316">
        <f t="shared" si="3"/>
        <v>1</v>
      </c>
      <c r="AG62" s="314">
        <v>1</v>
      </c>
      <c r="AH62" s="314">
        <f t="shared" si="12"/>
        <v>79952.463534159993</v>
      </c>
      <c r="AI62" s="314">
        <f t="shared" si="13"/>
        <v>0</v>
      </c>
      <c r="AJ62" s="317"/>
      <c r="AK62" s="315">
        <f t="shared" si="14"/>
        <v>3963.02</v>
      </c>
      <c r="AM62" s="553"/>
      <c r="AN62" s="553"/>
      <c r="AO62" s="553"/>
    </row>
    <row r="63" spans="2:41">
      <c r="B63" s="296" t="s">
        <v>851</v>
      </c>
      <c r="C63" s="299" t="s">
        <v>114</v>
      </c>
      <c r="D63" s="296" t="s">
        <v>268</v>
      </c>
      <c r="E63" s="298" t="s">
        <v>820</v>
      </c>
      <c r="F63" s="299" t="s">
        <v>59</v>
      </c>
      <c r="G63" s="300">
        <v>44819</v>
      </c>
      <c r="H63" s="303">
        <v>-7</v>
      </c>
      <c r="I63" s="303">
        <v>6291.45</v>
      </c>
      <c r="J63" s="322" t="str">
        <f t="shared" si="0"/>
        <v>Derivados Cap IV, Sec II - SIC &amp; BMV</v>
      </c>
      <c r="K63" s="305">
        <f>IF(F63="MXN",1/HLOOKUP(YEAR(G63)+(MONTH(G63)/100),TC!$5:$37,DAY(G63)+2,FALSE),VLOOKUP(F63,Equivalencia!$5:$23,((MAX(Equivalencia!$3:$3)-YEAR(G63))*14)+MONTH(G63)+2,FALSE))</f>
        <v>1</v>
      </c>
      <c r="L63" s="306">
        <f t="shared" si="4"/>
        <v>6291.45</v>
      </c>
      <c r="M63" s="305">
        <f>IF(G63=0,0,HLOOKUP(YEAR(G63)+(MONTH(G63)/100),TC!$5:$37,DAY(G63)+2,FALSE))</f>
        <v>20.055</v>
      </c>
      <c r="N63" s="306">
        <f t="shared" si="5"/>
        <v>126175.02975</v>
      </c>
      <c r="O63" s="308">
        <f>IF(G63=0,0,VLOOKUP(YEAR(G63),INPC!$B$4:$P$30,MONTH(G63)+2))</f>
        <v>124.571</v>
      </c>
      <c r="P63" s="308">
        <f>IF(W63=0,0,IF(OR(C63=$AQ$5,C63=AQ67),VLOOKUP(YEAR(W63),INPC!$B$4:$P$30,MONTH(W63)+1),VLOOKUP(YEAR(W63),INPC!$B$4:$P$30,MONTH(W63)+2)))</f>
        <v>126.47799999999999</v>
      </c>
      <c r="Q63" s="309">
        <f t="shared" si="6"/>
        <v>1.0153000000000001</v>
      </c>
      <c r="R63" s="310">
        <f t="shared" si="7"/>
        <v>128105.50770517501</v>
      </c>
      <c r="S63" s="310">
        <f t="shared" si="8"/>
        <v>18300.786815025003</v>
      </c>
      <c r="T63" s="559" t="str">
        <f t="shared" si="9"/>
        <v>SI</v>
      </c>
      <c r="U63" s="323">
        <v>7</v>
      </c>
      <c r="V63" s="299" t="s">
        <v>267</v>
      </c>
      <c r="W63" s="300">
        <v>44910</v>
      </c>
      <c r="X63" s="299" t="s">
        <v>59</v>
      </c>
      <c r="Y63" s="303">
        <v>-42</v>
      </c>
      <c r="Z63" s="305">
        <f>IF(Y63=0,0,IF(X63="MXN",1/HLOOKUP(YEAR(W63)+(MONTH(W63)/100),TC!$5:$37,DAY(W63)+2,FALSE),VLOOKUP(X63,Equivalencia!$1:$23,((MAX(Equivalencia!$3:$3)-YEAR(W63))*14)+MONTH(W63)+2,FALSE)))</f>
        <v>1</v>
      </c>
      <c r="AA63" s="306">
        <f t="shared" si="16"/>
        <v>-42</v>
      </c>
      <c r="AB63" s="305">
        <f>+IF(W63=0,0,HLOOKUP(YEAR(W63)+(MONTH(W63)/100),TC!$5:$37,DAY(W63)+2,FALSE))</f>
        <v>19.645800000000001</v>
      </c>
      <c r="AC63" s="306">
        <f t="shared" si="15"/>
        <v>-825.12360000000001</v>
      </c>
      <c r="AD63" s="314">
        <f t="shared" si="10"/>
        <v>128105.50770517503</v>
      </c>
      <c r="AE63" s="315">
        <f t="shared" si="11"/>
        <v>127280.38410517502</v>
      </c>
      <c r="AF63" s="316">
        <f t="shared" si="3"/>
        <v>1</v>
      </c>
      <c r="AG63" s="314">
        <v>1</v>
      </c>
      <c r="AH63" s="314">
        <f t="shared" si="12"/>
        <v>127280.38410517502</v>
      </c>
      <c r="AI63" s="314">
        <f t="shared" si="13"/>
        <v>0</v>
      </c>
      <c r="AJ63" s="317"/>
      <c r="AK63" s="315">
        <f t="shared" si="14"/>
        <v>6249.45</v>
      </c>
      <c r="AM63" s="553"/>
      <c r="AN63" s="553"/>
      <c r="AO63" s="553"/>
    </row>
    <row r="64" spans="2:41">
      <c r="B64" s="296" t="s">
        <v>851</v>
      </c>
      <c r="C64" s="299" t="s">
        <v>114</v>
      </c>
      <c r="D64" s="296" t="s">
        <v>268</v>
      </c>
      <c r="E64" s="298" t="s">
        <v>821</v>
      </c>
      <c r="F64" s="299" t="s">
        <v>59</v>
      </c>
      <c r="G64" s="300">
        <v>44823</v>
      </c>
      <c r="H64" s="303">
        <v>-7</v>
      </c>
      <c r="I64" s="303">
        <v>3149.92</v>
      </c>
      <c r="J64" s="322" t="str">
        <f t="shared" si="0"/>
        <v>Derivados Cap IV, Sec II - SIC &amp; BMV</v>
      </c>
      <c r="K64" s="305">
        <f>IF(F64="MXN",1/HLOOKUP(YEAR(G64)+(MONTH(G64)/100),TC!$5:$37,DAY(G64)+2,FALSE),VLOOKUP(F64,Equivalencia!$5:$23,((MAX(Equivalencia!$3:$3)-YEAR(G64))*14)+MONTH(G64)+2,FALSE))</f>
        <v>1</v>
      </c>
      <c r="L64" s="306">
        <f t="shared" si="4"/>
        <v>3149.92</v>
      </c>
      <c r="M64" s="305">
        <f>IF(G64=0,0,HLOOKUP(YEAR(G64)+(MONTH(G64)/100),TC!$5:$37,DAY(G64)+2,FALSE))</f>
        <v>19.976800000000001</v>
      </c>
      <c r="N64" s="306">
        <f t="shared" si="5"/>
        <v>62925.321856000002</v>
      </c>
      <c r="O64" s="308">
        <f>IF(G64=0,0,VLOOKUP(YEAR(G64),INPC!$B$4:$P$30,MONTH(G64)+2))</f>
        <v>124.571</v>
      </c>
      <c r="P64" s="308">
        <f>IF(W64=0,0,IF(OR(C64=$AQ$5,C64=AQ68),VLOOKUP(YEAR(W64),INPC!$B$4:$P$30,MONTH(W64)+1),VLOOKUP(YEAR(W64),INPC!$B$4:$P$30,MONTH(W64)+2)))</f>
        <v>126.47799999999999</v>
      </c>
      <c r="Q64" s="309">
        <f t="shared" si="6"/>
        <v>1.0153000000000001</v>
      </c>
      <c r="R64" s="310">
        <f t="shared" si="7"/>
        <v>63888.079280396807</v>
      </c>
      <c r="S64" s="310">
        <f t="shared" si="8"/>
        <v>9126.8684686281158</v>
      </c>
      <c r="T64" s="559" t="str">
        <f t="shared" si="9"/>
        <v>SI</v>
      </c>
      <c r="U64" s="323">
        <v>7</v>
      </c>
      <c r="V64" s="299" t="s">
        <v>267</v>
      </c>
      <c r="W64" s="300">
        <v>44903</v>
      </c>
      <c r="X64" s="299" t="s">
        <v>59</v>
      </c>
      <c r="Y64" s="303">
        <v>-70</v>
      </c>
      <c r="Z64" s="305">
        <f>IF(Y64=0,0,IF(X64="MXN",1/HLOOKUP(YEAR(W64)+(MONTH(W64)/100),TC!$5:$37,DAY(W64)+2,FALSE),VLOOKUP(X64,Equivalencia!$1:$23,((MAX(Equivalencia!$3:$3)-YEAR(W64))*14)+MONTH(W64)+2,FALSE)))</f>
        <v>1</v>
      </c>
      <c r="AA64" s="306">
        <f t="shared" si="16"/>
        <v>-70</v>
      </c>
      <c r="AB64" s="305">
        <f>+IF(W64=0,0,HLOOKUP(YEAR(W64)+(MONTH(W64)/100),TC!$5:$37,DAY(W64)+2,FALSE))</f>
        <v>19.803000000000001</v>
      </c>
      <c r="AC64" s="306">
        <f t="shared" si="15"/>
        <v>-1386.21</v>
      </c>
      <c r="AD64" s="314">
        <f t="shared" si="10"/>
        <v>63888.079280396807</v>
      </c>
      <c r="AE64" s="315">
        <f t="shared" si="11"/>
        <v>62501.869280396808</v>
      </c>
      <c r="AF64" s="316">
        <f t="shared" si="3"/>
        <v>1</v>
      </c>
      <c r="AG64" s="314">
        <v>1</v>
      </c>
      <c r="AH64" s="314">
        <f t="shared" si="12"/>
        <v>62501.869280396808</v>
      </c>
      <c r="AI64" s="314">
        <f t="shared" si="13"/>
        <v>0</v>
      </c>
      <c r="AJ64" s="317"/>
      <c r="AK64" s="315">
        <f t="shared" si="14"/>
        <v>3079.92</v>
      </c>
      <c r="AM64" s="553"/>
      <c r="AN64" s="553"/>
      <c r="AO64" s="553"/>
    </row>
    <row r="65" spans="2:41">
      <c r="B65" s="296" t="s">
        <v>851</v>
      </c>
      <c r="C65" s="299" t="s">
        <v>114</v>
      </c>
      <c r="D65" s="296" t="s">
        <v>268</v>
      </c>
      <c r="E65" s="298" t="s">
        <v>822</v>
      </c>
      <c r="F65" s="299" t="s">
        <v>59</v>
      </c>
      <c r="G65" s="300">
        <v>44823</v>
      </c>
      <c r="H65" s="303">
        <v>-7</v>
      </c>
      <c r="I65" s="303">
        <v>7202.83</v>
      </c>
      <c r="J65" s="322" t="str">
        <f t="shared" si="0"/>
        <v>Derivados Cap IV, Sec II - SIC &amp; BMV</v>
      </c>
      <c r="K65" s="305">
        <f>IF(F65="MXN",1/HLOOKUP(YEAR(G65)+(MONTH(G65)/100),TC!$5:$37,DAY(G65)+2,FALSE),VLOOKUP(F65,Equivalencia!$5:$23,((MAX(Equivalencia!$3:$3)-YEAR(G65))*14)+MONTH(G65)+2,FALSE))</f>
        <v>1</v>
      </c>
      <c r="L65" s="306">
        <f t="shared" si="4"/>
        <v>7202.83</v>
      </c>
      <c r="M65" s="305">
        <f>IF(G65=0,0,HLOOKUP(YEAR(G65)+(MONTH(G65)/100),TC!$5:$37,DAY(G65)+2,FALSE))</f>
        <v>19.976800000000001</v>
      </c>
      <c r="N65" s="306">
        <f t="shared" si="5"/>
        <v>143889.49434400001</v>
      </c>
      <c r="O65" s="308">
        <f>IF(G65=0,0,VLOOKUP(YEAR(G65),INPC!$B$4:$P$30,MONTH(G65)+2))</f>
        <v>124.571</v>
      </c>
      <c r="P65" s="308">
        <f>IF(W65=0,0,IF(OR(C65=$AQ$5,C65=AQ69),VLOOKUP(YEAR(W65),INPC!$B$4:$P$30,MONTH(W65)+1),VLOOKUP(YEAR(W65),INPC!$B$4:$P$30,MONTH(W65)+2)))</f>
        <v>0</v>
      </c>
      <c r="Q65" s="309">
        <f t="shared" si="6"/>
        <v>0</v>
      </c>
      <c r="R65" s="310">
        <f t="shared" si="7"/>
        <v>0</v>
      </c>
      <c r="S65" s="310">
        <f t="shared" si="8"/>
        <v>0</v>
      </c>
      <c r="T65" s="559" t="str">
        <f t="shared" si="9"/>
        <v>NO</v>
      </c>
      <c r="U65" s="323"/>
      <c r="V65" s="299"/>
      <c r="W65" s="300"/>
      <c r="X65" s="299"/>
      <c r="Y65" s="303"/>
      <c r="Z65" s="305">
        <f>IF(Y65=0,0,IF(X65="MXN",1/HLOOKUP(YEAR(W65)+(MONTH(W65)/100),TC!$5:$37,DAY(W65)+2,FALSE),VLOOKUP(X65,Equivalencia!$1:$23,((MAX(Equivalencia!$3:$3)-YEAR(W65))*14)+MONTH(W65)+2,FALSE)))</f>
        <v>0</v>
      </c>
      <c r="AA65" s="306">
        <f t="shared" si="16"/>
        <v>0</v>
      </c>
      <c r="AB65" s="305">
        <f>+IF(W65=0,0,HLOOKUP(YEAR(W65)+(MONTH(W65)/100),TC!$5:$37,DAY(W65)+2,FALSE))</f>
        <v>0</v>
      </c>
      <c r="AC65" s="306">
        <f t="shared" si="15"/>
        <v>0</v>
      </c>
      <c r="AD65" s="314">
        <f t="shared" si="10"/>
        <v>0</v>
      </c>
      <c r="AE65" s="315">
        <f t="shared" si="11"/>
        <v>0</v>
      </c>
      <c r="AF65" s="316">
        <f t="shared" si="3"/>
        <v>1</v>
      </c>
      <c r="AG65" s="314">
        <v>1</v>
      </c>
      <c r="AH65" s="314">
        <f t="shared" si="12"/>
        <v>0</v>
      </c>
      <c r="AI65" s="314">
        <f t="shared" si="13"/>
        <v>0</v>
      </c>
      <c r="AJ65" s="317"/>
      <c r="AK65" s="315">
        <f t="shared" si="14"/>
        <v>7202.83</v>
      </c>
      <c r="AM65" s="553"/>
      <c r="AN65" s="553"/>
      <c r="AO65" s="553"/>
    </row>
    <row r="66" spans="2:41">
      <c r="B66" s="296" t="s">
        <v>851</v>
      </c>
      <c r="C66" s="299" t="s">
        <v>114</v>
      </c>
      <c r="D66" s="296" t="s">
        <v>268</v>
      </c>
      <c r="E66" s="298" t="s">
        <v>823</v>
      </c>
      <c r="F66" s="299" t="s">
        <v>59</v>
      </c>
      <c r="G66" s="300">
        <v>44832</v>
      </c>
      <c r="H66" s="303">
        <v>-6</v>
      </c>
      <c r="I66" s="303">
        <v>5795.86</v>
      </c>
      <c r="J66" s="322" t="str">
        <f t="shared" ref="J66:J129" si="17">IF(E66=0,0,IF(OR(C66=$AQ$5,C66=$AQ$6),"Derivados Cap IV, Sec II - SIC &amp; BMV","Derivados Cap IX - No SIC"))</f>
        <v>Derivados Cap IV, Sec II - SIC &amp; BMV</v>
      </c>
      <c r="K66" s="305">
        <f>IF(F66="MXN",1/HLOOKUP(YEAR(G66)+(MONTH(G66)/100),TC!$5:$37,DAY(G66)+2,FALSE),VLOOKUP(F66,Equivalencia!$5:$23,((MAX(Equivalencia!$3:$3)-YEAR(G66))*14)+MONTH(G66)+2,FALSE))</f>
        <v>1</v>
      </c>
      <c r="L66" s="306">
        <f t="shared" si="4"/>
        <v>5795.86</v>
      </c>
      <c r="M66" s="305">
        <f>IF(G66=0,0,HLOOKUP(YEAR(G66)+(MONTH(G66)/100),TC!$5:$37,DAY(G66)+2,FALSE))</f>
        <v>20.351700000000001</v>
      </c>
      <c r="N66" s="306">
        <f t="shared" si="5"/>
        <v>117955.60396199999</v>
      </c>
      <c r="O66" s="308">
        <f>IF(G66=0,0,VLOOKUP(YEAR(G66),INPC!$B$4:$P$30,MONTH(G66)+2))</f>
        <v>124.571</v>
      </c>
      <c r="P66" s="308">
        <f>IF(W66=0,0,IF(OR(C66=$AQ$5,C66=AQ70),VLOOKUP(YEAR(W66),INPC!$B$4:$P$30,MONTH(W66)+1),VLOOKUP(YEAR(W66),INPC!$B$4:$P$30,MONTH(W66)+2)))</f>
        <v>0</v>
      </c>
      <c r="Q66" s="309">
        <f t="shared" si="6"/>
        <v>0</v>
      </c>
      <c r="R66" s="310">
        <f t="shared" si="7"/>
        <v>0</v>
      </c>
      <c r="S66" s="310">
        <f t="shared" si="8"/>
        <v>0</v>
      </c>
      <c r="T66" s="559" t="str">
        <f t="shared" si="9"/>
        <v>NO</v>
      </c>
      <c r="U66" s="323"/>
      <c r="V66" s="299"/>
      <c r="W66" s="300"/>
      <c r="X66" s="299"/>
      <c r="Y66" s="303"/>
      <c r="Z66" s="305">
        <f>IF(Y66=0,0,IF(X66="MXN",1/HLOOKUP(YEAR(W66)+(MONTH(W66)/100),TC!$5:$37,DAY(W66)+2,FALSE),VLOOKUP(X66,Equivalencia!$1:$23,((MAX(Equivalencia!$3:$3)-YEAR(W66))*14)+MONTH(W66)+2,FALSE)))</f>
        <v>0</v>
      </c>
      <c r="AA66" s="306">
        <f t="shared" si="16"/>
        <v>0</v>
      </c>
      <c r="AB66" s="305">
        <f>+IF(W66=0,0,HLOOKUP(YEAR(W66)+(MONTH(W66)/100),TC!$5:$37,DAY(W66)+2,FALSE))</f>
        <v>0</v>
      </c>
      <c r="AC66" s="306">
        <f t="shared" si="15"/>
        <v>0</v>
      </c>
      <c r="AD66" s="314">
        <f t="shared" ref="AD66:AD129" si="18">+U66*S66</f>
        <v>0</v>
      </c>
      <c r="AE66" s="315">
        <f t="shared" si="11"/>
        <v>0</v>
      </c>
      <c r="AF66" s="316">
        <f t="shared" ref="AF66:AF129" si="19">+IF(OR(C66=$AQ$5,C66=$AQ$6),1,((W66-G66)/365))</f>
        <v>1</v>
      </c>
      <c r="AG66" s="314">
        <v>1</v>
      </c>
      <c r="AH66" s="314">
        <f t="shared" si="12"/>
        <v>0</v>
      </c>
      <c r="AI66" s="314">
        <f t="shared" si="13"/>
        <v>0</v>
      </c>
      <c r="AJ66" s="317"/>
      <c r="AK66" s="315">
        <f t="shared" si="14"/>
        <v>5795.86</v>
      </c>
      <c r="AM66" s="553"/>
      <c r="AN66" s="553"/>
      <c r="AO66" s="553"/>
    </row>
    <row r="67" spans="2:41">
      <c r="B67" s="296" t="s">
        <v>851</v>
      </c>
      <c r="C67" s="299" t="s">
        <v>114</v>
      </c>
      <c r="D67" s="296" t="s">
        <v>268</v>
      </c>
      <c r="E67" s="298" t="s">
        <v>825</v>
      </c>
      <c r="F67" s="299" t="s">
        <v>59</v>
      </c>
      <c r="G67" s="300">
        <v>44868</v>
      </c>
      <c r="H67" s="303">
        <v>-8</v>
      </c>
      <c r="I67" s="303">
        <v>6343.85</v>
      </c>
      <c r="J67" s="322" t="str">
        <f t="shared" si="17"/>
        <v>Derivados Cap IV, Sec II - SIC &amp; BMV</v>
      </c>
      <c r="K67" s="305">
        <f>IF(F67="MXN",1/HLOOKUP(YEAR(G67)+(MONTH(G67)/100),TC!$5:$37,DAY(G67)+2,FALSE),VLOOKUP(F67,Equivalencia!$5:$23,((MAX(Equivalencia!$3:$3)-YEAR(G67))*14)+MONTH(G67)+2,FALSE))</f>
        <v>1</v>
      </c>
      <c r="L67" s="306">
        <f t="shared" ref="L67:L130" si="20">+I67*K67</f>
        <v>6343.85</v>
      </c>
      <c r="M67" s="305">
        <f>IF(G67=0,0,HLOOKUP(YEAR(G67)+(MONTH(G67)/100),TC!$5:$37,DAY(G67)+2,FALSE))</f>
        <v>19.8245</v>
      </c>
      <c r="N67" s="306">
        <f t="shared" ref="N67:N130" si="21">+L67*M67</f>
        <v>125763.65432500001</v>
      </c>
      <c r="O67" s="308">
        <f>IF(G67=0,0,VLOOKUP(YEAR(G67),INPC!$B$4:$P$30,MONTH(G67)+2))</f>
        <v>125.997</v>
      </c>
      <c r="P67" s="308">
        <f>IF(W67=0,0,IF(OR(C67=$AQ$5,C67=AQ71),VLOOKUP(YEAR(W67),INPC!$B$4:$P$30,MONTH(W67)+1),VLOOKUP(YEAR(W67),INPC!$B$4:$P$30,MONTH(W67)+2)))</f>
        <v>0</v>
      </c>
      <c r="Q67" s="309">
        <f t="shared" ref="Q67:Q130" si="22">IF(W67=0,0,IF(TRUNC(P67/O67,4)&gt;=1,TRUNC(P67/O67,4),1))</f>
        <v>0</v>
      </c>
      <c r="R67" s="310">
        <f t="shared" ref="R67:R130" si="23">+Q67*N67</f>
        <v>0</v>
      </c>
      <c r="S67" s="310">
        <f t="shared" ref="S67:S130" si="24">IF(U67=0,0,R67/U67)</f>
        <v>0</v>
      </c>
      <c r="T67" s="559" t="str">
        <f t="shared" ref="T67:T130" si="25">+IF(W67=0,"NO","SI")</f>
        <v>NO</v>
      </c>
      <c r="U67" s="323"/>
      <c r="V67" s="299"/>
      <c r="W67" s="300"/>
      <c r="X67" s="299"/>
      <c r="Y67" s="303"/>
      <c r="Z67" s="305">
        <f>IF(Y67=0,0,IF(X67="MXN",1/HLOOKUP(YEAR(W67)+(MONTH(W67)/100),TC!$5:$37,DAY(W67)+2,FALSE),VLOOKUP(X67,Equivalencia!$1:$23,((MAX(Equivalencia!$3:$3)-YEAR(W67))*14)+MONTH(W67)+2,FALSE)))</f>
        <v>0</v>
      </c>
      <c r="AA67" s="306">
        <f t="shared" ref="AA67:AA130" si="26">+Z67*Y67</f>
        <v>0</v>
      </c>
      <c r="AB67" s="305">
        <f>+IF(W67=0,0,HLOOKUP(YEAR(W67)+(MONTH(W67)/100),TC!$5:$37,DAY(W67)+2,FALSE))</f>
        <v>0</v>
      </c>
      <c r="AC67" s="306">
        <f t="shared" ref="AC67:AC130" si="27">+AB67*AA67</f>
        <v>0</v>
      </c>
      <c r="AD67" s="314">
        <f t="shared" si="18"/>
        <v>0</v>
      </c>
      <c r="AE67" s="315">
        <f t="shared" ref="AE67:AE130" si="28">AC67+AD67</f>
        <v>0</v>
      </c>
      <c r="AF67" s="316">
        <f t="shared" si="19"/>
        <v>1</v>
      </c>
      <c r="AG67" s="314">
        <v>1</v>
      </c>
      <c r="AH67" s="314">
        <f t="shared" ref="AH67:AH130" si="29">(AE67/AG67)</f>
        <v>0</v>
      </c>
      <c r="AI67" s="314">
        <f t="shared" ref="AI67:AI130" si="30">+AE67-AH67</f>
        <v>0</v>
      </c>
      <c r="AJ67" s="317"/>
      <c r="AK67" s="315">
        <f t="shared" ref="AK67:AK130" si="31">+AA67+L67</f>
        <v>6343.85</v>
      </c>
      <c r="AM67" s="553"/>
      <c r="AN67" s="553"/>
      <c r="AO67" s="553"/>
    </row>
    <row r="68" spans="2:41">
      <c r="B68" s="296" t="s">
        <v>851</v>
      </c>
      <c r="C68" s="299" t="s">
        <v>114</v>
      </c>
      <c r="D68" s="296" t="s">
        <v>268</v>
      </c>
      <c r="E68" s="298" t="s">
        <v>826</v>
      </c>
      <c r="F68" s="299" t="s">
        <v>59</v>
      </c>
      <c r="G68" s="300">
        <v>44879</v>
      </c>
      <c r="H68" s="303">
        <v>-5</v>
      </c>
      <c r="I68" s="303">
        <v>1949.95</v>
      </c>
      <c r="J68" s="322" t="str">
        <f t="shared" si="17"/>
        <v>Derivados Cap IV, Sec II - SIC &amp; BMV</v>
      </c>
      <c r="K68" s="305">
        <f>IF(F68="MXN",1/HLOOKUP(YEAR(G68)+(MONTH(G68)/100),TC!$5:$37,DAY(G68)+2,FALSE),VLOOKUP(F68,Equivalencia!$5:$23,((MAX(Equivalencia!$3:$3)-YEAR(G68))*14)+MONTH(G68)+2,FALSE))</f>
        <v>1</v>
      </c>
      <c r="L68" s="306">
        <f t="shared" si="20"/>
        <v>1949.95</v>
      </c>
      <c r="M68" s="305">
        <f>IF(G68=0,0,HLOOKUP(YEAR(G68)+(MONTH(G68)/100),TC!$5:$37,DAY(G68)+2,FALSE))</f>
        <v>19.393999999999998</v>
      </c>
      <c r="N68" s="306">
        <f t="shared" si="21"/>
        <v>37817.330299999994</v>
      </c>
      <c r="O68" s="308">
        <f>IF(G68=0,0,VLOOKUP(YEAR(G68),INPC!$B$4:$P$30,MONTH(G68)+2))</f>
        <v>125.997</v>
      </c>
      <c r="P68" s="308">
        <f>IF(W68=0,0,IF(OR(C68=$AQ$5,C68=AQ72),VLOOKUP(YEAR(W68),INPC!$B$4:$P$30,MONTH(W68)+1),VLOOKUP(YEAR(W68),INPC!$B$4:$P$30,MONTH(W68)+2)))</f>
        <v>0</v>
      </c>
      <c r="Q68" s="309">
        <f t="shared" si="22"/>
        <v>0</v>
      </c>
      <c r="R68" s="310">
        <f t="shared" si="23"/>
        <v>0</v>
      </c>
      <c r="S68" s="310">
        <f t="shared" si="24"/>
        <v>0</v>
      </c>
      <c r="T68" s="559" t="str">
        <f t="shared" si="25"/>
        <v>NO</v>
      </c>
      <c r="U68" s="323"/>
      <c r="V68" s="299"/>
      <c r="W68" s="300"/>
      <c r="X68" s="299"/>
      <c r="Y68" s="303"/>
      <c r="Z68" s="305">
        <f>IF(Y68=0,0,IF(X68="MXN",1/HLOOKUP(YEAR(W68)+(MONTH(W68)/100),TC!$5:$37,DAY(W68)+2,FALSE),VLOOKUP(X68,Equivalencia!$1:$23,((MAX(Equivalencia!$3:$3)-YEAR(W68))*14)+MONTH(W68)+2,FALSE)))</f>
        <v>0</v>
      </c>
      <c r="AA68" s="306">
        <f t="shared" si="26"/>
        <v>0</v>
      </c>
      <c r="AB68" s="305">
        <f>+IF(W68=0,0,HLOOKUP(YEAR(W68)+(MONTH(W68)/100),TC!$5:$37,DAY(W68)+2,FALSE))</f>
        <v>0</v>
      </c>
      <c r="AC68" s="306">
        <f t="shared" si="27"/>
        <v>0</v>
      </c>
      <c r="AD68" s="314">
        <f t="shared" si="18"/>
        <v>0</v>
      </c>
      <c r="AE68" s="315">
        <f t="shared" si="28"/>
        <v>0</v>
      </c>
      <c r="AF68" s="316">
        <f t="shared" si="19"/>
        <v>1</v>
      </c>
      <c r="AG68" s="314">
        <v>1</v>
      </c>
      <c r="AH68" s="314">
        <f t="shared" si="29"/>
        <v>0</v>
      </c>
      <c r="AI68" s="314">
        <f t="shared" si="30"/>
        <v>0</v>
      </c>
      <c r="AJ68" s="317"/>
      <c r="AK68" s="315">
        <f t="shared" si="31"/>
        <v>1949.95</v>
      </c>
      <c r="AM68" s="553"/>
      <c r="AN68" s="553"/>
      <c r="AO68" s="553"/>
    </row>
    <row r="69" spans="2:41">
      <c r="B69" s="296" t="s">
        <v>851</v>
      </c>
      <c r="C69" s="299" t="s">
        <v>114</v>
      </c>
      <c r="D69" s="296" t="s">
        <v>268</v>
      </c>
      <c r="E69" s="298" t="s">
        <v>827</v>
      </c>
      <c r="F69" s="299" t="s">
        <v>59</v>
      </c>
      <c r="G69" s="300">
        <v>44879</v>
      </c>
      <c r="H69" s="303">
        <v>-6</v>
      </c>
      <c r="I69" s="303">
        <v>1493.96</v>
      </c>
      <c r="J69" s="322" t="str">
        <f t="shared" si="17"/>
        <v>Derivados Cap IV, Sec II - SIC &amp; BMV</v>
      </c>
      <c r="K69" s="305">
        <f>IF(F69="MXN",1/HLOOKUP(YEAR(G69)+(MONTH(G69)/100),TC!$5:$37,DAY(G69)+2,FALSE),VLOOKUP(F69,Equivalencia!$5:$23,((MAX(Equivalencia!$3:$3)-YEAR(G69))*14)+MONTH(G69)+2,FALSE))</f>
        <v>1</v>
      </c>
      <c r="L69" s="306">
        <f t="shared" si="20"/>
        <v>1493.96</v>
      </c>
      <c r="M69" s="305">
        <f>IF(G69=0,0,HLOOKUP(YEAR(G69)+(MONTH(G69)/100),TC!$5:$37,DAY(G69)+2,FALSE))</f>
        <v>19.393999999999998</v>
      </c>
      <c r="N69" s="306">
        <f t="shared" si="21"/>
        <v>28973.860239999998</v>
      </c>
      <c r="O69" s="308">
        <f>IF(G69=0,0,VLOOKUP(YEAR(G69),INPC!$B$4:$P$30,MONTH(G69)+2))</f>
        <v>125.997</v>
      </c>
      <c r="P69" s="308">
        <f>IF(W69=0,0,IF(OR(C69=$AQ$5,C69=AQ73),VLOOKUP(YEAR(W69),INPC!$B$4:$P$30,MONTH(W69)+1),VLOOKUP(YEAR(W69),INPC!$B$4:$P$30,MONTH(W69)+2)))</f>
        <v>126.47799999999999</v>
      </c>
      <c r="Q69" s="309">
        <f t="shared" si="22"/>
        <v>1.0038</v>
      </c>
      <c r="R69" s="310">
        <f t="shared" si="23"/>
        <v>29083.960908911999</v>
      </c>
      <c r="S69" s="310">
        <f t="shared" si="24"/>
        <v>4847.3268181519998</v>
      </c>
      <c r="T69" s="559" t="str">
        <f t="shared" si="25"/>
        <v>SI</v>
      </c>
      <c r="U69" s="323">
        <v>6</v>
      </c>
      <c r="V69" s="299" t="s">
        <v>267</v>
      </c>
      <c r="W69" s="300">
        <v>44917</v>
      </c>
      <c r="X69" s="299" t="s">
        <v>59</v>
      </c>
      <c r="Y69" s="303">
        <v>-54</v>
      </c>
      <c r="Z69" s="305">
        <f>IF(Y69=0,0,IF(X69="MXN",1/HLOOKUP(YEAR(W69)+(MONTH(W69)/100),TC!$5:$37,DAY(W69)+2,FALSE),VLOOKUP(X69,Equivalencia!$1:$23,((MAX(Equivalencia!$3:$3)-YEAR(W69))*14)+MONTH(W69)+2,FALSE)))</f>
        <v>1</v>
      </c>
      <c r="AA69" s="306">
        <f t="shared" si="26"/>
        <v>-54</v>
      </c>
      <c r="AB69" s="305">
        <f>+IF(W69=0,0,HLOOKUP(YEAR(W69)+(MONTH(W69)/100),TC!$5:$37,DAY(W69)+2,FALSE))</f>
        <v>19.748200000000001</v>
      </c>
      <c r="AC69" s="306">
        <f t="shared" si="27"/>
        <v>-1066.4028000000001</v>
      </c>
      <c r="AD69" s="314">
        <f t="shared" si="18"/>
        <v>29083.960908911999</v>
      </c>
      <c r="AE69" s="315">
        <f t="shared" si="28"/>
        <v>28017.558108911999</v>
      </c>
      <c r="AF69" s="316">
        <f t="shared" si="19"/>
        <v>1</v>
      </c>
      <c r="AG69" s="314">
        <v>1</v>
      </c>
      <c r="AH69" s="314">
        <f t="shared" si="29"/>
        <v>28017.558108911999</v>
      </c>
      <c r="AI69" s="314">
        <f t="shared" si="30"/>
        <v>0</v>
      </c>
      <c r="AJ69" s="317"/>
      <c r="AK69" s="315">
        <f t="shared" si="31"/>
        <v>1439.96</v>
      </c>
      <c r="AM69" s="553"/>
      <c r="AN69" s="553"/>
      <c r="AO69" s="553"/>
    </row>
    <row r="70" spans="2:41">
      <c r="B70" s="296" t="s">
        <v>851</v>
      </c>
      <c r="C70" s="299" t="s">
        <v>114</v>
      </c>
      <c r="D70" s="296" t="s">
        <v>268</v>
      </c>
      <c r="E70" s="298" t="s">
        <v>828</v>
      </c>
      <c r="F70" s="299" t="s">
        <v>59</v>
      </c>
      <c r="G70" s="300">
        <v>44888</v>
      </c>
      <c r="H70" s="303">
        <v>-3</v>
      </c>
      <c r="I70" s="303">
        <v>506.98</v>
      </c>
      <c r="J70" s="322" t="str">
        <f t="shared" si="17"/>
        <v>Derivados Cap IV, Sec II - SIC &amp; BMV</v>
      </c>
      <c r="K70" s="305">
        <f>IF(F70="MXN",1/HLOOKUP(YEAR(G70)+(MONTH(G70)/100),TC!$5:$37,DAY(G70)+2,FALSE),VLOOKUP(F70,Equivalencia!$5:$23,((MAX(Equivalencia!$3:$3)-YEAR(G70))*14)+MONTH(G70)+2,FALSE))</f>
        <v>1</v>
      </c>
      <c r="L70" s="306">
        <f t="shared" si="20"/>
        <v>506.98</v>
      </c>
      <c r="M70" s="305">
        <f>IF(G70=0,0,HLOOKUP(YEAR(G70)+(MONTH(G70)/100),TC!$5:$37,DAY(G70)+2,FALSE))</f>
        <v>19.492999999999999</v>
      </c>
      <c r="N70" s="306">
        <f t="shared" si="21"/>
        <v>9882.5611399999998</v>
      </c>
      <c r="O70" s="308">
        <f>IF(G70=0,0,VLOOKUP(YEAR(G70),INPC!$B$4:$P$30,MONTH(G70)+2))</f>
        <v>125.997</v>
      </c>
      <c r="P70" s="308">
        <f>IF(W70=0,0,IF(OR(C70=$AQ$5,C70=AQ74),VLOOKUP(YEAR(W70),INPC!$B$4:$P$30,MONTH(W70)+1),VLOOKUP(YEAR(W70),INPC!$B$4:$P$30,MONTH(W70)+2)))</f>
        <v>126.47799999999999</v>
      </c>
      <c r="Q70" s="309">
        <f t="shared" si="22"/>
        <v>1.0038</v>
      </c>
      <c r="R70" s="310">
        <f t="shared" si="23"/>
        <v>9920.1148723320002</v>
      </c>
      <c r="S70" s="310">
        <f t="shared" si="24"/>
        <v>3306.7049574440002</v>
      </c>
      <c r="T70" s="559" t="str">
        <f t="shared" si="25"/>
        <v>SI</v>
      </c>
      <c r="U70" s="323">
        <v>3</v>
      </c>
      <c r="V70" s="299" t="s">
        <v>267</v>
      </c>
      <c r="W70" s="300">
        <v>44917</v>
      </c>
      <c r="X70" s="299" t="s">
        <v>59</v>
      </c>
      <c r="Y70" s="303">
        <v>-102</v>
      </c>
      <c r="Z70" s="305">
        <f>IF(Y70=0,0,IF(X70="MXN",1/HLOOKUP(YEAR(W70)+(MONTH(W70)/100),TC!$5:$37,DAY(W70)+2,FALSE),VLOOKUP(X70,Equivalencia!$1:$23,((MAX(Equivalencia!$3:$3)-YEAR(W70))*14)+MONTH(W70)+2,FALSE)))</f>
        <v>1</v>
      </c>
      <c r="AA70" s="306">
        <f t="shared" si="26"/>
        <v>-102</v>
      </c>
      <c r="AB70" s="305">
        <f>+IF(W70=0,0,HLOOKUP(YEAR(W70)+(MONTH(W70)/100),TC!$5:$37,DAY(W70)+2,FALSE))</f>
        <v>19.748200000000001</v>
      </c>
      <c r="AC70" s="306">
        <f t="shared" si="27"/>
        <v>-2014.3164000000002</v>
      </c>
      <c r="AD70" s="314">
        <f t="shared" si="18"/>
        <v>9920.1148723320002</v>
      </c>
      <c r="AE70" s="315">
        <f t="shared" si="28"/>
        <v>7905.7984723320005</v>
      </c>
      <c r="AF70" s="316">
        <f t="shared" si="19"/>
        <v>1</v>
      </c>
      <c r="AG70" s="314">
        <v>1</v>
      </c>
      <c r="AH70" s="314">
        <f t="shared" si="29"/>
        <v>7905.7984723320005</v>
      </c>
      <c r="AI70" s="314">
        <f t="shared" si="30"/>
        <v>0</v>
      </c>
      <c r="AJ70" s="317"/>
      <c r="AK70" s="315">
        <f t="shared" si="31"/>
        <v>404.98</v>
      </c>
      <c r="AM70" s="553"/>
      <c r="AN70" s="553"/>
      <c r="AO70" s="553"/>
    </row>
    <row r="71" spans="2:41">
      <c r="B71" s="296" t="s">
        <v>851</v>
      </c>
      <c r="C71" s="299" t="s">
        <v>114</v>
      </c>
      <c r="D71" s="296" t="s">
        <v>268</v>
      </c>
      <c r="E71" s="298" t="s">
        <v>829</v>
      </c>
      <c r="F71" s="299" t="s">
        <v>59</v>
      </c>
      <c r="G71" s="300">
        <v>44888</v>
      </c>
      <c r="H71" s="303">
        <v>-7</v>
      </c>
      <c r="I71" s="303">
        <v>2176.94</v>
      </c>
      <c r="J71" s="322" t="str">
        <f t="shared" si="17"/>
        <v>Derivados Cap IV, Sec II - SIC &amp; BMV</v>
      </c>
      <c r="K71" s="305">
        <f>IF(F71="MXN",1/HLOOKUP(YEAR(G71)+(MONTH(G71)/100),TC!$5:$37,DAY(G71)+2,FALSE),VLOOKUP(F71,Equivalencia!$5:$23,((MAX(Equivalencia!$3:$3)-YEAR(G71))*14)+MONTH(G71)+2,FALSE))</f>
        <v>1</v>
      </c>
      <c r="L71" s="306">
        <f t="shared" si="20"/>
        <v>2176.94</v>
      </c>
      <c r="M71" s="305">
        <f>IF(G71=0,0,HLOOKUP(YEAR(G71)+(MONTH(G71)/100),TC!$5:$37,DAY(G71)+2,FALSE))</f>
        <v>19.492999999999999</v>
      </c>
      <c r="N71" s="306">
        <f t="shared" si="21"/>
        <v>42435.091419999997</v>
      </c>
      <c r="O71" s="308">
        <f>IF(G71=0,0,VLOOKUP(YEAR(G71),INPC!$B$4:$P$30,MONTH(G71)+2))</f>
        <v>125.997</v>
      </c>
      <c r="P71" s="308">
        <f>IF(W71=0,0,IF(OR(C71=$AQ$5,C71=AQ75),VLOOKUP(YEAR(W71),INPC!$B$4:$P$30,MONTH(W71)+1),VLOOKUP(YEAR(W71),INPC!$B$4:$P$30,MONTH(W71)+2)))</f>
        <v>0</v>
      </c>
      <c r="Q71" s="309">
        <f t="shared" si="22"/>
        <v>0</v>
      </c>
      <c r="R71" s="310">
        <f t="shared" si="23"/>
        <v>0</v>
      </c>
      <c r="S71" s="310">
        <f t="shared" si="24"/>
        <v>0</v>
      </c>
      <c r="T71" s="559" t="str">
        <f t="shared" si="25"/>
        <v>NO</v>
      </c>
      <c r="U71" s="323"/>
      <c r="V71" s="299"/>
      <c r="W71" s="300"/>
      <c r="X71" s="299"/>
      <c r="Y71" s="303"/>
      <c r="Z71" s="305">
        <f>IF(Y71=0,0,IF(X71="MXN",1/HLOOKUP(YEAR(W71)+(MONTH(W71)/100),TC!$5:$37,DAY(W71)+2,FALSE),VLOOKUP(X71,Equivalencia!$1:$23,((MAX(Equivalencia!$3:$3)-YEAR(W71))*14)+MONTH(W71)+2,FALSE)))</f>
        <v>0</v>
      </c>
      <c r="AA71" s="306">
        <f t="shared" si="26"/>
        <v>0</v>
      </c>
      <c r="AB71" s="305">
        <f>+IF(W71=0,0,HLOOKUP(YEAR(W71)+(MONTH(W71)/100),TC!$5:$37,DAY(W71)+2,FALSE))</f>
        <v>0</v>
      </c>
      <c r="AC71" s="306">
        <f t="shared" si="27"/>
        <v>0</v>
      </c>
      <c r="AD71" s="314">
        <f t="shared" si="18"/>
        <v>0</v>
      </c>
      <c r="AE71" s="315">
        <f t="shared" si="28"/>
        <v>0</v>
      </c>
      <c r="AF71" s="316">
        <f t="shared" si="19"/>
        <v>1</v>
      </c>
      <c r="AG71" s="314">
        <v>1</v>
      </c>
      <c r="AH71" s="314">
        <f t="shared" si="29"/>
        <v>0</v>
      </c>
      <c r="AI71" s="314">
        <f t="shared" si="30"/>
        <v>0</v>
      </c>
      <c r="AJ71" s="317"/>
      <c r="AK71" s="315">
        <f t="shared" si="31"/>
        <v>2176.94</v>
      </c>
      <c r="AM71" s="553"/>
      <c r="AN71" s="553"/>
      <c r="AO71" s="553"/>
    </row>
    <row r="72" spans="2:41">
      <c r="B72" s="296"/>
      <c r="C72" s="299"/>
      <c r="D72" s="296"/>
      <c r="E72" s="298"/>
      <c r="F72" s="299"/>
      <c r="G72" s="300"/>
      <c r="H72" s="303"/>
      <c r="I72" s="303"/>
      <c r="J72" s="322">
        <f t="shared" si="17"/>
        <v>0</v>
      </c>
      <c r="K72" s="305" t="e">
        <f>IF(F72="MXN",1/HLOOKUP(YEAR(G72)+(MONTH(G72)/100),TC!$5:$37,DAY(G72)+2,FALSE),VLOOKUP(F72,Equivalencia!$5:$23,((MAX(Equivalencia!$3:$3)-YEAR(G72))*14)+MONTH(G72)+2,FALSE))</f>
        <v>#N/A</v>
      </c>
      <c r="L72" s="306" t="e">
        <f t="shared" si="20"/>
        <v>#N/A</v>
      </c>
      <c r="M72" s="305">
        <f>IF(G72=0,0,HLOOKUP(YEAR(G72)+(MONTH(G72)/100),TC!$5:$37,DAY(G72)+2,FALSE))</f>
        <v>0</v>
      </c>
      <c r="N72" s="306" t="e">
        <f t="shared" si="21"/>
        <v>#N/A</v>
      </c>
      <c r="O72" s="308">
        <f>IF(G72=0,0,VLOOKUP(YEAR(G72),INPC!$B$4:$P$30,MONTH(G72)+2))</f>
        <v>0</v>
      </c>
      <c r="P72" s="308">
        <f>IF(W72=0,0,IF(OR(C72=$AQ$5,C72=AQ76),VLOOKUP(YEAR(W72),INPC!$B$4:$P$30,MONTH(W72)+1),VLOOKUP(YEAR(W72),INPC!$B$4:$P$30,MONTH(W72)+2)))</f>
        <v>0</v>
      </c>
      <c r="Q72" s="309">
        <f t="shared" si="22"/>
        <v>0</v>
      </c>
      <c r="R72" s="310" t="e">
        <f t="shared" si="23"/>
        <v>#N/A</v>
      </c>
      <c r="S72" s="310">
        <f t="shared" si="24"/>
        <v>0</v>
      </c>
      <c r="T72" s="559" t="str">
        <f t="shared" si="25"/>
        <v>NO</v>
      </c>
      <c r="U72" s="323"/>
      <c r="V72" s="299"/>
      <c r="W72" s="300"/>
      <c r="X72" s="299"/>
      <c r="Y72" s="303"/>
      <c r="Z72" s="305">
        <f>IF(Y72=0,0,IF(X72="MXN",1/HLOOKUP(YEAR(W72)+(MONTH(W72)/100),TC!$5:$37,DAY(W72)+2,FALSE),VLOOKUP(X72,Equivalencia!$1:$23,((MAX(Equivalencia!$3:$3)-YEAR(W72))*14)+MONTH(W72)+2,FALSE)))</f>
        <v>0</v>
      </c>
      <c r="AA72" s="306">
        <f t="shared" si="26"/>
        <v>0</v>
      </c>
      <c r="AB72" s="305">
        <f>+IF(W72=0,0,HLOOKUP(YEAR(W72)+(MONTH(W72)/100),TC!$5:$37,DAY(W72)+2,FALSE))</f>
        <v>0</v>
      </c>
      <c r="AC72" s="306">
        <f t="shared" si="27"/>
        <v>0</v>
      </c>
      <c r="AD72" s="314">
        <f t="shared" si="18"/>
        <v>0</v>
      </c>
      <c r="AE72" s="315">
        <f t="shared" si="28"/>
        <v>0</v>
      </c>
      <c r="AF72" s="316">
        <f t="shared" si="19"/>
        <v>0</v>
      </c>
      <c r="AG72" s="314">
        <v>1</v>
      </c>
      <c r="AH72" s="314">
        <f t="shared" si="29"/>
        <v>0</v>
      </c>
      <c r="AI72" s="314">
        <f t="shared" si="30"/>
        <v>0</v>
      </c>
      <c r="AJ72" s="317"/>
      <c r="AK72" s="315" t="e">
        <f t="shared" si="31"/>
        <v>#N/A</v>
      </c>
      <c r="AM72" s="553"/>
      <c r="AN72" s="553"/>
      <c r="AO72" s="553"/>
    </row>
    <row r="73" spans="2:41">
      <c r="B73" s="296" t="s">
        <v>851</v>
      </c>
      <c r="C73" s="299" t="s">
        <v>114</v>
      </c>
      <c r="D73" s="296" t="s">
        <v>268</v>
      </c>
      <c r="E73" s="298" t="s">
        <v>835</v>
      </c>
      <c r="F73" s="299" t="s">
        <v>59</v>
      </c>
      <c r="G73" s="300">
        <v>44897</v>
      </c>
      <c r="H73" s="303">
        <v>-7</v>
      </c>
      <c r="I73" s="303">
        <v>2246.8000000000002</v>
      </c>
      <c r="J73" s="322" t="str">
        <f t="shared" si="17"/>
        <v>Derivados Cap IV, Sec II - SIC &amp; BMV</v>
      </c>
      <c r="K73" s="305">
        <f>IF(F73="MXN",1/HLOOKUP(YEAR(G73)+(MONTH(G73)/100),TC!$5:$37,DAY(G73)+2,FALSE),VLOOKUP(F73,Equivalencia!$5:$23,((MAX(Equivalencia!$3:$3)-YEAR(G73))*14)+MONTH(G73)+2,FALSE))</f>
        <v>1</v>
      </c>
      <c r="L73" s="306">
        <f t="shared" si="20"/>
        <v>2246.8000000000002</v>
      </c>
      <c r="M73" s="305">
        <f>IF(G73=0,0,HLOOKUP(YEAR(G73)+(MONTH(G73)/100),TC!$5:$37,DAY(G73)+2,FALSE))</f>
        <v>19.3965</v>
      </c>
      <c r="N73" s="306">
        <f t="shared" si="21"/>
        <v>43580.056199999999</v>
      </c>
      <c r="O73" s="308">
        <f>IF(G73=0,0,VLOOKUP(YEAR(G73),INPC!$B$4:$P$30,MONTH(G73)+2))</f>
        <v>126.47799999999999</v>
      </c>
      <c r="P73" s="308">
        <f>IF(W73=0,0,IF(OR(C73=$AQ$5,C73=AQ77),VLOOKUP(YEAR(W73),INPC!$B$4:$P$30,MONTH(W73)+1),VLOOKUP(YEAR(W73),INPC!$B$4:$P$30,MONTH(W73)+2)))</f>
        <v>0</v>
      </c>
      <c r="Q73" s="309">
        <f t="shared" si="22"/>
        <v>0</v>
      </c>
      <c r="R73" s="310">
        <f t="shared" si="23"/>
        <v>0</v>
      </c>
      <c r="S73" s="310">
        <f t="shared" si="24"/>
        <v>0</v>
      </c>
      <c r="T73" s="559" t="str">
        <f t="shared" si="25"/>
        <v>NO</v>
      </c>
      <c r="U73" s="323"/>
      <c r="V73" s="299"/>
      <c r="W73" s="300"/>
      <c r="X73" s="299"/>
      <c r="Y73" s="303"/>
      <c r="Z73" s="305">
        <f>IF(Y73=0,0,IF(X73="MXN",1/HLOOKUP(YEAR(W73)+(MONTH(W73)/100),TC!$5:$37,DAY(W73)+2,FALSE),VLOOKUP(X73,Equivalencia!$1:$23,((MAX(Equivalencia!$3:$3)-YEAR(W73))*14)+MONTH(W73)+2,FALSE)))</f>
        <v>0</v>
      </c>
      <c r="AA73" s="306">
        <f t="shared" si="26"/>
        <v>0</v>
      </c>
      <c r="AB73" s="305">
        <f>+IF(W73=0,0,HLOOKUP(YEAR(W73)+(MONTH(W73)/100),TC!$5:$37,DAY(W73)+2,FALSE))</f>
        <v>0</v>
      </c>
      <c r="AC73" s="306">
        <f t="shared" si="27"/>
        <v>0</v>
      </c>
      <c r="AD73" s="314">
        <f t="shared" si="18"/>
        <v>0</v>
      </c>
      <c r="AE73" s="315">
        <f t="shared" si="28"/>
        <v>0</v>
      </c>
      <c r="AF73" s="316">
        <f t="shared" si="19"/>
        <v>1</v>
      </c>
      <c r="AG73" s="314">
        <v>1</v>
      </c>
      <c r="AH73" s="314">
        <f t="shared" si="29"/>
        <v>0</v>
      </c>
      <c r="AI73" s="314">
        <f t="shared" si="30"/>
        <v>0</v>
      </c>
      <c r="AJ73" s="317"/>
      <c r="AK73" s="315">
        <f t="shared" si="31"/>
        <v>2246.8000000000002</v>
      </c>
      <c r="AM73" s="553"/>
      <c r="AN73" s="553"/>
      <c r="AO73" s="553"/>
    </row>
    <row r="74" spans="2:41">
      <c r="B74" s="296" t="s">
        <v>851</v>
      </c>
      <c r="C74" s="299" t="s">
        <v>114</v>
      </c>
      <c r="D74" s="296" t="s">
        <v>268</v>
      </c>
      <c r="E74" s="298" t="s">
        <v>836</v>
      </c>
      <c r="F74" s="299" t="s">
        <v>59</v>
      </c>
      <c r="G74" s="300">
        <v>44903</v>
      </c>
      <c r="H74" s="303">
        <v>-7</v>
      </c>
      <c r="I74" s="303">
        <v>3317.92</v>
      </c>
      <c r="J74" s="322" t="str">
        <f t="shared" si="17"/>
        <v>Derivados Cap IV, Sec II - SIC &amp; BMV</v>
      </c>
      <c r="K74" s="305">
        <f>IF(F74="MXN",1/HLOOKUP(YEAR(G74)+(MONTH(G74)/100),TC!$5:$37,DAY(G74)+2,FALSE),VLOOKUP(F74,Equivalencia!$5:$23,((MAX(Equivalencia!$3:$3)-YEAR(G74))*14)+MONTH(G74)+2,FALSE))</f>
        <v>1</v>
      </c>
      <c r="L74" s="306">
        <f t="shared" si="20"/>
        <v>3317.92</v>
      </c>
      <c r="M74" s="305">
        <f>IF(G74=0,0,HLOOKUP(YEAR(G74)+(MONTH(G74)/100),TC!$5:$37,DAY(G74)+2,FALSE))</f>
        <v>19.803000000000001</v>
      </c>
      <c r="N74" s="306">
        <f t="shared" si="21"/>
        <v>65704.76976000001</v>
      </c>
      <c r="O74" s="308">
        <f>IF(G74=0,0,VLOOKUP(YEAR(G74),INPC!$B$4:$P$30,MONTH(G74)+2))</f>
        <v>126.47799999999999</v>
      </c>
      <c r="P74" s="308">
        <f>IF(W74=0,0,IF(OR(C74=$AQ$5,C74=AQ78),VLOOKUP(YEAR(W74),INPC!$B$4:$P$30,MONTH(W74)+1),VLOOKUP(YEAR(W74),INPC!$B$4:$P$30,MONTH(W74)+2)))</f>
        <v>0</v>
      </c>
      <c r="Q74" s="309">
        <f t="shared" si="22"/>
        <v>0</v>
      </c>
      <c r="R74" s="310">
        <f t="shared" si="23"/>
        <v>0</v>
      </c>
      <c r="S74" s="310">
        <f t="shared" si="24"/>
        <v>0</v>
      </c>
      <c r="T74" s="559" t="str">
        <f t="shared" si="25"/>
        <v>NO</v>
      </c>
      <c r="U74" s="323"/>
      <c r="V74" s="299"/>
      <c r="W74" s="300"/>
      <c r="X74" s="299"/>
      <c r="Y74" s="303"/>
      <c r="Z74" s="305">
        <f>IF(Y74=0,0,IF(X74="MXN",1/HLOOKUP(YEAR(W74)+(MONTH(W74)/100),TC!$5:$37,DAY(W74)+2,FALSE),VLOOKUP(X74,Equivalencia!$1:$23,((MAX(Equivalencia!$3:$3)-YEAR(W74))*14)+MONTH(W74)+2,FALSE)))</f>
        <v>0</v>
      </c>
      <c r="AA74" s="306">
        <f t="shared" si="26"/>
        <v>0</v>
      </c>
      <c r="AB74" s="305">
        <f>+IF(W74=0,0,HLOOKUP(YEAR(W74)+(MONTH(W74)/100),TC!$5:$37,DAY(W74)+2,FALSE))</f>
        <v>0</v>
      </c>
      <c r="AC74" s="306">
        <f t="shared" si="27"/>
        <v>0</v>
      </c>
      <c r="AD74" s="314">
        <f t="shared" si="18"/>
        <v>0</v>
      </c>
      <c r="AE74" s="315">
        <f t="shared" si="28"/>
        <v>0</v>
      </c>
      <c r="AF74" s="316">
        <f t="shared" si="19"/>
        <v>1</v>
      </c>
      <c r="AG74" s="314">
        <v>1</v>
      </c>
      <c r="AH74" s="314">
        <f t="shared" si="29"/>
        <v>0</v>
      </c>
      <c r="AI74" s="314">
        <f t="shared" si="30"/>
        <v>0</v>
      </c>
      <c r="AJ74" s="317"/>
      <c r="AK74" s="315">
        <f t="shared" si="31"/>
        <v>3317.92</v>
      </c>
      <c r="AM74" s="553"/>
      <c r="AN74" s="553"/>
      <c r="AO74" s="553"/>
    </row>
    <row r="75" spans="2:41">
      <c r="B75" s="296" t="s">
        <v>851</v>
      </c>
      <c r="C75" s="299" t="s">
        <v>114</v>
      </c>
      <c r="D75" s="296" t="s">
        <v>268</v>
      </c>
      <c r="E75" s="298" t="s">
        <v>837</v>
      </c>
      <c r="F75" s="299" t="s">
        <v>59</v>
      </c>
      <c r="G75" s="300">
        <v>44910</v>
      </c>
      <c r="H75" s="303">
        <v>-7</v>
      </c>
      <c r="I75" s="303">
        <v>4976.88</v>
      </c>
      <c r="J75" s="322" t="str">
        <f t="shared" si="17"/>
        <v>Derivados Cap IV, Sec II - SIC &amp; BMV</v>
      </c>
      <c r="K75" s="305">
        <f>IF(F75="MXN",1/HLOOKUP(YEAR(G75)+(MONTH(G75)/100),TC!$5:$37,DAY(G75)+2,FALSE),VLOOKUP(F75,Equivalencia!$5:$23,((MAX(Equivalencia!$3:$3)-YEAR(G75))*14)+MONTH(G75)+2,FALSE))</f>
        <v>1</v>
      </c>
      <c r="L75" s="306">
        <f t="shared" si="20"/>
        <v>4976.88</v>
      </c>
      <c r="M75" s="305">
        <f>IF(G75=0,0,HLOOKUP(YEAR(G75)+(MONTH(G75)/100),TC!$5:$37,DAY(G75)+2,FALSE))</f>
        <v>19.645800000000001</v>
      </c>
      <c r="N75" s="306">
        <f t="shared" si="21"/>
        <v>97774.78910400001</v>
      </c>
      <c r="O75" s="308">
        <f>IF(G75=0,0,VLOOKUP(YEAR(G75),INPC!$B$4:$P$30,MONTH(G75)+2))</f>
        <v>126.47799999999999</v>
      </c>
      <c r="P75" s="308">
        <f>IF(W75=0,0,IF(OR(C75=$AQ$5,C75=AQ79),VLOOKUP(YEAR(W75),INPC!$B$4:$P$30,MONTH(W75)+1),VLOOKUP(YEAR(W75),INPC!$B$4:$P$30,MONTH(W75)+2)))</f>
        <v>0</v>
      </c>
      <c r="Q75" s="309">
        <f t="shared" si="22"/>
        <v>0</v>
      </c>
      <c r="R75" s="310">
        <f t="shared" si="23"/>
        <v>0</v>
      </c>
      <c r="S75" s="310">
        <f t="shared" si="24"/>
        <v>0</v>
      </c>
      <c r="T75" s="559" t="str">
        <f t="shared" si="25"/>
        <v>NO</v>
      </c>
      <c r="U75" s="323"/>
      <c r="V75" s="299"/>
      <c r="W75" s="300"/>
      <c r="X75" s="299"/>
      <c r="Y75" s="303"/>
      <c r="Z75" s="305">
        <f>IF(Y75=0,0,IF(X75="MXN",1/HLOOKUP(YEAR(W75)+(MONTH(W75)/100),TC!$5:$37,DAY(W75)+2,FALSE),VLOOKUP(X75,Equivalencia!$1:$23,((MAX(Equivalencia!$3:$3)-YEAR(W75))*14)+MONTH(W75)+2,FALSE)))</f>
        <v>0</v>
      </c>
      <c r="AA75" s="306">
        <f t="shared" si="26"/>
        <v>0</v>
      </c>
      <c r="AB75" s="305">
        <f>+IF(W75=0,0,HLOOKUP(YEAR(W75)+(MONTH(W75)/100),TC!$5:$37,DAY(W75)+2,FALSE))</f>
        <v>0</v>
      </c>
      <c r="AC75" s="306">
        <f t="shared" si="27"/>
        <v>0</v>
      </c>
      <c r="AD75" s="314">
        <f t="shared" si="18"/>
        <v>0</v>
      </c>
      <c r="AE75" s="315">
        <f t="shared" si="28"/>
        <v>0</v>
      </c>
      <c r="AF75" s="316">
        <f t="shared" si="19"/>
        <v>1</v>
      </c>
      <c r="AG75" s="314">
        <v>1</v>
      </c>
      <c r="AH75" s="314">
        <f t="shared" si="29"/>
        <v>0</v>
      </c>
      <c r="AI75" s="314">
        <f t="shared" si="30"/>
        <v>0</v>
      </c>
      <c r="AJ75" s="317"/>
      <c r="AK75" s="315">
        <f t="shared" si="31"/>
        <v>4976.88</v>
      </c>
      <c r="AM75" s="553"/>
      <c r="AN75" s="553"/>
      <c r="AO75" s="553"/>
    </row>
    <row r="76" spans="2:41">
      <c r="B76" s="296" t="s">
        <v>851</v>
      </c>
      <c r="C76" s="299" t="s">
        <v>114</v>
      </c>
      <c r="D76" s="296" t="s">
        <v>268</v>
      </c>
      <c r="E76" s="298" t="s">
        <v>838</v>
      </c>
      <c r="F76" s="299" t="s">
        <v>59</v>
      </c>
      <c r="G76" s="300">
        <v>44917</v>
      </c>
      <c r="H76" s="303">
        <v>-2</v>
      </c>
      <c r="I76" s="303">
        <v>479.98</v>
      </c>
      <c r="J76" s="322" t="str">
        <f t="shared" si="17"/>
        <v>Derivados Cap IV, Sec II - SIC &amp; BMV</v>
      </c>
      <c r="K76" s="305">
        <f>IF(F76="MXN",1/HLOOKUP(YEAR(G76)+(MONTH(G76)/100),TC!$5:$37,DAY(G76)+2,FALSE),VLOOKUP(F76,Equivalencia!$5:$23,((MAX(Equivalencia!$3:$3)-YEAR(G76))*14)+MONTH(G76)+2,FALSE))</f>
        <v>1</v>
      </c>
      <c r="L76" s="306">
        <f t="shared" si="20"/>
        <v>479.98</v>
      </c>
      <c r="M76" s="305">
        <f>IF(G76=0,0,HLOOKUP(YEAR(G76)+(MONTH(G76)/100),TC!$5:$37,DAY(G76)+2,FALSE))</f>
        <v>19.748200000000001</v>
      </c>
      <c r="N76" s="306">
        <f t="shared" si="21"/>
        <v>9478.7410360000013</v>
      </c>
      <c r="O76" s="308">
        <f>IF(G76=0,0,VLOOKUP(YEAR(G76),INPC!$B$4:$P$30,MONTH(G76)+2))</f>
        <v>126.47799999999999</v>
      </c>
      <c r="P76" s="308">
        <f>IF(W76=0,0,IF(OR(C76=$AQ$5,C76=AQ80),VLOOKUP(YEAR(W76),INPC!$B$4:$P$30,MONTH(W76)+1),VLOOKUP(YEAR(W76),INPC!$B$4:$P$30,MONTH(W76)+2)))</f>
        <v>0</v>
      </c>
      <c r="Q76" s="309">
        <f t="shared" si="22"/>
        <v>0</v>
      </c>
      <c r="R76" s="310">
        <f t="shared" si="23"/>
        <v>0</v>
      </c>
      <c r="S76" s="310">
        <f t="shared" si="24"/>
        <v>0</v>
      </c>
      <c r="T76" s="559" t="str">
        <f t="shared" si="25"/>
        <v>NO</v>
      </c>
      <c r="U76" s="323"/>
      <c r="V76" s="299"/>
      <c r="W76" s="300"/>
      <c r="X76" s="299"/>
      <c r="Y76" s="303"/>
      <c r="Z76" s="305">
        <f>IF(Y76=0,0,IF(X76="MXN",1/HLOOKUP(YEAR(W76)+(MONTH(W76)/100),TC!$5:$37,DAY(W76)+2,FALSE),VLOOKUP(X76,Equivalencia!$1:$23,((MAX(Equivalencia!$3:$3)-YEAR(W76))*14)+MONTH(W76)+2,FALSE)))</f>
        <v>0</v>
      </c>
      <c r="AA76" s="306">
        <f t="shared" si="26"/>
        <v>0</v>
      </c>
      <c r="AB76" s="305">
        <f>+IF(W76=0,0,HLOOKUP(YEAR(W76)+(MONTH(W76)/100),TC!$5:$37,DAY(W76)+2,FALSE))</f>
        <v>0</v>
      </c>
      <c r="AC76" s="306">
        <f t="shared" si="27"/>
        <v>0</v>
      </c>
      <c r="AD76" s="314">
        <f t="shared" si="18"/>
        <v>0</v>
      </c>
      <c r="AE76" s="315">
        <f t="shared" si="28"/>
        <v>0</v>
      </c>
      <c r="AF76" s="316">
        <f t="shared" si="19"/>
        <v>1</v>
      </c>
      <c r="AG76" s="314">
        <v>1</v>
      </c>
      <c r="AH76" s="314">
        <f t="shared" si="29"/>
        <v>0</v>
      </c>
      <c r="AI76" s="314">
        <f t="shared" si="30"/>
        <v>0</v>
      </c>
      <c r="AJ76" s="317"/>
      <c r="AK76" s="315">
        <f t="shared" si="31"/>
        <v>479.98</v>
      </c>
      <c r="AM76" s="553"/>
      <c r="AN76" s="553"/>
      <c r="AO76" s="553"/>
    </row>
    <row r="77" spans="2:41">
      <c r="B77" s="296" t="s">
        <v>851</v>
      </c>
      <c r="C77" s="299" t="s">
        <v>114</v>
      </c>
      <c r="D77" s="296" t="s">
        <v>268</v>
      </c>
      <c r="E77" s="298" t="s">
        <v>839</v>
      </c>
      <c r="F77" s="299" t="s">
        <v>59</v>
      </c>
      <c r="G77" s="300">
        <v>44917</v>
      </c>
      <c r="H77" s="303">
        <v>-8</v>
      </c>
      <c r="I77" s="303">
        <v>1319.96</v>
      </c>
      <c r="J77" s="322" t="str">
        <f t="shared" si="17"/>
        <v>Derivados Cap IV, Sec II - SIC &amp; BMV</v>
      </c>
      <c r="K77" s="305">
        <f>IF(F77="MXN",1/HLOOKUP(YEAR(G77)+(MONTH(G77)/100),TC!$5:$37,DAY(G77)+2,FALSE),VLOOKUP(F77,Equivalencia!$5:$23,((MAX(Equivalencia!$3:$3)-YEAR(G77))*14)+MONTH(G77)+2,FALSE))</f>
        <v>1</v>
      </c>
      <c r="L77" s="306">
        <f t="shared" si="20"/>
        <v>1319.96</v>
      </c>
      <c r="M77" s="305">
        <f>IF(G77=0,0,HLOOKUP(YEAR(G77)+(MONTH(G77)/100),TC!$5:$37,DAY(G77)+2,FALSE))</f>
        <v>19.748200000000001</v>
      </c>
      <c r="N77" s="306">
        <f t="shared" si="21"/>
        <v>26066.834072000001</v>
      </c>
      <c r="O77" s="308">
        <f>IF(G77=0,0,VLOOKUP(YEAR(G77),INPC!$B$4:$P$30,MONTH(G77)+2))</f>
        <v>126.47799999999999</v>
      </c>
      <c r="P77" s="308">
        <f>IF(W77=0,0,IF(OR(C77=$AQ$5,C77=AQ81),VLOOKUP(YEAR(W77),INPC!$B$4:$P$30,MONTH(W77)+1),VLOOKUP(YEAR(W77),INPC!$B$4:$P$30,MONTH(W77)+2)))</f>
        <v>0</v>
      </c>
      <c r="Q77" s="309">
        <f t="shared" si="22"/>
        <v>0</v>
      </c>
      <c r="R77" s="310">
        <f t="shared" si="23"/>
        <v>0</v>
      </c>
      <c r="S77" s="310">
        <f t="shared" si="24"/>
        <v>0</v>
      </c>
      <c r="T77" s="559" t="str">
        <f t="shared" si="25"/>
        <v>NO</v>
      </c>
      <c r="U77" s="323"/>
      <c r="V77" s="299"/>
      <c r="W77" s="300"/>
      <c r="X77" s="299"/>
      <c r="Y77" s="303"/>
      <c r="Z77" s="305">
        <f>IF(Y77=0,0,IF(X77="MXN",1/HLOOKUP(YEAR(W77)+(MONTH(W77)/100),TC!$5:$37,DAY(W77)+2,FALSE),VLOOKUP(X77,Equivalencia!$1:$23,((MAX(Equivalencia!$3:$3)-YEAR(W77))*14)+MONTH(W77)+2,FALSE)))</f>
        <v>0</v>
      </c>
      <c r="AA77" s="306">
        <f t="shared" si="26"/>
        <v>0</v>
      </c>
      <c r="AB77" s="305">
        <f>+IF(W77=0,0,HLOOKUP(YEAR(W77)+(MONTH(W77)/100),TC!$5:$37,DAY(W77)+2,FALSE))</f>
        <v>0</v>
      </c>
      <c r="AC77" s="306">
        <f t="shared" si="27"/>
        <v>0</v>
      </c>
      <c r="AD77" s="314">
        <f t="shared" si="18"/>
        <v>0</v>
      </c>
      <c r="AE77" s="315">
        <f t="shared" si="28"/>
        <v>0</v>
      </c>
      <c r="AF77" s="316">
        <f t="shared" si="19"/>
        <v>1</v>
      </c>
      <c r="AG77" s="314">
        <v>1</v>
      </c>
      <c r="AH77" s="314">
        <f t="shared" si="29"/>
        <v>0</v>
      </c>
      <c r="AI77" s="314">
        <f t="shared" si="30"/>
        <v>0</v>
      </c>
      <c r="AJ77" s="317"/>
      <c r="AK77" s="315">
        <f t="shared" si="31"/>
        <v>1319.96</v>
      </c>
      <c r="AM77" s="553"/>
      <c r="AN77" s="553"/>
      <c r="AO77" s="553"/>
    </row>
    <row r="78" spans="2:41">
      <c r="B78" s="296"/>
      <c r="C78" s="299"/>
      <c r="D78" s="296"/>
      <c r="E78" s="298"/>
      <c r="F78" s="299"/>
      <c r="G78" s="300"/>
      <c r="H78" s="303"/>
      <c r="I78" s="303"/>
      <c r="J78" s="322">
        <f t="shared" si="17"/>
        <v>0</v>
      </c>
      <c r="K78" s="305" t="e">
        <f>IF(F78="MXN",1/HLOOKUP(YEAR(G78)+(MONTH(G78)/100),TC!$5:$37,DAY(G78)+2,FALSE),VLOOKUP(F78,Equivalencia!$5:$23,((MAX(Equivalencia!$3:$3)-YEAR(G78))*14)+MONTH(G78)+2,FALSE))</f>
        <v>#N/A</v>
      </c>
      <c r="L78" s="306" t="e">
        <f t="shared" si="20"/>
        <v>#N/A</v>
      </c>
      <c r="M78" s="305">
        <f>IF(G78=0,0,HLOOKUP(YEAR(G78)+(MONTH(G78)/100),TC!$5:$37,DAY(G78)+2,FALSE))</f>
        <v>0</v>
      </c>
      <c r="N78" s="306" t="e">
        <f t="shared" si="21"/>
        <v>#N/A</v>
      </c>
      <c r="O78" s="308">
        <f>IF(G78=0,0,VLOOKUP(YEAR(G78),INPC!$B$4:$P$30,MONTH(G78)+2))</f>
        <v>0</v>
      </c>
      <c r="P78" s="308">
        <f>IF(W78=0,0,IF(OR(C78=$AQ$5,C78=AQ82),VLOOKUP(YEAR(W78),INPC!$B$4:$P$30,MONTH(W78)+1),VLOOKUP(YEAR(W78),INPC!$B$4:$P$30,MONTH(W78)+2)))</f>
        <v>0</v>
      </c>
      <c r="Q78" s="309">
        <f t="shared" si="22"/>
        <v>0</v>
      </c>
      <c r="R78" s="310" t="e">
        <f t="shared" si="23"/>
        <v>#N/A</v>
      </c>
      <c r="S78" s="310">
        <f t="shared" si="24"/>
        <v>0</v>
      </c>
      <c r="T78" s="559" t="str">
        <f t="shared" si="25"/>
        <v>NO</v>
      </c>
      <c r="U78" s="323"/>
      <c r="V78" s="299"/>
      <c r="W78" s="300"/>
      <c r="X78" s="299"/>
      <c r="Y78" s="303"/>
      <c r="Z78" s="305">
        <f>IF(Y78=0,0,IF(X78="MXN",1/HLOOKUP(YEAR(W78)+(MONTH(W78)/100),TC!$5:$37,DAY(W78)+2,FALSE),VLOOKUP(X78,Equivalencia!$1:$23,((MAX(Equivalencia!$3:$3)-YEAR(W78))*14)+MONTH(W78)+2,FALSE)))</f>
        <v>0</v>
      </c>
      <c r="AA78" s="306">
        <f t="shared" si="26"/>
        <v>0</v>
      </c>
      <c r="AB78" s="305">
        <f>+IF(W78=0,0,HLOOKUP(YEAR(W78)+(MONTH(W78)/100),TC!$5:$37,DAY(W78)+2,FALSE))</f>
        <v>0</v>
      </c>
      <c r="AC78" s="306">
        <f t="shared" si="27"/>
        <v>0</v>
      </c>
      <c r="AD78" s="314">
        <f t="shared" si="18"/>
        <v>0</v>
      </c>
      <c r="AE78" s="315">
        <f t="shared" si="28"/>
        <v>0</v>
      </c>
      <c r="AF78" s="316">
        <f t="shared" si="19"/>
        <v>0</v>
      </c>
      <c r="AG78" s="314">
        <v>1</v>
      </c>
      <c r="AH78" s="314">
        <f t="shared" si="29"/>
        <v>0</v>
      </c>
      <c r="AI78" s="314">
        <f t="shared" si="30"/>
        <v>0</v>
      </c>
      <c r="AJ78" s="317"/>
      <c r="AK78" s="315" t="e">
        <f t="shared" si="31"/>
        <v>#N/A</v>
      </c>
      <c r="AM78" s="553"/>
      <c r="AN78" s="553"/>
      <c r="AO78" s="553"/>
    </row>
    <row r="79" spans="2:41">
      <c r="B79" s="296"/>
      <c r="C79" s="299"/>
      <c r="D79" s="296"/>
      <c r="E79" s="298"/>
      <c r="F79" s="299"/>
      <c r="G79" s="300"/>
      <c r="H79" s="303"/>
      <c r="I79" s="303"/>
      <c r="J79" s="322">
        <f t="shared" si="17"/>
        <v>0</v>
      </c>
      <c r="K79" s="305" t="e">
        <f>IF(F79="MXN",1/HLOOKUP(YEAR(G79)+(MONTH(G79)/100),TC!$5:$37,DAY(G79)+2,FALSE),VLOOKUP(F79,Equivalencia!$5:$23,((MAX(Equivalencia!$3:$3)-YEAR(G79))*14)+MONTH(G79)+2,FALSE))</f>
        <v>#N/A</v>
      </c>
      <c r="L79" s="306" t="e">
        <f t="shared" si="20"/>
        <v>#N/A</v>
      </c>
      <c r="M79" s="305">
        <f>IF(G79=0,0,HLOOKUP(YEAR(G79)+(MONTH(G79)/100),TC!$5:$37,DAY(G79)+2,FALSE))</f>
        <v>0</v>
      </c>
      <c r="N79" s="306" t="e">
        <f t="shared" si="21"/>
        <v>#N/A</v>
      </c>
      <c r="O79" s="308">
        <f>IF(G79=0,0,VLOOKUP(YEAR(G79),INPC!$B$4:$P$30,MONTH(G79)+2))</f>
        <v>0</v>
      </c>
      <c r="P79" s="308">
        <f>IF(W79=0,0,IF(OR(C79=$AQ$5,C79=AQ83),VLOOKUP(YEAR(W79),INPC!$B$4:$P$30,MONTH(W79)+1),VLOOKUP(YEAR(W79),INPC!$B$4:$P$30,MONTH(W79)+2)))</f>
        <v>0</v>
      </c>
      <c r="Q79" s="309">
        <f t="shared" si="22"/>
        <v>0</v>
      </c>
      <c r="R79" s="310" t="e">
        <f t="shared" si="23"/>
        <v>#N/A</v>
      </c>
      <c r="S79" s="310">
        <f t="shared" si="24"/>
        <v>0</v>
      </c>
      <c r="T79" s="559" t="str">
        <f t="shared" si="25"/>
        <v>NO</v>
      </c>
      <c r="U79" s="323"/>
      <c r="V79" s="299"/>
      <c r="W79" s="300"/>
      <c r="X79" s="299"/>
      <c r="Y79" s="303"/>
      <c r="Z79" s="305">
        <f>IF(Y79=0,0,IF(X79="MXN",1/HLOOKUP(YEAR(W79)+(MONTH(W79)/100),TC!$5:$37,DAY(W79)+2,FALSE),VLOOKUP(X79,Equivalencia!$1:$23,((MAX(Equivalencia!$3:$3)-YEAR(W79))*14)+MONTH(W79)+2,FALSE)))</f>
        <v>0</v>
      </c>
      <c r="AA79" s="306">
        <f t="shared" si="26"/>
        <v>0</v>
      </c>
      <c r="AB79" s="305">
        <f>+IF(W79=0,0,HLOOKUP(YEAR(W79)+(MONTH(W79)/100),TC!$5:$37,DAY(W79)+2,FALSE))</f>
        <v>0</v>
      </c>
      <c r="AC79" s="306">
        <f t="shared" si="27"/>
        <v>0</v>
      </c>
      <c r="AD79" s="314">
        <f t="shared" si="18"/>
        <v>0</v>
      </c>
      <c r="AE79" s="315">
        <f t="shared" si="28"/>
        <v>0</v>
      </c>
      <c r="AF79" s="316">
        <f t="shared" si="19"/>
        <v>0</v>
      </c>
      <c r="AG79" s="314">
        <v>1</v>
      </c>
      <c r="AH79" s="314">
        <f t="shared" si="29"/>
        <v>0</v>
      </c>
      <c r="AI79" s="314">
        <f t="shared" si="30"/>
        <v>0</v>
      </c>
      <c r="AJ79" s="317"/>
      <c r="AK79" s="315" t="e">
        <f t="shared" si="31"/>
        <v>#N/A</v>
      </c>
      <c r="AM79" s="553"/>
      <c r="AN79" s="553"/>
      <c r="AO79" s="553"/>
    </row>
    <row r="80" spans="2:41">
      <c r="B80" s="296"/>
      <c r="C80" s="299"/>
      <c r="D80" s="296"/>
      <c r="E80" s="298"/>
      <c r="F80" s="299"/>
      <c r="G80" s="300"/>
      <c r="H80" s="303"/>
      <c r="I80" s="303"/>
      <c r="J80" s="322">
        <f t="shared" si="17"/>
        <v>0</v>
      </c>
      <c r="K80" s="305" t="e">
        <f>IF(F80="MXN",1/HLOOKUP(YEAR(G80)+(MONTH(G80)/100),TC!$5:$37,DAY(G80)+2,FALSE),VLOOKUP(F80,Equivalencia!$5:$23,((MAX(Equivalencia!$3:$3)-YEAR(G80))*14)+MONTH(G80)+2,FALSE))</f>
        <v>#N/A</v>
      </c>
      <c r="L80" s="306" t="e">
        <f t="shared" si="20"/>
        <v>#N/A</v>
      </c>
      <c r="M80" s="305">
        <f>IF(G80=0,0,HLOOKUP(YEAR(G80)+(MONTH(G80)/100),TC!$5:$37,DAY(G80)+2,FALSE))</f>
        <v>0</v>
      </c>
      <c r="N80" s="306" t="e">
        <f t="shared" si="21"/>
        <v>#N/A</v>
      </c>
      <c r="O80" s="308">
        <f>IF(G80=0,0,VLOOKUP(YEAR(G80),INPC!$B$4:$P$30,MONTH(G80)+2))</f>
        <v>0</v>
      </c>
      <c r="P80" s="308">
        <f>IF(W80=0,0,IF(OR(C80=$AQ$5,C80=AQ84),VLOOKUP(YEAR(W80),INPC!$B$4:$P$30,MONTH(W80)+1),VLOOKUP(YEAR(W80),INPC!$B$4:$P$30,MONTH(W80)+2)))</f>
        <v>0</v>
      </c>
      <c r="Q80" s="309">
        <f t="shared" si="22"/>
        <v>0</v>
      </c>
      <c r="R80" s="310" t="e">
        <f t="shared" si="23"/>
        <v>#N/A</v>
      </c>
      <c r="S80" s="310">
        <f t="shared" si="24"/>
        <v>0</v>
      </c>
      <c r="T80" s="559" t="str">
        <f t="shared" si="25"/>
        <v>NO</v>
      </c>
      <c r="U80" s="323"/>
      <c r="V80" s="299"/>
      <c r="W80" s="300"/>
      <c r="X80" s="299"/>
      <c r="Y80" s="303"/>
      <c r="Z80" s="305">
        <f>IF(Y80=0,0,IF(X80="MXN",1/HLOOKUP(YEAR(W80)+(MONTH(W80)/100),TC!$5:$37,DAY(W80)+2,FALSE),VLOOKUP(X80,Equivalencia!$1:$23,((MAX(Equivalencia!$3:$3)-YEAR(W80))*14)+MONTH(W80)+2,FALSE)))</f>
        <v>0</v>
      </c>
      <c r="AA80" s="306">
        <f t="shared" si="26"/>
        <v>0</v>
      </c>
      <c r="AB80" s="305">
        <f>+IF(W80=0,0,HLOOKUP(YEAR(W80)+(MONTH(W80)/100),TC!$5:$37,DAY(W80)+2,FALSE))</f>
        <v>0</v>
      </c>
      <c r="AC80" s="306">
        <f t="shared" si="27"/>
        <v>0</v>
      </c>
      <c r="AD80" s="314">
        <f t="shared" si="18"/>
        <v>0</v>
      </c>
      <c r="AE80" s="315">
        <f t="shared" si="28"/>
        <v>0</v>
      </c>
      <c r="AF80" s="316">
        <f t="shared" si="19"/>
        <v>0</v>
      </c>
      <c r="AG80" s="314">
        <v>1</v>
      </c>
      <c r="AH80" s="314">
        <f t="shared" si="29"/>
        <v>0</v>
      </c>
      <c r="AI80" s="314">
        <f t="shared" si="30"/>
        <v>0</v>
      </c>
      <c r="AJ80" s="317"/>
      <c r="AK80" s="315" t="e">
        <f t="shared" si="31"/>
        <v>#N/A</v>
      </c>
      <c r="AM80" s="553"/>
      <c r="AN80" s="553"/>
      <c r="AO80" s="553"/>
    </row>
    <row r="81" spans="2:41">
      <c r="B81" s="296"/>
      <c r="C81" s="299"/>
      <c r="D81" s="296"/>
      <c r="E81" s="298"/>
      <c r="F81" s="299"/>
      <c r="G81" s="300"/>
      <c r="H81" s="303"/>
      <c r="I81" s="303"/>
      <c r="J81" s="322">
        <f t="shared" si="17"/>
        <v>0</v>
      </c>
      <c r="K81" s="305" t="e">
        <f>IF(F81="MXN",1/HLOOKUP(YEAR(G81)+(MONTH(G81)/100),TC!$5:$37,DAY(G81)+2,FALSE),VLOOKUP(F81,Equivalencia!$5:$23,((MAX(Equivalencia!$3:$3)-YEAR(G81))*14)+MONTH(G81)+2,FALSE))</f>
        <v>#N/A</v>
      </c>
      <c r="L81" s="306" t="e">
        <f t="shared" si="20"/>
        <v>#N/A</v>
      </c>
      <c r="M81" s="305">
        <f>IF(G81=0,0,HLOOKUP(YEAR(G81)+(MONTH(G81)/100),TC!$5:$37,DAY(G81)+2,FALSE))</f>
        <v>0</v>
      </c>
      <c r="N81" s="306" t="e">
        <f t="shared" si="21"/>
        <v>#N/A</v>
      </c>
      <c r="O81" s="308">
        <f>IF(G81=0,0,VLOOKUP(YEAR(G81),INPC!$B$4:$P$30,MONTH(G81)+2))</f>
        <v>0</v>
      </c>
      <c r="P81" s="308">
        <f>IF(W81=0,0,IF(OR(C81=$AQ$5,C81=AQ85),VLOOKUP(YEAR(W81),INPC!$B$4:$P$30,MONTH(W81)+1),VLOOKUP(YEAR(W81),INPC!$B$4:$P$30,MONTH(W81)+2)))</f>
        <v>0</v>
      </c>
      <c r="Q81" s="309">
        <f t="shared" si="22"/>
        <v>0</v>
      </c>
      <c r="R81" s="310" t="e">
        <f t="shared" si="23"/>
        <v>#N/A</v>
      </c>
      <c r="S81" s="310">
        <f t="shared" si="24"/>
        <v>0</v>
      </c>
      <c r="T81" s="559" t="str">
        <f t="shared" si="25"/>
        <v>NO</v>
      </c>
      <c r="U81" s="323"/>
      <c r="V81" s="299"/>
      <c r="W81" s="300"/>
      <c r="X81" s="299"/>
      <c r="Y81" s="303"/>
      <c r="Z81" s="305">
        <f>IF(Y81=0,0,IF(X81="MXN",1/HLOOKUP(YEAR(W81)+(MONTH(W81)/100),TC!$5:$37,DAY(W81)+2,FALSE),VLOOKUP(X81,Equivalencia!$1:$23,((MAX(Equivalencia!$3:$3)-YEAR(W81))*14)+MONTH(W81)+2,FALSE)))</f>
        <v>0</v>
      </c>
      <c r="AA81" s="306">
        <f t="shared" si="26"/>
        <v>0</v>
      </c>
      <c r="AB81" s="305">
        <f>+IF(W81=0,0,HLOOKUP(YEAR(W81)+(MONTH(W81)/100),TC!$5:$37,DAY(W81)+2,FALSE))</f>
        <v>0</v>
      </c>
      <c r="AC81" s="306">
        <f t="shared" si="27"/>
        <v>0</v>
      </c>
      <c r="AD81" s="314">
        <f t="shared" si="18"/>
        <v>0</v>
      </c>
      <c r="AE81" s="315">
        <f t="shared" si="28"/>
        <v>0</v>
      </c>
      <c r="AF81" s="316">
        <f t="shared" si="19"/>
        <v>0</v>
      </c>
      <c r="AG81" s="314">
        <v>1</v>
      </c>
      <c r="AH81" s="314">
        <f t="shared" si="29"/>
        <v>0</v>
      </c>
      <c r="AI81" s="314">
        <f t="shared" si="30"/>
        <v>0</v>
      </c>
      <c r="AJ81" s="317"/>
      <c r="AK81" s="315" t="e">
        <f t="shared" si="31"/>
        <v>#N/A</v>
      </c>
      <c r="AM81" s="553"/>
      <c r="AN81" s="553"/>
      <c r="AO81" s="553"/>
    </row>
    <row r="82" spans="2:41">
      <c r="B82" s="296"/>
      <c r="C82" s="299"/>
      <c r="D82" s="296"/>
      <c r="E82" s="298"/>
      <c r="F82" s="299"/>
      <c r="G82" s="300"/>
      <c r="H82" s="303"/>
      <c r="I82" s="303"/>
      <c r="J82" s="322">
        <f t="shared" si="17"/>
        <v>0</v>
      </c>
      <c r="K82" s="305" t="e">
        <f>IF(F82="MXN",1/HLOOKUP(YEAR(G82)+(MONTH(G82)/100),TC!$5:$37,DAY(G82)+2,FALSE),VLOOKUP(F82,Equivalencia!$5:$23,((MAX(Equivalencia!$3:$3)-YEAR(G82))*14)+MONTH(G82)+2,FALSE))</f>
        <v>#N/A</v>
      </c>
      <c r="L82" s="306" t="e">
        <f t="shared" si="20"/>
        <v>#N/A</v>
      </c>
      <c r="M82" s="305">
        <f>IF(G82=0,0,HLOOKUP(YEAR(G82)+(MONTH(G82)/100),TC!$5:$37,DAY(G82)+2,FALSE))</f>
        <v>0</v>
      </c>
      <c r="N82" s="306" t="e">
        <f t="shared" si="21"/>
        <v>#N/A</v>
      </c>
      <c r="O82" s="308">
        <f>IF(G82=0,0,VLOOKUP(YEAR(G82),INPC!$B$4:$P$30,MONTH(G82)+2))</f>
        <v>0</v>
      </c>
      <c r="P82" s="308">
        <f>IF(W82=0,0,IF(OR(C82=$AQ$5,C82=AQ86),VLOOKUP(YEAR(W82),INPC!$B$4:$P$30,MONTH(W82)+1),VLOOKUP(YEAR(W82),INPC!$B$4:$P$30,MONTH(W82)+2)))</f>
        <v>0</v>
      </c>
      <c r="Q82" s="309">
        <f t="shared" si="22"/>
        <v>0</v>
      </c>
      <c r="R82" s="310" t="e">
        <f t="shared" si="23"/>
        <v>#N/A</v>
      </c>
      <c r="S82" s="310">
        <f t="shared" si="24"/>
        <v>0</v>
      </c>
      <c r="T82" s="559" t="str">
        <f t="shared" si="25"/>
        <v>NO</v>
      </c>
      <c r="U82" s="323"/>
      <c r="V82" s="299"/>
      <c r="W82" s="300"/>
      <c r="X82" s="299"/>
      <c r="Y82" s="303"/>
      <c r="Z82" s="305">
        <f>IF(Y82=0,0,IF(X82="MXN",1/HLOOKUP(YEAR(W82)+(MONTH(W82)/100),TC!$5:$37,DAY(W82)+2,FALSE),VLOOKUP(X82,Equivalencia!$1:$23,((MAX(Equivalencia!$3:$3)-YEAR(W82))*14)+MONTH(W82)+2,FALSE)))</f>
        <v>0</v>
      </c>
      <c r="AA82" s="306">
        <f t="shared" si="26"/>
        <v>0</v>
      </c>
      <c r="AB82" s="305">
        <f>+IF(W82=0,0,HLOOKUP(YEAR(W82)+(MONTH(W82)/100),TC!$5:$37,DAY(W82)+2,FALSE))</f>
        <v>0</v>
      </c>
      <c r="AC82" s="306">
        <f t="shared" si="27"/>
        <v>0</v>
      </c>
      <c r="AD82" s="314">
        <f t="shared" si="18"/>
        <v>0</v>
      </c>
      <c r="AE82" s="315">
        <f t="shared" si="28"/>
        <v>0</v>
      </c>
      <c r="AF82" s="316">
        <f t="shared" si="19"/>
        <v>0</v>
      </c>
      <c r="AG82" s="314">
        <v>1</v>
      </c>
      <c r="AH82" s="314">
        <f t="shared" si="29"/>
        <v>0</v>
      </c>
      <c r="AI82" s="314">
        <f t="shared" si="30"/>
        <v>0</v>
      </c>
      <c r="AJ82" s="317"/>
      <c r="AK82" s="315" t="e">
        <f t="shared" si="31"/>
        <v>#N/A</v>
      </c>
      <c r="AM82" s="553"/>
      <c r="AN82" s="553"/>
      <c r="AO82" s="553"/>
    </row>
    <row r="83" spans="2:41">
      <c r="B83" s="296"/>
      <c r="C83" s="299"/>
      <c r="D83" s="296"/>
      <c r="E83" s="298"/>
      <c r="F83" s="299"/>
      <c r="G83" s="300"/>
      <c r="H83" s="303"/>
      <c r="I83" s="303"/>
      <c r="J83" s="322">
        <f t="shared" si="17"/>
        <v>0</v>
      </c>
      <c r="K83" s="305" t="e">
        <f>IF(F83="MXN",1/HLOOKUP(YEAR(G83)+(MONTH(G83)/100),TC!$5:$37,DAY(G83)+2,FALSE),VLOOKUP(F83,Equivalencia!$5:$23,((MAX(Equivalencia!$3:$3)-YEAR(G83))*14)+MONTH(G83)+2,FALSE))</f>
        <v>#N/A</v>
      </c>
      <c r="L83" s="306" t="e">
        <f t="shared" si="20"/>
        <v>#N/A</v>
      </c>
      <c r="M83" s="305">
        <f>IF(G83=0,0,HLOOKUP(YEAR(G83)+(MONTH(G83)/100),TC!$5:$37,DAY(G83)+2,FALSE))</f>
        <v>0</v>
      </c>
      <c r="N83" s="306" t="e">
        <f t="shared" si="21"/>
        <v>#N/A</v>
      </c>
      <c r="O83" s="308">
        <f>IF(G83=0,0,VLOOKUP(YEAR(G83),INPC!$B$4:$P$30,MONTH(G83)+2))</f>
        <v>0</v>
      </c>
      <c r="P83" s="308">
        <f>IF(W83=0,0,IF(OR(C83=$AQ$5,C83=AQ87),VLOOKUP(YEAR(W83),INPC!$B$4:$P$30,MONTH(W83)+1),VLOOKUP(YEAR(W83),INPC!$B$4:$P$30,MONTH(W83)+2)))</f>
        <v>0</v>
      </c>
      <c r="Q83" s="309">
        <f t="shared" si="22"/>
        <v>0</v>
      </c>
      <c r="R83" s="310" t="e">
        <f t="shared" si="23"/>
        <v>#N/A</v>
      </c>
      <c r="S83" s="310">
        <f t="shared" si="24"/>
        <v>0</v>
      </c>
      <c r="T83" s="559" t="str">
        <f t="shared" si="25"/>
        <v>NO</v>
      </c>
      <c r="U83" s="323"/>
      <c r="V83" s="299"/>
      <c r="W83" s="300"/>
      <c r="X83" s="299"/>
      <c r="Y83" s="303"/>
      <c r="Z83" s="305">
        <f>IF(Y83=0,0,IF(X83="MXN",1/HLOOKUP(YEAR(W83)+(MONTH(W83)/100),TC!$5:$37,DAY(W83)+2,FALSE),VLOOKUP(X83,Equivalencia!$1:$23,((MAX(Equivalencia!$3:$3)-YEAR(W83))*14)+MONTH(W83)+2,FALSE)))</f>
        <v>0</v>
      </c>
      <c r="AA83" s="306">
        <f t="shared" si="26"/>
        <v>0</v>
      </c>
      <c r="AB83" s="305">
        <f>+IF(W83=0,0,HLOOKUP(YEAR(W83)+(MONTH(W83)/100),TC!$5:$37,DAY(W83)+2,FALSE))</f>
        <v>0</v>
      </c>
      <c r="AC83" s="306">
        <f t="shared" si="27"/>
        <v>0</v>
      </c>
      <c r="AD83" s="314">
        <f t="shared" si="18"/>
        <v>0</v>
      </c>
      <c r="AE83" s="315">
        <f t="shared" si="28"/>
        <v>0</v>
      </c>
      <c r="AF83" s="316">
        <f t="shared" si="19"/>
        <v>0</v>
      </c>
      <c r="AG83" s="314">
        <v>1</v>
      </c>
      <c r="AH83" s="314">
        <f t="shared" si="29"/>
        <v>0</v>
      </c>
      <c r="AI83" s="314">
        <f t="shared" si="30"/>
        <v>0</v>
      </c>
      <c r="AJ83" s="317"/>
      <c r="AK83" s="315" t="e">
        <f t="shared" si="31"/>
        <v>#N/A</v>
      </c>
      <c r="AM83" s="553"/>
      <c r="AN83" s="553"/>
      <c r="AO83" s="553"/>
    </row>
    <row r="84" spans="2:41">
      <c r="B84" s="296"/>
      <c r="C84" s="299"/>
      <c r="D84" s="296"/>
      <c r="E84" s="298"/>
      <c r="F84" s="299"/>
      <c r="G84" s="300"/>
      <c r="H84" s="303"/>
      <c r="I84" s="303"/>
      <c r="J84" s="322">
        <f t="shared" si="17"/>
        <v>0</v>
      </c>
      <c r="K84" s="305" t="e">
        <f>IF(F84="MXN",1/HLOOKUP(YEAR(G84)+(MONTH(G84)/100),TC!$5:$37,DAY(G84)+2,FALSE),VLOOKUP(F84,Equivalencia!$5:$23,((MAX(Equivalencia!$3:$3)-YEAR(G84))*14)+MONTH(G84)+2,FALSE))</f>
        <v>#N/A</v>
      </c>
      <c r="L84" s="306" t="e">
        <f t="shared" si="20"/>
        <v>#N/A</v>
      </c>
      <c r="M84" s="305">
        <f>IF(G84=0,0,HLOOKUP(YEAR(G84)+(MONTH(G84)/100),TC!$5:$37,DAY(G84)+2,FALSE))</f>
        <v>0</v>
      </c>
      <c r="N84" s="306" t="e">
        <f t="shared" si="21"/>
        <v>#N/A</v>
      </c>
      <c r="O84" s="308">
        <f>IF(G84=0,0,VLOOKUP(YEAR(G84),INPC!$B$4:$P$30,MONTH(G84)+2))</f>
        <v>0</v>
      </c>
      <c r="P84" s="308">
        <f>IF(W84=0,0,IF(OR(C84=$AQ$5,C84=AQ88),VLOOKUP(YEAR(W84),INPC!$B$4:$P$30,MONTH(W84)+1),VLOOKUP(YEAR(W84),INPC!$B$4:$P$30,MONTH(W84)+2)))</f>
        <v>0</v>
      </c>
      <c r="Q84" s="309">
        <f t="shared" si="22"/>
        <v>0</v>
      </c>
      <c r="R84" s="310" t="e">
        <f t="shared" si="23"/>
        <v>#N/A</v>
      </c>
      <c r="S84" s="310">
        <f t="shared" si="24"/>
        <v>0</v>
      </c>
      <c r="T84" s="559" t="str">
        <f t="shared" si="25"/>
        <v>NO</v>
      </c>
      <c r="U84" s="323"/>
      <c r="V84" s="299"/>
      <c r="W84" s="300"/>
      <c r="X84" s="299"/>
      <c r="Y84" s="303"/>
      <c r="Z84" s="305">
        <f>IF(Y84=0,0,IF(X84="MXN",1/HLOOKUP(YEAR(W84)+(MONTH(W84)/100),TC!$5:$37,DAY(W84)+2,FALSE),VLOOKUP(X84,Equivalencia!$1:$23,((MAX(Equivalencia!$3:$3)-YEAR(W84))*14)+MONTH(W84)+2,FALSE)))</f>
        <v>0</v>
      </c>
      <c r="AA84" s="306">
        <f t="shared" si="26"/>
        <v>0</v>
      </c>
      <c r="AB84" s="305">
        <f>+IF(W84=0,0,HLOOKUP(YEAR(W84)+(MONTH(W84)/100),TC!$5:$37,DAY(W84)+2,FALSE))</f>
        <v>0</v>
      </c>
      <c r="AC84" s="306">
        <f t="shared" si="27"/>
        <v>0</v>
      </c>
      <c r="AD84" s="314">
        <f t="shared" si="18"/>
        <v>0</v>
      </c>
      <c r="AE84" s="315">
        <f t="shared" si="28"/>
        <v>0</v>
      </c>
      <c r="AF84" s="316">
        <f t="shared" si="19"/>
        <v>0</v>
      </c>
      <c r="AG84" s="314">
        <v>1</v>
      </c>
      <c r="AH84" s="314">
        <f t="shared" si="29"/>
        <v>0</v>
      </c>
      <c r="AI84" s="314">
        <f t="shared" si="30"/>
        <v>0</v>
      </c>
      <c r="AJ84" s="317"/>
      <c r="AK84" s="315" t="e">
        <f t="shared" si="31"/>
        <v>#N/A</v>
      </c>
      <c r="AM84" s="553"/>
      <c r="AN84" s="553"/>
      <c r="AO84" s="553"/>
    </row>
    <row r="85" spans="2:41">
      <c r="B85" s="296"/>
      <c r="C85" s="299"/>
      <c r="D85" s="296"/>
      <c r="E85" s="298"/>
      <c r="F85" s="299"/>
      <c r="G85" s="300"/>
      <c r="H85" s="303"/>
      <c r="I85" s="303"/>
      <c r="J85" s="322">
        <f t="shared" si="17"/>
        <v>0</v>
      </c>
      <c r="K85" s="305" t="e">
        <f>IF(F85="MXN",1/HLOOKUP(YEAR(G85)+(MONTH(G85)/100),TC!$5:$37,DAY(G85)+2,FALSE),VLOOKUP(F85,Equivalencia!$5:$23,((MAX(Equivalencia!$3:$3)-YEAR(G85))*14)+MONTH(G85)+2,FALSE))</f>
        <v>#N/A</v>
      </c>
      <c r="L85" s="306" t="e">
        <f t="shared" si="20"/>
        <v>#N/A</v>
      </c>
      <c r="M85" s="305">
        <f>IF(G85=0,0,HLOOKUP(YEAR(G85)+(MONTH(G85)/100),TC!$5:$37,DAY(G85)+2,FALSE))</f>
        <v>0</v>
      </c>
      <c r="N85" s="306" t="e">
        <f t="shared" si="21"/>
        <v>#N/A</v>
      </c>
      <c r="O85" s="308">
        <f>IF(G85=0,0,VLOOKUP(YEAR(G85),INPC!$B$4:$P$30,MONTH(G85)+2))</f>
        <v>0</v>
      </c>
      <c r="P85" s="308">
        <f>IF(W85=0,0,IF(OR(C85=$AQ$5,C85=AQ89),VLOOKUP(YEAR(W85),INPC!$B$4:$P$30,MONTH(W85)+1),VLOOKUP(YEAR(W85),INPC!$B$4:$P$30,MONTH(W85)+2)))</f>
        <v>0</v>
      </c>
      <c r="Q85" s="309">
        <f t="shared" si="22"/>
        <v>0</v>
      </c>
      <c r="R85" s="310" t="e">
        <f t="shared" si="23"/>
        <v>#N/A</v>
      </c>
      <c r="S85" s="310">
        <f t="shared" si="24"/>
        <v>0</v>
      </c>
      <c r="T85" s="559" t="str">
        <f t="shared" si="25"/>
        <v>NO</v>
      </c>
      <c r="U85" s="323"/>
      <c r="V85" s="299"/>
      <c r="W85" s="300"/>
      <c r="X85" s="299"/>
      <c r="Y85" s="303"/>
      <c r="Z85" s="305">
        <f>IF(Y85=0,0,IF(X85="MXN",1/HLOOKUP(YEAR(W85)+(MONTH(W85)/100),TC!$5:$37,DAY(W85)+2,FALSE),VLOOKUP(X85,Equivalencia!$1:$23,((MAX(Equivalencia!$3:$3)-YEAR(W85))*14)+MONTH(W85)+2,FALSE)))</f>
        <v>0</v>
      </c>
      <c r="AA85" s="306">
        <f t="shared" si="26"/>
        <v>0</v>
      </c>
      <c r="AB85" s="305">
        <f>+IF(W85=0,0,HLOOKUP(YEAR(W85)+(MONTH(W85)/100),TC!$5:$37,DAY(W85)+2,FALSE))</f>
        <v>0</v>
      </c>
      <c r="AC85" s="306">
        <f t="shared" si="27"/>
        <v>0</v>
      </c>
      <c r="AD85" s="314">
        <f t="shared" si="18"/>
        <v>0</v>
      </c>
      <c r="AE85" s="315">
        <f t="shared" si="28"/>
        <v>0</v>
      </c>
      <c r="AF85" s="316">
        <f t="shared" si="19"/>
        <v>0</v>
      </c>
      <c r="AG85" s="314">
        <v>1</v>
      </c>
      <c r="AH85" s="314">
        <f t="shared" si="29"/>
        <v>0</v>
      </c>
      <c r="AI85" s="314">
        <f t="shared" si="30"/>
        <v>0</v>
      </c>
      <c r="AJ85" s="317"/>
      <c r="AK85" s="315" t="e">
        <f t="shared" si="31"/>
        <v>#N/A</v>
      </c>
      <c r="AM85" s="553"/>
      <c r="AN85" s="553"/>
      <c r="AO85" s="553"/>
    </row>
    <row r="86" spans="2:41">
      <c r="B86" s="296"/>
      <c r="C86" s="299"/>
      <c r="D86" s="296"/>
      <c r="E86" s="298"/>
      <c r="F86" s="299"/>
      <c r="G86" s="300"/>
      <c r="H86" s="303"/>
      <c r="I86" s="303"/>
      <c r="J86" s="322">
        <f t="shared" si="17"/>
        <v>0</v>
      </c>
      <c r="K86" s="305" t="e">
        <f>IF(F86="MXN",1/HLOOKUP(YEAR(G86)+(MONTH(G86)/100),TC!$5:$37,DAY(G86)+2,FALSE),VLOOKUP(F86,Equivalencia!$5:$23,((MAX(Equivalencia!$3:$3)-YEAR(G86))*14)+MONTH(G86)+2,FALSE))</f>
        <v>#N/A</v>
      </c>
      <c r="L86" s="306" t="e">
        <f t="shared" si="20"/>
        <v>#N/A</v>
      </c>
      <c r="M86" s="305">
        <f>IF(G86=0,0,HLOOKUP(YEAR(G86)+(MONTH(G86)/100),TC!$5:$37,DAY(G86)+2,FALSE))</f>
        <v>0</v>
      </c>
      <c r="N86" s="306" t="e">
        <f t="shared" si="21"/>
        <v>#N/A</v>
      </c>
      <c r="O86" s="308">
        <f>IF(G86=0,0,VLOOKUP(YEAR(G86),INPC!$B$4:$P$30,MONTH(G86)+2))</f>
        <v>0</v>
      </c>
      <c r="P86" s="308">
        <f>IF(W86=0,0,IF(OR(C86=$AQ$5,C86=AQ90),VLOOKUP(YEAR(W86),INPC!$B$4:$P$30,MONTH(W86)+1),VLOOKUP(YEAR(W86),INPC!$B$4:$P$30,MONTH(W86)+2)))</f>
        <v>0</v>
      </c>
      <c r="Q86" s="309">
        <f t="shared" si="22"/>
        <v>0</v>
      </c>
      <c r="R86" s="310" t="e">
        <f t="shared" si="23"/>
        <v>#N/A</v>
      </c>
      <c r="S86" s="310">
        <f t="shared" si="24"/>
        <v>0</v>
      </c>
      <c r="T86" s="559" t="str">
        <f t="shared" si="25"/>
        <v>NO</v>
      </c>
      <c r="U86" s="323"/>
      <c r="V86" s="299"/>
      <c r="W86" s="300"/>
      <c r="X86" s="299"/>
      <c r="Y86" s="303"/>
      <c r="Z86" s="305">
        <f>IF(Y86=0,0,IF(X86="MXN",1/HLOOKUP(YEAR(W86)+(MONTH(W86)/100),TC!$5:$37,DAY(W86)+2,FALSE),VLOOKUP(X86,Equivalencia!$1:$23,((MAX(Equivalencia!$3:$3)-YEAR(W86))*14)+MONTH(W86)+2,FALSE)))</f>
        <v>0</v>
      </c>
      <c r="AA86" s="306">
        <f t="shared" si="26"/>
        <v>0</v>
      </c>
      <c r="AB86" s="305">
        <f>+IF(W86=0,0,HLOOKUP(YEAR(W86)+(MONTH(W86)/100),TC!$5:$37,DAY(W86)+2,FALSE))</f>
        <v>0</v>
      </c>
      <c r="AC86" s="306">
        <f t="shared" si="27"/>
        <v>0</v>
      </c>
      <c r="AD86" s="314">
        <f t="shared" si="18"/>
        <v>0</v>
      </c>
      <c r="AE86" s="315">
        <f t="shared" si="28"/>
        <v>0</v>
      </c>
      <c r="AF86" s="316">
        <f t="shared" si="19"/>
        <v>0</v>
      </c>
      <c r="AG86" s="314">
        <v>1</v>
      </c>
      <c r="AH86" s="314">
        <f t="shared" si="29"/>
        <v>0</v>
      </c>
      <c r="AI86" s="314">
        <f t="shared" si="30"/>
        <v>0</v>
      </c>
      <c r="AJ86" s="317"/>
      <c r="AK86" s="315" t="e">
        <f t="shared" si="31"/>
        <v>#N/A</v>
      </c>
      <c r="AM86" s="553"/>
      <c r="AN86" s="553"/>
      <c r="AO86" s="553"/>
    </row>
    <row r="87" spans="2:41">
      <c r="B87" s="296"/>
      <c r="C87" s="299"/>
      <c r="D87" s="296"/>
      <c r="E87" s="298"/>
      <c r="F87" s="299"/>
      <c r="G87" s="300"/>
      <c r="H87" s="303"/>
      <c r="I87" s="303"/>
      <c r="J87" s="322">
        <f t="shared" si="17"/>
        <v>0</v>
      </c>
      <c r="K87" s="305" t="e">
        <f>IF(F87="MXN",1/HLOOKUP(YEAR(G87)+(MONTH(G87)/100),TC!$5:$37,DAY(G87)+2,FALSE),VLOOKUP(F87,Equivalencia!$5:$23,((MAX(Equivalencia!$3:$3)-YEAR(G87))*14)+MONTH(G87)+2,FALSE))</f>
        <v>#N/A</v>
      </c>
      <c r="L87" s="306" t="e">
        <f t="shared" si="20"/>
        <v>#N/A</v>
      </c>
      <c r="M87" s="305">
        <f>IF(G87=0,0,HLOOKUP(YEAR(G87)+(MONTH(G87)/100),TC!$5:$37,DAY(G87)+2,FALSE))</f>
        <v>0</v>
      </c>
      <c r="N87" s="306" t="e">
        <f t="shared" si="21"/>
        <v>#N/A</v>
      </c>
      <c r="O87" s="308">
        <f>IF(G87=0,0,VLOOKUP(YEAR(G87),INPC!$B$4:$P$30,MONTH(G87)+2))</f>
        <v>0</v>
      </c>
      <c r="P87" s="308">
        <f>IF(W87=0,0,IF(OR(C87=$AQ$5,C87=AQ91),VLOOKUP(YEAR(W87),INPC!$B$4:$P$30,MONTH(W87)+1),VLOOKUP(YEAR(W87),INPC!$B$4:$P$30,MONTH(W87)+2)))</f>
        <v>0</v>
      </c>
      <c r="Q87" s="309">
        <f t="shared" si="22"/>
        <v>0</v>
      </c>
      <c r="R87" s="310" t="e">
        <f t="shared" si="23"/>
        <v>#N/A</v>
      </c>
      <c r="S87" s="310">
        <f t="shared" si="24"/>
        <v>0</v>
      </c>
      <c r="T87" s="559" t="str">
        <f t="shared" si="25"/>
        <v>NO</v>
      </c>
      <c r="U87" s="323"/>
      <c r="V87" s="299"/>
      <c r="W87" s="300"/>
      <c r="X87" s="299"/>
      <c r="Y87" s="303"/>
      <c r="Z87" s="305">
        <f>IF(Y87=0,0,IF(X87="MXN",1/HLOOKUP(YEAR(W87)+(MONTH(W87)/100),TC!$5:$37,DAY(W87)+2,FALSE),VLOOKUP(X87,Equivalencia!$1:$23,((MAX(Equivalencia!$3:$3)-YEAR(W87))*14)+MONTH(W87)+2,FALSE)))</f>
        <v>0</v>
      </c>
      <c r="AA87" s="306">
        <f t="shared" si="26"/>
        <v>0</v>
      </c>
      <c r="AB87" s="305">
        <f>+IF(W87=0,0,HLOOKUP(YEAR(W87)+(MONTH(W87)/100),TC!$5:$37,DAY(W87)+2,FALSE))</f>
        <v>0</v>
      </c>
      <c r="AC87" s="306">
        <f t="shared" si="27"/>
        <v>0</v>
      </c>
      <c r="AD87" s="314">
        <f t="shared" si="18"/>
        <v>0</v>
      </c>
      <c r="AE87" s="315">
        <f t="shared" si="28"/>
        <v>0</v>
      </c>
      <c r="AF87" s="316">
        <f t="shared" si="19"/>
        <v>0</v>
      </c>
      <c r="AG87" s="314">
        <v>1</v>
      </c>
      <c r="AH87" s="314">
        <f t="shared" si="29"/>
        <v>0</v>
      </c>
      <c r="AI87" s="314">
        <f t="shared" si="30"/>
        <v>0</v>
      </c>
      <c r="AJ87" s="317"/>
      <c r="AK87" s="315" t="e">
        <f t="shared" si="31"/>
        <v>#N/A</v>
      </c>
      <c r="AM87" s="553"/>
      <c r="AN87" s="553"/>
      <c r="AO87" s="553"/>
    </row>
    <row r="88" spans="2:41">
      <c r="B88" s="296"/>
      <c r="C88" s="299"/>
      <c r="D88" s="296"/>
      <c r="E88" s="298"/>
      <c r="F88" s="299"/>
      <c r="G88" s="300"/>
      <c r="H88" s="303"/>
      <c r="I88" s="303"/>
      <c r="J88" s="322">
        <f t="shared" si="17"/>
        <v>0</v>
      </c>
      <c r="K88" s="305" t="e">
        <f>IF(F88="MXN",1/HLOOKUP(YEAR(G88)+(MONTH(G88)/100),TC!$5:$37,DAY(G88)+2,FALSE),VLOOKUP(F88,Equivalencia!$5:$23,((MAX(Equivalencia!$3:$3)-YEAR(G88))*14)+MONTH(G88)+2,FALSE))</f>
        <v>#N/A</v>
      </c>
      <c r="L88" s="306" t="e">
        <f t="shared" si="20"/>
        <v>#N/A</v>
      </c>
      <c r="M88" s="305">
        <f>IF(G88=0,0,HLOOKUP(YEAR(G88)+(MONTH(G88)/100),TC!$5:$37,DAY(G88)+2,FALSE))</f>
        <v>0</v>
      </c>
      <c r="N88" s="306" t="e">
        <f t="shared" si="21"/>
        <v>#N/A</v>
      </c>
      <c r="O88" s="308">
        <f>IF(G88=0,0,VLOOKUP(YEAR(G88),INPC!$B$4:$P$30,MONTH(G88)+2))</f>
        <v>0</v>
      </c>
      <c r="P88" s="308">
        <f>IF(W88=0,0,IF(OR(C88=$AQ$5,C88=AQ92),VLOOKUP(YEAR(W88),INPC!$B$4:$P$30,MONTH(W88)+1),VLOOKUP(YEAR(W88),INPC!$B$4:$P$30,MONTH(W88)+2)))</f>
        <v>0</v>
      </c>
      <c r="Q88" s="309">
        <f t="shared" si="22"/>
        <v>0</v>
      </c>
      <c r="R88" s="310" t="e">
        <f t="shared" si="23"/>
        <v>#N/A</v>
      </c>
      <c r="S88" s="310">
        <f t="shared" si="24"/>
        <v>0</v>
      </c>
      <c r="T88" s="559" t="str">
        <f t="shared" si="25"/>
        <v>NO</v>
      </c>
      <c r="U88" s="323"/>
      <c r="V88" s="299"/>
      <c r="W88" s="300"/>
      <c r="X88" s="299"/>
      <c r="Y88" s="303"/>
      <c r="Z88" s="305">
        <f>IF(Y88=0,0,IF(X88="MXN",1/HLOOKUP(YEAR(W88)+(MONTH(W88)/100),TC!$5:$37,DAY(W88)+2,FALSE),VLOOKUP(X88,Equivalencia!$1:$23,((MAX(Equivalencia!$3:$3)-YEAR(W88))*14)+MONTH(W88)+2,FALSE)))</f>
        <v>0</v>
      </c>
      <c r="AA88" s="306">
        <f t="shared" si="26"/>
        <v>0</v>
      </c>
      <c r="AB88" s="305">
        <f>+IF(W88=0,0,HLOOKUP(YEAR(W88)+(MONTH(W88)/100),TC!$5:$37,DAY(W88)+2,FALSE))</f>
        <v>0</v>
      </c>
      <c r="AC88" s="306">
        <f t="shared" si="27"/>
        <v>0</v>
      </c>
      <c r="AD88" s="314">
        <f t="shared" si="18"/>
        <v>0</v>
      </c>
      <c r="AE88" s="315">
        <f t="shared" si="28"/>
        <v>0</v>
      </c>
      <c r="AF88" s="316">
        <f t="shared" si="19"/>
        <v>0</v>
      </c>
      <c r="AG88" s="314">
        <v>1</v>
      </c>
      <c r="AH88" s="314">
        <f t="shared" si="29"/>
        <v>0</v>
      </c>
      <c r="AI88" s="314">
        <f t="shared" si="30"/>
        <v>0</v>
      </c>
      <c r="AJ88" s="317"/>
      <c r="AK88" s="315" t="e">
        <f t="shared" si="31"/>
        <v>#N/A</v>
      </c>
      <c r="AM88" s="553"/>
      <c r="AN88" s="553"/>
      <c r="AO88" s="553"/>
    </row>
    <row r="89" spans="2:41">
      <c r="B89" s="296"/>
      <c r="C89" s="299"/>
      <c r="D89" s="296"/>
      <c r="E89" s="298"/>
      <c r="F89" s="299"/>
      <c r="G89" s="300"/>
      <c r="H89" s="303"/>
      <c r="I89" s="303"/>
      <c r="J89" s="322">
        <f t="shared" si="17"/>
        <v>0</v>
      </c>
      <c r="K89" s="305" t="e">
        <f>IF(F89="MXN",1/HLOOKUP(YEAR(G89)+(MONTH(G89)/100),TC!$5:$37,DAY(G89)+2,FALSE),VLOOKUP(F89,Equivalencia!$5:$23,((MAX(Equivalencia!$3:$3)-YEAR(G89))*14)+MONTH(G89)+2,FALSE))</f>
        <v>#N/A</v>
      </c>
      <c r="L89" s="306" t="e">
        <f t="shared" si="20"/>
        <v>#N/A</v>
      </c>
      <c r="M89" s="305">
        <f>IF(G89=0,0,HLOOKUP(YEAR(G89)+(MONTH(G89)/100),TC!$5:$37,DAY(G89)+2,FALSE))</f>
        <v>0</v>
      </c>
      <c r="N89" s="306" t="e">
        <f t="shared" si="21"/>
        <v>#N/A</v>
      </c>
      <c r="O89" s="308">
        <f>IF(G89=0,0,VLOOKUP(YEAR(G89),INPC!$B$4:$P$30,MONTH(G89)+2))</f>
        <v>0</v>
      </c>
      <c r="P89" s="308">
        <f>IF(W89=0,0,IF(OR(C89=$AQ$5,C89=AQ93),VLOOKUP(YEAR(W89),INPC!$B$4:$P$30,MONTH(W89)+1),VLOOKUP(YEAR(W89),INPC!$B$4:$P$30,MONTH(W89)+2)))</f>
        <v>0</v>
      </c>
      <c r="Q89" s="309">
        <f t="shared" si="22"/>
        <v>0</v>
      </c>
      <c r="R89" s="310" t="e">
        <f t="shared" si="23"/>
        <v>#N/A</v>
      </c>
      <c r="S89" s="310">
        <f t="shared" si="24"/>
        <v>0</v>
      </c>
      <c r="T89" s="559" t="str">
        <f t="shared" si="25"/>
        <v>NO</v>
      </c>
      <c r="U89" s="323"/>
      <c r="V89" s="299"/>
      <c r="W89" s="300"/>
      <c r="X89" s="299"/>
      <c r="Y89" s="303"/>
      <c r="Z89" s="305">
        <f>IF(Y89=0,0,IF(X89="MXN",1/HLOOKUP(YEAR(W89)+(MONTH(W89)/100),TC!$5:$37,DAY(W89)+2,FALSE),VLOOKUP(X89,Equivalencia!$1:$23,((MAX(Equivalencia!$3:$3)-YEAR(W89))*14)+MONTH(W89)+2,FALSE)))</f>
        <v>0</v>
      </c>
      <c r="AA89" s="306">
        <f t="shared" si="26"/>
        <v>0</v>
      </c>
      <c r="AB89" s="305">
        <f>+IF(W89=0,0,HLOOKUP(YEAR(W89)+(MONTH(W89)/100),TC!$5:$37,DAY(W89)+2,FALSE))</f>
        <v>0</v>
      </c>
      <c r="AC89" s="306">
        <f t="shared" si="27"/>
        <v>0</v>
      </c>
      <c r="AD89" s="314">
        <f t="shared" si="18"/>
        <v>0</v>
      </c>
      <c r="AE89" s="315">
        <f t="shared" si="28"/>
        <v>0</v>
      </c>
      <c r="AF89" s="316">
        <f t="shared" si="19"/>
        <v>0</v>
      </c>
      <c r="AG89" s="314">
        <v>1</v>
      </c>
      <c r="AH89" s="314">
        <f t="shared" si="29"/>
        <v>0</v>
      </c>
      <c r="AI89" s="314">
        <f t="shared" si="30"/>
        <v>0</v>
      </c>
      <c r="AJ89" s="317"/>
      <c r="AK89" s="315" t="e">
        <f t="shared" si="31"/>
        <v>#N/A</v>
      </c>
      <c r="AM89" s="553"/>
      <c r="AN89" s="553"/>
      <c r="AO89" s="553"/>
    </row>
    <row r="90" spans="2:41">
      <c r="B90" s="296"/>
      <c r="C90" s="299"/>
      <c r="D90" s="296"/>
      <c r="E90" s="298"/>
      <c r="F90" s="299"/>
      <c r="G90" s="300"/>
      <c r="H90" s="303"/>
      <c r="I90" s="303"/>
      <c r="J90" s="322">
        <f t="shared" si="17"/>
        <v>0</v>
      </c>
      <c r="K90" s="305" t="e">
        <f>IF(F90="MXN",1/HLOOKUP(YEAR(G90)+(MONTH(G90)/100),TC!$5:$37,DAY(G90)+2,FALSE),VLOOKUP(F90,Equivalencia!$5:$23,((MAX(Equivalencia!$3:$3)-YEAR(G90))*14)+MONTH(G90)+2,FALSE))</f>
        <v>#N/A</v>
      </c>
      <c r="L90" s="306" t="e">
        <f t="shared" si="20"/>
        <v>#N/A</v>
      </c>
      <c r="M90" s="305">
        <f>IF(G90=0,0,HLOOKUP(YEAR(G90)+(MONTH(G90)/100),TC!$5:$37,DAY(G90)+2,FALSE))</f>
        <v>0</v>
      </c>
      <c r="N90" s="306" t="e">
        <f t="shared" si="21"/>
        <v>#N/A</v>
      </c>
      <c r="O90" s="308">
        <f>IF(G90=0,0,VLOOKUP(YEAR(G90),INPC!$B$4:$P$30,MONTH(G90)+2))</f>
        <v>0</v>
      </c>
      <c r="P90" s="308">
        <f>IF(W90=0,0,IF(OR(C90=$AQ$5,C90=AQ94),VLOOKUP(YEAR(W90),INPC!$B$4:$P$30,MONTH(W90)+1),VLOOKUP(YEAR(W90),INPC!$B$4:$P$30,MONTH(W90)+2)))</f>
        <v>0</v>
      </c>
      <c r="Q90" s="309">
        <f t="shared" si="22"/>
        <v>0</v>
      </c>
      <c r="R90" s="310" t="e">
        <f t="shared" si="23"/>
        <v>#N/A</v>
      </c>
      <c r="S90" s="310">
        <f t="shared" si="24"/>
        <v>0</v>
      </c>
      <c r="T90" s="559" t="str">
        <f t="shared" si="25"/>
        <v>NO</v>
      </c>
      <c r="U90" s="323"/>
      <c r="V90" s="299"/>
      <c r="W90" s="300"/>
      <c r="X90" s="299"/>
      <c r="Y90" s="303"/>
      <c r="Z90" s="305">
        <f>IF(Y90=0,0,IF(X90="MXN",1/HLOOKUP(YEAR(W90)+(MONTH(W90)/100),TC!$5:$37,DAY(W90)+2,FALSE),VLOOKUP(X90,Equivalencia!$1:$23,((MAX(Equivalencia!$3:$3)-YEAR(W90))*14)+MONTH(W90)+2,FALSE)))</f>
        <v>0</v>
      </c>
      <c r="AA90" s="306">
        <f t="shared" si="26"/>
        <v>0</v>
      </c>
      <c r="AB90" s="305">
        <f>+IF(W90=0,0,HLOOKUP(YEAR(W90)+(MONTH(W90)/100),TC!$5:$37,DAY(W90)+2,FALSE))</f>
        <v>0</v>
      </c>
      <c r="AC90" s="306">
        <f t="shared" si="27"/>
        <v>0</v>
      </c>
      <c r="AD90" s="314">
        <f t="shared" si="18"/>
        <v>0</v>
      </c>
      <c r="AE90" s="315">
        <f t="shared" si="28"/>
        <v>0</v>
      </c>
      <c r="AF90" s="316">
        <f t="shared" si="19"/>
        <v>0</v>
      </c>
      <c r="AG90" s="314">
        <v>1</v>
      </c>
      <c r="AH90" s="314">
        <f t="shared" si="29"/>
        <v>0</v>
      </c>
      <c r="AI90" s="314">
        <f t="shared" si="30"/>
        <v>0</v>
      </c>
      <c r="AJ90" s="317"/>
      <c r="AK90" s="315" t="e">
        <f t="shared" si="31"/>
        <v>#N/A</v>
      </c>
      <c r="AM90" s="553"/>
      <c r="AN90" s="553"/>
      <c r="AO90" s="553"/>
    </row>
    <row r="91" spans="2:41">
      <c r="B91" s="296"/>
      <c r="C91" s="299"/>
      <c r="D91" s="296"/>
      <c r="E91" s="298"/>
      <c r="F91" s="299"/>
      <c r="G91" s="300"/>
      <c r="H91" s="303"/>
      <c r="I91" s="303"/>
      <c r="J91" s="322">
        <f t="shared" si="17"/>
        <v>0</v>
      </c>
      <c r="K91" s="305" t="e">
        <f>IF(F91="MXN",1/HLOOKUP(YEAR(G91)+(MONTH(G91)/100),TC!$5:$37,DAY(G91)+2,FALSE),VLOOKUP(F91,Equivalencia!$5:$23,((MAX(Equivalencia!$3:$3)-YEAR(G91))*14)+MONTH(G91)+2,FALSE))</f>
        <v>#N/A</v>
      </c>
      <c r="L91" s="306" t="e">
        <f t="shared" si="20"/>
        <v>#N/A</v>
      </c>
      <c r="M91" s="305">
        <f>IF(G91=0,0,HLOOKUP(YEAR(G91)+(MONTH(G91)/100),TC!$5:$37,DAY(G91)+2,FALSE))</f>
        <v>0</v>
      </c>
      <c r="N91" s="306" t="e">
        <f t="shared" si="21"/>
        <v>#N/A</v>
      </c>
      <c r="O91" s="308">
        <f>IF(G91=0,0,VLOOKUP(YEAR(G91),INPC!$B$4:$P$30,MONTH(G91)+2))</f>
        <v>0</v>
      </c>
      <c r="P91" s="308">
        <f>IF(W91=0,0,IF(OR(C91=$AQ$5,C91=AQ95),VLOOKUP(YEAR(W91),INPC!$B$4:$P$30,MONTH(W91)+1),VLOOKUP(YEAR(W91),INPC!$B$4:$P$30,MONTH(W91)+2)))</f>
        <v>0</v>
      </c>
      <c r="Q91" s="309">
        <f t="shared" si="22"/>
        <v>0</v>
      </c>
      <c r="R91" s="310" t="e">
        <f t="shared" si="23"/>
        <v>#N/A</v>
      </c>
      <c r="S91" s="310">
        <f t="shared" si="24"/>
        <v>0</v>
      </c>
      <c r="T91" s="559" t="str">
        <f t="shared" si="25"/>
        <v>NO</v>
      </c>
      <c r="U91" s="323"/>
      <c r="V91" s="299"/>
      <c r="W91" s="300"/>
      <c r="X91" s="299"/>
      <c r="Y91" s="303"/>
      <c r="Z91" s="305">
        <f>IF(Y91=0,0,IF(X91="MXN",1/HLOOKUP(YEAR(W91)+(MONTH(W91)/100),TC!$5:$37,DAY(W91)+2,FALSE),VLOOKUP(X91,Equivalencia!$1:$23,((MAX(Equivalencia!$3:$3)-YEAR(W91))*14)+MONTH(W91)+2,FALSE)))</f>
        <v>0</v>
      </c>
      <c r="AA91" s="306">
        <f t="shared" si="26"/>
        <v>0</v>
      </c>
      <c r="AB91" s="305">
        <f>+IF(W91=0,0,HLOOKUP(YEAR(W91)+(MONTH(W91)/100),TC!$5:$37,DAY(W91)+2,FALSE))</f>
        <v>0</v>
      </c>
      <c r="AC91" s="306">
        <f t="shared" si="27"/>
        <v>0</v>
      </c>
      <c r="AD91" s="314">
        <f t="shared" si="18"/>
        <v>0</v>
      </c>
      <c r="AE91" s="315">
        <f t="shared" si="28"/>
        <v>0</v>
      </c>
      <c r="AF91" s="316">
        <f t="shared" si="19"/>
        <v>0</v>
      </c>
      <c r="AG91" s="314">
        <v>1</v>
      </c>
      <c r="AH91" s="314">
        <f t="shared" si="29"/>
        <v>0</v>
      </c>
      <c r="AI91" s="314">
        <f t="shared" si="30"/>
        <v>0</v>
      </c>
      <c r="AJ91" s="317"/>
      <c r="AK91" s="315" t="e">
        <f t="shared" si="31"/>
        <v>#N/A</v>
      </c>
      <c r="AM91" s="553"/>
      <c r="AN91" s="553"/>
      <c r="AO91" s="553"/>
    </row>
    <row r="92" spans="2:41">
      <c r="B92" s="296"/>
      <c r="C92" s="299"/>
      <c r="D92" s="296"/>
      <c r="E92" s="298"/>
      <c r="F92" s="299"/>
      <c r="G92" s="300"/>
      <c r="H92" s="303"/>
      <c r="I92" s="303"/>
      <c r="J92" s="322">
        <f t="shared" si="17"/>
        <v>0</v>
      </c>
      <c r="K92" s="305" t="e">
        <f>IF(F92="MXN",1/HLOOKUP(YEAR(G92)+(MONTH(G92)/100),TC!$5:$37,DAY(G92)+2,FALSE),VLOOKUP(F92,Equivalencia!$5:$23,((MAX(Equivalencia!$3:$3)-YEAR(G92))*14)+MONTH(G92)+2,FALSE))</f>
        <v>#N/A</v>
      </c>
      <c r="L92" s="306" t="e">
        <f t="shared" si="20"/>
        <v>#N/A</v>
      </c>
      <c r="M92" s="305">
        <f>IF(G92=0,0,HLOOKUP(YEAR(G92)+(MONTH(G92)/100),TC!$5:$37,DAY(G92)+2,FALSE))</f>
        <v>0</v>
      </c>
      <c r="N92" s="306" t="e">
        <f t="shared" si="21"/>
        <v>#N/A</v>
      </c>
      <c r="O92" s="308">
        <f>IF(G92=0,0,VLOOKUP(YEAR(G92),INPC!$B$4:$P$30,MONTH(G92)+2))</f>
        <v>0</v>
      </c>
      <c r="P92" s="308">
        <f>IF(W92=0,0,IF(OR(C92=$AQ$5,C92=AQ96),VLOOKUP(YEAR(W92),INPC!$B$4:$P$30,MONTH(W92)+1),VLOOKUP(YEAR(W92),INPC!$B$4:$P$30,MONTH(W92)+2)))</f>
        <v>0</v>
      </c>
      <c r="Q92" s="309">
        <f t="shared" si="22"/>
        <v>0</v>
      </c>
      <c r="R92" s="310" t="e">
        <f t="shared" si="23"/>
        <v>#N/A</v>
      </c>
      <c r="S92" s="310">
        <f t="shared" si="24"/>
        <v>0</v>
      </c>
      <c r="T92" s="559" t="str">
        <f t="shared" si="25"/>
        <v>NO</v>
      </c>
      <c r="U92" s="323"/>
      <c r="V92" s="299"/>
      <c r="W92" s="300"/>
      <c r="X92" s="299"/>
      <c r="Y92" s="303"/>
      <c r="Z92" s="305">
        <f>IF(Y92=0,0,IF(X92="MXN",1/HLOOKUP(YEAR(W92)+(MONTH(W92)/100),TC!$5:$37,DAY(W92)+2,FALSE),VLOOKUP(X92,Equivalencia!$1:$23,((MAX(Equivalencia!$3:$3)-YEAR(W92))*14)+MONTH(W92)+2,FALSE)))</f>
        <v>0</v>
      </c>
      <c r="AA92" s="306">
        <f t="shared" si="26"/>
        <v>0</v>
      </c>
      <c r="AB92" s="305">
        <f>+IF(W92=0,0,HLOOKUP(YEAR(W92)+(MONTH(W92)/100),TC!$5:$37,DAY(W92)+2,FALSE))</f>
        <v>0</v>
      </c>
      <c r="AC92" s="306">
        <f t="shared" si="27"/>
        <v>0</v>
      </c>
      <c r="AD92" s="314">
        <f t="shared" si="18"/>
        <v>0</v>
      </c>
      <c r="AE92" s="315">
        <f t="shared" si="28"/>
        <v>0</v>
      </c>
      <c r="AF92" s="316">
        <f t="shared" si="19"/>
        <v>0</v>
      </c>
      <c r="AG92" s="314">
        <v>1</v>
      </c>
      <c r="AH92" s="314">
        <f t="shared" si="29"/>
        <v>0</v>
      </c>
      <c r="AI92" s="314">
        <f t="shared" si="30"/>
        <v>0</v>
      </c>
      <c r="AJ92" s="317"/>
      <c r="AK92" s="315" t="e">
        <f t="shared" si="31"/>
        <v>#N/A</v>
      </c>
      <c r="AM92" s="553"/>
      <c r="AN92" s="553"/>
      <c r="AO92" s="553"/>
    </row>
    <row r="93" spans="2:41">
      <c r="B93" s="296"/>
      <c r="C93" s="299"/>
      <c r="D93" s="296"/>
      <c r="E93" s="298"/>
      <c r="F93" s="299"/>
      <c r="G93" s="300"/>
      <c r="H93" s="303"/>
      <c r="I93" s="303"/>
      <c r="J93" s="322">
        <f t="shared" si="17"/>
        <v>0</v>
      </c>
      <c r="K93" s="305" t="e">
        <f>IF(F93="MXN",1/HLOOKUP(YEAR(G93)+(MONTH(G93)/100),TC!$5:$37,DAY(G93)+2,FALSE),VLOOKUP(F93,Equivalencia!$5:$23,((MAX(Equivalencia!$3:$3)-YEAR(G93))*14)+MONTH(G93)+2,FALSE))</f>
        <v>#N/A</v>
      </c>
      <c r="L93" s="306" t="e">
        <f t="shared" si="20"/>
        <v>#N/A</v>
      </c>
      <c r="M93" s="305">
        <f>IF(G93=0,0,HLOOKUP(YEAR(G93)+(MONTH(G93)/100),TC!$5:$37,DAY(G93)+2,FALSE))</f>
        <v>0</v>
      </c>
      <c r="N93" s="306" t="e">
        <f t="shared" si="21"/>
        <v>#N/A</v>
      </c>
      <c r="O93" s="308">
        <f>IF(G93=0,0,VLOOKUP(YEAR(G93),INPC!$B$4:$P$30,MONTH(G93)+2))</f>
        <v>0</v>
      </c>
      <c r="P93" s="308">
        <f>IF(W93=0,0,IF(OR(C93=$AQ$5,C93=AQ97),VLOOKUP(YEAR(W93),INPC!$B$4:$P$30,MONTH(W93)+1),VLOOKUP(YEAR(W93),INPC!$B$4:$P$30,MONTH(W93)+2)))</f>
        <v>0</v>
      </c>
      <c r="Q93" s="309">
        <f t="shared" si="22"/>
        <v>0</v>
      </c>
      <c r="R93" s="310" t="e">
        <f t="shared" si="23"/>
        <v>#N/A</v>
      </c>
      <c r="S93" s="310">
        <f t="shared" si="24"/>
        <v>0</v>
      </c>
      <c r="T93" s="559" t="str">
        <f t="shared" si="25"/>
        <v>NO</v>
      </c>
      <c r="U93" s="323"/>
      <c r="V93" s="299"/>
      <c r="W93" s="300"/>
      <c r="X93" s="299"/>
      <c r="Y93" s="303"/>
      <c r="Z93" s="305">
        <f>IF(Y93=0,0,IF(X93="MXN",1/HLOOKUP(YEAR(W93)+(MONTH(W93)/100),TC!$5:$37,DAY(W93)+2,FALSE),VLOOKUP(X93,Equivalencia!$1:$23,((MAX(Equivalencia!$3:$3)-YEAR(W93))*14)+MONTH(W93)+2,FALSE)))</f>
        <v>0</v>
      </c>
      <c r="AA93" s="306">
        <f t="shared" si="26"/>
        <v>0</v>
      </c>
      <c r="AB93" s="305">
        <f>+IF(W93=0,0,HLOOKUP(YEAR(W93)+(MONTH(W93)/100),TC!$5:$37,DAY(W93)+2,FALSE))</f>
        <v>0</v>
      </c>
      <c r="AC93" s="306">
        <f t="shared" si="27"/>
        <v>0</v>
      </c>
      <c r="AD93" s="314">
        <f t="shared" si="18"/>
        <v>0</v>
      </c>
      <c r="AE93" s="315">
        <f t="shared" si="28"/>
        <v>0</v>
      </c>
      <c r="AF93" s="316">
        <f t="shared" si="19"/>
        <v>0</v>
      </c>
      <c r="AG93" s="314">
        <v>1</v>
      </c>
      <c r="AH93" s="314">
        <f t="shared" si="29"/>
        <v>0</v>
      </c>
      <c r="AI93" s="314">
        <f t="shared" si="30"/>
        <v>0</v>
      </c>
      <c r="AJ93" s="317"/>
      <c r="AK93" s="315" t="e">
        <f t="shared" si="31"/>
        <v>#N/A</v>
      </c>
      <c r="AM93" s="553"/>
      <c r="AN93" s="553"/>
      <c r="AO93" s="553"/>
    </row>
    <row r="94" spans="2:41">
      <c r="B94" s="296"/>
      <c r="C94" s="299"/>
      <c r="D94" s="296"/>
      <c r="E94" s="298"/>
      <c r="F94" s="299"/>
      <c r="G94" s="300"/>
      <c r="H94" s="303"/>
      <c r="I94" s="303"/>
      <c r="J94" s="322">
        <f t="shared" si="17"/>
        <v>0</v>
      </c>
      <c r="K94" s="305" t="e">
        <f>IF(F94="MXN",1/HLOOKUP(YEAR(G94)+(MONTH(G94)/100),TC!$5:$37,DAY(G94)+2,FALSE),VLOOKUP(F94,Equivalencia!$5:$23,((MAX(Equivalencia!$3:$3)-YEAR(G94))*14)+MONTH(G94)+2,FALSE))</f>
        <v>#N/A</v>
      </c>
      <c r="L94" s="306" t="e">
        <f t="shared" si="20"/>
        <v>#N/A</v>
      </c>
      <c r="M94" s="305">
        <f>IF(G94=0,0,HLOOKUP(YEAR(G94)+(MONTH(G94)/100),TC!$5:$37,DAY(G94)+2,FALSE))</f>
        <v>0</v>
      </c>
      <c r="N94" s="306" t="e">
        <f t="shared" si="21"/>
        <v>#N/A</v>
      </c>
      <c r="O94" s="308">
        <f>IF(G94=0,0,VLOOKUP(YEAR(G94),INPC!$B$4:$P$30,MONTH(G94)+2))</f>
        <v>0</v>
      </c>
      <c r="P94" s="308">
        <f>IF(W94=0,0,IF(OR(C94=$AQ$5,C94=AQ98),VLOOKUP(YEAR(W94),INPC!$B$4:$P$30,MONTH(W94)+1),VLOOKUP(YEAR(W94),INPC!$B$4:$P$30,MONTH(W94)+2)))</f>
        <v>0</v>
      </c>
      <c r="Q94" s="309">
        <f t="shared" si="22"/>
        <v>0</v>
      </c>
      <c r="R94" s="310" t="e">
        <f t="shared" si="23"/>
        <v>#N/A</v>
      </c>
      <c r="S94" s="310">
        <f t="shared" si="24"/>
        <v>0</v>
      </c>
      <c r="T94" s="559" t="str">
        <f t="shared" si="25"/>
        <v>NO</v>
      </c>
      <c r="U94" s="323"/>
      <c r="V94" s="299"/>
      <c r="W94" s="300"/>
      <c r="X94" s="299"/>
      <c r="Y94" s="303"/>
      <c r="Z94" s="305">
        <f>IF(Y94=0,0,IF(X94="MXN",1/HLOOKUP(YEAR(W94)+(MONTH(W94)/100),TC!$5:$37,DAY(W94)+2,FALSE),VLOOKUP(X94,Equivalencia!$1:$23,((MAX(Equivalencia!$3:$3)-YEAR(W94))*14)+MONTH(W94)+2,FALSE)))</f>
        <v>0</v>
      </c>
      <c r="AA94" s="306">
        <f t="shared" si="26"/>
        <v>0</v>
      </c>
      <c r="AB94" s="305">
        <f>+IF(W94=0,0,HLOOKUP(YEAR(W94)+(MONTH(W94)/100),TC!$5:$37,DAY(W94)+2,FALSE))</f>
        <v>0</v>
      </c>
      <c r="AC94" s="306">
        <f t="shared" si="27"/>
        <v>0</v>
      </c>
      <c r="AD94" s="314">
        <f t="shared" si="18"/>
        <v>0</v>
      </c>
      <c r="AE94" s="315">
        <f t="shared" si="28"/>
        <v>0</v>
      </c>
      <c r="AF94" s="316">
        <f t="shared" si="19"/>
        <v>0</v>
      </c>
      <c r="AG94" s="314">
        <v>1</v>
      </c>
      <c r="AH94" s="314">
        <f t="shared" si="29"/>
        <v>0</v>
      </c>
      <c r="AI94" s="314">
        <f t="shared" si="30"/>
        <v>0</v>
      </c>
      <c r="AJ94" s="317"/>
      <c r="AK94" s="315" t="e">
        <f t="shared" si="31"/>
        <v>#N/A</v>
      </c>
      <c r="AM94" s="553"/>
      <c r="AN94" s="553"/>
      <c r="AO94" s="553"/>
    </row>
    <row r="95" spans="2:41">
      <c r="B95" s="296"/>
      <c r="C95" s="299"/>
      <c r="D95" s="296"/>
      <c r="E95" s="298"/>
      <c r="F95" s="299"/>
      <c r="G95" s="300"/>
      <c r="H95" s="303"/>
      <c r="I95" s="303"/>
      <c r="J95" s="322">
        <f t="shared" si="17"/>
        <v>0</v>
      </c>
      <c r="K95" s="305" t="e">
        <f>IF(F95="MXN",1/HLOOKUP(YEAR(G95)+(MONTH(G95)/100),TC!$5:$37,DAY(G95)+2,FALSE),VLOOKUP(F95,Equivalencia!$5:$23,((MAX(Equivalencia!$3:$3)-YEAR(G95))*14)+MONTH(G95)+2,FALSE))</f>
        <v>#N/A</v>
      </c>
      <c r="L95" s="306" t="e">
        <f t="shared" si="20"/>
        <v>#N/A</v>
      </c>
      <c r="M95" s="305">
        <f>IF(G95=0,0,HLOOKUP(YEAR(G95)+(MONTH(G95)/100),TC!$5:$37,DAY(G95)+2,FALSE))</f>
        <v>0</v>
      </c>
      <c r="N95" s="306" t="e">
        <f t="shared" si="21"/>
        <v>#N/A</v>
      </c>
      <c r="O95" s="308">
        <f>IF(G95=0,0,VLOOKUP(YEAR(G95),INPC!$B$4:$P$30,MONTH(G95)+2))</f>
        <v>0</v>
      </c>
      <c r="P95" s="308">
        <f>IF(W95=0,0,IF(OR(C95=$AQ$5,C95=AQ99),VLOOKUP(YEAR(W95),INPC!$B$4:$P$30,MONTH(W95)+1),VLOOKUP(YEAR(W95),INPC!$B$4:$P$30,MONTH(W95)+2)))</f>
        <v>0</v>
      </c>
      <c r="Q95" s="309">
        <f t="shared" si="22"/>
        <v>0</v>
      </c>
      <c r="R95" s="310" t="e">
        <f t="shared" si="23"/>
        <v>#N/A</v>
      </c>
      <c r="S95" s="310">
        <f t="shared" si="24"/>
        <v>0</v>
      </c>
      <c r="T95" s="559" t="str">
        <f t="shared" si="25"/>
        <v>NO</v>
      </c>
      <c r="U95" s="323"/>
      <c r="V95" s="299"/>
      <c r="W95" s="300"/>
      <c r="X95" s="299"/>
      <c r="Y95" s="303"/>
      <c r="Z95" s="305">
        <f>IF(Y95=0,0,IF(X95="MXN",1/HLOOKUP(YEAR(W95)+(MONTH(W95)/100),TC!$5:$37,DAY(W95)+2,FALSE),VLOOKUP(X95,Equivalencia!$1:$23,((MAX(Equivalencia!$3:$3)-YEAR(W95))*14)+MONTH(W95)+2,FALSE)))</f>
        <v>0</v>
      </c>
      <c r="AA95" s="306">
        <f t="shared" si="26"/>
        <v>0</v>
      </c>
      <c r="AB95" s="305">
        <f>+IF(W95=0,0,HLOOKUP(YEAR(W95)+(MONTH(W95)/100),TC!$5:$37,DAY(W95)+2,FALSE))</f>
        <v>0</v>
      </c>
      <c r="AC95" s="306">
        <f t="shared" si="27"/>
        <v>0</v>
      </c>
      <c r="AD95" s="314">
        <f t="shared" si="18"/>
        <v>0</v>
      </c>
      <c r="AE95" s="315">
        <f t="shared" si="28"/>
        <v>0</v>
      </c>
      <c r="AF95" s="316">
        <f t="shared" si="19"/>
        <v>0</v>
      </c>
      <c r="AG95" s="314">
        <v>1</v>
      </c>
      <c r="AH95" s="314">
        <f t="shared" si="29"/>
        <v>0</v>
      </c>
      <c r="AI95" s="314">
        <f t="shared" si="30"/>
        <v>0</v>
      </c>
      <c r="AJ95" s="317"/>
      <c r="AK95" s="315" t="e">
        <f t="shared" si="31"/>
        <v>#N/A</v>
      </c>
      <c r="AM95" s="553"/>
      <c r="AN95" s="553"/>
      <c r="AO95" s="553"/>
    </row>
    <row r="96" spans="2:41">
      <c r="B96" s="296"/>
      <c r="C96" s="299"/>
      <c r="D96" s="296"/>
      <c r="E96" s="298"/>
      <c r="F96" s="299"/>
      <c r="G96" s="300"/>
      <c r="H96" s="303"/>
      <c r="I96" s="303"/>
      <c r="J96" s="322">
        <f t="shared" si="17"/>
        <v>0</v>
      </c>
      <c r="K96" s="305" t="e">
        <f>IF(F96="MXN",1/HLOOKUP(YEAR(G96)+(MONTH(G96)/100),TC!$5:$37,DAY(G96)+2,FALSE),VLOOKUP(F96,Equivalencia!$5:$23,((MAX(Equivalencia!$3:$3)-YEAR(G96))*14)+MONTH(G96)+2,FALSE))</f>
        <v>#N/A</v>
      </c>
      <c r="L96" s="306" t="e">
        <f t="shared" si="20"/>
        <v>#N/A</v>
      </c>
      <c r="M96" s="305">
        <f>IF(G96=0,0,HLOOKUP(YEAR(G96)+(MONTH(G96)/100),TC!$5:$37,DAY(G96)+2,FALSE))</f>
        <v>0</v>
      </c>
      <c r="N96" s="306" t="e">
        <f t="shared" si="21"/>
        <v>#N/A</v>
      </c>
      <c r="O96" s="308">
        <f>IF(G96=0,0,VLOOKUP(YEAR(G96),INPC!$B$4:$P$30,MONTH(G96)+2))</f>
        <v>0</v>
      </c>
      <c r="P96" s="308">
        <f>IF(W96=0,0,IF(OR(C96=$AQ$5,C96=AQ100),VLOOKUP(YEAR(W96),INPC!$B$4:$P$30,MONTH(W96)+1),VLOOKUP(YEAR(W96),INPC!$B$4:$P$30,MONTH(W96)+2)))</f>
        <v>0</v>
      </c>
      <c r="Q96" s="309">
        <f t="shared" si="22"/>
        <v>0</v>
      </c>
      <c r="R96" s="310" t="e">
        <f t="shared" si="23"/>
        <v>#N/A</v>
      </c>
      <c r="S96" s="310">
        <f t="shared" si="24"/>
        <v>0</v>
      </c>
      <c r="T96" s="559" t="str">
        <f t="shared" si="25"/>
        <v>NO</v>
      </c>
      <c r="U96" s="323"/>
      <c r="V96" s="299"/>
      <c r="W96" s="300"/>
      <c r="X96" s="299"/>
      <c r="Y96" s="303"/>
      <c r="Z96" s="305">
        <f>IF(Y96=0,0,IF(X96="MXN",1/HLOOKUP(YEAR(W96)+(MONTH(W96)/100),TC!$5:$37,DAY(W96)+2,FALSE),VLOOKUP(X96,Equivalencia!$1:$23,((MAX(Equivalencia!$3:$3)-YEAR(W96))*14)+MONTH(W96)+2,FALSE)))</f>
        <v>0</v>
      </c>
      <c r="AA96" s="306">
        <f t="shared" si="26"/>
        <v>0</v>
      </c>
      <c r="AB96" s="305">
        <f>+IF(W96=0,0,HLOOKUP(YEAR(W96)+(MONTH(W96)/100),TC!$5:$37,DAY(W96)+2,FALSE))</f>
        <v>0</v>
      </c>
      <c r="AC96" s="306">
        <f t="shared" si="27"/>
        <v>0</v>
      </c>
      <c r="AD96" s="314">
        <f t="shared" si="18"/>
        <v>0</v>
      </c>
      <c r="AE96" s="315">
        <f t="shared" si="28"/>
        <v>0</v>
      </c>
      <c r="AF96" s="316">
        <f t="shared" si="19"/>
        <v>0</v>
      </c>
      <c r="AG96" s="314">
        <v>1</v>
      </c>
      <c r="AH96" s="314">
        <f t="shared" si="29"/>
        <v>0</v>
      </c>
      <c r="AI96" s="314">
        <f t="shared" si="30"/>
        <v>0</v>
      </c>
      <c r="AJ96" s="317"/>
      <c r="AK96" s="315" t="e">
        <f t="shared" si="31"/>
        <v>#N/A</v>
      </c>
      <c r="AM96" s="553"/>
      <c r="AN96" s="553"/>
      <c r="AO96" s="553"/>
    </row>
    <row r="97" spans="2:41">
      <c r="B97" s="296"/>
      <c r="C97" s="299"/>
      <c r="D97" s="296"/>
      <c r="E97" s="298"/>
      <c r="F97" s="299"/>
      <c r="G97" s="300"/>
      <c r="H97" s="303"/>
      <c r="I97" s="303"/>
      <c r="J97" s="322">
        <f t="shared" si="17"/>
        <v>0</v>
      </c>
      <c r="K97" s="305" t="e">
        <f>IF(F97="MXN",1/HLOOKUP(YEAR(G97)+(MONTH(G97)/100),TC!$5:$37,DAY(G97)+2,FALSE),VLOOKUP(F97,Equivalencia!$5:$23,((MAX(Equivalencia!$3:$3)-YEAR(G97))*14)+MONTH(G97)+2,FALSE))</f>
        <v>#N/A</v>
      </c>
      <c r="L97" s="306" t="e">
        <f t="shared" si="20"/>
        <v>#N/A</v>
      </c>
      <c r="M97" s="305">
        <f>IF(G97=0,0,HLOOKUP(YEAR(G97)+(MONTH(G97)/100),TC!$5:$37,DAY(G97)+2,FALSE))</f>
        <v>0</v>
      </c>
      <c r="N97" s="306" t="e">
        <f t="shared" si="21"/>
        <v>#N/A</v>
      </c>
      <c r="O97" s="308">
        <f>IF(G97=0,0,VLOOKUP(YEAR(G97),INPC!$B$4:$P$30,MONTH(G97)+2))</f>
        <v>0</v>
      </c>
      <c r="P97" s="308">
        <f>IF(W97=0,0,IF(OR(C97=$AQ$5,C97=AQ101),VLOOKUP(YEAR(W97),INPC!$B$4:$P$30,MONTH(W97)+1),VLOOKUP(YEAR(W97),INPC!$B$4:$P$30,MONTH(W97)+2)))</f>
        <v>0</v>
      </c>
      <c r="Q97" s="309">
        <f t="shared" si="22"/>
        <v>0</v>
      </c>
      <c r="R97" s="310" t="e">
        <f t="shared" si="23"/>
        <v>#N/A</v>
      </c>
      <c r="S97" s="310">
        <f t="shared" si="24"/>
        <v>0</v>
      </c>
      <c r="T97" s="559" t="str">
        <f t="shared" si="25"/>
        <v>NO</v>
      </c>
      <c r="U97" s="323"/>
      <c r="V97" s="299"/>
      <c r="W97" s="300"/>
      <c r="X97" s="299"/>
      <c r="Y97" s="303"/>
      <c r="Z97" s="305">
        <f>IF(Y97=0,0,IF(X97="MXN",1/HLOOKUP(YEAR(W97)+(MONTH(W97)/100),TC!$5:$37,DAY(W97)+2,FALSE),VLOOKUP(X97,Equivalencia!$1:$23,((MAX(Equivalencia!$3:$3)-YEAR(W97))*14)+MONTH(W97)+2,FALSE)))</f>
        <v>0</v>
      </c>
      <c r="AA97" s="306">
        <f t="shared" si="26"/>
        <v>0</v>
      </c>
      <c r="AB97" s="305">
        <f>+IF(W97=0,0,HLOOKUP(YEAR(W97)+(MONTH(W97)/100),TC!$5:$37,DAY(W97)+2,FALSE))</f>
        <v>0</v>
      </c>
      <c r="AC97" s="306">
        <f t="shared" si="27"/>
        <v>0</v>
      </c>
      <c r="AD97" s="314">
        <f t="shared" si="18"/>
        <v>0</v>
      </c>
      <c r="AE97" s="315">
        <f t="shared" si="28"/>
        <v>0</v>
      </c>
      <c r="AF97" s="316">
        <f t="shared" si="19"/>
        <v>0</v>
      </c>
      <c r="AG97" s="314">
        <v>1</v>
      </c>
      <c r="AH97" s="314">
        <f t="shared" si="29"/>
        <v>0</v>
      </c>
      <c r="AI97" s="314">
        <f t="shared" si="30"/>
        <v>0</v>
      </c>
      <c r="AJ97" s="317"/>
      <c r="AK97" s="315" t="e">
        <f t="shared" si="31"/>
        <v>#N/A</v>
      </c>
      <c r="AM97" s="553"/>
      <c r="AN97" s="553"/>
      <c r="AO97" s="553"/>
    </row>
    <row r="98" spans="2:41">
      <c r="B98" s="296"/>
      <c r="C98" s="299"/>
      <c r="D98" s="296"/>
      <c r="E98" s="298"/>
      <c r="F98" s="299"/>
      <c r="G98" s="300"/>
      <c r="H98" s="303"/>
      <c r="I98" s="303"/>
      <c r="J98" s="322">
        <f t="shared" si="17"/>
        <v>0</v>
      </c>
      <c r="K98" s="305" t="e">
        <f>IF(F98="MXN",1/HLOOKUP(YEAR(G98)+(MONTH(G98)/100),TC!$5:$37,DAY(G98)+2,FALSE),VLOOKUP(F98,Equivalencia!$5:$23,((MAX(Equivalencia!$3:$3)-YEAR(G98))*14)+MONTH(G98)+2,FALSE))</f>
        <v>#N/A</v>
      </c>
      <c r="L98" s="306" t="e">
        <f t="shared" si="20"/>
        <v>#N/A</v>
      </c>
      <c r="M98" s="305">
        <f>IF(G98=0,0,HLOOKUP(YEAR(G98)+(MONTH(G98)/100),TC!$5:$37,DAY(G98)+2,FALSE))</f>
        <v>0</v>
      </c>
      <c r="N98" s="306" t="e">
        <f t="shared" si="21"/>
        <v>#N/A</v>
      </c>
      <c r="O98" s="308">
        <f>IF(G98=0,0,VLOOKUP(YEAR(G98),INPC!$B$4:$P$30,MONTH(G98)+2))</f>
        <v>0</v>
      </c>
      <c r="P98" s="308">
        <f>IF(W98=0,0,IF(OR(C98=$AQ$5,C98=AQ102),VLOOKUP(YEAR(W98),INPC!$B$4:$P$30,MONTH(W98)+1),VLOOKUP(YEAR(W98),INPC!$B$4:$P$30,MONTH(W98)+2)))</f>
        <v>0</v>
      </c>
      <c r="Q98" s="309">
        <f t="shared" si="22"/>
        <v>0</v>
      </c>
      <c r="R98" s="310" t="e">
        <f t="shared" si="23"/>
        <v>#N/A</v>
      </c>
      <c r="S98" s="310">
        <f t="shared" si="24"/>
        <v>0</v>
      </c>
      <c r="T98" s="559" t="str">
        <f t="shared" si="25"/>
        <v>NO</v>
      </c>
      <c r="U98" s="323"/>
      <c r="V98" s="299"/>
      <c r="W98" s="300"/>
      <c r="X98" s="299"/>
      <c r="Y98" s="303"/>
      <c r="Z98" s="305">
        <f>IF(Y98=0,0,IF(X98="MXN",1/HLOOKUP(YEAR(W98)+(MONTH(W98)/100),TC!$5:$37,DAY(W98)+2,FALSE),VLOOKUP(X98,Equivalencia!$1:$23,((MAX(Equivalencia!$3:$3)-YEAR(W98))*14)+MONTH(W98)+2,FALSE)))</f>
        <v>0</v>
      </c>
      <c r="AA98" s="306">
        <f t="shared" si="26"/>
        <v>0</v>
      </c>
      <c r="AB98" s="305">
        <f>+IF(W98=0,0,HLOOKUP(YEAR(W98)+(MONTH(W98)/100),TC!$5:$37,DAY(W98)+2,FALSE))</f>
        <v>0</v>
      </c>
      <c r="AC98" s="306">
        <f t="shared" si="27"/>
        <v>0</v>
      </c>
      <c r="AD98" s="314">
        <f t="shared" si="18"/>
        <v>0</v>
      </c>
      <c r="AE98" s="315">
        <f t="shared" si="28"/>
        <v>0</v>
      </c>
      <c r="AF98" s="316">
        <f t="shared" si="19"/>
        <v>0</v>
      </c>
      <c r="AG98" s="314">
        <v>1</v>
      </c>
      <c r="AH98" s="314">
        <f t="shared" si="29"/>
        <v>0</v>
      </c>
      <c r="AI98" s="314">
        <f t="shared" si="30"/>
        <v>0</v>
      </c>
      <c r="AJ98" s="317"/>
      <c r="AK98" s="315" t="e">
        <f t="shared" si="31"/>
        <v>#N/A</v>
      </c>
      <c r="AM98" s="553"/>
      <c r="AN98" s="553"/>
      <c r="AO98" s="553"/>
    </row>
    <row r="99" spans="2:41">
      <c r="B99" s="296"/>
      <c r="C99" s="299"/>
      <c r="D99" s="296"/>
      <c r="E99" s="298"/>
      <c r="F99" s="299"/>
      <c r="G99" s="300"/>
      <c r="H99" s="303"/>
      <c r="I99" s="303"/>
      <c r="J99" s="322">
        <f t="shared" si="17"/>
        <v>0</v>
      </c>
      <c r="K99" s="305" t="e">
        <f>IF(F99="MXN",1/HLOOKUP(YEAR(G99)+(MONTH(G99)/100),TC!$5:$37,DAY(G99)+2,FALSE),VLOOKUP(F99,Equivalencia!$5:$23,((MAX(Equivalencia!$3:$3)-YEAR(G99))*14)+MONTH(G99)+2,FALSE))</f>
        <v>#N/A</v>
      </c>
      <c r="L99" s="306" t="e">
        <f t="shared" si="20"/>
        <v>#N/A</v>
      </c>
      <c r="M99" s="305">
        <f>IF(G99=0,0,HLOOKUP(YEAR(G99)+(MONTH(G99)/100),TC!$5:$37,DAY(G99)+2,FALSE))</f>
        <v>0</v>
      </c>
      <c r="N99" s="306" t="e">
        <f t="shared" si="21"/>
        <v>#N/A</v>
      </c>
      <c r="O99" s="308">
        <f>IF(G99=0,0,VLOOKUP(YEAR(G99),INPC!$B$4:$P$30,MONTH(G99)+2))</f>
        <v>0</v>
      </c>
      <c r="P99" s="308">
        <f>IF(W99=0,0,IF(OR(C99=$AQ$5,C99=AQ103),VLOOKUP(YEAR(W99),INPC!$B$4:$P$30,MONTH(W99)+1),VLOOKUP(YEAR(W99),INPC!$B$4:$P$30,MONTH(W99)+2)))</f>
        <v>0</v>
      </c>
      <c r="Q99" s="309">
        <f t="shared" si="22"/>
        <v>0</v>
      </c>
      <c r="R99" s="310" t="e">
        <f t="shared" si="23"/>
        <v>#N/A</v>
      </c>
      <c r="S99" s="310">
        <f t="shared" si="24"/>
        <v>0</v>
      </c>
      <c r="T99" s="559" t="str">
        <f t="shared" si="25"/>
        <v>NO</v>
      </c>
      <c r="U99" s="323"/>
      <c r="V99" s="299"/>
      <c r="W99" s="300"/>
      <c r="X99" s="299"/>
      <c r="Y99" s="303"/>
      <c r="Z99" s="305">
        <f>IF(Y99=0,0,IF(X99="MXN",1/HLOOKUP(YEAR(W99)+(MONTH(W99)/100),TC!$5:$37,DAY(W99)+2,FALSE),VLOOKUP(X99,Equivalencia!$1:$23,((MAX(Equivalencia!$3:$3)-YEAR(W99))*14)+MONTH(W99)+2,FALSE)))</f>
        <v>0</v>
      </c>
      <c r="AA99" s="306">
        <f t="shared" si="26"/>
        <v>0</v>
      </c>
      <c r="AB99" s="305">
        <f>+IF(W99=0,0,HLOOKUP(YEAR(W99)+(MONTH(W99)/100),TC!$5:$37,DAY(W99)+2,FALSE))</f>
        <v>0</v>
      </c>
      <c r="AC99" s="306">
        <f t="shared" si="27"/>
        <v>0</v>
      </c>
      <c r="AD99" s="314">
        <f t="shared" si="18"/>
        <v>0</v>
      </c>
      <c r="AE99" s="315">
        <f t="shared" si="28"/>
        <v>0</v>
      </c>
      <c r="AF99" s="316">
        <f t="shared" si="19"/>
        <v>0</v>
      </c>
      <c r="AG99" s="314">
        <v>1</v>
      </c>
      <c r="AH99" s="314">
        <f t="shared" si="29"/>
        <v>0</v>
      </c>
      <c r="AI99" s="314">
        <f t="shared" si="30"/>
        <v>0</v>
      </c>
      <c r="AJ99" s="317"/>
      <c r="AK99" s="315" t="e">
        <f t="shared" si="31"/>
        <v>#N/A</v>
      </c>
      <c r="AM99" s="553"/>
      <c r="AN99" s="553"/>
      <c r="AO99" s="553"/>
    </row>
    <row r="100" spans="2:41">
      <c r="B100" s="296"/>
      <c r="C100" s="299"/>
      <c r="D100" s="296"/>
      <c r="E100" s="298"/>
      <c r="F100" s="299"/>
      <c r="G100" s="300"/>
      <c r="H100" s="303"/>
      <c r="I100" s="303"/>
      <c r="J100" s="322">
        <f t="shared" si="17"/>
        <v>0</v>
      </c>
      <c r="K100" s="305" t="e">
        <f>IF(F100="MXN",1/HLOOKUP(YEAR(G100)+(MONTH(G100)/100),TC!$5:$37,DAY(G100)+2,FALSE),VLOOKUP(F100,Equivalencia!$5:$23,((MAX(Equivalencia!$3:$3)-YEAR(G100))*14)+MONTH(G100)+2,FALSE))</f>
        <v>#N/A</v>
      </c>
      <c r="L100" s="306" t="e">
        <f t="shared" si="20"/>
        <v>#N/A</v>
      </c>
      <c r="M100" s="305">
        <f>IF(G100=0,0,HLOOKUP(YEAR(G100)+(MONTH(G100)/100),TC!$5:$37,DAY(G100)+2,FALSE))</f>
        <v>0</v>
      </c>
      <c r="N100" s="306" t="e">
        <f t="shared" si="21"/>
        <v>#N/A</v>
      </c>
      <c r="O100" s="308">
        <f>IF(G100=0,0,VLOOKUP(YEAR(G100),INPC!$B$4:$P$30,MONTH(G100)+2))</f>
        <v>0</v>
      </c>
      <c r="P100" s="308">
        <f>IF(W100=0,0,IF(OR(C100=$AQ$5,C100=AQ104),VLOOKUP(YEAR(W100),INPC!$B$4:$P$30,MONTH(W100)+1),VLOOKUP(YEAR(W100),INPC!$B$4:$P$30,MONTH(W100)+2)))</f>
        <v>0</v>
      </c>
      <c r="Q100" s="309">
        <f t="shared" si="22"/>
        <v>0</v>
      </c>
      <c r="R100" s="310" t="e">
        <f t="shared" si="23"/>
        <v>#N/A</v>
      </c>
      <c r="S100" s="310">
        <f t="shared" si="24"/>
        <v>0</v>
      </c>
      <c r="T100" s="559" t="str">
        <f t="shared" si="25"/>
        <v>NO</v>
      </c>
      <c r="U100" s="323"/>
      <c r="V100" s="299"/>
      <c r="W100" s="300"/>
      <c r="X100" s="299"/>
      <c r="Y100" s="303"/>
      <c r="Z100" s="305">
        <f>IF(Y100=0,0,IF(X100="MXN",1/HLOOKUP(YEAR(W100)+(MONTH(W100)/100),TC!$5:$37,DAY(W100)+2,FALSE),VLOOKUP(X100,Equivalencia!$1:$23,((MAX(Equivalencia!$3:$3)-YEAR(W100))*14)+MONTH(W100)+2,FALSE)))</f>
        <v>0</v>
      </c>
      <c r="AA100" s="306">
        <f t="shared" si="26"/>
        <v>0</v>
      </c>
      <c r="AB100" s="305">
        <f>+IF(W100=0,0,HLOOKUP(YEAR(W100)+(MONTH(W100)/100),TC!$5:$37,DAY(W100)+2,FALSE))</f>
        <v>0</v>
      </c>
      <c r="AC100" s="306">
        <f t="shared" si="27"/>
        <v>0</v>
      </c>
      <c r="AD100" s="314">
        <f t="shared" si="18"/>
        <v>0</v>
      </c>
      <c r="AE100" s="315">
        <f t="shared" si="28"/>
        <v>0</v>
      </c>
      <c r="AF100" s="316">
        <f t="shared" si="19"/>
        <v>0</v>
      </c>
      <c r="AG100" s="314">
        <v>1</v>
      </c>
      <c r="AH100" s="314">
        <f t="shared" si="29"/>
        <v>0</v>
      </c>
      <c r="AI100" s="314">
        <f t="shared" si="30"/>
        <v>0</v>
      </c>
      <c r="AJ100" s="317"/>
      <c r="AK100" s="315" t="e">
        <f t="shared" si="31"/>
        <v>#N/A</v>
      </c>
      <c r="AM100" s="553"/>
      <c r="AN100" s="553"/>
      <c r="AO100" s="553"/>
    </row>
    <row r="101" spans="2:41">
      <c r="B101" s="296"/>
      <c r="C101" s="299"/>
      <c r="D101" s="296"/>
      <c r="E101" s="298"/>
      <c r="F101" s="299"/>
      <c r="G101" s="300"/>
      <c r="H101" s="303"/>
      <c r="I101" s="303"/>
      <c r="J101" s="322">
        <f t="shared" si="17"/>
        <v>0</v>
      </c>
      <c r="K101" s="305" t="e">
        <f>IF(F101="MXN",1/HLOOKUP(YEAR(G101)+(MONTH(G101)/100),TC!$5:$37,DAY(G101)+2,FALSE),VLOOKUP(F101,Equivalencia!$5:$23,((MAX(Equivalencia!$3:$3)-YEAR(G101))*14)+MONTH(G101)+2,FALSE))</f>
        <v>#N/A</v>
      </c>
      <c r="L101" s="306" t="e">
        <f t="shared" si="20"/>
        <v>#N/A</v>
      </c>
      <c r="M101" s="305">
        <f>IF(G101=0,0,HLOOKUP(YEAR(G101)+(MONTH(G101)/100),TC!$5:$37,DAY(G101)+2,FALSE))</f>
        <v>0</v>
      </c>
      <c r="N101" s="306" t="e">
        <f t="shared" si="21"/>
        <v>#N/A</v>
      </c>
      <c r="O101" s="308">
        <f>IF(G101=0,0,VLOOKUP(YEAR(G101),INPC!$B$4:$P$30,MONTH(G101)+2))</f>
        <v>0</v>
      </c>
      <c r="P101" s="308">
        <f>IF(W101=0,0,IF(OR(C101=$AQ$5,C101=AQ105),VLOOKUP(YEAR(W101),INPC!$B$4:$P$30,MONTH(W101)+1),VLOOKUP(YEAR(W101),INPC!$B$4:$P$30,MONTH(W101)+2)))</f>
        <v>0</v>
      </c>
      <c r="Q101" s="309">
        <f t="shared" si="22"/>
        <v>0</v>
      </c>
      <c r="R101" s="310" t="e">
        <f t="shared" si="23"/>
        <v>#N/A</v>
      </c>
      <c r="S101" s="310">
        <f t="shared" si="24"/>
        <v>0</v>
      </c>
      <c r="T101" s="559" t="str">
        <f t="shared" si="25"/>
        <v>NO</v>
      </c>
      <c r="U101" s="323"/>
      <c r="V101" s="299"/>
      <c r="W101" s="300"/>
      <c r="X101" s="299"/>
      <c r="Y101" s="303"/>
      <c r="Z101" s="305">
        <f>IF(Y101=0,0,IF(X101="MXN",1/HLOOKUP(YEAR(W101)+(MONTH(W101)/100),TC!$5:$37,DAY(W101)+2,FALSE),VLOOKUP(X101,Equivalencia!$1:$23,((MAX(Equivalencia!$3:$3)-YEAR(W101))*14)+MONTH(W101)+2,FALSE)))</f>
        <v>0</v>
      </c>
      <c r="AA101" s="306">
        <f t="shared" si="26"/>
        <v>0</v>
      </c>
      <c r="AB101" s="305">
        <f>+IF(W101=0,0,HLOOKUP(YEAR(W101)+(MONTH(W101)/100),TC!$5:$37,DAY(W101)+2,FALSE))</f>
        <v>0</v>
      </c>
      <c r="AC101" s="306">
        <f t="shared" si="27"/>
        <v>0</v>
      </c>
      <c r="AD101" s="314">
        <f t="shared" si="18"/>
        <v>0</v>
      </c>
      <c r="AE101" s="315">
        <f t="shared" si="28"/>
        <v>0</v>
      </c>
      <c r="AF101" s="316">
        <f t="shared" si="19"/>
        <v>0</v>
      </c>
      <c r="AG101" s="314">
        <v>1</v>
      </c>
      <c r="AH101" s="314">
        <f t="shared" si="29"/>
        <v>0</v>
      </c>
      <c r="AI101" s="314">
        <f t="shared" si="30"/>
        <v>0</v>
      </c>
      <c r="AJ101" s="317"/>
      <c r="AK101" s="315" t="e">
        <f t="shared" si="31"/>
        <v>#N/A</v>
      </c>
      <c r="AM101" s="553"/>
      <c r="AN101" s="553"/>
      <c r="AO101" s="553"/>
    </row>
    <row r="102" spans="2:41">
      <c r="B102" s="296"/>
      <c r="C102" s="299"/>
      <c r="D102" s="296"/>
      <c r="E102" s="298"/>
      <c r="F102" s="299"/>
      <c r="G102" s="300"/>
      <c r="H102" s="303"/>
      <c r="I102" s="303"/>
      <c r="J102" s="322">
        <f t="shared" si="17"/>
        <v>0</v>
      </c>
      <c r="K102" s="305" t="e">
        <f>IF(F102="MXN",1/HLOOKUP(YEAR(G102)+(MONTH(G102)/100),TC!$5:$37,DAY(G102)+2,FALSE),VLOOKUP(F102,Equivalencia!$5:$23,((MAX(Equivalencia!$3:$3)-YEAR(G102))*14)+MONTH(G102)+2,FALSE))</f>
        <v>#N/A</v>
      </c>
      <c r="L102" s="306" t="e">
        <f t="shared" si="20"/>
        <v>#N/A</v>
      </c>
      <c r="M102" s="305">
        <f>IF(G102=0,0,HLOOKUP(YEAR(G102)+(MONTH(G102)/100),TC!$5:$37,DAY(G102)+2,FALSE))</f>
        <v>0</v>
      </c>
      <c r="N102" s="306" t="e">
        <f t="shared" si="21"/>
        <v>#N/A</v>
      </c>
      <c r="O102" s="308">
        <f>IF(G102=0,0,VLOOKUP(YEAR(G102),INPC!$B$4:$P$30,MONTH(G102)+2))</f>
        <v>0</v>
      </c>
      <c r="P102" s="308">
        <f>IF(W102=0,0,IF(OR(C102=$AQ$5,C102=AQ106),VLOOKUP(YEAR(W102),INPC!$B$4:$P$30,MONTH(W102)+1),VLOOKUP(YEAR(W102),INPC!$B$4:$P$30,MONTH(W102)+2)))</f>
        <v>0</v>
      </c>
      <c r="Q102" s="309">
        <f t="shared" si="22"/>
        <v>0</v>
      </c>
      <c r="R102" s="310" t="e">
        <f t="shared" si="23"/>
        <v>#N/A</v>
      </c>
      <c r="S102" s="310">
        <f t="shared" si="24"/>
        <v>0</v>
      </c>
      <c r="T102" s="559" t="str">
        <f t="shared" si="25"/>
        <v>NO</v>
      </c>
      <c r="U102" s="323"/>
      <c r="V102" s="299"/>
      <c r="W102" s="300"/>
      <c r="X102" s="299"/>
      <c r="Y102" s="303"/>
      <c r="Z102" s="305">
        <f>IF(Y102=0,0,IF(X102="MXN",1/HLOOKUP(YEAR(W102)+(MONTH(W102)/100),TC!$5:$37,DAY(W102)+2,FALSE),VLOOKUP(X102,Equivalencia!$1:$23,((MAX(Equivalencia!$3:$3)-YEAR(W102))*14)+MONTH(W102)+2,FALSE)))</f>
        <v>0</v>
      </c>
      <c r="AA102" s="306">
        <f t="shared" si="26"/>
        <v>0</v>
      </c>
      <c r="AB102" s="305">
        <f>+IF(W102=0,0,HLOOKUP(YEAR(W102)+(MONTH(W102)/100),TC!$5:$37,DAY(W102)+2,FALSE))</f>
        <v>0</v>
      </c>
      <c r="AC102" s="306">
        <f t="shared" si="27"/>
        <v>0</v>
      </c>
      <c r="AD102" s="314">
        <f t="shared" si="18"/>
        <v>0</v>
      </c>
      <c r="AE102" s="315">
        <f t="shared" si="28"/>
        <v>0</v>
      </c>
      <c r="AF102" s="316">
        <f t="shared" si="19"/>
        <v>0</v>
      </c>
      <c r="AG102" s="314">
        <v>1</v>
      </c>
      <c r="AH102" s="314">
        <f t="shared" si="29"/>
        <v>0</v>
      </c>
      <c r="AI102" s="314">
        <f t="shared" si="30"/>
        <v>0</v>
      </c>
      <c r="AJ102" s="317"/>
      <c r="AK102" s="315" t="e">
        <f t="shared" si="31"/>
        <v>#N/A</v>
      </c>
      <c r="AM102" s="553"/>
      <c r="AN102" s="553"/>
      <c r="AO102" s="553"/>
    </row>
    <row r="103" spans="2:41">
      <c r="B103" s="296"/>
      <c r="C103" s="299"/>
      <c r="D103" s="296"/>
      <c r="E103" s="298"/>
      <c r="F103" s="299"/>
      <c r="G103" s="300"/>
      <c r="H103" s="303"/>
      <c r="I103" s="303"/>
      <c r="J103" s="322">
        <f t="shared" si="17"/>
        <v>0</v>
      </c>
      <c r="K103" s="305" t="e">
        <f>IF(F103="MXN",1/HLOOKUP(YEAR(G103)+(MONTH(G103)/100),TC!$5:$37,DAY(G103)+2,FALSE),VLOOKUP(F103,Equivalencia!$5:$23,((MAX(Equivalencia!$3:$3)-YEAR(G103))*14)+MONTH(G103)+2,FALSE))</f>
        <v>#N/A</v>
      </c>
      <c r="L103" s="306" t="e">
        <f t="shared" si="20"/>
        <v>#N/A</v>
      </c>
      <c r="M103" s="305">
        <f>IF(G103=0,0,HLOOKUP(YEAR(G103)+(MONTH(G103)/100),TC!$5:$37,DAY(G103)+2,FALSE))</f>
        <v>0</v>
      </c>
      <c r="N103" s="306" t="e">
        <f t="shared" si="21"/>
        <v>#N/A</v>
      </c>
      <c r="O103" s="308">
        <f>IF(G103=0,0,VLOOKUP(YEAR(G103),INPC!$B$4:$P$30,MONTH(G103)+2))</f>
        <v>0</v>
      </c>
      <c r="P103" s="308">
        <f>IF(W103=0,0,IF(OR(C103=$AQ$5,C103=AQ107),VLOOKUP(YEAR(W103),INPC!$B$4:$P$30,MONTH(W103)+1),VLOOKUP(YEAR(W103),INPC!$B$4:$P$30,MONTH(W103)+2)))</f>
        <v>0</v>
      </c>
      <c r="Q103" s="309">
        <f t="shared" si="22"/>
        <v>0</v>
      </c>
      <c r="R103" s="310" t="e">
        <f t="shared" si="23"/>
        <v>#N/A</v>
      </c>
      <c r="S103" s="310">
        <f t="shared" si="24"/>
        <v>0</v>
      </c>
      <c r="T103" s="559" t="str">
        <f t="shared" si="25"/>
        <v>NO</v>
      </c>
      <c r="U103" s="323"/>
      <c r="V103" s="299"/>
      <c r="W103" s="300"/>
      <c r="X103" s="299"/>
      <c r="Y103" s="303"/>
      <c r="Z103" s="305">
        <f>IF(Y103=0,0,IF(X103="MXN",1/HLOOKUP(YEAR(W103)+(MONTH(W103)/100),TC!$5:$37,DAY(W103)+2,FALSE),VLOOKUP(X103,Equivalencia!$1:$23,((MAX(Equivalencia!$3:$3)-YEAR(W103))*14)+MONTH(W103)+2,FALSE)))</f>
        <v>0</v>
      </c>
      <c r="AA103" s="306">
        <f t="shared" si="26"/>
        <v>0</v>
      </c>
      <c r="AB103" s="305">
        <f>+IF(W103=0,0,HLOOKUP(YEAR(W103)+(MONTH(W103)/100),TC!$5:$37,DAY(W103)+2,FALSE))</f>
        <v>0</v>
      </c>
      <c r="AC103" s="306">
        <f t="shared" si="27"/>
        <v>0</v>
      </c>
      <c r="AD103" s="314">
        <f t="shared" si="18"/>
        <v>0</v>
      </c>
      <c r="AE103" s="315">
        <f t="shared" si="28"/>
        <v>0</v>
      </c>
      <c r="AF103" s="316">
        <f t="shared" si="19"/>
        <v>0</v>
      </c>
      <c r="AG103" s="314">
        <v>1</v>
      </c>
      <c r="AH103" s="314">
        <f t="shared" si="29"/>
        <v>0</v>
      </c>
      <c r="AI103" s="314">
        <f t="shared" si="30"/>
        <v>0</v>
      </c>
      <c r="AJ103" s="317"/>
      <c r="AK103" s="315" t="e">
        <f t="shared" si="31"/>
        <v>#N/A</v>
      </c>
      <c r="AM103" s="553"/>
      <c r="AN103" s="553"/>
      <c r="AO103" s="553"/>
    </row>
    <row r="104" spans="2:41">
      <c r="B104" s="296"/>
      <c r="C104" s="299"/>
      <c r="D104" s="296"/>
      <c r="E104" s="298"/>
      <c r="F104" s="299"/>
      <c r="G104" s="300"/>
      <c r="H104" s="303"/>
      <c r="I104" s="303"/>
      <c r="J104" s="322">
        <f t="shared" si="17"/>
        <v>0</v>
      </c>
      <c r="K104" s="305" t="e">
        <f>IF(F104="MXN",1/HLOOKUP(YEAR(G104)+(MONTH(G104)/100),TC!$5:$37,DAY(G104)+2,FALSE),VLOOKUP(F104,Equivalencia!$5:$23,((MAX(Equivalencia!$3:$3)-YEAR(G104))*14)+MONTH(G104)+2,FALSE))</f>
        <v>#N/A</v>
      </c>
      <c r="L104" s="306" t="e">
        <f t="shared" si="20"/>
        <v>#N/A</v>
      </c>
      <c r="M104" s="305">
        <f>IF(G104=0,0,HLOOKUP(YEAR(G104)+(MONTH(G104)/100),TC!$5:$37,DAY(G104)+2,FALSE))</f>
        <v>0</v>
      </c>
      <c r="N104" s="306" t="e">
        <f t="shared" si="21"/>
        <v>#N/A</v>
      </c>
      <c r="O104" s="308">
        <f>IF(G104=0,0,VLOOKUP(YEAR(G104),INPC!$B$4:$P$30,MONTH(G104)+2))</f>
        <v>0</v>
      </c>
      <c r="P104" s="308">
        <f>IF(W104=0,0,IF(OR(C104=$AQ$5,C104=AQ108),VLOOKUP(YEAR(W104),INPC!$B$4:$P$30,MONTH(W104)+1),VLOOKUP(YEAR(W104),INPC!$B$4:$P$30,MONTH(W104)+2)))</f>
        <v>0</v>
      </c>
      <c r="Q104" s="309">
        <f t="shared" si="22"/>
        <v>0</v>
      </c>
      <c r="R104" s="310" t="e">
        <f t="shared" si="23"/>
        <v>#N/A</v>
      </c>
      <c r="S104" s="310">
        <f t="shared" si="24"/>
        <v>0</v>
      </c>
      <c r="T104" s="559" t="str">
        <f t="shared" si="25"/>
        <v>NO</v>
      </c>
      <c r="U104" s="323"/>
      <c r="V104" s="299"/>
      <c r="W104" s="300"/>
      <c r="X104" s="299"/>
      <c r="Y104" s="303"/>
      <c r="Z104" s="305">
        <f>IF(Y104=0,0,IF(X104="MXN",1/HLOOKUP(YEAR(W104)+(MONTH(W104)/100),TC!$5:$37,DAY(W104)+2,FALSE),VLOOKUP(X104,Equivalencia!$1:$23,((MAX(Equivalencia!$3:$3)-YEAR(W104))*14)+MONTH(W104)+2,FALSE)))</f>
        <v>0</v>
      </c>
      <c r="AA104" s="306">
        <f t="shared" si="26"/>
        <v>0</v>
      </c>
      <c r="AB104" s="305">
        <f>+IF(W104=0,0,HLOOKUP(YEAR(W104)+(MONTH(W104)/100),TC!$5:$37,DAY(W104)+2,FALSE))</f>
        <v>0</v>
      </c>
      <c r="AC104" s="306">
        <f t="shared" si="27"/>
        <v>0</v>
      </c>
      <c r="AD104" s="314">
        <f t="shared" si="18"/>
        <v>0</v>
      </c>
      <c r="AE104" s="315">
        <f t="shared" si="28"/>
        <v>0</v>
      </c>
      <c r="AF104" s="316">
        <f t="shared" si="19"/>
        <v>0</v>
      </c>
      <c r="AG104" s="314">
        <v>1</v>
      </c>
      <c r="AH104" s="314">
        <f t="shared" si="29"/>
        <v>0</v>
      </c>
      <c r="AI104" s="314">
        <f t="shared" si="30"/>
        <v>0</v>
      </c>
      <c r="AJ104" s="317"/>
      <c r="AK104" s="315" t="e">
        <f t="shared" si="31"/>
        <v>#N/A</v>
      </c>
      <c r="AM104" s="553"/>
      <c r="AN104" s="553"/>
      <c r="AO104" s="553"/>
    </row>
    <row r="105" spans="2:41">
      <c r="B105" s="296"/>
      <c r="C105" s="299"/>
      <c r="D105" s="296"/>
      <c r="E105" s="298"/>
      <c r="F105" s="299"/>
      <c r="G105" s="300"/>
      <c r="H105" s="303"/>
      <c r="I105" s="303"/>
      <c r="J105" s="322">
        <f t="shared" si="17"/>
        <v>0</v>
      </c>
      <c r="K105" s="305" t="e">
        <f>IF(F105="MXN",1/HLOOKUP(YEAR(G105)+(MONTH(G105)/100),TC!$5:$37,DAY(G105)+2,FALSE),VLOOKUP(F105,Equivalencia!$5:$23,((MAX(Equivalencia!$3:$3)-YEAR(G105))*14)+MONTH(G105)+2,FALSE))</f>
        <v>#N/A</v>
      </c>
      <c r="L105" s="306" t="e">
        <f t="shared" si="20"/>
        <v>#N/A</v>
      </c>
      <c r="M105" s="305">
        <f>IF(G105=0,0,HLOOKUP(YEAR(G105)+(MONTH(G105)/100),TC!$5:$37,DAY(G105)+2,FALSE))</f>
        <v>0</v>
      </c>
      <c r="N105" s="306" t="e">
        <f t="shared" si="21"/>
        <v>#N/A</v>
      </c>
      <c r="O105" s="308">
        <f>IF(G105=0,0,VLOOKUP(YEAR(G105),INPC!$B$4:$P$30,MONTH(G105)+2))</f>
        <v>0</v>
      </c>
      <c r="P105" s="308">
        <f>IF(W105=0,0,IF(OR(C105=$AQ$5,C105=AQ109),VLOOKUP(YEAR(W105),INPC!$B$4:$P$30,MONTH(W105)+1),VLOOKUP(YEAR(W105),INPC!$B$4:$P$30,MONTH(W105)+2)))</f>
        <v>0</v>
      </c>
      <c r="Q105" s="309">
        <f t="shared" si="22"/>
        <v>0</v>
      </c>
      <c r="R105" s="310" t="e">
        <f t="shared" si="23"/>
        <v>#N/A</v>
      </c>
      <c r="S105" s="310">
        <f t="shared" si="24"/>
        <v>0</v>
      </c>
      <c r="T105" s="559" t="str">
        <f t="shared" si="25"/>
        <v>NO</v>
      </c>
      <c r="U105" s="323"/>
      <c r="V105" s="299"/>
      <c r="W105" s="300"/>
      <c r="X105" s="299"/>
      <c r="Y105" s="303"/>
      <c r="Z105" s="305">
        <f>IF(Y105=0,0,IF(X105="MXN",1/HLOOKUP(YEAR(W105)+(MONTH(W105)/100),TC!$5:$37,DAY(W105)+2,FALSE),VLOOKUP(X105,Equivalencia!$1:$23,((MAX(Equivalencia!$3:$3)-YEAR(W105))*14)+MONTH(W105)+2,FALSE)))</f>
        <v>0</v>
      </c>
      <c r="AA105" s="306">
        <f t="shared" si="26"/>
        <v>0</v>
      </c>
      <c r="AB105" s="305">
        <f>+IF(W105=0,0,HLOOKUP(YEAR(W105)+(MONTH(W105)/100),TC!$5:$37,DAY(W105)+2,FALSE))</f>
        <v>0</v>
      </c>
      <c r="AC105" s="306">
        <f t="shared" si="27"/>
        <v>0</v>
      </c>
      <c r="AD105" s="314">
        <f t="shared" si="18"/>
        <v>0</v>
      </c>
      <c r="AE105" s="315">
        <f t="shared" si="28"/>
        <v>0</v>
      </c>
      <c r="AF105" s="316">
        <f t="shared" si="19"/>
        <v>0</v>
      </c>
      <c r="AG105" s="314">
        <v>1</v>
      </c>
      <c r="AH105" s="314">
        <f t="shared" si="29"/>
        <v>0</v>
      </c>
      <c r="AI105" s="314">
        <f t="shared" si="30"/>
        <v>0</v>
      </c>
      <c r="AJ105" s="317"/>
      <c r="AK105" s="315" t="e">
        <f t="shared" si="31"/>
        <v>#N/A</v>
      </c>
      <c r="AM105" s="553"/>
      <c r="AN105" s="553"/>
      <c r="AO105" s="553"/>
    </row>
    <row r="106" spans="2:41">
      <c r="B106" s="296"/>
      <c r="C106" s="299"/>
      <c r="D106" s="296"/>
      <c r="E106" s="298"/>
      <c r="F106" s="299"/>
      <c r="G106" s="300"/>
      <c r="H106" s="303"/>
      <c r="I106" s="303"/>
      <c r="J106" s="322">
        <f t="shared" si="17"/>
        <v>0</v>
      </c>
      <c r="K106" s="305" t="e">
        <f>IF(F106="MXN",1/HLOOKUP(YEAR(G106)+(MONTH(G106)/100),TC!$5:$37,DAY(G106)+2,FALSE),VLOOKUP(F106,Equivalencia!$5:$23,((MAX(Equivalencia!$3:$3)-YEAR(G106))*14)+MONTH(G106)+2,FALSE))</f>
        <v>#N/A</v>
      </c>
      <c r="L106" s="306" t="e">
        <f t="shared" si="20"/>
        <v>#N/A</v>
      </c>
      <c r="M106" s="305">
        <f>IF(G106=0,0,HLOOKUP(YEAR(G106)+(MONTH(G106)/100),TC!$5:$37,DAY(G106)+2,FALSE))</f>
        <v>0</v>
      </c>
      <c r="N106" s="306" t="e">
        <f t="shared" si="21"/>
        <v>#N/A</v>
      </c>
      <c r="O106" s="308">
        <f>IF(G106=0,0,VLOOKUP(YEAR(G106),INPC!$B$4:$P$30,MONTH(G106)+2))</f>
        <v>0</v>
      </c>
      <c r="P106" s="308">
        <f>IF(W106=0,0,IF(OR(C106=$AQ$5,C106=AQ110),VLOOKUP(YEAR(W106),INPC!$B$4:$P$30,MONTH(W106)+1),VLOOKUP(YEAR(W106),INPC!$B$4:$P$30,MONTH(W106)+2)))</f>
        <v>0</v>
      </c>
      <c r="Q106" s="309">
        <f t="shared" si="22"/>
        <v>0</v>
      </c>
      <c r="R106" s="310" t="e">
        <f t="shared" si="23"/>
        <v>#N/A</v>
      </c>
      <c r="S106" s="310">
        <f t="shared" si="24"/>
        <v>0</v>
      </c>
      <c r="T106" s="559" t="str">
        <f t="shared" si="25"/>
        <v>NO</v>
      </c>
      <c r="U106" s="323"/>
      <c r="V106" s="299"/>
      <c r="W106" s="300"/>
      <c r="X106" s="299"/>
      <c r="Y106" s="303"/>
      <c r="Z106" s="305">
        <f>IF(Y106=0,0,IF(X106="MXN",1/HLOOKUP(YEAR(W106)+(MONTH(W106)/100),TC!$5:$37,DAY(W106)+2,FALSE),VLOOKUP(X106,Equivalencia!$1:$23,((MAX(Equivalencia!$3:$3)-YEAR(W106))*14)+MONTH(W106)+2,FALSE)))</f>
        <v>0</v>
      </c>
      <c r="AA106" s="306">
        <f t="shared" si="26"/>
        <v>0</v>
      </c>
      <c r="AB106" s="305">
        <f>+IF(W106=0,0,HLOOKUP(YEAR(W106)+(MONTH(W106)/100),TC!$5:$37,DAY(W106)+2,FALSE))</f>
        <v>0</v>
      </c>
      <c r="AC106" s="306">
        <f t="shared" si="27"/>
        <v>0</v>
      </c>
      <c r="AD106" s="314">
        <f t="shared" si="18"/>
        <v>0</v>
      </c>
      <c r="AE106" s="315">
        <f t="shared" si="28"/>
        <v>0</v>
      </c>
      <c r="AF106" s="316">
        <f t="shared" si="19"/>
        <v>0</v>
      </c>
      <c r="AG106" s="314">
        <v>1</v>
      </c>
      <c r="AH106" s="314">
        <f t="shared" si="29"/>
        <v>0</v>
      </c>
      <c r="AI106" s="314">
        <f t="shared" si="30"/>
        <v>0</v>
      </c>
      <c r="AJ106" s="317"/>
      <c r="AK106" s="315" t="e">
        <f t="shared" si="31"/>
        <v>#N/A</v>
      </c>
      <c r="AM106" s="553"/>
      <c r="AN106" s="553"/>
      <c r="AO106" s="553"/>
    </row>
    <row r="107" spans="2:41">
      <c r="B107" s="296"/>
      <c r="C107" s="299"/>
      <c r="D107" s="296"/>
      <c r="E107" s="298"/>
      <c r="F107" s="299"/>
      <c r="G107" s="300"/>
      <c r="H107" s="303"/>
      <c r="I107" s="303"/>
      <c r="J107" s="322">
        <f t="shared" si="17"/>
        <v>0</v>
      </c>
      <c r="K107" s="305" t="e">
        <f>IF(F107="MXN",1/HLOOKUP(YEAR(G107)+(MONTH(G107)/100),TC!$5:$37,DAY(G107)+2,FALSE),VLOOKUP(F107,Equivalencia!$5:$23,((MAX(Equivalencia!$3:$3)-YEAR(G107))*14)+MONTH(G107)+2,FALSE))</f>
        <v>#N/A</v>
      </c>
      <c r="L107" s="306" t="e">
        <f t="shared" si="20"/>
        <v>#N/A</v>
      </c>
      <c r="M107" s="305">
        <f>IF(G107=0,0,HLOOKUP(YEAR(G107)+(MONTH(G107)/100),TC!$5:$37,DAY(G107)+2,FALSE))</f>
        <v>0</v>
      </c>
      <c r="N107" s="306" t="e">
        <f t="shared" si="21"/>
        <v>#N/A</v>
      </c>
      <c r="O107" s="308">
        <f>IF(G107=0,0,VLOOKUP(YEAR(G107),INPC!$B$4:$P$30,MONTH(G107)+2))</f>
        <v>0</v>
      </c>
      <c r="P107" s="308">
        <f>IF(W107=0,0,IF(OR(C107=$AQ$5,C107=AQ111),VLOOKUP(YEAR(W107),INPC!$B$4:$P$30,MONTH(W107)+1),VLOOKUP(YEAR(W107),INPC!$B$4:$P$30,MONTH(W107)+2)))</f>
        <v>0</v>
      </c>
      <c r="Q107" s="309">
        <f t="shared" si="22"/>
        <v>0</v>
      </c>
      <c r="R107" s="310" t="e">
        <f t="shared" si="23"/>
        <v>#N/A</v>
      </c>
      <c r="S107" s="310">
        <f t="shared" si="24"/>
        <v>0</v>
      </c>
      <c r="T107" s="559" t="str">
        <f t="shared" si="25"/>
        <v>NO</v>
      </c>
      <c r="U107" s="323"/>
      <c r="V107" s="299"/>
      <c r="W107" s="300"/>
      <c r="X107" s="299"/>
      <c r="Y107" s="303"/>
      <c r="Z107" s="305">
        <f>IF(Y107=0,0,IF(X107="MXN",1/HLOOKUP(YEAR(W107)+(MONTH(W107)/100),TC!$5:$37,DAY(W107)+2,FALSE),VLOOKUP(X107,Equivalencia!$1:$23,((MAX(Equivalencia!$3:$3)-YEAR(W107))*14)+MONTH(W107)+2,FALSE)))</f>
        <v>0</v>
      </c>
      <c r="AA107" s="306">
        <f t="shared" si="26"/>
        <v>0</v>
      </c>
      <c r="AB107" s="305">
        <f>+IF(W107=0,0,HLOOKUP(YEAR(W107)+(MONTH(W107)/100),TC!$5:$37,DAY(W107)+2,FALSE))</f>
        <v>0</v>
      </c>
      <c r="AC107" s="306">
        <f t="shared" si="27"/>
        <v>0</v>
      </c>
      <c r="AD107" s="314">
        <f t="shared" si="18"/>
        <v>0</v>
      </c>
      <c r="AE107" s="315">
        <f t="shared" si="28"/>
        <v>0</v>
      </c>
      <c r="AF107" s="316">
        <f t="shared" si="19"/>
        <v>0</v>
      </c>
      <c r="AG107" s="314">
        <v>1</v>
      </c>
      <c r="AH107" s="314">
        <f t="shared" si="29"/>
        <v>0</v>
      </c>
      <c r="AI107" s="314">
        <f t="shared" si="30"/>
        <v>0</v>
      </c>
      <c r="AJ107" s="317"/>
      <c r="AK107" s="315" t="e">
        <f t="shared" si="31"/>
        <v>#N/A</v>
      </c>
      <c r="AM107" s="553"/>
      <c r="AN107" s="553"/>
      <c r="AO107" s="553"/>
    </row>
    <row r="108" spans="2:41">
      <c r="B108" s="296"/>
      <c r="C108" s="299"/>
      <c r="D108" s="296"/>
      <c r="E108" s="298"/>
      <c r="F108" s="299"/>
      <c r="G108" s="300"/>
      <c r="H108" s="303"/>
      <c r="I108" s="303"/>
      <c r="J108" s="322">
        <f t="shared" si="17"/>
        <v>0</v>
      </c>
      <c r="K108" s="305" t="e">
        <f>IF(F108="MXN",1/HLOOKUP(YEAR(G108)+(MONTH(G108)/100),TC!$5:$37,DAY(G108)+2,FALSE),VLOOKUP(F108,Equivalencia!$5:$23,((MAX(Equivalencia!$3:$3)-YEAR(G108))*14)+MONTH(G108)+2,FALSE))</f>
        <v>#N/A</v>
      </c>
      <c r="L108" s="306" t="e">
        <f t="shared" si="20"/>
        <v>#N/A</v>
      </c>
      <c r="M108" s="305">
        <f>IF(G108=0,0,HLOOKUP(YEAR(G108)+(MONTH(G108)/100),TC!$5:$37,DAY(G108)+2,FALSE))</f>
        <v>0</v>
      </c>
      <c r="N108" s="306" t="e">
        <f t="shared" si="21"/>
        <v>#N/A</v>
      </c>
      <c r="O108" s="308">
        <f>IF(G108=0,0,VLOOKUP(YEAR(G108),INPC!$B$4:$P$30,MONTH(G108)+2))</f>
        <v>0</v>
      </c>
      <c r="P108" s="308">
        <f>IF(W108=0,0,IF(OR(C108=$AQ$5,C108=AQ112),VLOOKUP(YEAR(W108),INPC!$B$4:$P$30,MONTH(W108)+1),VLOOKUP(YEAR(W108),INPC!$B$4:$P$30,MONTH(W108)+2)))</f>
        <v>0</v>
      </c>
      <c r="Q108" s="309">
        <f t="shared" si="22"/>
        <v>0</v>
      </c>
      <c r="R108" s="310" t="e">
        <f t="shared" si="23"/>
        <v>#N/A</v>
      </c>
      <c r="S108" s="310">
        <f t="shared" si="24"/>
        <v>0</v>
      </c>
      <c r="T108" s="559" t="str">
        <f t="shared" si="25"/>
        <v>NO</v>
      </c>
      <c r="U108" s="323"/>
      <c r="V108" s="299"/>
      <c r="W108" s="300"/>
      <c r="X108" s="299"/>
      <c r="Y108" s="303"/>
      <c r="Z108" s="305">
        <f>IF(Y108=0,0,IF(X108="MXN",1/HLOOKUP(YEAR(W108)+(MONTH(W108)/100),TC!$5:$37,DAY(W108)+2,FALSE),VLOOKUP(X108,Equivalencia!$1:$23,((MAX(Equivalencia!$3:$3)-YEAR(W108))*14)+MONTH(W108)+2,FALSE)))</f>
        <v>0</v>
      </c>
      <c r="AA108" s="306">
        <f t="shared" si="26"/>
        <v>0</v>
      </c>
      <c r="AB108" s="305">
        <f>+IF(W108=0,0,HLOOKUP(YEAR(W108)+(MONTH(W108)/100),TC!$5:$37,DAY(W108)+2,FALSE))</f>
        <v>0</v>
      </c>
      <c r="AC108" s="306">
        <f t="shared" si="27"/>
        <v>0</v>
      </c>
      <c r="AD108" s="314">
        <f t="shared" si="18"/>
        <v>0</v>
      </c>
      <c r="AE108" s="315">
        <f t="shared" si="28"/>
        <v>0</v>
      </c>
      <c r="AF108" s="316">
        <f t="shared" si="19"/>
        <v>0</v>
      </c>
      <c r="AG108" s="314">
        <v>1</v>
      </c>
      <c r="AH108" s="314">
        <f t="shared" si="29"/>
        <v>0</v>
      </c>
      <c r="AI108" s="314">
        <f t="shared" si="30"/>
        <v>0</v>
      </c>
      <c r="AJ108" s="317"/>
      <c r="AK108" s="315" t="e">
        <f t="shared" si="31"/>
        <v>#N/A</v>
      </c>
      <c r="AM108" s="553"/>
      <c r="AN108" s="553"/>
      <c r="AO108" s="553"/>
    </row>
    <row r="109" spans="2:41">
      <c r="B109" s="296"/>
      <c r="C109" s="299"/>
      <c r="D109" s="296"/>
      <c r="E109" s="298"/>
      <c r="F109" s="299"/>
      <c r="G109" s="300"/>
      <c r="H109" s="303"/>
      <c r="I109" s="303"/>
      <c r="J109" s="322">
        <f t="shared" si="17"/>
        <v>0</v>
      </c>
      <c r="K109" s="305" t="e">
        <f>IF(F109="MXN",1/HLOOKUP(YEAR(G109)+(MONTH(G109)/100),TC!$5:$37,DAY(G109)+2,FALSE),VLOOKUP(F109,Equivalencia!$5:$23,((MAX(Equivalencia!$3:$3)-YEAR(G109))*14)+MONTH(G109)+2,FALSE))</f>
        <v>#N/A</v>
      </c>
      <c r="L109" s="306" t="e">
        <f t="shared" si="20"/>
        <v>#N/A</v>
      </c>
      <c r="M109" s="305">
        <f>IF(G109=0,0,HLOOKUP(YEAR(G109)+(MONTH(G109)/100),TC!$5:$37,DAY(G109)+2,FALSE))</f>
        <v>0</v>
      </c>
      <c r="N109" s="306" t="e">
        <f t="shared" si="21"/>
        <v>#N/A</v>
      </c>
      <c r="O109" s="308">
        <f>IF(G109=0,0,VLOOKUP(YEAR(G109),INPC!$B$4:$P$30,MONTH(G109)+2))</f>
        <v>0</v>
      </c>
      <c r="P109" s="308">
        <f>IF(W109=0,0,IF(OR(C109=$AQ$5,C109=AQ113),VLOOKUP(YEAR(W109),INPC!$B$4:$P$30,MONTH(W109)+1),VLOOKUP(YEAR(W109),INPC!$B$4:$P$30,MONTH(W109)+2)))</f>
        <v>0</v>
      </c>
      <c r="Q109" s="309">
        <f t="shared" si="22"/>
        <v>0</v>
      </c>
      <c r="R109" s="310" t="e">
        <f t="shared" si="23"/>
        <v>#N/A</v>
      </c>
      <c r="S109" s="310">
        <f t="shared" si="24"/>
        <v>0</v>
      </c>
      <c r="T109" s="559" t="str">
        <f t="shared" si="25"/>
        <v>NO</v>
      </c>
      <c r="U109" s="323"/>
      <c r="V109" s="299"/>
      <c r="W109" s="300"/>
      <c r="X109" s="299"/>
      <c r="Y109" s="303"/>
      <c r="Z109" s="305">
        <f>IF(Y109=0,0,IF(X109="MXN",1/HLOOKUP(YEAR(W109)+(MONTH(W109)/100),TC!$5:$37,DAY(W109)+2,FALSE),VLOOKUP(X109,Equivalencia!$1:$23,((MAX(Equivalencia!$3:$3)-YEAR(W109))*14)+MONTH(W109)+2,FALSE)))</f>
        <v>0</v>
      </c>
      <c r="AA109" s="306">
        <f t="shared" si="26"/>
        <v>0</v>
      </c>
      <c r="AB109" s="305">
        <f>+IF(W109=0,0,HLOOKUP(YEAR(W109)+(MONTH(W109)/100),TC!$5:$37,DAY(W109)+2,FALSE))</f>
        <v>0</v>
      </c>
      <c r="AC109" s="306">
        <f t="shared" si="27"/>
        <v>0</v>
      </c>
      <c r="AD109" s="314">
        <f t="shared" si="18"/>
        <v>0</v>
      </c>
      <c r="AE109" s="315">
        <f t="shared" si="28"/>
        <v>0</v>
      </c>
      <c r="AF109" s="316">
        <f t="shared" si="19"/>
        <v>0</v>
      </c>
      <c r="AG109" s="314">
        <v>1</v>
      </c>
      <c r="AH109" s="314">
        <f t="shared" si="29"/>
        <v>0</v>
      </c>
      <c r="AI109" s="314">
        <f t="shared" si="30"/>
        <v>0</v>
      </c>
      <c r="AJ109" s="317"/>
      <c r="AK109" s="315" t="e">
        <f t="shared" si="31"/>
        <v>#N/A</v>
      </c>
      <c r="AM109" s="553"/>
      <c r="AN109" s="553"/>
      <c r="AO109" s="553"/>
    </row>
    <row r="110" spans="2:41">
      <c r="B110" s="296"/>
      <c r="C110" s="299"/>
      <c r="D110" s="296"/>
      <c r="E110" s="298"/>
      <c r="F110" s="299"/>
      <c r="G110" s="300"/>
      <c r="H110" s="303"/>
      <c r="I110" s="303"/>
      <c r="J110" s="322">
        <f t="shared" si="17"/>
        <v>0</v>
      </c>
      <c r="K110" s="305" t="e">
        <f>IF(F110="MXN",1/HLOOKUP(YEAR(G110)+(MONTH(G110)/100),TC!$5:$37,DAY(G110)+2,FALSE),VLOOKUP(F110,Equivalencia!$5:$23,((MAX(Equivalencia!$3:$3)-YEAR(G110))*14)+MONTH(G110)+2,FALSE))</f>
        <v>#N/A</v>
      </c>
      <c r="L110" s="306" t="e">
        <f t="shared" si="20"/>
        <v>#N/A</v>
      </c>
      <c r="M110" s="305">
        <f>IF(G110=0,0,HLOOKUP(YEAR(G110)+(MONTH(G110)/100),TC!$5:$37,DAY(G110)+2,FALSE))</f>
        <v>0</v>
      </c>
      <c r="N110" s="306" t="e">
        <f t="shared" si="21"/>
        <v>#N/A</v>
      </c>
      <c r="O110" s="308">
        <f>IF(G110=0,0,VLOOKUP(YEAR(G110),INPC!$B$4:$P$30,MONTH(G110)+2))</f>
        <v>0</v>
      </c>
      <c r="P110" s="308">
        <f>IF(W110=0,0,IF(OR(C110=$AQ$5,C110=AQ114),VLOOKUP(YEAR(W110),INPC!$B$4:$P$30,MONTH(W110)+1),VLOOKUP(YEAR(W110),INPC!$B$4:$P$30,MONTH(W110)+2)))</f>
        <v>0</v>
      </c>
      <c r="Q110" s="309">
        <f t="shared" si="22"/>
        <v>0</v>
      </c>
      <c r="R110" s="310" t="e">
        <f t="shared" si="23"/>
        <v>#N/A</v>
      </c>
      <c r="S110" s="310">
        <f t="shared" si="24"/>
        <v>0</v>
      </c>
      <c r="T110" s="559" t="str">
        <f t="shared" si="25"/>
        <v>NO</v>
      </c>
      <c r="U110" s="323"/>
      <c r="V110" s="299"/>
      <c r="W110" s="300"/>
      <c r="X110" s="299"/>
      <c r="Y110" s="303"/>
      <c r="Z110" s="305">
        <f>IF(Y110=0,0,IF(X110="MXN",1/HLOOKUP(YEAR(W110)+(MONTH(W110)/100),TC!$5:$37,DAY(W110)+2,FALSE),VLOOKUP(X110,Equivalencia!$1:$23,((MAX(Equivalencia!$3:$3)-YEAR(W110))*14)+MONTH(W110)+2,FALSE)))</f>
        <v>0</v>
      </c>
      <c r="AA110" s="306">
        <f t="shared" si="26"/>
        <v>0</v>
      </c>
      <c r="AB110" s="305">
        <f>+IF(W110=0,0,HLOOKUP(YEAR(W110)+(MONTH(W110)/100),TC!$5:$37,DAY(W110)+2,FALSE))</f>
        <v>0</v>
      </c>
      <c r="AC110" s="306">
        <f t="shared" si="27"/>
        <v>0</v>
      </c>
      <c r="AD110" s="314">
        <f t="shared" si="18"/>
        <v>0</v>
      </c>
      <c r="AE110" s="315">
        <f t="shared" si="28"/>
        <v>0</v>
      </c>
      <c r="AF110" s="316">
        <f t="shared" si="19"/>
        <v>0</v>
      </c>
      <c r="AG110" s="314">
        <v>1</v>
      </c>
      <c r="AH110" s="314">
        <f t="shared" si="29"/>
        <v>0</v>
      </c>
      <c r="AI110" s="314">
        <f t="shared" si="30"/>
        <v>0</v>
      </c>
      <c r="AJ110" s="317"/>
      <c r="AK110" s="315" t="e">
        <f t="shared" si="31"/>
        <v>#N/A</v>
      </c>
      <c r="AM110" s="553"/>
      <c r="AN110" s="553"/>
      <c r="AO110" s="553"/>
    </row>
    <row r="111" spans="2:41">
      <c r="B111" s="296"/>
      <c r="C111" s="299"/>
      <c r="D111" s="296"/>
      <c r="E111" s="298"/>
      <c r="F111" s="299"/>
      <c r="G111" s="300"/>
      <c r="H111" s="303"/>
      <c r="I111" s="303"/>
      <c r="J111" s="322">
        <f t="shared" si="17"/>
        <v>0</v>
      </c>
      <c r="K111" s="305" t="e">
        <f>IF(F111="MXN",1/HLOOKUP(YEAR(G111)+(MONTH(G111)/100),TC!$5:$37,DAY(G111)+2,FALSE),VLOOKUP(F111,Equivalencia!$5:$23,((MAX(Equivalencia!$3:$3)-YEAR(G111))*14)+MONTH(G111)+2,FALSE))</f>
        <v>#N/A</v>
      </c>
      <c r="L111" s="306" t="e">
        <f t="shared" si="20"/>
        <v>#N/A</v>
      </c>
      <c r="M111" s="305">
        <f>IF(G111=0,0,HLOOKUP(YEAR(G111)+(MONTH(G111)/100),TC!$5:$37,DAY(G111)+2,FALSE))</f>
        <v>0</v>
      </c>
      <c r="N111" s="306" t="e">
        <f t="shared" si="21"/>
        <v>#N/A</v>
      </c>
      <c r="O111" s="308">
        <f>IF(G111=0,0,VLOOKUP(YEAR(G111),INPC!$B$4:$P$30,MONTH(G111)+2))</f>
        <v>0</v>
      </c>
      <c r="P111" s="308">
        <f>IF(W111=0,0,IF(OR(C111=$AQ$5,C111=AQ115),VLOOKUP(YEAR(W111),INPC!$B$4:$P$30,MONTH(W111)+1),VLOOKUP(YEAR(W111),INPC!$B$4:$P$30,MONTH(W111)+2)))</f>
        <v>0</v>
      </c>
      <c r="Q111" s="309">
        <f t="shared" si="22"/>
        <v>0</v>
      </c>
      <c r="R111" s="310" t="e">
        <f t="shared" si="23"/>
        <v>#N/A</v>
      </c>
      <c r="S111" s="310">
        <f t="shared" si="24"/>
        <v>0</v>
      </c>
      <c r="T111" s="559" t="str">
        <f t="shared" si="25"/>
        <v>NO</v>
      </c>
      <c r="U111" s="323"/>
      <c r="V111" s="299"/>
      <c r="W111" s="300"/>
      <c r="X111" s="299"/>
      <c r="Y111" s="303"/>
      <c r="Z111" s="305">
        <f>IF(Y111=0,0,IF(X111="MXN",1/HLOOKUP(YEAR(W111)+(MONTH(W111)/100),TC!$5:$37,DAY(W111)+2,FALSE),VLOOKUP(X111,Equivalencia!$1:$23,((MAX(Equivalencia!$3:$3)-YEAR(W111))*14)+MONTH(W111)+2,FALSE)))</f>
        <v>0</v>
      </c>
      <c r="AA111" s="306">
        <f t="shared" si="26"/>
        <v>0</v>
      </c>
      <c r="AB111" s="305">
        <f>+IF(W111=0,0,HLOOKUP(YEAR(W111)+(MONTH(W111)/100),TC!$5:$37,DAY(W111)+2,FALSE))</f>
        <v>0</v>
      </c>
      <c r="AC111" s="306">
        <f t="shared" si="27"/>
        <v>0</v>
      </c>
      <c r="AD111" s="314">
        <f t="shared" si="18"/>
        <v>0</v>
      </c>
      <c r="AE111" s="315">
        <f t="shared" si="28"/>
        <v>0</v>
      </c>
      <c r="AF111" s="316">
        <f t="shared" si="19"/>
        <v>0</v>
      </c>
      <c r="AG111" s="314">
        <v>1</v>
      </c>
      <c r="AH111" s="314">
        <f t="shared" si="29"/>
        <v>0</v>
      </c>
      <c r="AI111" s="314">
        <f t="shared" si="30"/>
        <v>0</v>
      </c>
      <c r="AJ111" s="317"/>
      <c r="AK111" s="315" t="e">
        <f t="shared" si="31"/>
        <v>#N/A</v>
      </c>
      <c r="AM111" s="553"/>
      <c r="AN111" s="553"/>
      <c r="AO111" s="553"/>
    </row>
    <row r="112" spans="2:41">
      <c r="B112" s="296"/>
      <c r="C112" s="299"/>
      <c r="D112" s="296"/>
      <c r="E112" s="298"/>
      <c r="F112" s="299"/>
      <c r="G112" s="300"/>
      <c r="H112" s="303"/>
      <c r="I112" s="303"/>
      <c r="J112" s="322">
        <f t="shared" si="17"/>
        <v>0</v>
      </c>
      <c r="K112" s="305" t="e">
        <f>IF(F112="MXN",1/HLOOKUP(YEAR(G112)+(MONTH(G112)/100),TC!$5:$37,DAY(G112)+2,FALSE),VLOOKUP(F112,Equivalencia!$5:$23,((MAX(Equivalencia!$3:$3)-YEAR(G112))*14)+MONTH(G112)+2,FALSE))</f>
        <v>#N/A</v>
      </c>
      <c r="L112" s="306" t="e">
        <f t="shared" si="20"/>
        <v>#N/A</v>
      </c>
      <c r="M112" s="305">
        <f>IF(G112=0,0,HLOOKUP(YEAR(G112)+(MONTH(G112)/100),TC!$5:$37,DAY(G112)+2,FALSE))</f>
        <v>0</v>
      </c>
      <c r="N112" s="306" t="e">
        <f t="shared" si="21"/>
        <v>#N/A</v>
      </c>
      <c r="O112" s="308">
        <f>IF(G112=0,0,VLOOKUP(YEAR(G112),INPC!$B$4:$P$30,MONTH(G112)+2))</f>
        <v>0</v>
      </c>
      <c r="P112" s="308">
        <f>IF(W112=0,0,IF(OR(C112=$AQ$5,C112=AQ116),VLOOKUP(YEAR(W112),INPC!$B$4:$P$30,MONTH(W112)+1),VLOOKUP(YEAR(W112),INPC!$B$4:$P$30,MONTH(W112)+2)))</f>
        <v>0</v>
      </c>
      <c r="Q112" s="309">
        <f t="shared" si="22"/>
        <v>0</v>
      </c>
      <c r="R112" s="310" t="e">
        <f t="shared" si="23"/>
        <v>#N/A</v>
      </c>
      <c r="S112" s="310">
        <f t="shared" si="24"/>
        <v>0</v>
      </c>
      <c r="T112" s="559" t="str">
        <f t="shared" si="25"/>
        <v>NO</v>
      </c>
      <c r="U112" s="323"/>
      <c r="V112" s="299"/>
      <c r="W112" s="300"/>
      <c r="X112" s="299"/>
      <c r="Y112" s="303"/>
      <c r="Z112" s="305">
        <f>IF(Y112=0,0,IF(X112="MXN",1/HLOOKUP(YEAR(W112)+(MONTH(W112)/100),TC!$5:$37,DAY(W112)+2,FALSE),VLOOKUP(X112,Equivalencia!$1:$23,((MAX(Equivalencia!$3:$3)-YEAR(W112))*14)+MONTH(W112)+2,FALSE)))</f>
        <v>0</v>
      </c>
      <c r="AA112" s="306">
        <f t="shared" si="26"/>
        <v>0</v>
      </c>
      <c r="AB112" s="305">
        <f>+IF(W112=0,0,HLOOKUP(YEAR(W112)+(MONTH(W112)/100),TC!$5:$37,DAY(W112)+2,FALSE))</f>
        <v>0</v>
      </c>
      <c r="AC112" s="306">
        <f t="shared" si="27"/>
        <v>0</v>
      </c>
      <c r="AD112" s="314">
        <f t="shared" si="18"/>
        <v>0</v>
      </c>
      <c r="AE112" s="315">
        <f t="shared" si="28"/>
        <v>0</v>
      </c>
      <c r="AF112" s="316">
        <f t="shared" si="19"/>
        <v>0</v>
      </c>
      <c r="AG112" s="314">
        <v>1</v>
      </c>
      <c r="AH112" s="314">
        <f t="shared" si="29"/>
        <v>0</v>
      </c>
      <c r="AI112" s="314">
        <f t="shared" si="30"/>
        <v>0</v>
      </c>
      <c r="AJ112" s="317"/>
      <c r="AK112" s="315" t="e">
        <f t="shared" si="31"/>
        <v>#N/A</v>
      </c>
      <c r="AM112" s="553"/>
      <c r="AN112" s="553"/>
      <c r="AO112" s="553"/>
    </row>
    <row r="113" spans="2:41">
      <c r="B113" s="296"/>
      <c r="C113" s="299"/>
      <c r="D113" s="296"/>
      <c r="E113" s="298"/>
      <c r="F113" s="299"/>
      <c r="G113" s="300"/>
      <c r="H113" s="303"/>
      <c r="I113" s="303"/>
      <c r="J113" s="322">
        <f t="shared" si="17"/>
        <v>0</v>
      </c>
      <c r="K113" s="305" t="e">
        <f>IF(F113="MXN",1/HLOOKUP(YEAR(G113)+(MONTH(G113)/100),TC!$5:$37,DAY(G113)+2,FALSE),VLOOKUP(F113,Equivalencia!$5:$23,((MAX(Equivalencia!$3:$3)-YEAR(G113))*14)+MONTH(G113)+2,FALSE))</f>
        <v>#N/A</v>
      </c>
      <c r="L113" s="306" t="e">
        <f t="shared" si="20"/>
        <v>#N/A</v>
      </c>
      <c r="M113" s="305">
        <f>IF(G113=0,0,HLOOKUP(YEAR(G113)+(MONTH(G113)/100),TC!$5:$37,DAY(G113)+2,FALSE))</f>
        <v>0</v>
      </c>
      <c r="N113" s="306" t="e">
        <f t="shared" si="21"/>
        <v>#N/A</v>
      </c>
      <c r="O113" s="308">
        <f>IF(G113=0,0,VLOOKUP(YEAR(G113),INPC!$B$4:$P$30,MONTH(G113)+2))</f>
        <v>0</v>
      </c>
      <c r="P113" s="308">
        <f>IF(W113=0,0,IF(OR(C113=$AQ$5,C113=AQ117),VLOOKUP(YEAR(W113),INPC!$B$4:$P$30,MONTH(W113)+1),VLOOKUP(YEAR(W113),INPC!$B$4:$P$30,MONTH(W113)+2)))</f>
        <v>0</v>
      </c>
      <c r="Q113" s="309">
        <f t="shared" si="22"/>
        <v>0</v>
      </c>
      <c r="R113" s="310" t="e">
        <f t="shared" si="23"/>
        <v>#N/A</v>
      </c>
      <c r="S113" s="310">
        <f t="shared" si="24"/>
        <v>0</v>
      </c>
      <c r="T113" s="559" t="str">
        <f t="shared" si="25"/>
        <v>NO</v>
      </c>
      <c r="U113" s="323"/>
      <c r="V113" s="299"/>
      <c r="W113" s="300"/>
      <c r="X113" s="299"/>
      <c r="Y113" s="303"/>
      <c r="Z113" s="305">
        <f>IF(Y113=0,0,IF(X113="MXN",1/HLOOKUP(YEAR(W113)+(MONTH(W113)/100),TC!$5:$37,DAY(W113)+2,FALSE),VLOOKUP(X113,Equivalencia!$1:$23,((MAX(Equivalencia!$3:$3)-YEAR(W113))*14)+MONTH(W113)+2,FALSE)))</f>
        <v>0</v>
      </c>
      <c r="AA113" s="306">
        <f t="shared" si="26"/>
        <v>0</v>
      </c>
      <c r="AB113" s="305">
        <f>+IF(W113=0,0,HLOOKUP(YEAR(W113)+(MONTH(W113)/100),TC!$5:$37,DAY(W113)+2,FALSE))</f>
        <v>0</v>
      </c>
      <c r="AC113" s="306">
        <f t="shared" si="27"/>
        <v>0</v>
      </c>
      <c r="AD113" s="314">
        <f t="shared" si="18"/>
        <v>0</v>
      </c>
      <c r="AE113" s="315">
        <f t="shared" si="28"/>
        <v>0</v>
      </c>
      <c r="AF113" s="316">
        <f t="shared" si="19"/>
        <v>0</v>
      </c>
      <c r="AG113" s="314">
        <v>1</v>
      </c>
      <c r="AH113" s="314">
        <f t="shared" si="29"/>
        <v>0</v>
      </c>
      <c r="AI113" s="314">
        <f t="shared" si="30"/>
        <v>0</v>
      </c>
      <c r="AJ113" s="317"/>
      <c r="AK113" s="315" t="e">
        <f t="shared" si="31"/>
        <v>#N/A</v>
      </c>
      <c r="AM113" s="553"/>
      <c r="AN113" s="553"/>
      <c r="AO113" s="553"/>
    </row>
    <row r="114" spans="2:41">
      <c r="B114" s="296"/>
      <c r="C114" s="299"/>
      <c r="D114" s="296"/>
      <c r="E114" s="298"/>
      <c r="F114" s="299"/>
      <c r="G114" s="300"/>
      <c r="H114" s="303"/>
      <c r="I114" s="303"/>
      <c r="J114" s="322">
        <f t="shared" si="17"/>
        <v>0</v>
      </c>
      <c r="K114" s="305" t="e">
        <f>IF(F114="MXN",1/HLOOKUP(YEAR(G114)+(MONTH(G114)/100),TC!$5:$37,DAY(G114)+2,FALSE),VLOOKUP(F114,Equivalencia!$5:$23,((MAX(Equivalencia!$3:$3)-YEAR(G114))*14)+MONTH(G114)+2,FALSE))</f>
        <v>#N/A</v>
      </c>
      <c r="L114" s="306" t="e">
        <f t="shared" si="20"/>
        <v>#N/A</v>
      </c>
      <c r="M114" s="305">
        <f>IF(G114=0,0,HLOOKUP(YEAR(G114)+(MONTH(G114)/100),TC!$5:$37,DAY(G114)+2,FALSE))</f>
        <v>0</v>
      </c>
      <c r="N114" s="306" t="e">
        <f t="shared" si="21"/>
        <v>#N/A</v>
      </c>
      <c r="O114" s="308">
        <f>IF(G114=0,0,VLOOKUP(YEAR(G114),INPC!$B$4:$P$30,MONTH(G114)+2))</f>
        <v>0</v>
      </c>
      <c r="P114" s="308">
        <f>IF(W114=0,0,IF(OR(C114=$AQ$5,C114=AQ118),VLOOKUP(YEAR(W114),INPC!$B$4:$P$30,MONTH(W114)+1),VLOOKUP(YEAR(W114),INPC!$B$4:$P$30,MONTH(W114)+2)))</f>
        <v>0</v>
      </c>
      <c r="Q114" s="309">
        <f t="shared" si="22"/>
        <v>0</v>
      </c>
      <c r="R114" s="310" t="e">
        <f t="shared" si="23"/>
        <v>#N/A</v>
      </c>
      <c r="S114" s="310">
        <f t="shared" si="24"/>
        <v>0</v>
      </c>
      <c r="T114" s="559" t="str">
        <f t="shared" si="25"/>
        <v>NO</v>
      </c>
      <c r="U114" s="323"/>
      <c r="V114" s="299"/>
      <c r="W114" s="300"/>
      <c r="X114" s="299"/>
      <c r="Y114" s="303"/>
      <c r="Z114" s="305">
        <f>IF(Y114=0,0,IF(X114="MXN",1/HLOOKUP(YEAR(W114)+(MONTH(W114)/100),TC!$5:$37,DAY(W114)+2,FALSE),VLOOKUP(X114,Equivalencia!$1:$23,((MAX(Equivalencia!$3:$3)-YEAR(W114))*14)+MONTH(W114)+2,FALSE)))</f>
        <v>0</v>
      </c>
      <c r="AA114" s="306">
        <f t="shared" si="26"/>
        <v>0</v>
      </c>
      <c r="AB114" s="305">
        <f>+IF(W114=0,0,HLOOKUP(YEAR(W114)+(MONTH(W114)/100),TC!$5:$37,DAY(W114)+2,FALSE))</f>
        <v>0</v>
      </c>
      <c r="AC114" s="306">
        <f t="shared" si="27"/>
        <v>0</v>
      </c>
      <c r="AD114" s="314">
        <f t="shared" si="18"/>
        <v>0</v>
      </c>
      <c r="AE114" s="315">
        <f t="shared" si="28"/>
        <v>0</v>
      </c>
      <c r="AF114" s="316">
        <f t="shared" si="19"/>
        <v>0</v>
      </c>
      <c r="AG114" s="314">
        <v>1</v>
      </c>
      <c r="AH114" s="314">
        <f t="shared" si="29"/>
        <v>0</v>
      </c>
      <c r="AI114" s="314">
        <f t="shared" si="30"/>
        <v>0</v>
      </c>
      <c r="AJ114" s="317"/>
      <c r="AK114" s="315" t="e">
        <f t="shared" si="31"/>
        <v>#N/A</v>
      </c>
      <c r="AM114" s="553"/>
      <c r="AN114" s="553"/>
      <c r="AO114" s="553"/>
    </row>
    <row r="115" spans="2:41">
      <c r="B115" s="296"/>
      <c r="C115" s="299"/>
      <c r="D115" s="296"/>
      <c r="E115" s="298"/>
      <c r="F115" s="299"/>
      <c r="G115" s="300"/>
      <c r="H115" s="303"/>
      <c r="I115" s="303"/>
      <c r="J115" s="322">
        <f t="shared" si="17"/>
        <v>0</v>
      </c>
      <c r="K115" s="305" t="e">
        <f>IF(F115="MXN",1/HLOOKUP(YEAR(G115)+(MONTH(G115)/100),TC!$5:$37,DAY(G115)+2,FALSE),VLOOKUP(F115,Equivalencia!$5:$23,((MAX(Equivalencia!$3:$3)-YEAR(G115))*14)+MONTH(G115)+2,FALSE))</f>
        <v>#N/A</v>
      </c>
      <c r="L115" s="306" t="e">
        <f t="shared" si="20"/>
        <v>#N/A</v>
      </c>
      <c r="M115" s="305">
        <f>IF(G115=0,0,HLOOKUP(YEAR(G115)+(MONTH(G115)/100),TC!$5:$37,DAY(G115)+2,FALSE))</f>
        <v>0</v>
      </c>
      <c r="N115" s="306" t="e">
        <f t="shared" si="21"/>
        <v>#N/A</v>
      </c>
      <c r="O115" s="308">
        <f>IF(G115=0,0,VLOOKUP(YEAR(G115),INPC!$B$4:$P$30,MONTH(G115)+2))</f>
        <v>0</v>
      </c>
      <c r="P115" s="308">
        <f>IF(W115=0,0,IF(OR(C115=$AQ$5,C115=AQ119),VLOOKUP(YEAR(W115),INPC!$B$4:$P$30,MONTH(W115)+1),VLOOKUP(YEAR(W115),INPC!$B$4:$P$30,MONTH(W115)+2)))</f>
        <v>0</v>
      </c>
      <c r="Q115" s="309">
        <f t="shared" si="22"/>
        <v>0</v>
      </c>
      <c r="R115" s="310" t="e">
        <f t="shared" si="23"/>
        <v>#N/A</v>
      </c>
      <c r="S115" s="310">
        <f t="shared" si="24"/>
        <v>0</v>
      </c>
      <c r="T115" s="559" t="str">
        <f t="shared" si="25"/>
        <v>NO</v>
      </c>
      <c r="U115" s="323"/>
      <c r="V115" s="299"/>
      <c r="W115" s="300"/>
      <c r="X115" s="299"/>
      <c r="Y115" s="303"/>
      <c r="Z115" s="305">
        <f>IF(Y115=0,0,IF(X115="MXN",1/HLOOKUP(YEAR(W115)+(MONTH(W115)/100),TC!$5:$37,DAY(W115)+2,FALSE),VLOOKUP(X115,Equivalencia!$1:$23,((MAX(Equivalencia!$3:$3)-YEAR(W115))*14)+MONTH(W115)+2,FALSE)))</f>
        <v>0</v>
      </c>
      <c r="AA115" s="306">
        <f t="shared" si="26"/>
        <v>0</v>
      </c>
      <c r="AB115" s="305">
        <f>+IF(W115=0,0,HLOOKUP(YEAR(W115)+(MONTH(W115)/100),TC!$5:$37,DAY(W115)+2,FALSE))</f>
        <v>0</v>
      </c>
      <c r="AC115" s="306">
        <f t="shared" si="27"/>
        <v>0</v>
      </c>
      <c r="AD115" s="314">
        <f t="shared" si="18"/>
        <v>0</v>
      </c>
      <c r="AE115" s="315">
        <f t="shared" si="28"/>
        <v>0</v>
      </c>
      <c r="AF115" s="316">
        <f t="shared" si="19"/>
        <v>0</v>
      </c>
      <c r="AG115" s="314">
        <v>1</v>
      </c>
      <c r="AH115" s="314">
        <f t="shared" si="29"/>
        <v>0</v>
      </c>
      <c r="AI115" s="314">
        <f t="shared" si="30"/>
        <v>0</v>
      </c>
      <c r="AJ115" s="317"/>
      <c r="AK115" s="315" t="e">
        <f t="shared" si="31"/>
        <v>#N/A</v>
      </c>
      <c r="AM115" s="553"/>
      <c r="AN115" s="553"/>
      <c r="AO115" s="553"/>
    </row>
    <row r="116" spans="2:41">
      <c r="B116" s="296"/>
      <c r="C116" s="299"/>
      <c r="D116" s="296"/>
      <c r="E116" s="298"/>
      <c r="F116" s="299"/>
      <c r="G116" s="300"/>
      <c r="H116" s="303"/>
      <c r="I116" s="303"/>
      <c r="J116" s="322">
        <f t="shared" si="17"/>
        <v>0</v>
      </c>
      <c r="K116" s="305" t="e">
        <f>IF(F116="MXN",1/HLOOKUP(YEAR(G116)+(MONTH(G116)/100),TC!$5:$37,DAY(G116)+2,FALSE),VLOOKUP(F116,Equivalencia!$5:$23,((MAX(Equivalencia!$3:$3)-YEAR(G116))*14)+MONTH(G116)+2,FALSE))</f>
        <v>#N/A</v>
      </c>
      <c r="L116" s="306" t="e">
        <f t="shared" si="20"/>
        <v>#N/A</v>
      </c>
      <c r="M116" s="305">
        <f>IF(G116=0,0,HLOOKUP(YEAR(G116)+(MONTH(G116)/100),TC!$5:$37,DAY(G116)+2,FALSE))</f>
        <v>0</v>
      </c>
      <c r="N116" s="306" t="e">
        <f t="shared" si="21"/>
        <v>#N/A</v>
      </c>
      <c r="O116" s="308">
        <f>IF(G116=0,0,VLOOKUP(YEAR(G116),INPC!$B$4:$P$30,MONTH(G116)+2))</f>
        <v>0</v>
      </c>
      <c r="P116" s="308">
        <f>IF(W116=0,0,IF(OR(C116=$AQ$5,C116=AQ120),VLOOKUP(YEAR(W116),INPC!$B$4:$P$30,MONTH(W116)+1),VLOOKUP(YEAR(W116),INPC!$B$4:$P$30,MONTH(W116)+2)))</f>
        <v>0</v>
      </c>
      <c r="Q116" s="309">
        <f t="shared" si="22"/>
        <v>0</v>
      </c>
      <c r="R116" s="310" t="e">
        <f t="shared" si="23"/>
        <v>#N/A</v>
      </c>
      <c r="S116" s="310">
        <f t="shared" si="24"/>
        <v>0</v>
      </c>
      <c r="T116" s="559" t="str">
        <f t="shared" si="25"/>
        <v>NO</v>
      </c>
      <c r="U116" s="323"/>
      <c r="V116" s="299"/>
      <c r="W116" s="300"/>
      <c r="X116" s="299"/>
      <c r="Y116" s="303"/>
      <c r="Z116" s="305">
        <f>IF(Y116=0,0,IF(X116="MXN",1/HLOOKUP(YEAR(W116)+(MONTH(W116)/100),TC!$5:$37,DAY(W116)+2,FALSE),VLOOKUP(X116,Equivalencia!$1:$23,((MAX(Equivalencia!$3:$3)-YEAR(W116))*14)+MONTH(W116)+2,FALSE)))</f>
        <v>0</v>
      </c>
      <c r="AA116" s="306">
        <f t="shared" si="26"/>
        <v>0</v>
      </c>
      <c r="AB116" s="305">
        <f>+IF(W116=0,0,HLOOKUP(YEAR(W116)+(MONTH(W116)/100),TC!$5:$37,DAY(W116)+2,FALSE))</f>
        <v>0</v>
      </c>
      <c r="AC116" s="306">
        <f t="shared" si="27"/>
        <v>0</v>
      </c>
      <c r="AD116" s="314">
        <f t="shared" si="18"/>
        <v>0</v>
      </c>
      <c r="AE116" s="315">
        <f t="shared" si="28"/>
        <v>0</v>
      </c>
      <c r="AF116" s="316">
        <f t="shared" si="19"/>
        <v>0</v>
      </c>
      <c r="AG116" s="314">
        <v>1</v>
      </c>
      <c r="AH116" s="314">
        <f t="shared" si="29"/>
        <v>0</v>
      </c>
      <c r="AI116" s="314">
        <f t="shared" si="30"/>
        <v>0</v>
      </c>
      <c r="AJ116" s="317"/>
      <c r="AK116" s="315" t="e">
        <f t="shared" si="31"/>
        <v>#N/A</v>
      </c>
      <c r="AM116" s="553"/>
      <c r="AN116" s="553"/>
      <c r="AO116" s="553"/>
    </row>
    <row r="117" spans="2:41">
      <c r="B117" s="296"/>
      <c r="C117" s="299"/>
      <c r="D117" s="296"/>
      <c r="E117" s="298"/>
      <c r="F117" s="299"/>
      <c r="G117" s="300"/>
      <c r="H117" s="303"/>
      <c r="I117" s="303"/>
      <c r="J117" s="322">
        <f t="shared" si="17"/>
        <v>0</v>
      </c>
      <c r="K117" s="305" t="e">
        <f>IF(F117="MXN",1/HLOOKUP(YEAR(G117)+(MONTH(G117)/100),TC!$5:$37,DAY(G117)+2,FALSE),VLOOKUP(F117,Equivalencia!$5:$23,((MAX(Equivalencia!$3:$3)-YEAR(G117))*14)+MONTH(G117)+2,FALSE))</f>
        <v>#N/A</v>
      </c>
      <c r="L117" s="306" t="e">
        <f t="shared" si="20"/>
        <v>#N/A</v>
      </c>
      <c r="M117" s="305">
        <f>IF(G117=0,0,HLOOKUP(YEAR(G117)+(MONTH(G117)/100),TC!$5:$37,DAY(G117)+2,FALSE))</f>
        <v>0</v>
      </c>
      <c r="N117" s="306" t="e">
        <f t="shared" si="21"/>
        <v>#N/A</v>
      </c>
      <c r="O117" s="308">
        <f>IF(G117=0,0,VLOOKUP(YEAR(G117),INPC!$B$4:$P$30,MONTH(G117)+2))</f>
        <v>0</v>
      </c>
      <c r="P117" s="308">
        <f>IF(W117=0,0,IF(OR(C117=$AQ$5,C117=AQ121),VLOOKUP(YEAR(W117),INPC!$B$4:$P$30,MONTH(W117)+1),VLOOKUP(YEAR(W117),INPC!$B$4:$P$30,MONTH(W117)+2)))</f>
        <v>0</v>
      </c>
      <c r="Q117" s="309">
        <f t="shared" si="22"/>
        <v>0</v>
      </c>
      <c r="R117" s="310" t="e">
        <f t="shared" si="23"/>
        <v>#N/A</v>
      </c>
      <c r="S117" s="310">
        <f t="shared" si="24"/>
        <v>0</v>
      </c>
      <c r="T117" s="559" t="str">
        <f t="shared" si="25"/>
        <v>NO</v>
      </c>
      <c r="U117" s="323"/>
      <c r="V117" s="299"/>
      <c r="W117" s="300"/>
      <c r="X117" s="299"/>
      <c r="Y117" s="303"/>
      <c r="Z117" s="305">
        <f>IF(Y117=0,0,IF(X117="MXN",1/HLOOKUP(YEAR(W117)+(MONTH(W117)/100),TC!$5:$37,DAY(W117)+2,FALSE),VLOOKUP(X117,Equivalencia!$1:$23,((MAX(Equivalencia!$3:$3)-YEAR(W117))*14)+MONTH(W117)+2,FALSE)))</f>
        <v>0</v>
      </c>
      <c r="AA117" s="306">
        <f t="shared" si="26"/>
        <v>0</v>
      </c>
      <c r="AB117" s="305">
        <f>+IF(W117=0,0,HLOOKUP(YEAR(W117)+(MONTH(W117)/100),TC!$5:$37,DAY(W117)+2,FALSE))</f>
        <v>0</v>
      </c>
      <c r="AC117" s="306">
        <f t="shared" si="27"/>
        <v>0</v>
      </c>
      <c r="AD117" s="314">
        <f t="shared" si="18"/>
        <v>0</v>
      </c>
      <c r="AE117" s="315">
        <f t="shared" si="28"/>
        <v>0</v>
      </c>
      <c r="AF117" s="316">
        <f t="shared" si="19"/>
        <v>0</v>
      </c>
      <c r="AG117" s="314">
        <v>1</v>
      </c>
      <c r="AH117" s="314">
        <f t="shared" si="29"/>
        <v>0</v>
      </c>
      <c r="AI117" s="314">
        <f t="shared" si="30"/>
        <v>0</v>
      </c>
      <c r="AJ117" s="317"/>
      <c r="AK117" s="315" t="e">
        <f t="shared" si="31"/>
        <v>#N/A</v>
      </c>
      <c r="AM117" s="553"/>
      <c r="AN117" s="553"/>
      <c r="AO117" s="553"/>
    </row>
    <row r="118" spans="2:41">
      <c r="B118" s="296"/>
      <c r="C118" s="299"/>
      <c r="D118" s="296"/>
      <c r="E118" s="298"/>
      <c r="F118" s="299"/>
      <c r="G118" s="300"/>
      <c r="H118" s="303"/>
      <c r="I118" s="303"/>
      <c r="J118" s="322">
        <f t="shared" si="17"/>
        <v>0</v>
      </c>
      <c r="K118" s="305" t="e">
        <f>IF(F118="MXN",1/HLOOKUP(YEAR(G118)+(MONTH(G118)/100),TC!$5:$37,DAY(G118)+2,FALSE),VLOOKUP(F118,Equivalencia!$5:$23,((MAX(Equivalencia!$3:$3)-YEAR(G118))*14)+MONTH(G118)+2,FALSE))</f>
        <v>#N/A</v>
      </c>
      <c r="L118" s="306" t="e">
        <f t="shared" si="20"/>
        <v>#N/A</v>
      </c>
      <c r="M118" s="305">
        <f>IF(G118=0,0,HLOOKUP(YEAR(G118)+(MONTH(G118)/100),TC!$5:$37,DAY(G118)+2,FALSE))</f>
        <v>0</v>
      </c>
      <c r="N118" s="306" t="e">
        <f t="shared" si="21"/>
        <v>#N/A</v>
      </c>
      <c r="O118" s="308">
        <f>IF(G118=0,0,VLOOKUP(YEAR(G118),INPC!$B$4:$P$30,MONTH(G118)+2))</f>
        <v>0</v>
      </c>
      <c r="P118" s="308">
        <f>IF(W118=0,0,IF(OR(C118=$AQ$5,C118=AQ122),VLOOKUP(YEAR(W118),INPC!$B$4:$P$30,MONTH(W118)+1),VLOOKUP(YEAR(W118),INPC!$B$4:$P$30,MONTH(W118)+2)))</f>
        <v>0</v>
      </c>
      <c r="Q118" s="309">
        <f t="shared" si="22"/>
        <v>0</v>
      </c>
      <c r="R118" s="310" t="e">
        <f t="shared" si="23"/>
        <v>#N/A</v>
      </c>
      <c r="S118" s="310">
        <f t="shared" si="24"/>
        <v>0</v>
      </c>
      <c r="T118" s="559" t="str">
        <f t="shared" si="25"/>
        <v>NO</v>
      </c>
      <c r="U118" s="323"/>
      <c r="V118" s="299"/>
      <c r="W118" s="300"/>
      <c r="X118" s="299"/>
      <c r="Y118" s="303"/>
      <c r="Z118" s="305">
        <f>IF(Y118=0,0,IF(X118="MXN",1/HLOOKUP(YEAR(W118)+(MONTH(W118)/100),TC!$5:$37,DAY(W118)+2,FALSE),VLOOKUP(X118,Equivalencia!$1:$23,((MAX(Equivalencia!$3:$3)-YEAR(W118))*14)+MONTH(W118)+2,FALSE)))</f>
        <v>0</v>
      </c>
      <c r="AA118" s="306">
        <f t="shared" si="26"/>
        <v>0</v>
      </c>
      <c r="AB118" s="305">
        <f>+IF(W118=0,0,HLOOKUP(YEAR(W118)+(MONTH(W118)/100),TC!$5:$37,DAY(W118)+2,FALSE))</f>
        <v>0</v>
      </c>
      <c r="AC118" s="306">
        <f t="shared" si="27"/>
        <v>0</v>
      </c>
      <c r="AD118" s="314">
        <f t="shared" si="18"/>
        <v>0</v>
      </c>
      <c r="AE118" s="315">
        <f t="shared" si="28"/>
        <v>0</v>
      </c>
      <c r="AF118" s="316">
        <f t="shared" si="19"/>
        <v>0</v>
      </c>
      <c r="AG118" s="314">
        <v>1</v>
      </c>
      <c r="AH118" s="314">
        <f t="shared" si="29"/>
        <v>0</v>
      </c>
      <c r="AI118" s="314">
        <f t="shared" si="30"/>
        <v>0</v>
      </c>
      <c r="AJ118" s="317"/>
      <c r="AK118" s="315" t="e">
        <f t="shared" si="31"/>
        <v>#N/A</v>
      </c>
      <c r="AM118" s="553"/>
      <c r="AN118" s="553"/>
      <c r="AO118" s="553"/>
    </row>
    <row r="119" spans="2:41">
      <c r="B119" s="296"/>
      <c r="C119" s="299"/>
      <c r="D119" s="296"/>
      <c r="E119" s="298"/>
      <c r="F119" s="299"/>
      <c r="G119" s="300"/>
      <c r="H119" s="303"/>
      <c r="I119" s="303"/>
      <c r="J119" s="322">
        <f t="shared" si="17"/>
        <v>0</v>
      </c>
      <c r="K119" s="305" t="e">
        <f>IF(F119="MXN",1/HLOOKUP(YEAR(G119)+(MONTH(G119)/100),TC!$5:$37,DAY(G119)+2,FALSE),VLOOKUP(F119,Equivalencia!$5:$23,((MAX(Equivalencia!$3:$3)-YEAR(G119))*14)+MONTH(G119)+2,FALSE))</f>
        <v>#N/A</v>
      </c>
      <c r="L119" s="306" t="e">
        <f t="shared" si="20"/>
        <v>#N/A</v>
      </c>
      <c r="M119" s="305">
        <f>IF(G119=0,0,HLOOKUP(YEAR(G119)+(MONTH(G119)/100),TC!$5:$37,DAY(G119)+2,FALSE))</f>
        <v>0</v>
      </c>
      <c r="N119" s="306" t="e">
        <f t="shared" si="21"/>
        <v>#N/A</v>
      </c>
      <c r="O119" s="308">
        <f>IF(G119=0,0,VLOOKUP(YEAR(G119),INPC!$B$4:$P$30,MONTH(G119)+2))</f>
        <v>0</v>
      </c>
      <c r="P119" s="308">
        <f>IF(W119=0,0,IF(OR(C119=$AQ$5,C119=AQ123),VLOOKUP(YEAR(W119),INPC!$B$4:$P$30,MONTH(W119)+1),VLOOKUP(YEAR(W119),INPC!$B$4:$P$30,MONTH(W119)+2)))</f>
        <v>0</v>
      </c>
      <c r="Q119" s="309">
        <f t="shared" si="22"/>
        <v>0</v>
      </c>
      <c r="R119" s="310" t="e">
        <f t="shared" si="23"/>
        <v>#N/A</v>
      </c>
      <c r="S119" s="310">
        <f t="shared" si="24"/>
        <v>0</v>
      </c>
      <c r="T119" s="559" t="str">
        <f t="shared" si="25"/>
        <v>NO</v>
      </c>
      <c r="U119" s="323"/>
      <c r="V119" s="299"/>
      <c r="W119" s="300"/>
      <c r="X119" s="299"/>
      <c r="Y119" s="303"/>
      <c r="Z119" s="305">
        <f>IF(Y119=0,0,IF(X119="MXN",1/HLOOKUP(YEAR(W119)+(MONTH(W119)/100),TC!$5:$37,DAY(W119)+2,FALSE),VLOOKUP(X119,Equivalencia!$1:$23,((MAX(Equivalencia!$3:$3)-YEAR(W119))*14)+MONTH(W119)+2,FALSE)))</f>
        <v>0</v>
      </c>
      <c r="AA119" s="306">
        <f t="shared" si="26"/>
        <v>0</v>
      </c>
      <c r="AB119" s="305">
        <f>+IF(W119=0,0,HLOOKUP(YEAR(W119)+(MONTH(W119)/100),TC!$5:$37,DAY(W119)+2,FALSE))</f>
        <v>0</v>
      </c>
      <c r="AC119" s="306">
        <f t="shared" si="27"/>
        <v>0</v>
      </c>
      <c r="AD119" s="314">
        <f t="shared" si="18"/>
        <v>0</v>
      </c>
      <c r="AE119" s="315">
        <f t="shared" si="28"/>
        <v>0</v>
      </c>
      <c r="AF119" s="316">
        <f t="shared" si="19"/>
        <v>0</v>
      </c>
      <c r="AG119" s="314">
        <v>1</v>
      </c>
      <c r="AH119" s="314">
        <f t="shared" si="29"/>
        <v>0</v>
      </c>
      <c r="AI119" s="314">
        <f t="shared" si="30"/>
        <v>0</v>
      </c>
      <c r="AJ119" s="317"/>
      <c r="AK119" s="315" t="e">
        <f t="shared" si="31"/>
        <v>#N/A</v>
      </c>
      <c r="AM119" s="553"/>
      <c r="AN119" s="553"/>
      <c r="AO119" s="553"/>
    </row>
    <row r="120" spans="2:41">
      <c r="B120" s="296"/>
      <c r="C120" s="299"/>
      <c r="D120" s="296"/>
      <c r="E120" s="298"/>
      <c r="F120" s="299"/>
      <c r="G120" s="300"/>
      <c r="H120" s="303"/>
      <c r="I120" s="303"/>
      <c r="J120" s="322">
        <f t="shared" si="17"/>
        <v>0</v>
      </c>
      <c r="K120" s="305" t="e">
        <f>IF(F120="MXN",1/HLOOKUP(YEAR(G120)+(MONTH(G120)/100),TC!$5:$37,DAY(G120)+2,FALSE),VLOOKUP(F120,Equivalencia!$5:$23,((MAX(Equivalencia!$3:$3)-YEAR(G120))*14)+MONTH(G120)+2,FALSE))</f>
        <v>#N/A</v>
      </c>
      <c r="L120" s="306" t="e">
        <f t="shared" si="20"/>
        <v>#N/A</v>
      </c>
      <c r="M120" s="305">
        <f>IF(G120=0,0,HLOOKUP(YEAR(G120)+(MONTH(G120)/100),TC!$5:$37,DAY(G120)+2,FALSE))</f>
        <v>0</v>
      </c>
      <c r="N120" s="306" t="e">
        <f t="shared" si="21"/>
        <v>#N/A</v>
      </c>
      <c r="O120" s="308">
        <f>IF(G120=0,0,VLOOKUP(YEAR(G120),INPC!$B$4:$P$30,MONTH(G120)+2))</f>
        <v>0</v>
      </c>
      <c r="P120" s="308">
        <f>IF(W120=0,0,IF(OR(C120=$AQ$5,C120=AQ124),VLOOKUP(YEAR(W120),INPC!$B$4:$P$30,MONTH(W120)+1),VLOOKUP(YEAR(W120),INPC!$B$4:$P$30,MONTH(W120)+2)))</f>
        <v>0</v>
      </c>
      <c r="Q120" s="309">
        <f t="shared" si="22"/>
        <v>0</v>
      </c>
      <c r="R120" s="310" t="e">
        <f t="shared" si="23"/>
        <v>#N/A</v>
      </c>
      <c r="S120" s="310">
        <f t="shared" si="24"/>
        <v>0</v>
      </c>
      <c r="T120" s="559" t="str">
        <f t="shared" si="25"/>
        <v>NO</v>
      </c>
      <c r="U120" s="323"/>
      <c r="V120" s="299"/>
      <c r="W120" s="300"/>
      <c r="X120" s="299"/>
      <c r="Y120" s="303"/>
      <c r="Z120" s="305">
        <f>IF(Y120=0,0,IF(X120="MXN",1/HLOOKUP(YEAR(W120)+(MONTH(W120)/100),TC!$5:$37,DAY(W120)+2,FALSE),VLOOKUP(X120,Equivalencia!$1:$23,((MAX(Equivalencia!$3:$3)-YEAR(W120))*14)+MONTH(W120)+2,FALSE)))</f>
        <v>0</v>
      </c>
      <c r="AA120" s="306">
        <f t="shared" si="26"/>
        <v>0</v>
      </c>
      <c r="AB120" s="305">
        <f>+IF(W120=0,0,HLOOKUP(YEAR(W120)+(MONTH(W120)/100),TC!$5:$37,DAY(W120)+2,FALSE))</f>
        <v>0</v>
      </c>
      <c r="AC120" s="306">
        <f t="shared" si="27"/>
        <v>0</v>
      </c>
      <c r="AD120" s="314">
        <f t="shared" si="18"/>
        <v>0</v>
      </c>
      <c r="AE120" s="315">
        <f t="shared" si="28"/>
        <v>0</v>
      </c>
      <c r="AF120" s="316">
        <f t="shared" si="19"/>
        <v>0</v>
      </c>
      <c r="AG120" s="314">
        <v>1</v>
      </c>
      <c r="AH120" s="314">
        <f t="shared" si="29"/>
        <v>0</v>
      </c>
      <c r="AI120" s="314">
        <f t="shared" si="30"/>
        <v>0</v>
      </c>
      <c r="AJ120" s="317"/>
      <c r="AK120" s="315" t="e">
        <f t="shared" si="31"/>
        <v>#N/A</v>
      </c>
      <c r="AM120" s="553"/>
      <c r="AN120" s="553"/>
      <c r="AO120" s="553"/>
    </row>
    <row r="121" spans="2:41">
      <c r="B121" s="296"/>
      <c r="C121" s="299"/>
      <c r="D121" s="296"/>
      <c r="E121" s="298"/>
      <c r="F121" s="299"/>
      <c r="G121" s="300"/>
      <c r="H121" s="303"/>
      <c r="I121" s="303"/>
      <c r="J121" s="322">
        <f t="shared" si="17"/>
        <v>0</v>
      </c>
      <c r="K121" s="305" t="e">
        <f>IF(F121="MXN",1/HLOOKUP(YEAR(G121)+(MONTH(G121)/100),TC!$5:$37,DAY(G121)+2,FALSE),VLOOKUP(F121,Equivalencia!$5:$23,((MAX(Equivalencia!$3:$3)-YEAR(G121))*14)+MONTH(G121)+2,FALSE))</f>
        <v>#N/A</v>
      </c>
      <c r="L121" s="306" t="e">
        <f t="shared" si="20"/>
        <v>#N/A</v>
      </c>
      <c r="M121" s="305">
        <f>IF(G121=0,0,HLOOKUP(YEAR(G121)+(MONTH(G121)/100),TC!$5:$37,DAY(G121)+2,FALSE))</f>
        <v>0</v>
      </c>
      <c r="N121" s="306" t="e">
        <f t="shared" si="21"/>
        <v>#N/A</v>
      </c>
      <c r="O121" s="308">
        <f>IF(G121=0,0,VLOOKUP(YEAR(G121),INPC!$B$4:$P$30,MONTH(G121)+2))</f>
        <v>0</v>
      </c>
      <c r="P121" s="308">
        <f>IF(W121=0,0,IF(OR(C121=$AQ$5,C121=AQ125),VLOOKUP(YEAR(W121),INPC!$B$4:$P$30,MONTH(W121)+1),VLOOKUP(YEAR(W121),INPC!$B$4:$P$30,MONTH(W121)+2)))</f>
        <v>0</v>
      </c>
      <c r="Q121" s="309">
        <f t="shared" si="22"/>
        <v>0</v>
      </c>
      <c r="R121" s="310" t="e">
        <f t="shared" si="23"/>
        <v>#N/A</v>
      </c>
      <c r="S121" s="310">
        <f t="shared" si="24"/>
        <v>0</v>
      </c>
      <c r="T121" s="559" t="str">
        <f t="shared" si="25"/>
        <v>NO</v>
      </c>
      <c r="U121" s="323"/>
      <c r="V121" s="299"/>
      <c r="W121" s="300"/>
      <c r="X121" s="299"/>
      <c r="Y121" s="303"/>
      <c r="Z121" s="305">
        <f>IF(Y121=0,0,IF(X121="MXN",1/HLOOKUP(YEAR(W121)+(MONTH(W121)/100),TC!$5:$37,DAY(W121)+2,FALSE),VLOOKUP(X121,Equivalencia!$1:$23,((MAX(Equivalencia!$3:$3)-YEAR(W121))*14)+MONTH(W121)+2,FALSE)))</f>
        <v>0</v>
      </c>
      <c r="AA121" s="306">
        <f t="shared" si="26"/>
        <v>0</v>
      </c>
      <c r="AB121" s="305">
        <f>+IF(W121=0,0,HLOOKUP(YEAR(W121)+(MONTH(W121)/100),TC!$5:$37,DAY(W121)+2,FALSE))</f>
        <v>0</v>
      </c>
      <c r="AC121" s="306">
        <f t="shared" si="27"/>
        <v>0</v>
      </c>
      <c r="AD121" s="314">
        <f t="shared" si="18"/>
        <v>0</v>
      </c>
      <c r="AE121" s="315">
        <f t="shared" si="28"/>
        <v>0</v>
      </c>
      <c r="AF121" s="316">
        <f t="shared" si="19"/>
        <v>0</v>
      </c>
      <c r="AG121" s="314">
        <v>1</v>
      </c>
      <c r="AH121" s="314">
        <f t="shared" si="29"/>
        <v>0</v>
      </c>
      <c r="AI121" s="314">
        <f t="shared" si="30"/>
        <v>0</v>
      </c>
      <c r="AJ121" s="317"/>
      <c r="AK121" s="315" t="e">
        <f t="shared" si="31"/>
        <v>#N/A</v>
      </c>
      <c r="AM121" s="553"/>
      <c r="AN121" s="553"/>
      <c r="AO121" s="553"/>
    </row>
    <row r="122" spans="2:41">
      <c r="B122" s="296"/>
      <c r="C122" s="299"/>
      <c r="D122" s="296"/>
      <c r="E122" s="298"/>
      <c r="F122" s="299"/>
      <c r="G122" s="300"/>
      <c r="H122" s="303"/>
      <c r="I122" s="303"/>
      <c r="J122" s="322">
        <f t="shared" si="17"/>
        <v>0</v>
      </c>
      <c r="K122" s="305" t="e">
        <f>IF(F122="MXN",1/HLOOKUP(YEAR(G122)+(MONTH(G122)/100),TC!$5:$37,DAY(G122)+2,FALSE),VLOOKUP(F122,Equivalencia!$5:$23,((MAX(Equivalencia!$3:$3)-YEAR(G122))*14)+MONTH(G122)+2,FALSE))</f>
        <v>#N/A</v>
      </c>
      <c r="L122" s="306" t="e">
        <f t="shared" si="20"/>
        <v>#N/A</v>
      </c>
      <c r="M122" s="305">
        <f>IF(G122=0,0,HLOOKUP(YEAR(G122)+(MONTH(G122)/100),TC!$5:$37,DAY(G122)+2,FALSE))</f>
        <v>0</v>
      </c>
      <c r="N122" s="306" t="e">
        <f t="shared" si="21"/>
        <v>#N/A</v>
      </c>
      <c r="O122" s="308">
        <f>IF(G122=0,0,VLOOKUP(YEAR(G122),INPC!$B$4:$P$30,MONTH(G122)+2))</f>
        <v>0</v>
      </c>
      <c r="P122" s="308">
        <f>IF(W122=0,0,IF(OR(C122=$AQ$5,C122=AQ126),VLOOKUP(YEAR(W122),INPC!$B$4:$P$30,MONTH(W122)+1),VLOOKUP(YEAR(W122),INPC!$B$4:$P$30,MONTH(W122)+2)))</f>
        <v>0</v>
      </c>
      <c r="Q122" s="309">
        <f t="shared" si="22"/>
        <v>0</v>
      </c>
      <c r="R122" s="310" t="e">
        <f t="shared" si="23"/>
        <v>#N/A</v>
      </c>
      <c r="S122" s="310">
        <f t="shared" si="24"/>
        <v>0</v>
      </c>
      <c r="T122" s="559" t="str">
        <f t="shared" si="25"/>
        <v>NO</v>
      </c>
      <c r="U122" s="323"/>
      <c r="V122" s="299"/>
      <c r="W122" s="300"/>
      <c r="X122" s="299"/>
      <c r="Y122" s="303"/>
      <c r="Z122" s="305">
        <f>IF(Y122=0,0,IF(X122="MXN",1/HLOOKUP(YEAR(W122)+(MONTH(W122)/100),TC!$5:$37,DAY(W122)+2,FALSE),VLOOKUP(X122,Equivalencia!$1:$23,((MAX(Equivalencia!$3:$3)-YEAR(W122))*14)+MONTH(W122)+2,FALSE)))</f>
        <v>0</v>
      </c>
      <c r="AA122" s="306">
        <f t="shared" si="26"/>
        <v>0</v>
      </c>
      <c r="AB122" s="305">
        <f>+IF(W122=0,0,HLOOKUP(YEAR(W122)+(MONTH(W122)/100),TC!$5:$37,DAY(W122)+2,FALSE))</f>
        <v>0</v>
      </c>
      <c r="AC122" s="306">
        <f t="shared" si="27"/>
        <v>0</v>
      </c>
      <c r="AD122" s="314">
        <f t="shared" si="18"/>
        <v>0</v>
      </c>
      <c r="AE122" s="315">
        <f t="shared" si="28"/>
        <v>0</v>
      </c>
      <c r="AF122" s="316">
        <f t="shared" si="19"/>
        <v>0</v>
      </c>
      <c r="AG122" s="314">
        <v>1</v>
      </c>
      <c r="AH122" s="314">
        <f t="shared" si="29"/>
        <v>0</v>
      </c>
      <c r="AI122" s="314">
        <f t="shared" si="30"/>
        <v>0</v>
      </c>
      <c r="AJ122" s="317"/>
      <c r="AK122" s="315" t="e">
        <f t="shared" si="31"/>
        <v>#N/A</v>
      </c>
      <c r="AM122" s="553"/>
      <c r="AN122" s="553"/>
      <c r="AO122" s="553"/>
    </row>
    <row r="123" spans="2:41">
      <c r="B123" s="296"/>
      <c r="C123" s="299"/>
      <c r="D123" s="296"/>
      <c r="E123" s="298"/>
      <c r="F123" s="299"/>
      <c r="G123" s="300"/>
      <c r="H123" s="303"/>
      <c r="I123" s="303"/>
      <c r="J123" s="322">
        <f t="shared" si="17"/>
        <v>0</v>
      </c>
      <c r="K123" s="305" t="e">
        <f>IF(F123="MXN",1/HLOOKUP(YEAR(G123)+(MONTH(G123)/100),TC!$5:$37,DAY(G123)+2,FALSE),VLOOKUP(F123,Equivalencia!$5:$23,((MAX(Equivalencia!$3:$3)-YEAR(G123))*14)+MONTH(G123)+2,FALSE))</f>
        <v>#N/A</v>
      </c>
      <c r="L123" s="306" t="e">
        <f t="shared" si="20"/>
        <v>#N/A</v>
      </c>
      <c r="M123" s="305">
        <f>IF(G123=0,0,HLOOKUP(YEAR(G123)+(MONTH(G123)/100),TC!$5:$37,DAY(G123)+2,FALSE))</f>
        <v>0</v>
      </c>
      <c r="N123" s="306" t="e">
        <f t="shared" si="21"/>
        <v>#N/A</v>
      </c>
      <c r="O123" s="308">
        <f>IF(G123=0,0,VLOOKUP(YEAR(G123),INPC!$B$4:$P$30,MONTH(G123)+2))</f>
        <v>0</v>
      </c>
      <c r="P123" s="308">
        <f>IF(W123=0,0,IF(OR(C123=$AQ$5,C123=AQ127),VLOOKUP(YEAR(W123),INPC!$B$4:$P$30,MONTH(W123)+1),VLOOKUP(YEAR(W123),INPC!$B$4:$P$30,MONTH(W123)+2)))</f>
        <v>0</v>
      </c>
      <c r="Q123" s="309">
        <f t="shared" si="22"/>
        <v>0</v>
      </c>
      <c r="R123" s="310" t="e">
        <f t="shared" si="23"/>
        <v>#N/A</v>
      </c>
      <c r="S123" s="310">
        <f t="shared" si="24"/>
        <v>0</v>
      </c>
      <c r="T123" s="559" t="str">
        <f t="shared" si="25"/>
        <v>NO</v>
      </c>
      <c r="U123" s="323"/>
      <c r="V123" s="299"/>
      <c r="W123" s="300"/>
      <c r="X123" s="299"/>
      <c r="Y123" s="303"/>
      <c r="Z123" s="305">
        <f>IF(Y123=0,0,IF(X123="MXN",1/HLOOKUP(YEAR(W123)+(MONTH(W123)/100),TC!$5:$37,DAY(W123)+2,FALSE),VLOOKUP(X123,Equivalencia!$1:$23,((MAX(Equivalencia!$3:$3)-YEAR(W123))*14)+MONTH(W123)+2,FALSE)))</f>
        <v>0</v>
      </c>
      <c r="AA123" s="306">
        <f t="shared" si="26"/>
        <v>0</v>
      </c>
      <c r="AB123" s="305">
        <f>+IF(W123=0,0,HLOOKUP(YEAR(W123)+(MONTH(W123)/100),TC!$5:$37,DAY(W123)+2,FALSE))</f>
        <v>0</v>
      </c>
      <c r="AC123" s="306">
        <f t="shared" si="27"/>
        <v>0</v>
      </c>
      <c r="AD123" s="314">
        <f t="shared" si="18"/>
        <v>0</v>
      </c>
      <c r="AE123" s="315">
        <f t="shared" si="28"/>
        <v>0</v>
      </c>
      <c r="AF123" s="316">
        <f t="shared" si="19"/>
        <v>0</v>
      </c>
      <c r="AG123" s="314">
        <v>1</v>
      </c>
      <c r="AH123" s="314">
        <f t="shared" si="29"/>
        <v>0</v>
      </c>
      <c r="AI123" s="314">
        <f t="shared" si="30"/>
        <v>0</v>
      </c>
      <c r="AJ123" s="317"/>
      <c r="AK123" s="315" t="e">
        <f t="shared" si="31"/>
        <v>#N/A</v>
      </c>
      <c r="AM123" s="553"/>
      <c r="AN123" s="553"/>
      <c r="AO123" s="553"/>
    </row>
    <row r="124" spans="2:41">
      <c r="B124" s="296"/>
      <c r="C124" s="299"/>
      <c r="D124" s="296"/>
      <c r="E124" s="298"/>
      <c r="F124" s="299"/>
      <c r="G124" s="300"/>
      <c r="H124" s="303"/>
      <c r="I124" s="303"/>
      <c r="J124" s="322">
        <f t="shared" si="17"/>
        <v>0</v>
      </c>
      <c r="K124" s="305" t="e">
        <f>IF(F124="MXN",1/HLOOKUP(YEAR(G124)+(MONTH(G124)/100),TC!$5:$37,DAY(G124)+2,FALSE),VLOOKUP(F124,Equivalencia!$5:$23,((MAX(Equivalencia!$3:$3)-YEAR(G124))*14)+MONTH(G124)+2,FALSE))</f>
        <v>#N/A</v>
      </c>
      <c r="L124" s="306" t="e">
        <f t="shared" si="20"/>
        <v>#N/A</v>
      </c>
      <c r="M124" s="305">
        <f>IF(G124=0,0,HLOOKUP(YEAR(G124)+(MONTH(G124)/100),TC!$5:$37,DAY(G124)+2,FALSE))</f>
        <v>0</v>
      </c>
      <c r="N124" s="306" t="e">
        <f t="shared" si="21"/>
        <v>#N/A</v>
      </c>
      <c r="O124" s="308">
        <f>IF(G124=0,0,VLOOKUP(YEAR(G124),INPC!$B$4:$P$30,MONTH(G124)+2))</f>
        <v>0</v>
      </c>
      <c r="P124" s="308">
        <f>IF(W124=0,0,IF(OR(C124=$AQ$5,C124=AQ128),VLOOKUP(YEAR(W124),INPC!$B$4:$P$30,MONTH(W124)+1),VLOOKUP(YEAR(W124),INPC!$B$4:$P$30,MONTH(W124)+2)))</f>
        <v>0</v>
      </c>
      <c r="Q124" s="309">
        <f t="shared" si="22"/>
        <v>0</v>
      </c>
      <c r="R124" s="310" t="e">
        <f t="shared" si="23"/>
        <v>#N/A</v>
      </c>
      <c r="S124" s="310">
        <f t="shared" si="24"/>
        <v>0</v>
      </c>
      <c r="T124" s="559" t="str">
        <f t="shared" si="25"/>
        <v>NO</v>
      </c>
      <c r="U124" s="323"/>
      <c r="V124" s="299"/>
      <c r="W124" s="300"/>
      <c r="X124" s="299"/>
      <c r="Y124" s="303"/>
      <c r="Z124" s="305">
        <f>IF(Y124=0,0,IF(X124="MXN",1/HLOOKUP(YEAR(W124)+(MONTH(W124)/100),TC!$5:$37,DAY(W124)+2,FALSE),VLOOKUP(X124,Equivalencia!$1:$23,((MAX(Equivalencia!$3:$3)-YEAR(W124))*14)+MONTH(W124)+2,FALSE)))</f>
        <v>0</v>
      </c>
      <c r="AA124" s="306">
        <f t="shared" si="26"/>
        <v>0</v>
      </c>
      <c r="AB124" s="305">
        <f>+IF(W124=0,0,HLOOKUP(YEAR(W124)+(MONTH(W124)/100),TC!$5:$37,DAY(W124)+2,FALSE))</f>
        <v>0</v>
      </c>
      <c r="AC124" s="306">
        <f t="shared" si="27"/>
        <v>0</v>
      </c>
      <c r="AD124" s="314">
        <f t="shared" si="18"/>
        <v>0</v>
      </c>
      <c r="AE124" s="315">
        <f t="shared" si="28"/>
        <v>0</v>
      </c>
      <c r="AF124" s="316">
        <f t="shared" si="19"/>
        <v>0</v>
      </c>
      <c r="AG124" s="314">
        <v>1</v>
      </c>
      <c r="AH124" s="314">
        <f t="shared" si="29"/>
        <v>0</v>
      </c>
      <c r="AI124" s="314">
        <f t="shared" si="30"/>
        <v>0</v>
      </c>
      <c r="AJ124" s="317"/>
      <c r="AK124" s="315" t="e">
        <f t="shared" si="31"/>
        <v>#N/A</v>
      </c>
      <c r="AM124" s="553"/>
      <c r="AN124" s="553"/>
      <c r="AO124" s="553"/>
    </row>
    <row r="125" spans="2:41">
      <c r="B125" s="296"/>
      <c r="C125" s="299"/>
      <c r="D125" s="296"/>
      <c r="E125" s="298"/>
      <c r="F125" s="299"/>
      <c r="G125" s="300"/>
      <c r="H125" s="303"/>
      <c r="I125" s="303"/>
      <c r="J125" s="322">
        <f t="shared" si="17"/>
        <v>0</v>
      </c>
      <c r="K125" s="305" t="e">
        <f>IF(F125="MXN",1/HLOOKUP(YEAR(G125)+(MONTH(G125)/100),TC!$5:$37,DAY(G125)+2,FALSE),VLOOKUP(F125,Equivalencia!$5:$23,((MAX(Equivalencia!$3:$3)-YEAR(G125))*14)+MONTH(G125)+2,FALSE))</f>
        <v>#N/A</v>
      </c>
      <c r="L125" s="306" t="e">
        <f t="shared" si="20"/>
        <v>#N/A</v>
      </c>
      <c r="M125" s="305">
        <f>IF(G125=0,0,HLOOKUP(YEAR(G125)+(MONTH(G125)/100),TC!$5:$37,DAY(G125)+2,FALSE))</f>
        <v>0</v>
      </c>
      <c r="N125" s="306" t="e">
        <f t="shared" si="21"/>
        <v>#N/A</v>
      </c>
      <c r="O125" s="308">
        <f>IF(G125=0,0,VLOOKUP(YEAR(G125),INPC!$B$4:$P$30,MONTH(G125)+2))</f>
        <v>0</v>
      </c>
      <c r="P125" s="308">
        <f>IF(W125=0,0,IF(OR(C125=$AQ$5,C125=AQ129),VLOOKUP(YEAR(W125),INPC!$B$4:$P$30,MONTH(W125)+1),VLOOKUP(YEAR(W125),INPC!$B$4:$P$30,MONTH(W125)+2)))</f>
        <v>0</v>
      </c>
      <c r="Q125" s="309">
        <f t="shared" si="22"/>
        <v>0</v>
      </c>
      <c r="R125" s="310" t="e">
        <f t="shared" si="23"/>
        <v>#N/A</v>
      </c>
      <c r="S125" s="310">
        <f t="shared" si="24"/>
        <v>0</v>
      </c>
      <c r="T125" s="559" t="str">
        <f t="shared" si="25"/>
        <v>NO</v>
      </c>
      <c r="U125" s="323"/>
      <c r="V125" s="299"/>
      <c r="W125" s="300"/>
      <c r="X125" s="299"/>
      <c r="Y125" s="303"/>
      <c r="Z125" s="305">
        <f>IF(Y125=0,0,IF(X125="MXN",1/HLOOKUP(YEAR(W125)+(MONTH(W125)/100),TC!$5:$37,DAY(W125)+2,FALSE),VLOOKUP(X125,Equivalencia!$1:$23,((MAX(Equivalencia!$3:$3)-YEAR(W125))*14)+MONTH(W125)+2,FALSE)))</f>
        <v>0</v>
      </c>
      <c r="AA125" s="306">
        <f t="shared" si="26"/>
        <v>0</v>
      </c>
      <c r="AB125" s="305">
        <f>+IF(W125=0,0,HLOOKUP(YEAR(W125)+(MONTH(W125)/100),TC!$5:$37,DAY(W125)+2,FALSE))</f>
        <v>0</v>
      </c>
      <c r="AC125" s="306">
        <f t="shared" si="27"/>
        <v>0</v>
      </c>
      <c r="AD125" s="314">
        <f t="shared" si="18"/>
        <v>0</v>
      </c>
      <c r="AE125" s="315">
        <f t="shared" si="28"/>
        <v>0</v>
      </c>
      <c r="AF125" s="316">
        <f t="shared" si="19"/>
        <v>0</v>
      </c>
      <c r="AG125" s="314">
        <v>1</v>
      </c>
      <c r="AH125" s="314">
        <f t="shared" si="29"/>
        <v>0</v>
      </c>
      <c r="AI125" s="314">
        <f t="shared" si="30"/>
        <v>0</v>
      </c>
      <c r="AJ125" s="317"/>
      <c r="AK125" s="315" t="e">
        <f t="shared" si="31"/>
        <v>#N/A</v>
      </c>
      <c r="AM125" s="553"/>
      <c r="AN125" s="553"/>
      <c r="AO125" s="553"/>
    </row>
    <row r="126" spans="2:41">
      <c r="B126" s="296"/>
      <c r="C126" s="299"/>
      <c r="D126" s="296"/>
      <c r="E126" s="298"/>
      <c r="F126" s="299"/>
      <c r="G126" s="300"/>
      <c r="H126" s="303"/>
      <c r="I126" s="303"/>
      <c r="J126" s="322">
        <f t="shared" si="17"/>
        <v>0</v>
      </c>
      <c r="K126" s="305" t="e">
        <f>IF(F126="MXN",1/HLOOKUP(YEAR(G126)+(MONTH(G126)/100),TC!$5:$37,DAY(G126)+2,FALSE),VLOOKUP(F126,Equivalencia!$5:$23,((MAX(Equivalencia!$3:$3)-YEAR(G126))*14)+MONTH(G126)+2,FALSE))</f>
        <v>#N/A</v>
      </c>
      <c r="L126" s="306" t="e">
        <f t="shared" si="20"/>
        <v>#N/A</v>
      </c>
      <c r="M126" s="305">
        <f>IF(G126=0,0,HLOOKUP(YEAR(G126)+(MONTH(G126)/100),TC!$5:$37,DAY(G126)+2,FALSE))</f>
        <v>0</v>
      </c>
      <c r="N126" s="306" t="e">
        <f t="shared" si="21"/>
        <v>#N/A</v>
      </c>
      <c r="O126" s="308">
        <f>IF(G126=0,0,VLOOKUP(YEAR(G126),INPC!$B$4:$P$30,MONTH(G126)+2))</f>
        <v>0</v>
      </c>
      <c r="P126" s="308">
        <f>IF(W126=0,0,IF(OR(C126=$AQ$5,C126=AQ130),VLOOKUP(YEAR(W126),INPC!$B$4:$P$30,MONTH(W126)+1),VLOOKUP(YEAR(W126),INPC!$B$4:$P$30,MONTH(W126)+2)))</f>
        <v>0</v>
      </c>
      <c r="Q126" s="309">
        <f t="shared" si="22"/>
        <v>0</v>
      </c>
      <c r="R126" s="310" t="e">
        <f t="shared" si="23"/>
        <v>#N/A</v>
      </c>
      <c r="S126" s="310">
        <f t="shared" si="24"/>
        <v>0</v>
      </c>
      <c r="T126" s="559" t="str">
        <f t="shared" si="25"/>
        <v>NO</v>
      </c>
      <c r="U126" s="323"/>
      <c r="V126" s="299"/>
      <c r="W126" s="300"/>
      <c r="X126" s="299"/>
      <c r="Y126" s="303"/>
      <c r="Z126" s="305">
        <f>IF(Y126=0,0,IF(X126="MXN",1/HLOOKUP(YEAR(W126)+(MONTH(W126)/100),TC!$5:$37,DAY(W126)+2,FALSE),VLOOKUP(X126,Equivalencia!$1:$23,((MAX(Equivalencia!$3:$3)-YEAR(W126))*14)+MONTH(W126)+2,FALSE)))</f>
        <v>0</v>
      </c>
      <c r="AA126" s="306">
        <f t="shared" si="26"/>
        <v>0</v>
      </c>
      <c r="AB126" s="305">
        <f>+IF(W126=0,0,HLOOKUP(YEAR(W126)+(MONTH(W126)/100),TC!$5:$37,DAY(W126)+2,FALSE))</f>
        <v>0</v>
      </c>
      <c r="AC126" s="306">
        <f t="shared" si="27"/>
        <v>0</v>
      </c>
      <c r="AD126" s="314">
        <f t="shared" si="18"/>
        <v>0</v>
      </c>
      <c r="AE126" s="315">
        <f t="shared" si="28"/>
        <v>0</v>
      </c>
      <c r="AF126" s="316">
        <f t="shared" si="19"/>
        <v>0</v>
      </c>
      <c r="AG126" s="314">
        <v>1</v>
      </c>
      <c r="AH126" s="314">
        <f t="shared" si="29"/>
        <v>0</v>
      </c>
      <c r="AI126" s="314">
        <f t="shared" si="30"/>
        <v>0</v>
      </c>
      <c r="AJ126" s="317"/>
      <c r="AK126" s="315" t="e">
        <f t="shared" si="31"/>
        <v>#N/A</v>
      </c>
      <c r="AM126" s="553"/>
      <c r="AN126" s="553"/>
      <c r="AO126" s="553"/>
    </row>
    <row r="127" spans="2:41">
      <c r="B127" s="296"/>
      <c r="C127" s="299"/>
      <c r="D127" s="296"/>
      <c r="E127" s="298"/>
      <c r="F127" s="299"/>
      <c r="G127" s="300"/>
      <c r="H127" s="303"/>
      <c r="I127" s="303"/>
      <c r="J127" s="322">
        <f t="shared" si="17"/>
        <v>0</v>
      </c>
      <c r="K127" s="305" t="e">
        <f>IF(F127="MXN",1/HLOOKUP(YEAR(G127)+(MONTH(G127)/100),TC!$5:$37,DAY(G127)+2,FALSE),VLOOKUP(F127,Equivalencia!$5:$23,((MAX(Equivalencia!$3:$3)-YEAR(G127))*14)+MONTH(G127)+2,FALSE))</f>
        <v>#N/A</v>
      </c>
      <c r="L127" s="306" t="e">
        <f t="shared" si="20"/>
        <v>#N/A</v>
      </c>
      <c r="M127" s="305">
        <f>IF(G127=0,0,HLOOKUP(YEAR(G127)+(MONTH(G127)/100),TC!$5:$37,DAY(G127)+2,FALSE))</f>
        <v>0</v>
      </c>
      <c r="N127" s="306" t="e">
        <f t="shared" si="21"/>
        <v>#N/A</v>
      </c>
      <c r="O127" s="308">
        <f>IF(G127=0,0,VLOOKUP(YEAR(G127),INPC!$B$4:$P$30,MONTH(G127)+2))</f>
        <v>0</v>
      </c>
      <c r="P127" s="308">
        <f>IF(W127=0,0,IF(OR(C127=$AQ$5,C127=AQ131),VLOOKUP(YEAR(W127),INPC!$B$4:$P$30,MONTH(W127)+1),VLOOKUP(YEAR(W127),INPC!$B$4:$P$30,MONTH(W127)+2)))</f>
        <v>0</v>
      </c>
      <c r="Q127" s="309">
        <f t="shared" si="22"/>
        <v>0</v>
      </c>
      <c r="R127" s="310" t="e">
        <f t="shared" si="23"/>
        <v>#N/A</v>
      </c>
      <c r="S127" s="310">
        <f t="shared" si="24"/>
        <v>0</v>
      </c>
      <c r="T127" s="559" t="str">
        <f t="shared" si="25"/>
        <v>NO</v>
      </c>
      <c r="U127" s="323"/>
      <c r="V127" s="299"/>
      <c r="W127" s="300"/>
      <c r="X127" s="299"/>
      <c r="Y127" s="303"/>
      <c r="Z127" s="305">
        <f>IF(Y127=0,0,IF(X127="MXN",1/HLOOKUP(YEAR(W127)+(MONTH(W127)/100),TC!$5:$37,DAY(W127)+2,FALSE),VLOOKUP(X127,Equivalencia!$1:$23,((MAX(Equivalencia!$3:$3)-YEAR(W127))*14)+MONTH(W127)+2,FALSE)))</f>
        <v>0</v>
      </c>
      <c r="AA127" s="306">
        <f t="shared" si="26"/>
        <v>0</v>
      </c>
      <c r="AB127" s="305">
        <f>+IF(W127=0,0,HLOOKUP(YEAR(W127)+(MONTH(W127)/100),TC!$5:$37,DAY(W127)+2,FALSE))</f>
        <v>0</v>
      </c>
      <c r="AC127" s="306">
        <f t="shared" si="27"/>
        <v>0</v>
      </c>
      <c r="AD127" s="314">
        <f t="shared" si="18"/>
        <v>0</v>
      </c>
      <c r="AE127" s="315">
        <f t="shared" si="28"/>
        <v>0</v>
      </c>
      <c r="AF127" s="316">
        <f t="shared" si="19"/>
        <v>0</v>
      </c>
      <c r="AG127" s="314">
        <v>1</v>
      </c>
      <c r="AH127" s="314">
        <f t="shared" si="29"/>
        <v>0</v>
      </c>
      <c r="AI127" s="314">
        <f t="shared" si="30"/>
        <v>0</v>
      </c>
      <c r="AJ127" s="317"/>
      <c r="AK127" s="315" t="e">
        <f t="shared" si="31"/>
        <v>#N/A</v>
      </c>
      <c r="AM127" s="553"/>
      <c r="AN127" s="553"/>
      <c r="AO127" s="553"/>
    </row>
    <row r="128" spans="2:41">
      <c r="B128" s="296"/>
      <c r="C128" s="299"/>
      <c r="D128" s="296"/>
      <c r="E128" s="298"/>
      <c r="F128" s="299"/>
      <c r="G128" s="300"/>
      <c r="H128" s="303"/>
      <c r="I128" s="303"/>
      <c r="J128" s="322">
        <f t="shared" si="17"/>
        <v>0</v>
      </c>
      <c r="K128" s="305" t="e">
        <f>IF(F128="MXN",1/HLOOKUP(YEAR(G128)+(MONTH(G128)/100),TC!$5:$37,DAY(G128)+2,FALSE),VLOOKUP(F128,Equivalencia!$5:$23,((MAX(Equivalencia!$3:$3)-YEAR(G128))*14)+MONTH(G128)+2,FALSE))</f>
        <v>#N/A</v>
      </c>
      <c r="L128" s="306" t="e">
        <f t="shared" si="20"/>
        <v>#N/A</v>
      </c>
      <c r="M128" s="305">
        <f>IF(G128=0,0,HLOOKUP(YEAR(G128)+(MONTH(G128)/100),TC!$5:$37,DAY(G128)+2,FALSE))</f>
        <v>0</v>
      </c>
      <c r="N128" s="306" t="e">
        <f t="shared" si="21"/>
        <v>#N/A</v>
      </c>
      <c r="O128" s="308">
        <f>IF(G128=0,0,VLOOKUP(YEAR(G128),INPC!$B$4:$P$30,MONTH(G128)+2))</f>
        <v>0</v>
      </c>
      <c r="P128" s="308">
        <f>IF(W128=0,0,IF(OR(C128=$AQ$5,C128=AQ132),VLOOKUP(YEAR(W128),INPC!$B$4:$P$30,MONTH(W128)+1),VLOOKUP(YEAR(W128),INPC!$B$4:$P$30,MONTH(W128)+2)))</f>
        <v>0</v>
      </c>
      <c r="Q128" s="309">
        <f t="shared" si="22"/>
        <v>0</v>
      </c>
      <c r="R128" s="310" t="e">
        <f t="shared" si="23"/>
        <v>#N/A</v>
      </c>
      <c r="S128" s="310">
        <f t="shared" si="24"/>
        <v>0</v>
      </c>
      <c r="T128" s="559" t="str">
        <f t="shared" si="25"/>
        <v>NO</v>
      </c>
      <c r="U128" s="323"/>
      <c r="V128" s="299"/>
      <c r="W128" s="300"/>
      <c r="X128" s="299"/>
      <c r="Y128" s="303"/>
      <c r="Z128" s="305">
        <f>IF(Y128=0,0,IF(X128="MXN",1/HLOOKUP(YEAR(W128)+(MONTH(W128)/100),TC!$5:$37,DAY(W128)+2,FALSE),VLOOKUP(X128,Equivalencia!$1:$23,((MAX(Equivalencia!$3:$3)-YEAR(W128))*14)+MONTH(W128)+2,FALSE)))</f>
        <v>0</v>
      </c>
      <c r="AA128" s="306">
        <f t="shared" si="26"/>
        <v>0</v>
      </c>
      <c r="AB128" s="305">
        <f>+IF(W128=0,0,HLOOKUP(YEAR(W128)+(MONTH(W128)/100),TC!$5:$37,DAY(W128)+2,FALSE))</f>
        <v>0</v>
      </c>
      <c r="AC128" s="306">
        <f t="shared" si="27"/>
        <v>0</v>
      </c>
      <c r="AD128" s="314">
        <f t="shared" si="18"/>
        <v>0</v>
      </c>
      <c r="AE128" s="315">
        <f t="shared" si="28"/>
        <v>0</v>
      </c>
      <c r="AF128" s="316">
        <f t="shared" si="19"/>
        <v>0</v>
      </c>
      <c r="AG128" s="314">
        <v>1</v>
      </c>
      <c r="AH128" s="314">
        <f t="shared" si="29"/>
        <v>0</v>
      </c>
      <c r="AI128" s="314">
        <f t="shared" si="30"/>
        <v>0</v>
      </c>
      <c r="AJ128" s="317"/>
      <c r="AK128" s="315" t="e">
        <f t="shared" si="31"/>
        <v>#N/A</v>
      </c>
      <c r="AM128" s="553"/>
      <c r="AN128" s="553"/>
      <c r="AO128" s="553"/>
    </row>
    <row r="129" spans="2:41">
      <c r="B129" s="296"/>
      <c r="C129" s="299"/>
      <c r="D129" s="296"/>
      <c r="E129" s="298"/>
      <c r="F129" s="299"/>
      <c r="G129" s="300"/>
      <c r="H129" s="303"/>
      <c r="I129" s="303"/>
      <c r="J129" s="322">
        <f t="shared" si="17"/>
        <v>0</v>
      </c>
      <c r="K129" s="305" t="e">
        <f>IF(F129="MXN",1/HLOOKUP(YEAR(G129)+(MONTH(G129)/100),TC!$5:$37,DAY(G129)+2,FALSE),VLOOKUP(F129,Equivalencia!$5:$23,((MAX(Equivalencia!$3:$3)-YEAR(G129))*14)+MONTH(G129)+2,FALSE))</f>
        <v>#N/A</v>
      </c>
      <c r="L129" s="306" t="e">
        <f t="shared" si="20"/>
        <v>#N/A</v>
      </c>
      <c r="M129" s="305">
        <f>IF(G129=0,0,HLOOKUP(YEAR(G129)+(MONTH(G129)/100),TC!$5:$37,DAY(G129)+2,FALSE))</f>
        <v>0</v>
      </c>
      <c r="N129" s="306" t="e">
        <f t="shared" si="21"/>
        <v>#N/A</v>
      </c>
      <c r="O129" s="308">
        <f>IF(G129=0,0,VLOOKUP(YEAR(G129),INPC!$B$4:$P$30,MONTH(G129)+2))</f>
        <v>0</v>
      </c>
      <c r="P129" s="308">
        <f>IF(W129=0,0,IF(OR(C129=$AQ$5,C129=AQ133),VLOOKUP(YEAR(W129),INPC!$B$4:$P$30,MONTH(W129)+1),VLOOKUP(YEAR(W129),INPC!$B$4:$P$30,MONTH(W129)+2)))</f>
        <v>0</v>
      </c>
      <c r="Q129" s="309">
        <f t="shared" si="22"/>
        <v>0</v>
      </c>
      <c r="R129" s="310" t="e">
        <f t="shared" si="23"/>
        <v>#N/A</v>
      </c>
      <c r="S129" s="310">
        <f t="shared" si="24"/>
        <v>0</v>
      </c>
      <c r="T129" s="559" t="str">
        <f t="shared" si="25"/>
        <v>NO</v>
      </c>
      <c r="U129" s="323"/>
      <c r="V129" s="299"/>
      <c r="W129" s="300"/>
      <c r="X129" s="299"/>
      <c r="Y129" s="303"/>
      <c r="Z129" s="305">
        <f>IF(Y129=0,0,IF(X129="MXN",1/HLOOKUP(YEAR(W129)+(MONTH(W129)/100),TC!$5:$37,DAY(W129)+2,FALSE),VLOOKUP(X129,Equivalencia!$1:$23,((MAX(Equivalencia!$3:$3)-YEAR(W129))*14)+MONTH(W129)+2,FALSE)))</f>
        <v>0</v>
      </c>
      <c r="AA129" s="306">
        <f t="shared" si="26"/>
        <v>0</v>
      </c>
      <c r="AB129" s="305">
        <f>+IF(W129=0,0,HLOOKUP(YEAR(W129)+(MONTH(W129)/100),TC!$5:$37,DAY(W129)+2,FALSE))</f>
        <v>0</v>
      </c>
      <c r="AC129" s="306">
        <f t="shared" si="27"/>
        <v>0</v>
      </c>
      <c r="AD129" s="314">
        <f t="shared" si="18"/>
        <v>0</v>
      </c>
      <c r="AE129" s="315">
        <f t="shared" si="28"/>
        <v>0</v>
      </c>
      <c r="AF129" s="316">
        <f t="shared" si="19"/>
        <v>0</v>
      </c>
      <c r="AG129" s="314">
        <v>1</v>
      </c>
      <c r="AH129" s="314">
        <f t="shared" si="29"/>
        <v>0</v>
      </c>
      <c r="AI129" s="314">
        <f t="shared" si="30"/>
        <v>0</v>
      </c>
      <c r="AJ129" s="317"/>
      <c r="AK129" s="315" t="e">
        <f t="shared" si="31"/>
        <v>#N/A</v>
      </c>
      <c r="AM129" s="553"/>
      <c r="AN129" s="553"/>
      <c r="AO129" s="553"/>
    </row>
    <row r="130" spans="2:41">
      <c r="B130" s="296"/>
      <c r="C130" s="299"/>
      <c r="D130" s="296"/>
      <c r="E130" s="298"/>
      <c r="F130" s="299"/>
      <c r="G130" s="300"/>
      <c r="H130" s="303"/>
      <c r="I130" s="303"/>
      <c r="J130" s="322">
        <f t="shared" ref="J130:J193" si="32">IF(E130=0,0,IF(OR(C130=$AQ$5,C130=$AQ$6),"Derivados Cap IV, Sec II - SIC &amp; BMV","Derivados Cap IX - No SIC"))</f>
        <v>0</v>
      </c>
      <c r="K130" s="305" t="e">
        <f>IF(F130="MXN",1/HLOOKUP(YEAR(G130)+(MONTH(G130)/100),TC!$5:$37,DAY(G130)+2,FALSE),VLOOKUP(F130,Equivalencia!$5:$23,((MAX(Equivalencia!$3:$3)-YEAR(G130))*14)+MONTH(G130)+2,FALSE))</f>
        <v>#N/A</v>
      </c>
      <c r="L130" s="306" t="e">
        <f t="shared" si="20"/>
        <v>#N/A</v>
      </c>
      <c r="M130" s="305">
        <f>IF(G130=0,0,HLOOKUP(YEAR(G130)+(MONTH(G130)/100),TC!$5:$37,DAY(G130)+2,FALSE))</f>
        <v>0</v>
      </c>
      <c r="N130" s="306" t="e">
        <f t="shared" si="21"/>
        <v>#N/A</v>
      </c>
      <c r="O130" s="308">
        <f>IF(G130=0,0,VLOOKUP(YEAR(G130),INPC!$B$4:$P$30,MONTH(G130)+2))</f>
        <v>0</v>
      </c>
      <c r="P130" s="308">
        <f>IF(W130=0,0,IF(OR(C130=$AQ$5,C130=AQ134),VLOOKUP(YEAR(W130),INPC!$B$4:$P$30,MONTH(W130)+1),VLOOKUP(YEAR(W130),INPC!$B$4:$P$30,MONTH(W130)+2)))</f>
        <v>0</v>
      </c>
      <c r="Q130" s="309">
        <f t="shared" si="22"/>
        <v>0</v>
      </c>
      <c r="R130" s="310" t="e">
        <f t="shared" si="23"/>
        <v>#N/A</v>
      </c>
      <c r="S130" s="310">
        <f t="shared" si="24"/>
        <v>0</v>
      </c>
      <c r="T130" s="559" t="str">
        <f t="shared" si="25"/>
        <v>NO</v>
      </c>
      <c r="U130" s="323"/>
      <c r="V130" s="299"/>
      <c r="W130" s="300"/>
      <c r="X130" s="299"/>
      <c r="Y130" s="303"/>
      <c r="Z130" s="305">
        <f>IF(Y130=0,0,IF(X130="MXN",1/HLOOKUP(YEAR(W130)+(MONTH(W130)/100),TC!$5:$37,DAY(W130)+2,FALSE),VLOOKUP(X130,Equivalencia!$1:$23,((MAX(Equivalencia!$3:$3)-YEAR(W130))*14)+MONTH(W130)+2,FALSE)))</f>
        <v>0</v>
      </c>
      <c r="AA130" s="306">
        <f t="shared" si="26"/>
        <v>0</v>
      </c>
      <c r="AB130" s="305">
        <f>+IF(W130=0,0,HLOOKUP(YEAR(W130)+(MONTH(W130)/100),TC!$5:$37,DAY(W130)+2,FALSE))</f>
        <v>0</v>
      </c>
      <c r="AC130" s="306">
        <f t="shared" si="27"/>
        <v>0</v>
      </c>
      <c r="AD130" s="314">
        <f t="shared" ref="AD130:AD193" si="33">+U130*S130</f>
        <v>0</v>
      </c>
      <c r="AE130" s="315">
        <f t="shared" si="28"/>
        <v>0</v>
      </c>
      <c r="AF130" s="316">
        <f t="shared" ref="AF130:AF193" si="34">+IF(OR(C130=$AQ$5,C130=$AQ$6),1,((W130-G130)/365))</f>
        <v>0</v>
      </c>
      <c r="AG130" s="314">
        <v>1</v>
      </c>
      <c r="AH130" s="314">
        <f t="shared" si="29"/>
        <v>0</v>
      </c>
      <c r="AI130" s="314">
        <f t="shared" si="30"/>
        <v>0</v>
      </c>
      <c r="AJ130" s="317"/>
      <c r="AK130" s="315" t="e">
        <f t="shared" si="31"/>
        <v>#N/A</v>
      </c>
      <c r="AM130" s="553"/>
      <c r="AN130" s="553"/>
      <c r="AO130" s="553"/>
    </row>
    <row r="131" spans="2:41">
      <c r="B131" s="296"/>
      <c r="C131" s="299"/>
      <c r="D131" s="296"/>
      <c r="E131" s="298"/>
      <c r="F131" s="299"/>
      <c r="G131" s="300"/>
      <c r="H131" s="303"/>
      <c r="I131" s="303"/>
      <c r="J131" s="322">
        <f t="shared" si="32"/>
        <v>0</v>
      </c>
      <c r="K131" s="305" t="e">
        <f>IF(F131="MXN",1/HLOOKUP(YEAR(G131)+(MONTH(G131)/100),TC!$5:$37,DAY(G131)+2,FALSE),VLOOKUP(F131,Equivalencia!$5:$23,((MAX(Equivalencia!$3:$3)-YEAR(G131))*14)+MONTH(G131)+2,FALSE))</f>
        <v>#N/A</v>
      </c>
      <c r="L131" s="306" t="e">
        <f t="shared" ref="L131:L194" si="35">+I131*K131</f>
        <v>#N/A</v>
      </c>
      <c r="M131" s="305">
        <f>IF(G131=0,0,HLOOKUP(YEAR(G131)+(MONTH(G131)/100),TC!$5:$37,DAY(G131)+2,FALSE))</f>
        <v>0</v>
      </c>
      <c r="N131" s="306" t="e">
        <f t="shared" ref="N131:N194" si="36">+L131*M131</f>
        <v>#N/A</v>
      </c>
      <c r="O131" s="308">
        <f>IF(G131=0,0,VLOOKUP(YEAR(G131),INPC!$B$4:$P$30,MONTH(G131)+2))</f>
        <v>0</v>
      </c>
      <c r="P131" s="308">
        <f>IF(W131=0,0,IF(OR(C131=$AQ$5,C131=AQ135),VLOOKUP(YEAR(W131),INPC!$B$4:$P$30,MONTH(W131)+1),VLOOKUP(YEAR(W131),INPC!$B$4:$P$30,MONTH(W131)+2)))</f>
        <v>0</v>
      </c>
      <c r="Q131" s="309">
        <f t="shared" ref="Q131:Q194" si="37">IF(W131=0,0,IF(TRUNC(P131/O131,4)&gt;=1,TRUNC(P131/O131,4),1))</f>
        <v>0</v>
      </c>
      <c r="R131" s="310" t="e">
        <f t="shared" ref="R131:R194" si="38">+Q131*N131</f>
        <v>#N/A</v>
      </c>
      <c r="S131" s="310">
        <f t="shared" ref="S131:S194" si="39">IF(U131=0,0,R131/U131)</f>
        <v>0</v>
      </c>
      <c r="T131" s="559" t="str">
        <f t="shared" ref="T131:T194" si="40">+IF(W131=0,"NO","SI")</f>
        <v>NO</v>
      </c>
      <c r="U131" s="323"/>
      <c r="V131" s="299"/>
      <c r="W131" s="300"/>
      <c r="X131" s="299"/>
      <c r="Y131" s="303"/>
      <c r="Z131" s="305">
        <f>IF(Y131=0,0,IF(X131="MXN",1/HLOOKUP(YEAR(W131)+(MONTH(W131)/100),TC!$5:$37,DAY(W131)+2,FALSE),VLOOKUP(X131,Equivalencia!$1:$23,((MAX(Equivalencia!$3:$3)-YEAR(W131))*14)+MONTH(W131)+2,FALSE)))</f>
        <v>0</v>
      </c>
      <c r="AA131" s="306">
        <f t="shared" ref="AA131:AA194" si="41">+Z131*Y131</f>
        <v>0</v>
      </c>
      <c r="AB131" s="305">
        <f>+IF(W131=0,0,HLOOKUP(YEAR(W131)+(MONTH(W131)/100),TC!$5:$37,DAY(W131)+2,FALSE))</f>
        <v>0</v>
      </c>
      <c r="AC131" s="306">
        <f t="shared" ref="AC131:AC194" si="42">+AB131*AA131</f>
        <v>0</v>
      </c>
      <c r="AD131" s="314">
        <f t="shared" si="33"/>
        <v>0</v>
      </c>
      <c r="AE131" s="315">
        <f t="shared" ref="AE131:AE194" si="43">AC131+AD131</f>
        <v>0</v>
      </c>
      <c r="AF131" s="316">
        <f t="shared" si="34"/>
        <v>0</v>
      </c>
      <c r="AG131" s="314">
        <v>1</v>
      </c>
      <c r="AH131" s="314">
        <f t="shared" ref="AH131:AH194" si="44">(AE131/AG131)</f>
        <v>0</v>
      </c>
      <c r="AI131" s="314">
        <f t="shared" ref="AI131:AI194" si="45">+AE131-AH131</f>
        <v>0</v>
      </c>
      <c r="AJ131" s="317"/>
      <c r="AK131" s="315" t="e">
        <f t="shared" ref="AK131:AK194" si="46">+AA131+L131</f>
        <v>#N/A</v>
      </c>
      <c r="AM131" s="553"/>
      <c r="AN131" s="553"/>
      <c r="AO131" s="553"/>
    </row>
    <row r="132" spans="2:41">
      <c r="B132" s="296"/>
      <c r="C132" s="299"/>
      <c r="D132" s="296"/>
      <c r="E132" s="298"/>
      <c r="F132" s="299"/>
      <c r="G132" s="300"/>
      <c r="H132" s="303"/>
      <c r="I132" s="303"/>
      <c r="J132" s="322">
        <f t="shared" si="32"/>
        <v>0</v>
      </c>
      <c r="K132" s="305" t="e">
        <f>IF(F132="MXN",1/HLOOKUP(YEAR(G132)+(MONTH(G132)/100),TC!$5:$37,DAY(G132)+2,FALSE),VLOOKUP(F132,Equivalencia!$5:$23,((MAX(Equivalencia!$3:$3)-YEAR(G132))*14)+MONTH(G132)+2,FALSE))</f>
        <v>#N/A</v>
      </c>
      <c r="L132" s="306" t="e">
        <f t="shared" si="35"/>
        <v>#N/A</v>
      </c>
      <c r="M132" s="305">
        <f>IF(G132=0,0,HLOOKUP(YEAR(G132)+(MONTH(G132)/100),TC!$5:$37,DAY(G132)+2,FALSE))</f>
        <v>0</v>
      </c>
      <c r="N132" s="306" t="e">
        <f t="shared" si="36"/>
        <v>#N/A</v>
      </c>
      <c r="O132" s="308">
        <f>IF(G132=0,0,VLOOKUP(YEAR(G132),INPC!$B$4:$P$30,MONTH(G132)+2))</f>
        <v>0</v>
      </c>
      <c r="P132" s="308">
        <f>IF(W132=0,0,IF(OR(C132=$AQ$5,C132=AQ136),VLOOKUP(YEAR(W132),INPC!$B$4:$P$30,MONTH(W132)+1),VLOOKUP(YEAR(W132),INPC!$B$4:$P$30,MONTH(W132)+2)))</f>
        <v>0</v>
      </c>
      <c r="Q132" s="309">
        <f t="shared" si="37"/>
        <v>0</v>
      </c>
      <c r="R132" s="310" t="e">
        <f t="shared" si="38"/>
        <v>#N/A</v>
      </c>
      <c r="S132" s="310">
        <f t="shared" si="39"/>
        <v>0</v>
      </c>
      <c r="T132" s="559" t="str">
        <f t="shared" si="40"/>
        <v>NO</v>
      </c>
      <c r="U132" s="323"/>
      <c r="V132" s="299"/>
      <c r="W132" s="300"/>
      <c r="X132" s="299"/>
      <c r="Y132" s="303"/>
      <c r="Z132" s="305">
        <f>IF(Y132=0,0,IF(X132="MXN",1/HLOOKUP(YEAR(W132)+(MONTH(W132)/100),TC!$5:$37,DAY(W132)+2,FALSE),VLOOKUP(X132,Equivalencia!$1:$23,((MAX(Equivalencia!$3:$3)-YEAR(W132))*14)+MONTH(W132)+2,FALSE)))</f>
        <v>0</v>
      </c>
      <c r="AA132" s="306">
        <f t="shared" si="41"/>
        <v>0</v>
      </c>
      <c r="AB132" s="305">
        <f>+IF(W132=0,0,HLOOKUP(YEAR(W132)+(MONTH(W132)/100),TC!$5:$37,DAY(W132)+2,FALSE))</f>
        <v>0</v>
      </c>
      <c r="AC132" s="306">
        <f t="shared" si="42"/>
        <v>0</v>
      </c>
      <c r="AD132" s="314">
        <f t="shared" si="33"/>
        <v>0</v>
      </c>
      <c r="AE132" s="315">
        <f t="shared" si="43"/>
        <v>0</v>
      </c>
      <c r="AF132" s="316">
        <f t="shared" si="34"/>
        <v>0</v>
      </c>
      <c r="AG132" s="314">
        <v>1</v>
      </c>
      <c r="AH132" s="314">
        <f t="shared" si="44"/>
        <v>0</v>
      </c>
      <c r="AI132" s="314">
        <f t="shared" si="45"/>
        <v>0</v>
      </c>
      <c r="AJ132" s="317"/>
      <c r="AK132" s="315" t="e">
        <f t="shared" si="46"/>
        <v>#N/A</v>
      </c>
      <c r="AM132" s="553"/>
      <c r="AN132" s="553"/>
      <c r="AO132" s="553"/>
    </row>
    <row r="133" spans="2:41">
      <c r="B133" s="296"/>
      <c r="C133" s="299"/>
      <c r="D133" s="296"/>
      <c r="E133" s="298"/>
      <c r="F133" s="299"/>
      <c r="G133" s="300"/>
      <c r="H133" s="303"/>
      <c r="I133" s="303"/>
      <c r="J133" s="322">
        <f t="shared" si="32"/>
        <v>0</v>
      </c>
      <c r="K133" s="305" t="e">
        <f>IF(F133="MXN",1/HLOOKUP(YEAR(G133)+(MONTH(G133)/100),TC!$5:$37,DAY(G133)+2,FALSE),VLOOKUP(F133,Equivalencia!$5:$23,((MAX(Equivalencia!$3:$3)-YEAR(G133))*14)+MONTH(G133)+2,FALSE))</f>
        <v>#N/A</v>
      </c>
      <c r="L133" s="306" t="e">
        <f t="shared" si="35"/>
        <v>#N/A</v>
      </c>
      <c r="M133" s="305">
        <f>IF(G133=0,0,HLOOKUP(YEAR(G133)+(MONTH(G133)/100),TC!$5:$37,DAY(G133)+2,FALSE))</f>
        <v>0</v>
      </c>
      <c r="N133" s="306" t="e">
        <f t="shared" si="36"/>
        <v>#N/A</v>
      </c>
      <c r="O133" s="308">
        <f>IF(G133=0,0,VLOOKUP(YEAR(G133),INPC!$B$4:$P$30,MONTH(G133)+2))</f>
        <v>0</v>
      </c>
      <c r="P133" s="308">
        <f>IF(W133=0,0,IF(OR(C133=$AQ$5,C133=AQ137),VLOOKUP(YEAR(W133),INPC!$B$4:$P$30,MONTH(W133)+1),VLOOKUP(YEAR(W133),INPC!$B$4:$P$30,MONTH(W133)+2)))</f>
        <v>0</v>
      </c>
      <c r="Q133" s="309">
        <f t="shared" si="37"/>
        <v>0</v>
      </c>
      <c r="R133" s="310" t="e">
        <f t="shared" si="38"/>
        <v>#N/A</v>
      </c>
      <c r="S133" s="310">
        <f t="shared" si="39"/>
        <v>0</v>
      </c>
      <c r="T133" s="559" t="str">
        <f t="shared" si="40"/>
        <v>NO</v>
      </c>
      <c r="U133" s="323"/>
      <c r="V133" s="299"/>
      <c r="W133" s="300"/>
      <c r="X133" s="299"/>
      <c r="Y133" s="303"/>
      <c r="Z133" s="305">
        <f>IF(Y133=0,0,IF(X133="MXN",1/HLOOKUP(YEAR(W133)+(MONTH(W133)/100),TC!$5:$37,DAY(W133)+2,FALSE),VLOOKUP(X133,Equivalencia!$1:$23,((MAX(Equivalencia!$3:$3)-YEAR(W133))*14)+MONTH(W133)+2,FALSE)))</f>
        <v>0</v>
      </c>
      <c r="AA133" s="306">
        <f t="shared" si="41"/>
        <v>0</v>
      </c>
      <c r="AB133" s="305">
        <f>+IF(W133=0,0,HLOOKUP(YEAR(W133)+(MONTH(W133)/100),TC!$5:$37,DAY(W133)+2,FALSE))</f>
        <v>0</v>
      </c>
      <c r="AC133" s="306">
        <f t="shared" si="42"/>
        <v>0</v>
      </c>
      <c r="AD133" s="314">
        <f t="shared" si="33"/>
        <v>0</v>
      </c>
      <c r="AE133" s="315">
        <f t="shared" si="43"/>
        <v>0</v>
      </c>
      <c r="AF133" s="316">
        <f t="shared" si="34"/>
        <v>0</v>
      </c>
      <c r="AG133" s="314">
        <v>1</v>
      </c>
      <c r="AH133" s="314">
        <f t="shared" si="44"/>
        <v>0</v>
      </c>
      <c r="AI133" s="314">
        <f t="shared" si="45"/>
        <v>0</v>
      </c>
      <c r="AJ133" s="317"/>
      <c r="AK133" s="315" t="e">
        <f t="shared" si="46"/>
        <v>#N/A</v>
      </c>
      <c r="AM133" s="553"/>
      <c r="AN133" s="553"/>
      <c r="AO133" s="553"/>
    </row>
    <row r="134" spans="2:41">
      <c r="B134" s="296"/>
      <c r="C134" s="299"/>
      <c r="D134" s="296"/>
      <c r="E134" s="298"/>
      <c r="F134" s="299"/>
      <c r="G134" s="300"/>
      <c r="H134" s="303"/>
      <c r="I134" s="303"/>
      <c r="J134" s="322">
        <f t="shared" si="32"/>
        <v>0</v>
      </c>
      <c r="K134" s="305" t="e">
        <f>IF(F134="MXN",1/HLOOKUP(YEAR(G134)+(MONTH(G134)/100),TC!$5:$37,DAY(G134)+2,FALSE),VLOOKUP(F134,Equivalencia!$5:$23,((MAX(Equivalencia!$3:$3)-YEAR(G134))*14)+MONTH(G134)+2,FALSE))</f>
        <v>#N/A</v>
      </c>
      <c r="L134" s="306" t="e">
        <f t="shared" si="35"/>
        <v>#N/A</v>
      </c>
      <c r="M134" s="305">
        <f>IF(G134=0,0,HLOOKUP(YEAR(G134)+(MONTH(G134)/100),TC!$5:$37,DAY(G134)+2,FALSE))</f>
        <v>0</v>
      </c>
      <c r="N134" s="306" t="e">
        <f t="shared" si="36"/>
        <v>#N/A</v>
      </c>
      <c r="O134" s="308">
        <f>IF(G134=0,0,VLOOKUP(YEAR(G134),INPC!$B$4:$P$30,MONTH(G134)+2))</f>
        <v>0</v>
      </c>
      <c r="P134" s="308">
        <f>IF(W134=0,0,IF(OR(C134=$AQ$5,C134=AQ138),VLOOKUP(YEAR(W134),INPC!$B$4:$P$30,MONTH(W134)+1),VLOOKUP(YEAR(W134),INPC!$B$4:$P$30,MONTH(W134)+2)))</f>
        <v>0</v>
      </c>
      <c r="Q134" s="309">
        <f t="shared" si="37"/>
        <v>0</v>
      </c>
      <c r="R134" s="310" t="e">
        <f t="shared" si="38"/>
        <v>#N/A</v>
      </c>
      <c r="S134" s="310">
        <f t="shared" si="39"/>
        <v>0</v>
      </c>
      <c r="T134" s="559" t="str">
        <f t="shared" si="40"/>
        <v>NO</v>
      </c>
      <c r="U134" s="323"/>
      <c r="V134" s="299"/>
      <c r="W134" s="300"/>
      <c r="X134" s="299"/>
      <c r="Y134" s="303"/>
      <c r="Z134" s="305">
        <f>IF(Y134=0,0,IF(X134="MXN",1/HLOOKUP(YEAR(W134)+(MONTH(W134)/100),TC!$5:$37,DAY(W134)+2,FALSE),VLOOKUP(X134,Equivalencia!$1:$23,((MAX(Equivalencia!$3:$3)-YEAR(W134))*14)+MONTH(W134)+2,FALSE)))</f>
        <v>0</v>
      </c>
      <c r="AA134" s="306">
        <f t="shared" si="41"/>
        <v>0</v>
      </c>
      <c r="AB134" s="305">
        <f>+IF(W134=0,0,HLOOKUP(YEAR(W134)+(MONTH(W134)/100),TC!$5:$37,DAY(W134)+2,FALSE))</f>
        <v>0</v>
      </c>
      <c r="AC134" s="306">
        <f t="shared" si="42"/>
        <v>0</v>
      </c>
      <c r="AD134" s="314">
        <f t="shared" si="33"/>
        <v>0</v>
      </c>
      <c r="AE134" s="315">
        <f t="shared" si="43"/>
        <v>0</v>
      </c>
      <c r="AF134" s="316">
        <f t="shared" si="34"/>
        <v>0</v>
      </c>
      <c r="AG134" s="314">
        <v>1</v>
      </c>
      <c r="AH134" s="314">
        <f t="shared" si="44"/>
        <v>0</v>
      </c>
      <c r="AI134" s="314">
        <f t="shared" si="45"/>
        <v>0</v>
      </c>
      <c r="AJ134" s="317"/>
      <c r="AK134" s="315" t="e">
        <f t="shared" si="46"/>
        <v>#N/A</v>
      </c>
      <c r="AM134" s="553"/>
      <c r="AN134" s="553"/>
      <c r="AO134" s="553"/>
    </row>
    <row r="135" spans="2:41">
      <c r="B135" s="296"/>
      <c r="C135" s="299"/>
      <c r="D135" s="296"/>
      <c r="E135" s="298"/>
      <c r="F135" s="299"/>
      <c r="G135" s="300"/>
      <c r="H135" s="303"/>
      <c r="I135" s="303"/>
      <c r="J135" s="322">
        <f t="shared" si="32"/>
        <v>0</v>
      </c>
      <c r="K135" s="305" t="e">
        <f>IF(F135="MXN",1/HLOOKUP(YEAR(G135)+(MONTH(G135)/100),TC!$5:$37,DAY(G135)+2,FALSE),VLOOKUP(F135,Equivalencia!$5:$23,((MAX(Equivalencia!$3:$3)-YEAR(G135))*14)+MONTH(G135)+2,FALSE))</f>
        <v>#N/A</v>
      </c>
      <c r="L135" s="306" t="e">
        <f t="shared" si="35"/>
        <v>#N/A</v>
      </c>
      <c r="M135" s="305">
        <f>IF(G135=0,0,HLOOKUP(YEAR(G135)+(MONTH(G135)/100),TC!$5:$37,DAY(G135)+2,FALSE))</f>
        <v>0</v>
      </c>
      <c r="N135" s="306" t="e">
        <f t="shared" si="36"/>
        <v>#N/A</v>
      </c>
      <c r="O135" s="308">
        <f>IF(G135=0,0,VLOOKUP(YEAR(G135),INPC!$B$4:$P$30,MONTH(G135)+2))</f>
        <v>0</v>
      </c>
      <c r="P135" s="308">
        <f>IF(W135=0,0,IF(OR(C135=$AQ$5,C135=AQ139),VLOOKUP(YEAR(W135),INPC!$B$4:$P$30,MONTH(W135)+1),VLOOKUP(YEAR(W135),INPC!$B$4:$P$30,MONTH(W135)+2)))</f>
        <v>0</v>
      </c>
      <c r="Q135" s="309">
        <f t="shared" si="37"/>
        <v>0</v>
      </c>
      <c r="R135" s="310" t="e">
        <f t="shared" si="38"/>
        <v>#N/A</v>
      </c>
      <c r="S135" s="310">
        <f t="shared" si="39"/>
        <v>0</v>
      </c>
      <c r="T135" s="559" t="str">
        <f t="shared" si="40"/>
        <v>NO</v>
      </c>
      <c r="U135" s="323"/>
      <c r="V135" s="299"/>
      <c r="W135" s="300"/>
      <c r="X135" s="299"/>
      <c r="Y135" s="303"/>
      <c r="Z135" s="305">
        <f>IF(Y135=0,0,IF(X135="MXN",1/HLOOKUP(YEAR(W135)+(MONTH(W135)/100),TC!$5:$37,DAY(W135)+2,FALSE),VLOOKUP(X135,Equivalencia!$1:$23,((MAX(Equivalencia!$3:$3)-YEAR(W135))*14)+MONTH(W135)+2,FALSE)))</f>
        <v>0</v>
      </c>
      <c r="AA135" s="306">
        <f t="shared" si="41"/>
        <v>0</v>
      </c>
      <c r="AB135" s="305">
        <f>+IF(W135=0,0,HLOOKUP(YEAR(W135)+(MONTH(W135)/100),TC!$5:$37,DAY(W135)+2,FALSE))</f>
        <v>0</v>
      </c>
      <c r="AC135" s="306">
        <f t="shared" si="42"/>
        <v>0</v>
      </c>
      <c r="AD135" s="314">
        <f t="shared" si="33"/>
        <v>0</v>
      </c>
      <c r="AE135" s="315">
        <f t="shared" si="43"/>
        <v>0</v>
      </c>
      <c r="AF135" s="316">
        <f t="shared" si="34"/>
        <v>0</v>
      </c>
      <c r="AG135" s="314">
        <v>1</v>
      </c>
      <c r="AH135" s="314">
        <f t="shared" si="44"/>
        <v>0</v>
      </c>
      <c r="AI135" s="314">
        <f t="shared" si="45"/>
        <v>0</v>
      </c>
      <c r="AJ135" s="317"/>
      <c r="AK135" s="315" t="e">
        <f t="shared" si="46"/>
        <v>#N/A</v>
      </c>
      <c r="AM135" s="553"/>
      <c r="AN135" s="553"/>
      <c r="AO135" s="553"/>
    </row>
    <row r="136" spans="2:41">
      <c r="B136" s="296"/>
      <c r="C136" s="299"/>
      <c r="D136" s="296"/>
      <c r="E136" s="298"/>
      <c r="F136" s="299"/>
      <c r="G136" s="300"/>
      <c r="H136" s="303"/>
      <c r="I136" s="303"/>
      <c r="J136" s="322">
        <f t="shared" si="32"/>
        <v>0</v>
      </c>
      <c r="K136" s="305" t="e">
        <f>IF(F136="MXN",1/HLOOKUP(YEAR(G136)+(MONTH(G136)/100),TC!$5:$37,DAY(G136)+2,FALSE),VLOOKUP(F136,Equivalencia!$5:$23,((MAX(Equivalencia!$3:$3)-YEAR(G136))*14)+MONTH(G136)+2,FALSE))</f>
        <v>#N/A</v>
      </c>
      <c r="L136" s="306" t="e">
        <f t="shared" si="35"/>
        <v>#N/A</v>
      </c>
      <c r="M136" s="305">
        <f>IF(G136=0,0,HLOOKUP(YEAR(G136)+(MONTH(G136)/100),TC!$5:$37,DAY(G136)+2,FALSE))</f>
        <v>0</v>
      </c>
      <c r="N136" s="306" t="e">
        <f t="shared" si="36"/>
        <v>#N/A</v>
      </c>
      <c r="O136" s="308">
        <f>IF(G136=0,0,VLOOKUP(YEAR(G136),INPC!$B$4:$P$30,MONTH(G136)+2))</f>
        <v>0</v>
      </c>
      <c r="P136" s="308">
        <f>IF(W136=0,0,IF(OR(C136=$AQ$5,C136=AQ140),VLOOKUP(YEAR(W136),INPC!$B$4:$P$30,MONTH(W136)+1),VLOOKUP(YEAR(W136),INPC!$B$4:$P$30,MONTH(W136)+2)))</f>
        <v>0</v>
      </c>
      <c r="Q136" s="309">
        <f t="shared" si="37"/>
        <v>0</v>
      </c>
      <c r="R136" s="310" t="e">
        <f t="shared" si="38"/>
        <v>#N/A</v>
      </c>
      <c r="S136" s="310">
        <f t="shared" si="39"/>
        <v>0</v>
      </c>
      <c r="T136" s="559" t="str">
        <f t="shared" si="40"/>
        <v>NO</v>
      </c>
      <c r="U136" s="323"/>
      <c r="V136" s="299"/>
      <c r="W136" s="300"/>
      <c r="X136" s="299"/>
      <c r="Y136" s="303"/>
      <c r="Z136" s="305">
        <f>IF(Y136=0,0,IF(X136="MXN",1/HLOOKUP(YEAR(W136)+(MONTH(W136)/100),TC!$5:$37,DAY(W136)+2,FALSE),VLOOKUP(X136,Equivalencia!$1:$23,((MAX(Equivalencia!$3:$3)-YEAR(W136))*14)+MONTH(W136)+2,FALSE)))</f>
        <v>0</v>
      </c>
      <c r="AA136" s="306">
        <f t="shared" si="41"/>
        <v>0</v>
      </c>
      <c r="AB136" s="305">
        <f>+IF(W136=0,0,HLOOKUP(YEAR(W136)+(MONTH(W136)/100),TC!$5:$37,DAY(W136)+2,FALSE))</f>
        <v>0</v>
      </c>
      <c r="AC136" s="306">
        <f t="shared" si="42"/>
        <v>0</v>
      </c>
      <c r="AD136" s="314">
        <f t="shared" si="33"/>
        <v>0</v>
      </c>
      <c r="AE136" s="315">
        <f t="shared" si="43"/>
        <v>0</v>
      </c>
      <c r="AF136" s="316">
        <f t="shared" si="34"/>
        <v>0</v>
      </c>
      <c r="AG136" s="314">
        <v>1</v>
      </c>
      <c r="AH136" s="314">
        <f t="shared" si="44"/>
        <v>0</v>
      </c>
      <c r="AI136" s="314">
        <f t="shared" si="45"/>
        <v>0</v>
      </c>
      <c r="AJ136" s="317"/>
      <c r="AK136" s="315" t="e">
        <f t="shared" si="46"/>
        <v>#N/A</v>
      </c>
      <c r="AM136" s="553"/>
      <c r="AN136" s="553"/>
      <c r="AO136" s="553"/>
    </row>
    <row r="137" spans="2:41">
      <c r="B137" s="296"/>
      <c r="C137" s="299"/>
      <c r="D137" s="296"/>
      <c r="E137" s="298"/>
      <c r="F137" s="299"/>
      <c r="G137" s="300"/>
      <c r="H137" s="303"/>
      <c r="I137" s="303"/>
      <c r="J137" s="322">
        <f t="shared" si="32"/>
        <v>0</v>
      </c>
      <c r="K137" s="305" t="e">
        <f>IF(F137="MXN",1/HLOOKUP(YEAR(G137)+(MONTH(G137)/100),TC!$5:$37,DAY(G137)+2,FALSE),VLOOKUP(F137,Equivalencia!$5:$23,((MAX(Equivalencia!$3:$3)-YEAR(G137))*14)+MONTH(G137)+2,FALSE))</f>
        <v>#N/A</v>
      </c>
      <c r="L137" s="306" t="e">
        <f t="shared" si="35"/>
        <v>#N/A</v>
      </c>
      <c r="M137" s="305">
        <f>IF(G137=0,0,HLOOKUP(YEAR(G137)+(MONTH(G137)/100),TC!$5:$37,DAY(G137)+2,FALSE))</f>
        <v>0</v>
      </c>
      <c r="N137" s="306" t="e">
        <f t="shared" si="36"/>
        <v>#N/A</v>
      </c>
      <c r="O137" s="308">
        <f>IF(G137=0,0,VLOOKUP(YEAR(G137),INPC!$B$4:$P$30,MONTH(G137)+2))</f>
        <v>0</v>
      </c>
      <c r="P137" s="308">
        <f>IF(W137=0,0,IF(OR(C137=$AQ$5,C137=AQ141),VLOOKUP(YEAR(W137),INPC!$B$4:$P$30,MONTH(W137)+1),VLOOKUP(YEAR(W137),INPC!$B$4:$P$30,MONTH(W137)+2)))</f>
        <v>0</v>
      </c>
      <c r="Q137" s="309">
        <f t="shared" si="37"/>
        <v>0</v>
      </c>
      <c r="R137" s="310" t="e">
        <f t="shared" si="38"/>
        <v>#N/A</v>
      </c>
      <c r="S137" s="310">
        <f t="shared" si="39"/>
        <v>0</v>
      </c>
      <c r="T137" s="559" t="str">
        <f t="shared" si="40"/>
        <v>NO</v>
      </c>
      <c r="U137" s="323"/>
      <c r="V137" s="299"/>
      <c r="W137" s="300"/>
      <c r="X137" s="299"/>
      <c r="Y137" s="303"/>
      <c r="Z137" s="305">
        <f>IF(Y137=0,0,IF(X137="MXN",1/HLOOKUP(YEAR(W137)+(MONTH(W137)/100),TC!$5:$37,DAY(W137)+2,FALSE),VLOOKUP(X137,Equivalencia!$1:$23,((MAX(Equivalencia!$3:$3)-YEAR(W137))*14)+MONTH(W137)+2,FALSE)))</f>
        <v>0</v>
      </c>
      <c r="AA137" s="306">
        <f t="shared" si="41"/>
        <v>0</v>
      </c>
      <c r="AB137" s="305">
        <f>+IF(W137=0,0,HLOOKUP(YEAR(W137)+(MONTH(W137)/100),TC!$5:$37,DAY(W137)+2,FALSE))</f>
        <v>0</v>
      </c>
      <c r="AC137" s="306">
        <f t="shared" si="42"/>
        <v>0</v>
      </c>
      <c r="AD137" s="314">
        <f t="shared" si="33"/>
        <v>0</v>
      </c>
      <c r="AE137" s="315">
        <f t="shared" si="43"/>
        <v>0</v>
      </c>
      <c r="AF137" s="316">
        <f t="shared" si="34"/>
        <v>0</v>
      </c>
      <c r="AG137" s="314">
        <v>1</v>
      </c>
      <c r="AH137" s="314">
        <f t="shared" si="44"/>
        <v>0</v>
      </c>
      <c r="AI137" s="314">
        <f t="shared" si="45"/>
        <v>0</v>
      </c>
      <c r="AJ137" s="317"/>
      <c r="AK137" s="315" t="e">
        <f t="shared" si="46"/>
        <v>#N/A</v>
      </c>
      <c r="AM137" s="553"/>
      <c r="AN137" s="553"/>
      <c r="AO137" s="553"/>
    </row>
    <row r="138" spans="2:41">
      <c r="B138" s="296"/>
      <c r="C138" s="299"/>
      <c r="D138" s="296"/>
      <c r="E138" s="298"/>
      <c r="F138" s="299"/>
      <c r="G138" s="300"/>
      <c r="H138" s="303"/>
      <c r="I138" s="303"/>
      <c r="J138" s="322">
        <f t="shared" si="32"/>
        <v>0</v>
      </c>
      <c r="K138" s="305" t="e">
        <f>IF(F138="MXN",1/HLOOKUP(YEAR(G138)+(MONTH(G138)/100),TC!$5:$37,DAY(G138)+2,FALSE),VLOOKUP(F138,Equivalencia!$5:$23,((MAX(Equivalencia!$3:$3)-YEAR(G138))*14)+MONTH(G138)+2,FALSE))</f>
        <v>#N/A</v>
      </c>
      <c r="L138" s="306" t="e">
        <f t="shared" si="35"/>
        <v>#N/A</v>
      </c>
      <c r="M138" s="305">
        <f>IF(G138=0,0,HLOOKUP(YEAR(G138)+(MONTH(G138)/100),TC!$5:$37,DAY(G138)+2,FALSE))</f>
        <v>0</v>
      </c>
      <c r="N138" s="306" t="e">
        <f t="shared" si="36"/>
        <v>#N/A</v>
      </c>
      <c r="O138" s="308">
        <f>IF(G138=0,0,VLOOKUP(YEAR(G138),INPC!$B$4:$P$30,MONTH(G138)+2))</f>
        <v>0</v>
      </c>
      <c r="P138" s="308">
        <f>IF(W138=0,0,IF(OR(C138=$AQ$5,C138=AQ142),VLOOKUP(YEAR(W138),INPC!$B$4:$P$30,MONTH(W138)+1),VLOOKUP(YEAR(W138),INPC!$B$4:$P$30,MONTH(W138)+2)))</f>
        <v>0</v>
      </c>
      <c r="Q138" s="309">
        <f t="shared" si="37"/>
        <v>0</v>
      </c>
      <c r="R138" s="310" t="e">
        <f t="shared" si="38"/>
        <v>#N/A</v>
      </c>
      <c r="S138" s="310">
        <f t="shared" si="39"/>
        <v>0</v>
      </c>
      <c r="T138" s="559" t="str">
        <f t="shared" si="40"/>
        <v>NO</v>
      </c>
      <c r="U138" s="323"/>
      <c r="V138" s="299"/>
      <c r="W138" s="300"/>
      <c r="X138" s="299"/>
      <c r="Y138" s="303"/>
      <c r="Z138" s="305">
        <f>IF(Y138=0,0,IF(X138="MXN",1/HLOOKUP(YEAR(W138)+(MONTH(W138)/100),TC!$5:$37,DAY(W138)+2,FALSE),VLOOKUP(X138,Equivalencia!$1:$23,((MAX(Equivalencia!$3:$3)-YEAR(W138))*14)+MONTH(W138)+2,FALSE)))</f>
        <v>0</v>
      </c>
      <c r="AA138" s="306">
        <f t="shared" si="41"/>
        <v>0</v>
      </c>
      <c r="AB138" s="305">
        <f>+IF(W138=0,0,HLOOKUP(YEAR(W138)+(MONTH(W138)/100),TC!$5:$37,DAY(W138)+2,FALSE))</f>
        <v>0</v>
      </c>
      <c r="AC138" s="306">
        <f t="shared" si="42"/>
        <v>0</v>
      </c>
      <c r="AD138" s="314">
        <f t="shared" si="33"/>
        <v>0</v>
      </c>
      <c r="AE138" s="315">
        <f t="shared" si="43"/>
        <v>0</v>
      </c>
      <c r="AF138" s="316">
        <f t="shared" si="34"/>
        <v>0</v>
      </c>
      <c r="AG138" s="314">
        <v>1</v>
      </c>
      <c r="AH138" s="314">
        <f t="shared" si="44"/>
        <v>0</v>
      </c>
      <c r="AI138" s="314">
        <f t="shared" si="45"/>
        <v>0</v>
      </c>
      <c r="AJ138" s="317"/>
      <c r="AK138" s="315" t="e">
        <f t="shared" si="46"/>
        <v>#N/A</v>
      </c>
      <c r="AM138" s="553"/>
      <c r="AN138" s="553"/>
      <c r="AO138" s="553"/>
    </row>
    <row r="139" spans="2:41">
      <c r="B139" s="296"/>
      <c r="C139" s="299"/>
      <c r="D139" s="296"/>
      <c r="E139" s="298"/>
      <c r="F139" s="299"/>
      <c r="G139" s="300"/>
      <c r="H139" s="303"/>
      <c r="I139" s="303"/>
      <c r="J139" s="322">
        <f t="shared" si="32"/>
        <v>0</v>
      </c>
      <c r="K139" s="305" t="e">
        <f>IF(F139="MXN",1/HLOOKUP(YEAR(G139)+(MONTH(G139)/100),TC!$5:$37,DAY(G139)+2,FALSE),VLOOKUP(F139,Equivalencia!$5:$23,((MAX(Equivalencia!$3:$3)-YEAR(G139))*14)+MONTH(G139)+2,FALSE))</f>
        <v>#N/A</v>
      </c>
      <c r="L139" s="306" t="e">
        <f t="shared" si="35"/>
        <v>#N/A</v>
      </c>
      <c r="M139" s="305">
        <f>IF(G139=0,0,HLOOKUP(YEAR(G139)+(MONTH(G139)/100),TC!$5:$37,DAY(G139)+2,FALSE))</f>
        <v>0</v>
      </c>
      <c r="N139" s="306" t="e">
        <f t="shared" si="36"/>
        <v>#N/A</v>
      </c>
      <c r="O139" s="308">
        <f>IF(G139=0,0,VLOOKUP(YEAR(G139),INPC!$B$4:$P$30,MONTH(G139)+2))</f>
        <v>0</v>
      </c>
      <c r="P139" s="308">
        <f>IF(W139=0,0,IF(OR(C139=$AQ$5,C139=AQ143),VLOOKUP(YEAR(W139),INPC!$B$4:$P$30,MONTH(W139)+1),VLOOKUP(YEAR(W139),INPC!$B$4:$P$30,MONTH(W139)+2)))</f>
        <v>0</v>
      </c>
      <c r="Q139" s="309">
        <f t="shared" si="37"/>
        <v>0</v>
      </c>
      <c r="R139" s="310" t="e">
        <f t="shared" si="38"/>
        <v>#N/A</v>
      </c>
      <c r="S139" s="310">
        <f t="shared" si="39"/>
        <v>0</v>
      </c>
      <c r="T139" s="559" t="str">
        <f t="shared" si="40"/>
        <v>NO</v>
      </c>
      <c r="U139" s="323"/>
      <c r="V139" s="299"/>
      <c r="W139" s="300"/>
      <c r="X139" s="299"/>
      <c r="Y139" s="303"/>
      <c r="Z139" s="305">
        <f>IF(Y139=0,0,IF(X139="MXN",1/HLOOKUP(YEAR(W139)+(MONTH(W139)/100),TC!$5:$37,DAY(W139)+2,FALSE),VLOOKUP(X139,Equivalencia!$1:$23,((MAX(Equivalencia!$3:$3)-YEAR(W139))*14)+MONTH(W139)+2,FALSE)))</f>
        <v>0</v>
      </c>
      <c r="AA139" s="306">
        <f t="shared" si="41"/>
        <v>0</v>
      </c>
      <c r="AB139" s="305">
        <f>+IF(W139=0,0,HLOOKUP(YEAR(W139)+(MONTH(W139)/100),TC!$5:$37,DAY(W139)+2,FALSE))</f>
        <v>0</v>
      </c>
      <c r="AC139" s="306">
        <f t="shared" si="42"/>
        <v>0</v>
      </c>
      <c r="AD139" s="314">
        <f t="shared" si="33"/>
        <v>0</v>
      </c>
      <c r="AE139" s="315">
        <f t="shared" si="43"/>
        <v>0</v>
      </c>
      <c r="AF139" s="316">
        <f t="shared" si="34"/>
        <v>0</v>
      </c>
      <c r="AG139" s="314">
        <v>1</v>
      </c>
      <c r="AH139" s="314">
        <f t="shared" si="44"/>
        <v>0</v>
      </c>
      <c r="AI139" s="314">
        <f t="shared" si="45"/>
        <v>0</v>
      </c>
      <c r="AJ139" s="317"/>
      <c r="AK139" s="315" t="e">
        <f t="shared" si="46"/>
        <v>#N/A</v>
      </c>
      <c r="AM139" s="553"/>
      <c r="AN139" s="553"/>
      <c r="AO139" s="553"/>
    </row>
    <row r="140" spans="2:41">
      <c r="B140" s="296"/>
      <c r="C140" s="299"/>
      <c r="D140" s="296"/>
      <c r="E140" s="298"/>
      <c r="F140" s="299"/>
      <c r="G140" s="300"/>
      <c r="H140" s="303"/>
      <c r="I140" s="303"/>
      <c r="J140" s="322">
        <f t="shared" si="32"/>
        <v>0</v>
      </c>
      <c r="K140" s="305" t="e">
        <f>IF(F140="MXN",1/HLOOKUP(YEAR(G140)+(MONTH(G140)/100),TC!$5:$37,DAY(G140)+2,FALSE),VLOOKUP(F140,Equivalencia!$5:$23,((MAX(Equivalencia!$3:$3)-YEAR(G140))*14)+MONTH(G140)+2,FALSE))</f>
        <v>#N/A</v>
      </c>
      <c r="L140" s="306" t="e">
        <f t="shared" si="35"/>
        <v>#N/A</v>
      </c>
      <c r="M140" s="305">
        <f>IF(G140=0,0,HLOOKUP(YEAR(G140)+(MONTH(G140)/100),TC!$5:$37,DAY(G140)+2,FALSE))</f>
        <v>0</v>
      </c>
      <c r="N140" s="306" t="e">
        <f t="shared" si="36"/>
        <v>#N/A</v>
      </c>
      <c r="O140" s="308">
        <f>IF(G140=0,0,VLOOKUP(YEAR(G140),INPC!$B$4:$P$30,MONTH(G140)+2))</f>
        <v>0</v>
      </c>
      <c r="P140" s="308">
        <f>IF(W140=0,0,IF(OR(C140=$AQ$5,C140=AQ144),VLOOKUP(YEAR(W140),INPC!$B$4:$P$30,MONTH(W140)+1),VLOOKUP(YEAR(W140),INPC!$B$4:$P$30,MONTH(W140)+2)))</f>
        <v>0</v>
      </c>
      <c r="Q140" s="309">
        <f t="shared" si="37"/>
        <v>0</v>
      </c>
      <c r="R140" s="310" t="e">
        <f t="shared" si="38"/>
        <v>#N/A</v>
      </c>
      <c r="S140" s="310">
        <f t="shared" si="39"/>
        <v>0</v>
      </c>
      <c r="T140" s="559" t="str">
        <f t="shared" si="40"/>
        <v>NO</v>
      </c>
      <c r="U140" s="323"/>
      <c r="V140" s="299"/>
      <c r="W140" s="300"/>
      <c r="X140" s="299"/>
      <c r="Y140" s="303"/>
      <c r="Z140" s="305">
        <f>IF(Y140=0,0,IF(X140="MXN",1/HLOOKUP(YEAR(W140)+(MONTH(W140)/100),TC!$5:$37,DAY(W140)+2,FALSE),VLOOKUP(X140,Equivalencia!$1:$23,((MAX(Equivalencia!$3:$3)-YEAR(W140))*14)+MONTH(W140)+2,FALSE)))</f>
        <v>0</v>
      </c>
      <c r="AA140" s="306">
        <f t="shared" si="41"/>
        <v>0</v>
      </c>
      <c r="AB140" s="305">
        <f>+IF(W140=0,0,HLOOKUP(YEAR(W140)+(MONTH(W140)/100),TC!$5:$37,DAY(W140)+2,FALSE))</f>
        <v>0</v>
      </c>
      <c r="AC140" s="306">
        <f t="shared" si="42"/>
        <v>0</v>
      </c>
      <c r="AD140" s="314">
        <f t="shared" si="33"/>
        <v>0</v>
      </c>
      <c r="AE140" s="315">
        <f t="shared" si="43"/>
        <v>0</v>
      </c>
      <c r="AF140" s="316">
        <f t="shared" si="34"/>
        <v>0</v>
      </c>
      <c r="AG140" s="314">
        <v>1</v>
      </c>
      <c r="AH140" s="314">
        <f t="shared" si="44"/>
        <v>0</v>
      </c>
      <c r="AI140" s="314">
        <f t="shared" si="45"/>
        <v>0</v>
      </c>
      <c r="AJ140" s="317"/>
      <c r="AK140" s="315" t="e">
        <f t="shared" si="46"/>
        <v>#N/A</v>
      </c>
      <c r="AM140" s="553"/>
      <c r="AN140" s="553"/>
      <c r="AO140" s="553"/>
    </row>
    <row r="141" spans="2:41">
      <c r="B141" s="296"/>
      <c r="C141" s="299"/>
      <c r="D141" s="296"/>
      <c r="E141" s="298"/>
      <c r="F141" s="299"/>
      <c r="G141" s="300"/>
      <c r="H141" s="303"/>
      <c r="I141" s="303"/>
      <c r="J141" s="322">
        <f t="shared" si="32"/>
        <v>0</v>
      </c>
      <c r="K141" s="305" t="e">
        <f>IF(F141="MXN",1/HLOOKUP(YEAR(G141)+(MONTH(G141)/100),TC!$5:$37,DAY(G141)+2,FALSE),VLOOKUP(F141,Equivalencia!$5:$23,((MAX(Equivalencia!$3:$3)-YEAR(G141))*14)+MONTH(G141)+2,FALSE))</f>
        <v>#N/A</v>
      </c>
      <c r="L141" s="306" t="e">
        <f t="shared" si="35"/>
        <v>#N/A</v>
      </c>
      <c r="M141" s="305">
        <f>IF(G141=0,0,HLOOKUP(YEAR(G141)+(MONTH(G141)/100),TC!$5:$37,DAY(G141)+2,FALSE))</f>
        <v>0</v>
      </c>
      <c r="N141" s="306" t="e">
        <f t="shared" si="36"/>
        <v>#N/A</v>
      </c>
      <c r="O141" s="308">
        <f>IF(G141=0,0,VLOOKUP(YEAR(G141),INPC!$B$4:$P$30,MONTH(G141)+2))</f>
        <v>0</v>
      </c>
      <c r="P141" s="308">
        <f>IF(W141=0,0,IF(OR(C141=$AQ$5,C141=AQ145),VLOOKUP(YEAR(W141),INPC!$B$4:$P$30,MONTH(W141)+1),VLOOKUP(YEAR(W141),INPC!$B$4:$P$30,MONTH(W141)+2)))</f>
        <v>0</v>
      </c>
      <c r="Q141" s="309">
        <f t="shared" si="37"/>
        <v>0</v>
      </c>
      <c r="R141" s="310" t="e">
        <f t="shared" si="38"/>
        <v>#N/A</v>
      </c>
      <c r="S141" s="310">
        <f t="shared" si="39"/>
        <v>0</v>
      </c>
      <c r="T141" s="559" t="str">
        <f t="shared" si="40"/>
        <v>NO</v>
      </c>
      <c r="U141" s="323"/>
      <c r="V141" s="299"/>
      <c r="W141" s="300"/>
      <c r="X141" s="299"/>
      <c r="Y141" s="303"/>
      <c r="Z141" s="305">
        <f>IF(Y141=0,0,IF(X141="MXN",1/HLOOKUP(YEAR(W141)+(MONTH(W141)/100),TC!$5:$37,DAY(W141)+2,FALSE),VLOOKUP(X141,Equivalencia!$1:$23,((MAX(Equivalencia!$3:$3)-YEAR(W141))*14)+MONTH(W141)+2,FALSE)))</f>
        <v>0</v>
      </c>
      <c r="AA141" s="306">
        <f t="shared" si="41"/>
        <v>0</v>
      </c>
      <c r="AB141" s="305">
        <f>+IF(W141=0,0,HLOOKUP(YEAR(W141)+(MONTH(W141)/100),TC!$5:$37,DAY(W141)+2,FALSE))</f>
        <v>0</v>
      </c>
      <c r="AC141" s="306">
        <f t="shared" si="42"/>
        <v>0</v>
      </c>
      <c r="AD141" s="314">
        <f t="shared" si="33"/>
        <v>0</v>
      </c>
      <c r="AE141" s="315">
        <f t="shared" si="43"/>
        <v>0</v>
      </c>
      <c r="AF141" s="316">
        <f t="shared" si="34"/>
        <v>0</v>
      </c>
      <c r="AG141" s="314">
        <v>1</v>
      </c>
      <c r="AH141" s="314">
        <f t="shared" si="44"/>
        <v>0</v>
      </c>
      <c r="AI141" s="314">
        <f t="shared" si="45"/>
        <v>0</v>
      </c>
      <c r="AJ141" s="317"/>
      <c r="AK141" s="315" t="e">
        <f t="shared" si="46"/>
        <v>#N/A</v>
      </c>
      <c r="AM141" s="553"/>
      <c r="AN141" s="553"/>
      <c r="AO141" s="553"/>
    </row>
    <row r="142" spans="2:41">
      <c r="B142" s="296"/>
      <c r="C142" s="299"/>
      <c r="D142" s="296"/>
      <c r="E142" s="298"/>
      <c r="F142" s="299"/>
      <c r="G142" s="300"/>
      <c r="H142" s="303"/>
      <c r="I142" s="303"/>
      <c r="J142" s="322">
        <f t="shared" si="32"/>
        <v>0</v>
      </c>
      <c r="K142" s="305" t="e">
        <f>IF(F142="MXN",1/HLOOKUP(YEAR(G142)+(MONTH(G142)/100),TC!$5:$37,DAY(G142)+2,FALSE),VLOOKUP(F142,Equivalencia!$5:$23,((MAX(Equivalencia!$3:$3)-YEAR(G142))*14)+MONTH(G142)+2,FALSE))</f>
        <v>#N/A</v>
      </c>
      <c r="L142" s="306" t="e">
        <f t="shared" si="35"/>
        <v>#N/A</v>
      </c>
      <c r="M142" s="305">
        <f>IF(G142=0,0,HLOOKUP(YEAR(G142)+(MONTH(G142)/100),TC!$5:$37,DAY(G142)+2,FALSE))</f>
        <v>0</v>
      </c>
      <c r="N142" s="306" t="e">
        <f t="shared" si="36"/>
        <v>#N/A</v>
      </c>
      <c r="O142" s="308">
        <f>IF(G142=0,0,VLOOKUP(YEAR(G142),INPC!$B$4:$P$30,MONTH(G142)+2))</f>
        <v>0</v>
      </c>
      <c r="P142" s="308">
        <f>IF(W142=0,0,IF(OR(C142=$AQ$5,C142=AQ146),VLOOKUP(YEAR(W142),INPC!$B$4:$P$30,MONTH(W142)+1),VLOOKUP(YEAR(W142),INPC!$B$4:$P$30,MONTH(W142)+2)))</f>
        <v>0</v>
      </c>
      <c r="Q142" s="309">
        <f t="shared" si="37"/>
        <v>0</v>
      </c>
      <c r="R142" s="310" t="e">
        <f t="shared" si="38"/>
        <v>#N/A</v>
      </c>
      <c r="S142" s="310">
        <f t="shared" si="39"/>
        <v>0</v>
      </c>
      <c r="T142" s="559" t="str">
        <f t="shared" si="40"/>
        <v>NO</v>
      </c>
      <c r="U142" s="323"/>
      <c r="V142" s="299"/>
      <c r="W142" s="300"/>
      <c r="X142" s="299"/>
      <c r="Y142" s="303"/>
      <c r="Z142" s="305">
        <f>IF(Y142=0,0,IF(X142="MXN",1/HLOOKUP(YEAR(W142)+(MONTH(W142)/100),TC!$5:$37,DAY(W142)+2,FALSE),VLOOKUP(X142,Equivalencia!$1:$23,((MAX(Equivalencia!$3:$3)-YEAR(W142))*14)+MONTH(W142)+2,FALSE)))</f>
        <v>0</v>
      </c>
      <c r="AA142" s="306">
        <f t="shared" si="41"/>
        <v>0</v>
      </c>
      <c r="AB142" s="305">
        <f>+IF(W142=0,0,HLOOKUP(YEAR(W142)+(MONTH(W142)/100),TC!$5:$37,DAY(W142)+2,FALSE))</f>
        <v>0</v>
      </c>
      <c r="AC142" s="306">
        <f t="shared" si="42"/>
        <v>0</v>
      </c>
      <c r="AD142" s="314">
        <f t="shared" si="33"/>
        <v>0</v>
      </c>
      <c r="AE142" s="315">
        <f t="shared" si="43"/>
        <v>0</v>
      </c>
      <c r="AF142" s="316">
        <f t="shared" si="34"/>
        <v>0</v>
      </c>
      <c r="AG142" s="314">
        <v>1</v>
      </c>
      <c r="AH142" s="314">
        <f t="shared" si="44"/>
        <v>0</v>
      </c>
      <c r="AI142" s="314">
        <f t="shared" si="45"/>
        <v>0</v>
      </c>
      <c r="AJ142" s="317"/>
      <c r="AK142" s="315" t="e">
        <f t="shared" si="46"/>
        <v>#N/A</v>
      </c>
      <c r="AM142" s="553"/>
      <c r="AN142" s="553"/>
      <c r="AO142" s="553"/>
    </row>
    <row r="143" spans="2:41">
      <c r="B143" s="296"/>
      <c r="C143" s="299"/>
      <c r="D143" s="296"/>
      <c r="E143" s="298"/>
      <c r="F143" s="299"/>
      <c r="G143" s="300"/>
      <c r="H143" s="303"/>
      <c r="I143" s="303"/>
      <c r="J143" s="322">
        <f t="shared" si="32"/>
        <v>0</v>
      </c>
      <c r="K143" s="305" t="e">
        <f>IF(F143="MXN",1/HLOOKUP(YEAR(G143)+(MONTH(G143)/100),TC!$5:$37,DAY(G143)+2,FALSE),VLOOKUP(F143,Equivalencia!$5:$23,((MAX(Equivalencia!$3:$3)-YEAR(G143))*14)+MONTH(G143)+2,FALSE))</f>
        <v>#N/A</v>
      </c>
      <c r="L143" s="306" t="e">
        <f t="shared" si="35"/>
        <v>#N/A</v>
      </c>
      <c r="M143" s="305">
        <f>IF(G143=0,0,HLOOKUP(YEAR(G143)+(MONTH(G143)/100),TC!$5:$37,DAY(G143)+2,FALSE))</f>
        <v>0</v>
      </c>
      <c r="N143" s="306" t="e">
        <f t="shared" si="36"/>
        <v>#N/A</v>
      </c>
      <c r="O143" s="308">
        <f>IF(G143=0,0,VLOOKUP(YEAR(G143),INPC!$B$4:$P$30,MONTH(G143)+2))</f>
        <v>0</v>
      </c>
      <c r="P143" s="308">
        <f>IF(W143=0,0,IF(OR(C143=$AQ$5,C143=AQ147),VLOOKUP(YEAR(W143),INPC!$B$4:$P$30,MONTH(W143)+1),VLOOKUP(YEAR(W143),INPC!$B$4:$P$30,MONTH(W143)+2)))</f>
        <v>0</v>
      </c>
      <c r="Q143" s="309">
        <f t="shared" si="37"/>
        <v>0</v>
      </c>
      <c r="R143" s="310" t="e">
        <f t="shared" si="38"/>
        <v>#N/A</v>
      </c>
      <c r="S143" s="310">
        <f t="shared" si="39"/>
        <v>0</v>
      </c>
      <c r="T143" s="559" t="str">
        <f t="shared" si="40"/>
        <v>NO</v>
      </c>
      <c r="U143" s="323"/>
      <c r="V143" s="299"/>
      <c r="W143" s="300"/>
      <c r="X143" s="299"/>
      <c r="Y143" s="303"/>
      <c r="Z143" s="305">
        <f>IF(Y143=0,0,IF(X143="MXN",1/HLOOKUP(YEAR(W143)+(MONTH(W143)/100),TC!$5:$37,DAY(W143)+2,FALSE),VLOOKUP(X143,Equivalencia!$1:$23,((MAX(Equivalencia!$3:$3)-YEAR(W143))*14)+MONTH(W143)+2,FALSE)))</f>
        <v>0</v>
      </c>
      <c r="AA143" s="306">
        <f t="shared" si="41"/>
        <v>0</v>
      </c>
      <c r="AB143" s="305">
        <f>+IF(W143=0,0,HLOOKUP(YEAR(W143)+(MONTH(W143)/100),TC!$5:$37,DAY(W143)+2,FALSE))</f>
        <v>0</v>
      </c>
      <c r="AC143" s="306">
        <f t="shared" si="42"/>
        <v>0</v>
      </c>
      <c r="AD143" s="314">
        <f t="shared" si="33"/>
        <v>0</v>
      </c>
      <c r="AE143" s="315">
        <f t="shared" si="43"/>
        <v>0</v>
      </c>
      <c r="AF143" s="316">
        <f t="shared" si="34"/>
        <v>0</v>
      </c>
      <c r="AG143" s="314">
        <v>1</v>
      </c>
      <c r="AH143" s="314">
        <f t="shared" si="44"/>
        <v>0</v>
      </c>
      <c r="AI143" s="314">
        <f t="shared" si="45"/>
        <v>0</v>
      </c>
      <c r="AJ143" s="317"/>
      <c r="AK143" s="315" t="e">
        <f t="shared" si="46"/>
        <v>#N/A</v>
      </c>
      <c r="AM143" s="553"/>
      <c r="AN143" s="553"/>
      <c r="AO143" s="553"/>
    </row>
    <row r="144" spans="2:41">
      <c r="B144" s="296"/>
      <c r="C144" s="299"/>
      <c r="D144" s="296"/>
      <c r="E144" s="298"/>
      <c r="F144" s="299"/>
      <c r="G144" s="300"/>
      <c r="H144" s="303"/>
      <c r="I144" s="303"/>
      <c r="J144" s="322">
        <f t="shared" si="32"/>
        <v>0</v>
      </c>
      <c r="K144" s="305" t="e">
        <f>IF(F144="MXN",1/HLOOKUP(YEAR(G144)+(MONTH(G144)/100),TC!$5:$37,DAY(G144)+2,FALSE),VLOOKUP(F144,Equivalencia!$5:$23,((MAX(Equivalencia!$3:$3)-YEAR(G144))*14)+MONTH(G144)+2,FALSE))</f>
        <v>#N/A</v>
      </c>
      <c r="L144" s="306" t="e">
        <f t="shared" si="35"/>
        <v>#N/A</v>
      </c>
      <c r="M144" s="305">
        <f>IF(G144=0,0,HLOOKUP(YEAR(G144)+(MONTH(G144)/100),TC!$5:$37,DAY(G144)+2,FALSE))</f>
        <v>0</v>
      </c>
      <c r="N144" s="306" t="e">
        <f t="shared" si="36"/>
        <v>#N/A</v>
      </c>
      <c r="O144" s="308">
        <f>IF(G144=0,0,VLOOKUP(YEAR(G144),INPC!$B$4:$P$30,MONTH(G144)+2))</f>
        <v>0</v>
      </c>
      <c r="P144" s="308">
        <f>IF(W144=0,0,IF(OR(C144=$AQ$5,C144=AQ148),VLOOKUP(YEAR(W144),INPC!$B$4:$P$30,MONTH(W144)+1),VLOOKUP(YEAR(W144),INPC!$B$4:$P$30,MONTH(W144)+2)))</f>
        <v>0</v>
      </c>
      <c r="Q144" s="309">
        <f t="shared" si="37"/>
        <v>0</v>
      </c>
      <c r="R144" s="310" t="e">
        <f t="shared" si="38"/>
        <v>#N/A</v>
      </c>
      <c r="S144" s="310">
        <f t="shared" si="39"/>
        <v>0</v>
      </c>
      <c r="T144" s="559" t="str">
        <f t="shared" si="40"/>
        <v>NO</v>
      </c>
      <c r="U144" s="323"/>
      <c r="V144" s="299"/>
      <c r="W144" s="300"/>
      <c r="X144" s="299"/>
      <c r="Y144" s="303"/>
      <c r="Z144" s="305">
        <f>IF(Y144=0,0,IF(X144="MXN",1/HLOOKUP(YEAR(W144)+(MONTH(W144)/100),TC!$5:$37,DAY(W144)+2,FALSE),VLOOKUP(X144,Equivalencia!$1:$23,((MAX(Equivalencia!$3:$3)-YEAR(W144))*14)+MONTH(W144)+2,FALSE)))</f>
        <v>0</v>
      </c>
      <c r="AA144" s="306">
        <f t="shared" si="41"/>
        <v>0</v>
      </c>
      <c r="AB144" s="305">
        <f>+IF(W144=0,0,HLOOKUP(YEAR(W144)+(MONTH(W144)/100),TC!$5:$37,DAY(W144)+2,FALSE))</f>
        <v>0</v>
      </c>
      <c r="AC144" s="306">
        <f t="shared" si="42"/>
        <v>0</v>
      </c>
      <c r="AD144" s="314">
        <f t="shared" si="33"/>
        <v>0</v>
      </c>
      <c r="AE144" s="315">
        <f t="shared" si="43"/>
        <v>0</v>
      </c>
      <c r="AF144" s="316">
        <f t="shared" si="34"/>
        <v>0</v>
      </c>
      <c r="AG144" s="314">
        <v>1</v>
      </c>
      <c r="AH144" s="314">
        <f t="shared" si="44"/>
        <v>0</v>
      </c>
      <c r="AI144" s="314">
        <f t="shared" si="45"/>
        <v>0</v>
      </c>
      <c r="AJ144" s="317"/>
      <c r="AK144" s="315" t="e">
        <f t="shared" si="46"/>
        <v>#N/A</v>
      </c>
      <c r="AM144" s="553"/>
      <c r="AN144" s="553"/>
      <c r="AO144" s="553"/>
    </row>
    <row r="145" spans="2:41">
      <c r="B145" s="296"/>
      <c r="C145" s="299"/>
      <c r="D145" s="296"/>
      <c r="E145" s="298"/>
      <c r="F145" s="299"/>
      <c r="G145" s="300"/>
      <c r="H145" s="303"/>
      <c r="I145" s="303"/>
      <c r="J145" s="322">
        <f t="shared" si="32"/>
        <v>0</v>
      </c>
      <c r="K145" s="305" t="e">
        <f>IF(F145="MXN",1/HLOOKUP(YEAR(G145)+(MONTH(G145)/100),TC!$5:$37,DAY(G145)+2,FALSE),VLOOKUP(F145,Equivalencia!$5:$23,((MAX(Equivalencia!$3:$3)-YEAR(G145))*14)+MONTH(G145)+2,FALSE))</f>
        <v>#N/A</v>
      </c>
      <c r="L145" s="306" t="e">
        <f t="shared" si="35"/>
        <v>#N/A</v>
      </c>
      <c r="M145" s="305">
        <f>IF(G145=0,0,HLOOKUP(YEAR(G145)+(MONTH(G145)/100),TC!$5:$37,DAY(G145)+2,FALSE))</f>
        <v>0</v>
      </c>
      <c r="N145" s="306" t="e">
        <f t="shared" si="36"/>
        <v>#N/A</v>
      </c>
      <c r="O145" s="308">
        <f>IF(G145=0,0,VLOOKUP(YEAR(G145),INPC!$B$4:$P$30,MONTH(G145)+2))</f>
        <v>0</v>
      </c>
      <c r="P145" s="308">
        <f>IF(W145=0,0,IF(OR(C145=$AQ$5,C145=AQ149),VLOOKUP(YEAR(W145),INPC!$B$4:$P$30,MONTH(W145)+1),VLOOKUP(YEAR(W145),INPC!$B$4:$P$30,MONTH(W145)+2)))</f>
        <v>0</v>
      </c>
      <c r="Q145" s="309">
        <f t="shared" si="37"/>
        <v>0</v>
      </c>
      <c r="R145" s="310" t="e">
        <f t="shared" si="38"/>
        <v>#N/A</v>
      </c>
      <c r="S145" s="310">
        <f t="shared" si="39"/>
        <v>0</v>
      </c>
      <c r="T145" s="559" t="str">
        <f t="shared" si="40"/>
        <v>NO</v>
      </c>
      <c r="U145" s="323"/>
      <c r="V145" s="299"/>
      <c r="W145" s="300"/>
      <c r="X145" s="299"/>
      <c r="Y145" s="303"/>
      <c r="Z145" s="305">
        <f>IF(Y145=0,0,IF(X145="MXN",1/HLOOKUP(YEAR(W145)+(MONTH(W145)/100),TC!$5:$37,DAY(W145)+2,FALSE),VLOOKUP(X145,Equivalencia!$1:$23,((MAX(Equivalencia!$3:$3)-YEAR(W145))*14)+MONTH(W145)+2,FALSE)))</f>
        <v>0</v>
      </c>
      <c r="AA145" s="306">
        <f t="shared" si="41"/>
        <v>0</v>
      </c>
      <c r="AB145" s="305">
        <f>+IF(W145=0,0,HLOOKUP(YEAR(W145)+(MONTH(W145)/100),TC!$5:$37,DAY(W145)+2,FALSE))</f>
        <v>0</v>
      </c>
      <c r="AC145" s="306">
        <f t="shared" si="42"/>
        <v>0</v>
      </c>
      <c r="AD145" s="314">
        <f t="shared" si="33"/>
        <v>0</v>
      </c>
      <c r="AE145" s="315">
        <f t="shared" si="43"/>
        <v>0</v>
      </c>
      <c r="AF145" s="316">
        <f t="shared" si="34"/>
        <v>0</v>
      </c>
      <c r="AG145" s="314">
        <v>1</v>
      </c>
      <c r="AH145" s="314">
        <f t="shared" si="44"/>
        <v>0</v>
      </c>
      <c r="AI145" s="314">
        <f t="shared" si="45"/>
        <v>0</v>
      </c>
      <c r="AJ145" s="317"/>
      <c r="AK145" s="315" t="e">
        <f t="shared" si="46"/>
        <v>#N/A</v>
      </c>
      <c r="AM145" s="553"/>
      <c r="AN145" s="553"/>
      <c r="AO145" s="553"/>
    </row>
    <row r="146" spans="2:41">
      <c r="B146" s="296"/>
      <c r="C146" s="299"/>
      <c r="D146" s="296"/>
      <c r="E146" s="298"/>
      <c r="F146" s="299"/>
      <c r="G146" s="300"/>
      <c r="H146" s="303"/>
      <c r="I146" s="303"/>
      <c r="J146" s="322">
        <f t="shared" si="32"/>
        <v>0</v>
      </c>
      <c r="K146" s="305" t="e">
        <f>IF(F146="MXN",1/HLOOKUP(YEAR(G146)+(MONTH(G146)/100),TC!$5:$37,DAY(G146)+2,FALSE),VLOOKUP(F146,Equivalencia!$5:$23,((MAX(Equivalencia!$3:$3)-YEAR(G146))*14)+MONTH(G146)+2,FALSE))</f>
        <v>#N/A</v>
      </c>
      <c r="L146" s="306" t="e">
        <f t="shared" si="35"/>
        <v>#N/A</v>
      </c>
      <c r="M146" s="305">
        <f>IF(G146=0,0,HLOOKUP(YEAR(G146)+(MONTH(G146)/100),TC!$5:$37,DAY(G146)+2,FALSE))</f>
        <v>0</v>
      </c>
      <c r="N146" s="306" t="e">
        <f t="shared" si="36"/>
        <v>#N/A</v>
      </c>
      <c r="O146" s="308">
        <f>IF(G146=0,0,VLOOKUP(YEAR(G146),INPC!$B$4:$P$30,MONTH(G146)+2))</f>
        <v>0</v>
      </c>
      <c r="P146" s="308">
        <f>IF(W146=0,0,IF(OR(C146=$AQ$5,C146=AQ150),VLOOKUP(YEAR(W146),INPC!$B$4:$P$30,MONTH(W146)+1),VLOOKUP(YEAR(W146),INPC!$B$4:$P$30,MONTH(W146)+2)))</f>
        <v>0</v>
      </c>
      <c r="Q146" s="309">
        <f t="shared" si="37"/>
        <v>0</v>
      </c>
      <c r="R146" s="310" t="e">
        <f t="shared" si="38"/>
        <v>#N/A</v>
      </c>
      <c r="S146" s="310">
        <f t="shared" si="39"/>
        <v>0</v>
      </c>
      <c r="T146" s="559" t="str">
        <f t="shared" si="40"/>
        <v>NO</v>
      </c>
      <c r="U146" s="323"/>
      <c r="V146" s="299"/>
      <c r="W146" s="300"/>
      <c r="X146" s="299"/>
      <c r="Y146" s="303"/>
      <c r="Z146" s="305">
        <f>IF(Y146=0,0,IF(X146="MXN",1/HLOOKUP(YEAR(W146)+(MONTH(W146)/100),TC!$5:$37,DAY(W146)+2,FALSE),VLOOKUP(X146,Equivalencia!$1:$23,((MAX(Equivalencia!$3:$3)-YEAR(W146))*14)+MONTH(W146)+2,FALSE)))</f>
        <v>0</v>
      </c>
      <c r="AA146" s="306">
        <f t="shared" si="41"/>
        <v>0</v>
      </c>
      <c r="AB146" s="305">
        <f>+IF(W146=0,0,HLOOKUP(YEAR(W146)+(MONTH(W146)/100),TC!$5:$37,DAY(W146)+2,FALSE))</f>
        <v>0</v>
      </c>
      <c r="AC146" s="306">
        <f t="shared" si="42"/>
        <v>0</v>
      </c>
      <c r="AD146" s="314">
        <f t="shared" si="33"/>
        <v>0</v>
      </c>
      <c r="AE146" s="315">
        <f t="shared" si="43"/>
        <v>0</v>
      </c>
      <c r="AF146" s="316">
        <f t="shared" si="34"/>
        <v>0</v>
      </c>
      <c r="AG146" s="314">
        <v>1</v>
      </c>
      <c r="AH146" s="314">
        <f t="shared" si="44"/>
        <v>0</v>
      </c>
      <c r="AI146" s="314">
        <f t="shared" si="45"/>
        <v>0</v>
      </c>
      <c r="AJ146" s="317"/>
      <c r="AK146" s="315" t="e">
        <f t="shared" si="46"/>
        <v>#N/A</v>
      </c>
      <c r="AM146" s="553"/>
      <c r="AN146" s="553"/>
      <c r="AO146" s="553"/>
    </row>
    <row r="147" spans="2:41">
      <c r="B147" s="296"/>
      <c r="C147" s="299"/>
      <c r="D147" s="296"/>
      <c r="E147" s="298"/>
      <c r="F147" s="299"/>
      <c r="G147" s="300"/>
      <c r="H147" s="303"/>
      <c r="I147" s="303"/>
      <c r="J147" s="322">
        <f t="shared" si="32"/>
        <v>0</v>
      </c>
      <c r="K147" s="305" t="e">
        <f>IF(F147="MXN",1/HLOOKUP(YEAR(G147)+(MONTH(G147)/100),TC!$5:$37,DAY(G147)+2,FALSE),VLOOKUP(F147,Equivalencia!$5:$23,((MAX(Equivalencia!$3:$3)-YEAR(G147))*14)+MONTH(G147)+2,FALSE))</f>
        <v>#N/A</v>
      </c>
      <c r="L147" s="306" t="e">
        <f t="shared" si="35"/>
        <v>#N/A</v>
      </c>
      <c r="M147" s="305">
        <f>IF(G147=0,0,HLOOKUP(YEAR(G147)+(MONTH(G147)/100),TC!$5:$37,DAY(G147)+2,FALSE))</f>
        <v>0</v>
      </c>
      <c r="N147" s="306" t="e">
        <f t="shared" si="36"/>
        <v>#N/A</v>
      </c>
      <c r="O147" s="308">
        <f>IF(G147=0,0,VLOOKUP(YEAR(G147),INPC!$B$4:$P$30,MONTH(G147)+2))</f>
        <v>0</v>
      </c>
      <c r="P147" s="308">
        <f>IF(W147=0,0,IF(OR(C147=$AQ$5,C147=AQ151),VLOOKUP(YEAR(W147),INPC!$B$4:$P$30,MONTH(W147)+1),VLOOKUP(YEAR(W147),INPC!$B$4:$P$30,MONTH(W147)+2)))</f>
        <v>0</v>
      </c>
      <c r="Q147" s="309">
        <f t="shared" si="37"/>
        <v>0</v>
      </c>
      <c r="R147" s="310" t="e">
        <f t="shared" si="38"/>
        <v>#N/A</v>
      </c>
      <c r="S147" s="310">
        <f t="shared" si="39"/>
        <v>0</v>
      </c>
      <c r="T147" s="559" t="str">
        <f t="shared" si="40"/>
        <v>NO</v>
      </c>
      <c r="U147" s="323"/>
      <c r="V147" s="299"/>
      <c r="W147" s="300"/>
      <c r="X147" s="299"/>
      <c r="Y147" s="303"/>
      <c r="Z147" s="305">
        <f>IF(Y147=0,0,IF(X147="MXN",1/HLOOKUP(YEAR(W147)+(MONTH(W147)/100),TC!$5:$37,DAY(W147)+2,FALSE),VLOOKUP(X147,Equivalencia!$1:$23,((MAX(Equivalencia!$3:$3)-YEAR(W147))*14)+MONTH(W147)+2,FALSE)))</f>
        <v>0</v>
      </c>
      <c r="AA147" s="306">
        <f t="shared" si="41"/>
        <v>0</v>
      </c>
      <c r="AB147" s="305">
        <f>+IF(W147=0,0,HLOOKUP(YEAR(W147)+(MONTH(W147)/100),TC!$5:$37,DAY(W147)+2,FALSE))</f>
        <v>0</v>
      </c>
      <c r="AC147" s="306">
        <f t="shared" si="42"/>
        <v>0</v>
      </c>
      <c r="AD147" s="314">
        <f t="shared" si="33"/>
        <v>0</v>
      </c>
      <c r="AE147" s="315">
        <f t="shared" si="43"/>
        <v>0</v>
      </c>
      <c r="AF147" s="316">
        <f t="shared" si="34"/>
        <v>0</v>
      </c>
      <c r="AG147" s="314">
        <v>1</v>
      </c>
      <c r="AH147" s="314">
        <f t="shared" si="44"/>
        <v>0</v>
      </c>
      <c r="AI147" s="314">
        <f t="shared" si="45"/>
        <v>0</v>
      </c>
      <c r="AJ147" s="317"/>
      <c r="AK147" s="315" t="e">
        <f t="shared" si="46"/>
        <v>#N/A</v>
      </c>
      <c r="AM147" s="553"/>
      <c r="AN147" s="553"/>
      <c r="AO147" s="553"/>
    </row>
    <row r="148" spans="2:41">
      <c r="B148" s="296"/>
      <c r="C148" s="299"/>
      <c r="D148" s="296"/>
      <c r="E148" s="298"/>
      <c r="F148" s="299"/>
      <c r="G148" s="300"/>
      <c r="H148" s="303"/>
      <c r="I148" s="303"/>
      <c r="J148" s="322">
        <f t="shared" si="32"/>
        <v>0</v>
      </c>
      <c r="K148" s="305" t="e">
        <f>IF(F148="MXN",1/HLOOKUP(YEAR(G148)+(MONTH(G148)/100),TC!$5:$37,DAY(G148)+2,FALSE),VLOOKUP(F148,Equivalencia!$5:$23,((MAX(Equivalencia!$3:$3)-YEAR(G148))*14)+MONTH(G148)+2,FALSE))</f>
        <v>#N/A</v>
      </c>
      <c r="L148" s="306" t="e">
        <f t="shared" si="35"/>
        <v>#N/A</v>
      </c>
      <c r="M148" s="305">
        <f>IF(G148=0,0,HLOOKUP(YEAR(G148)+(MONTH(G148)/100),TC!$5:$37,DAY(G148)+2,FALSE))</f>
        <v>0</v>
      </c>
      <c r="N148" s="306" t="e">
        <f t="shared" si="36"/>
        <v>#N/A</v>
      </c>
      <c r="O148" s="308">
        <f>IF(G148=0,0,VLOOKUP(YEAR(G148),INPC!$B$4:$P$30,MONTH(G148)+2))</f>
        <v>0</v>
      </c>
      <c r="P148" s="308">
        <f>IF(W148=0,0,IF(OR(C148=$AQ$5,C148=AQ152),VLOOKUP(YEAR(W148),INPC!$B$4:$P$30,MONTH(W148)+1),VLOOKUP(YEAR(W148),INPC!$B$4:$P$30,MONTH(W148)+2)))</f>
        <v>0</v>
      </c>
      <c r="Q148" s="309">
        <f t="shared" si="37"/>
        <v>0</v>
      </c>
      <c r="R148" s="310" t="e">
        <f t="shared" si="38"/>
        <v>#N/A</v>
      </c>
      <c r="S148" s="310">
        <f t="shared" si="39"/>
        <v>0</v>
      </c>
      <c r="T148" s="559" t="str">
        <f t="shared" si="40"/>
        <v>NO</v>
      </c>
      <c r="U148" s="323"/>
      <c r="V148" s="299"/>
      <c r="W148" s="300"/>
      <c r="X148" s="299"/>
      <c r="Y148" s="303"/>
      <c r="Z148" s="305">
        <f>IF(Y148=0,0,IF(X148="MXN",1/HLOOKUP(YEAR(W148)+(MONTH(W148)/100),TC!$5:$37,DAY(W148)+2,FALSE),VLOOKUP(X148,Equivalencia!$1:$23,((MAX(Equivalencia!$3:$3)-YEAR(W148))*14)+MONTH(W148)+2,FALSE)))</f>
        <v>0</v>
      </c>
      <c r="AA148" s="306">
        <f t="shared" si="41"/>
        <v>0</v>
      </c>
      <c r="AB148" s="305">
        <f>+IF(W148=0,0,HLOOKUP(YEAR(W148)+(MONTH(W148)/100),TC!$5:$37,DAY(W148)+2,FALSE))</f>
        <v>0</v>
      </c>
      <c r="AC148" s="306">
        <f t="shared" si="42"/>
        <v>0</v>
      </c>
      <c r="AD148" s="314">
        <f t="shared" si="33"/>
        <v>0</v>
      </c>
      <c r="AE148" s="315">
        <f t="shared" si="43"/>
        <v>0</v>
      </c>
      <c r="AF148" s="316">
        <f t="shared" si="34"/>
        <v>0</v>
      </c>
      <c r="AG148" s="314">
        <v>1</v>
      </c>
      <c r="AH148" s="314">
        <f t="shared" si="44"/>
        <v>0</v>
      </c>
      <c r="AI148" s="314">
        <f t="shared" si="45"/>
        <v>0</v>
      </c>
      <c r="AJ148" s="317"/>
      <c r="AK148" s="315" t="e">
        <f t="shared" si="46"/>
        <v>#N/A</v>
      </c>
      <c r="AM148" s="553"/>
      <c r="AN148" s="553"/>
      <c r="AO148" s="553"/>
    </row>
    <row r="149" spans="2:41">
      <c r="B149" s="296"/>
      <c r="C149" s="299"/>
      <c r="D149" s="296"/>
      <c r="E149" s="298"/>
      <c r="F149" s="299"/>
      <c r="G149" s="300"/>
      <c r="H149" s="303"/>
      <c r="I149" s="303"/>
      <c r="J149" s="322">
        <f t="shared" si="32"/>
        <v>0</v>
      </c>
      <c r="K149" s="305" t="e">
        <f>IF(F149="MXN",1/HLOOKUP(YEAR(G149)+(MONTH(G149)/100),TC!$5:$37,DAY(G149)+2,FALSE),VLOOKUP(F149,Equivalencia!$5:$23,((MAX(Equivalencia!$3:$3)-YEAR(G149))*14)+MONTH(G149)+2,FALSE))</f>
        <v>#N/A</v>
      </c>
      <c r="L149" s="306" t="e">
        <f t="shared" si="35"/>
        <v>#N/A</v>
      </c>
      <c r="M149" s="305">
        <f>IF(G149=0,0,HLOOKUP(YEAR(G149)+(MONTH(G149)/100),TC!$5:$37,DAY(G149)+2,FALSE))</f>
        <v>0</v>
      </c>
      <c r="N149" s="306" t="e">
        <f t="shared" si="36"/>
        <v>#N/A</v>
      </c>
      <c r="O149" s="308">
        <f>IF(G149=0,0,VLOOKUP(YEAR(G149),INPC!$B$4:$P$30,MONTH(G149)+2))</f>
        <v>0</v>
      </c>
      <c r="P149" s="308">
        <f>IF(W149=0,0,IF(OR(C149=$AQ$5,C149=AQ153),VLOOKUP(YEAR(W149),INPC!$B$4:$P$30,MONTH(W149)+1),VLOOKUP(YEAR(W149),INPC!$B$4:$P$30,MONTH(W149)+2)))</f>
        <v>0</v>
      </c>
      <c r="Q149" s="309">
        <f t="shared" si="37"/>
        <v>0</v>
      </c>
      <c r="R149" s="310" t="e">
        <f t="shared" si="38"/>
        <v>#N/A</v>
      </c>
      <c r="S149" s="310">
        <f t="shared" si="39"/>
        <v>0</v>
      </c>
      <c r="T149" s="559" t="str">
        <f t="shared" si="40"/>
        <v>NO</v>
      </c>
      <c r="U149" s="323"/>
      <c r="V149" s="299"/>
      <c r="W149" s="300"/>
      <c r="X149" s="299"/>
      <c r="Y149" s="303"/>
      <c r="Z149" s="305">
        <f>IF(Y149=0,0,IF(X149="MXN",1/HLOOKUP(YEAR(W149)+(MONTH(W149)/100),TC!$5:$37,DAY(W149)+2,FALSE),VLOOKUP(X149,Equivalencia!$1:$23,((MAX(Equivalencia!$3:$3)-YEAR(W149))*14)+MONTH(W149)+2,FALSE)))</f>
        <v>0</v>
      </c>
      <c r="AA149" s="306">
        <f t="shared" si="41"/>
        <v>0</v>
      </c>
      <c r="AB149" s="305">
        <f>+IF(W149=0,0,HLOOKUP(YEAR(W149)+(MONTH(W149)/100),TC!$5:$37,DAY(W149)+2,FALSE))</f>
        <v>0</v>
      </c>
      <c r="AC149" s="306">
        <f t="shared" si="42"/>
        <v>0</v>
      </c>
      <c r="AD149" s="314">
        <f t="shared" si="33"/>
        <v>0</v>
      </c>
      <c r="AE149" s="315">
        <f t="shared" si="43"/>
        <v>0</v>
      </c>
      <c r="AF149" s="316">
        <f t="shared" si="34"/>
        <v>0</v>
      </c>
      <c r="AG149" s="314">
        <v>1</v>
      </c>
      <c r="AH149" s="314">
        <f t="shared" si="44"/>
        <v>0</v>
      </c>
      <c r="AI149" s="314">
        <f t="shared" si="45"/>
        <v>0</v>
      </c>
      <c r="AJ149" s="317"/>
      <c r="AK149" s="315" t="e">
        <f t="shared" si="46"/>
        <v>#N/A</v>
      </c>
      <c r="AM149" s="553"/>
      <c r="AN149" s="553"/>
      <c r="AO149" s="553"/>
    </row>
    <row r="150" spans="2:41">
      <c r="B150" s="296"/>
      <c r="C150" s="299"/>
      <c r="D150" s="296"/>
      <c r="E150" s="298"/>
      <c r="F150" s="299"/>
      <c r="G150" s="300"/>
      <c r="H150" s="303"/>
      <c r="I150" s="303"/>
      <c r="J150" s="322">
        <f t="shared" si="32"/>
        <v>0</v>
      </c>
      <c r="K150" s="305" t="e">
        <f>IF(F150="MXN",1/HLOOKUP(YEAR(G150)+(MONTH(G150)/100),TC!$5:$37,DAY(G150)+2,FALSE),VLOOKUP(F150,Equivalencia!$5:$23,((MAX(Equivalencia!$3:$3)-YEAR(G150))*14)+MONTH(G150)+2,FALSE))</f>
        <v>#N/A</v>
      </c>
      <c r="L150" s="306" t="e">
        <f t="shared" si="35"/>
        <v>#N/A</v>
      </c>
      <c r="M150" s="305">
        <f>IF(G150=0,0,HLOOKUP(YEAR(G150)+(MONTH(G150)/100),TC!$5:$37,DAY(G150)+2,FALSE))</f>
        <v>0</v>
      </c>
      <c r="N150" s="306" t="e">
        <f t="shared" si="36"/>
        <v>#N/A</v>
      </c>
      <c r="O150" s="308">
        <f>IF(G150=0,0,VLOOKUP(YEAR(G150),INPC!$B$4:$P$30,MONTH(G150)+2))</f>
        <v>0</v>
      </c>
      <c r="P150" s="308">
        <f>IF(W150=0,0,IF(OR(C150=$AQ$5,C150=AQ154),VLOOKUP(YEAR(W150),INPC!$B$4:$P$30,MONTH(W150)+1),VLOOKUP(YEAR(W150),INPC!$B$4:$P$30,MONTH(W150)+2)))</f>
        <v>0</v>
      </c>
      <c r="Q150" s="309">
        <f t="shared" si="37"/>
        <v>0</v>
      </c>
      <c r="R150" s="310" t="e">
        <f t="shared" si="38"/>
        <v>#N/A</v>
      </c>
      <c r="S150" s="310">
        <f t="shared" si="39"/>
        <v>0</v>
      </c>
      <c r="T150" s="559" t="str">
        <f t="shared" si="40"/>
        <v>NO</v>
      </c>
      <c r="U150" s="323"/>
      <c r="V150" s="299"/>
      <c r="W150" s="300"/>
      <c r="X150" s="299"/>
      <c r="Y150" s="303"/>
      <c r="Z150" s="305">
        <f>IF(Y150=0,0,IF(X150="MXN",1/HLOOKUP(YEAR(W150)+(MONTH(W150)/100),TC!$5:$37,DAY(W150)+2,FALSE),VLOOKUP(X150,Equivalencia!$1:$23,((MAX(Equivalencia!$3:$3)-YEAR(W150))*14)+MONTH(W150)+2,FALSE)))</f>
        <v>0</v>
      </c>
      <c r="AA150" s="306">
        <f t="shared" si="41"/>
        <v>0</v>
      </c>
      <c r="AB150" s="305">
        <f>+IF(W150=0,0,HLOOKUP(YEAR(W150)+(MONTH(W150)/100),TC!$5:$37,DAY(W150)+2,FALSE))</f>
        <v>0</v>
      </c>
      <c r="AC150" s="306">
        <f t="shared" si="42"/>
        <v>0</v>
      </c>
      <c r="AD150" s="314">
        <f t="shared" si="33"/>
        <v>0</v>
      </c>
      <c r="AE150" s="315">
        <f t="shared" si="43"/>
        <v>0</v>
      </c>
      <c r="AF150" s="316">
        <f t="shared" si="34"/>
        <v>0</v>
      </c>
      <c r="AG150" s="314">
        <v>1</v>
      </c>
      <c r="AH150" s="314">
        <f t="shared" si="44"/>
        <v>0</v>
      </c>
      <c r="AI150" s="314">
        <f t="shared" si="45"/>
        <v>0</v>
      </c>
      <c r="AJ150" s="317"/>
      <c r="AK150" s="315" t="e">
        <f t="shared" si="46"/>
        <v>#N/A</v>
      </c>
      <c r="AM150" s="553"/>
      <c r="AN150" s="553"/>
      <c r="AO150" s="553"/>
    </row>
    <row r="151" spans="2:41">
      <c r="B151" s="296"/>
      <c r="C151" s="299"/>
      <c r="D151" s="296"/>
      <c r="E151" s="298"/>
      <c r="F151" s="299"/>
      <c r="G151" s="300"/>
      <c r="H151" s="303"/>
      <c r="I151" s="303"/>
      <c r="J151" s="322">
        <f t="shared" si="32"/>
        <v>0</v>
      </c>
      <c r="K151" s="305" t="e">
        <f>IF(F151="MXN",1/HLOOKUP(YEAR(G151)+(MONTH(G151)/100),TC!$5:$37,DAY(G151)+2,FALSE),VLOOKUP(F151,Equivalencia!$5:$23,((MAX(Equivalencia!$3:$3)-YEAR(G151))*14)+MONTH(G151)+2,FALSE))</f>
        <v>#N/A</v>
      </c>
      <c r="L151" s="306" t="e">
        <f t="shared" si="35"/>
        <v>#N/A</v>
      </c>
      <c r="M151" s="305">
        <f>IF(G151=0,0,HLOOKUP(YEAR(G151)+(MONTH(G151)/100),TC!$5:$37,DAY(G151)+2,FALSE))</f>
        <v>0</v>
      </c>
      <c r="N151" s="306" t="e">
        <f t="shared" si="36"/>
        <v>#N/A</v>
      </c>
      <c r="O151" s="308">
        <f>IF(G151=0,0,VLOOKUP(YEAR(G151),INPC!$B$4:$P$30,MONTH(G151)+2))</f>
        <v>0</v>
      </c>
      <c r="P151" s="308">
        <f>IF(W151=0,0,IF(OR(C151=$AQ$5,C151=AQ155),VLOOKUP(YEAR(W151),INPC!$B$4:$P$30,MONTH(W151)+1),VLOOKUP(YEAR(W151),INPC!$B$4:$P$30,MONTH(W151)+2)))</f>
        <v>0</v>
      </c>
      <c r="Q151" s="309">
        <f t="shared" si="37"/>
        <v>0</v>
      </c>
      <c r="R151" s="310" t="e">
        <f t="shared" si="38"/>
        <v>#N/A</v>
      </c>
      <c r="S151" s="310">
        <f t="shared" si="39"/>
        <v>0</v>
      </c>
      <c r="T151" s="559" t="str">
        <f t="shared" si="40"/>
        <v>NO</v>
      </c>
      <c r="U151" s="323"/>
      <c r="V151" s="299"/>
      <c r="W151" s="300"/>
      <c r="X151" s="299"/>
      <c r="Y151" s="303"/>
      <c r="Z151" s="305">
        <f>IF(Y151=0,0,IF(X151="MXN",1/HLOOKUP(YEAR(W151)+(MONTH(W151)/100),TC!$5:$37,DAY(W151)+2,FALSE),VLOOKUP(X151,Equivalencia!$1:$23,((MAX(Equivalencia!$3:$3)-YEAR(W151))*14)+MONTH(W151)+2,FALSE)))</f>
        <v>0</v>
      </c>
      <c r="AA151" s="306">
        <f t="shared" si="41"/>
        <v>0</v>
      </c>
      <c r="AB151" s="305">
        <f>+IF(W151=0,0,HLOOKUP(YEAR(W151)+(MONTH(W151)/100),TC!$5:$37,DAY(W151)+2,FALSE))</f>
        <v>0</v>
      </c>
      <c r="AC151" s="306">
        <f t="shared" si="42"/>
        <v>0</v>
      </c>
      <c r="AD151" s="314">
        <f t="shared" si="33"/>
        <v>0</v>
      </c>
      <c r="AE151" s="315">
        <f t="shared" si="43"/>
        <v>0</v>
      </c>
      <c r="AF151" s="316">
        <f t="shared" si="34"/>
        <v>0</v>
      </c>
      <c r="AG151" s="314">
        <v>1</v>
      </c>
      <c r="AH151" s="314">
        <f t="shared" si="44"/>
        <v>0</v>
      </c>
      <c r="AI151" s="314">
        <f t="shared" si="45"/>
        <v>0</v>
      </c>
      <c r="AJ151" s="317"/>
      <c r="AK151" s="315" t="e">
        <f t="shared" si="46"/>
        <v>#N/A</v>
      </c>
      <c r="AM151" s="553"/>
      <c r="AN151" s="553"/>
      <c r="AO151" s="553"/>
    </row>
    <row r="152" spans="2:41">
      <c r="B152" s="296"/>
      <c r="C152" s="299"/>
      <c r="D152" s="296"/>
      <c r="E152" s="298"/>
      <c r="F152" s="299"/>
      <c r="G152" s="300"/>
      <c r="H152" s="303"/>
      <c r="I152" s="303"/>
      <c r="J152" s="322">
        <f t="shared" si="32"/>
        <v>0</v>
      </c>
      <c r="K152" s="305" t="e">
        <f>IF(F152="MXN",1/HLOOKUP(YEAR(G152)+(MONTH(G152)/100),TC!$5:$37,DAY(G152)+2,FALSE),VLOOKUP(F152,Equivalencia!$5:$23,((MAX(Equivalencia!$3:$3)-YEAR(G152))*14)+MONTH(G152)+2,FALSE))</f>
        <v>#N/A</v>
      </c>
      <c r="L152" s="306" t="e">
        <f t="shared" si="35"/>
        <v>#N/A</v>
      </c>
      <c r="M152" s="305">
        <f>IF(G152=0,0,HLOOKUP(YEAR(G152)+(MONTH(G152)/100),TC!$5:$37,DAY(G152)+2,FALSE))</f>
        <v>0</v>
      </c>
      <c r="N152" s="306" t="e">
        <f t="shared" si="36"/>
        <v>#N/A</v>
      </c>
      <c r="O152" s="308">
        <f>IF(G152=0,0,VLOOKUP(YEAR(G152),INPC!$B$4:$P$30,MONTH(G152)+2))</f>
        <v>0</v>
      </c>
      <c r="P152" s="308">
        <f>IF(W152=0,0,IF(OR(C152=$AQ$5,C152=AQ156),VLOOKUP(YEAR(W152),INPC!$B$4:$P$30,MONTH(W152)+1),VLOOKUP(YEAR(W152),INPC!$B$4:$P$30,MONTH(W152)+2)))</f>
        <v>0</v>
      </c>
      <c r="Q152" s="309">
        <f t="shared" si="37"/>
        <v>0</v>
      </c>
      <c r="R152" s="310" t="e">
        <f t="shared" si="38"/>
        <v>#N/A</v>
      </c>
      <c r="S152" s="310">
        <f t="shared" si="39"/>
        <v>0</v>
      </c>
      <c r="T152" s="559" t="str">
        <f t="shared" si="40"/>
        <v>NO</v>
      </c>
      <c r="U152" s="323"/>
      <c r="V152" s="299"/>
      <c r="W152" s="300"/>
      <c r="X152" s="299"/>
      <c r="Y152" s="303"/>
      <c r="Z152" s="305">
        <f>IF(Y152=0,0,IF(X152="MXN",1/HLOOKUP(YEAR(W152)+(MONTH(W152)/100),TC!$5:$37,DAY(W152)+2,FALSE),VLOOKUP(X152,Equivalencia!$1:$23,((MAX(Equivalencia!$3:$3)-YEAR(W152))*14)+MONTH(W152)+2,FALSE)))</f>
        <v>0</v>
      </c>
      <c r="AA152" s="306">
        <f t="shared" si="41"/>
        <v>0</v>
      </c>
      <c r="AB152" s="305">
        <f>+IF(W152=0,0,HLOOKUP(YEAR(W152)+(MONTH(W152)/100),TC!$5:$37,DAY(W152)+2,FALSE))</f>
        <v>0</v>
      </c>
      <c r="AC152" s="306">
        <f t="shared" si="42"/>
        <v>0</v>
      </c>
      <c r="AD152" s="314">
        <f t="shared" si="33"/>
        <v>0</v>
      </c>
      <c r="AE152" s="315">
        <f t="shared" si="43"/>
        <v>0</v>
      </c>
      <c r="AF152" s="316">
        <f t="shared" si="34"/>
        <v>0</v>
      </c>
      <c r="AG152" s="314">
        <v>1</v>
      </c>
      <c r="AH152" s="314">
        <f t="shared" si="44"/>
        <v>0</v>
      </c>
      <c r="AI152" s="314">
        <f t="shared" si="45"/>
        <v>0</v>
      </c>
      <c r="AJ152" s="317"/>
      <c r="AK152" s="315" t="e">
        <f t="shared" si="46"/>
        <v>#N/A</v>
      </c>
      <c r="AM152" s="553"/>
      <c r="AN152" s="553"/>
      <c r="AO152" s="553"/>
    </row>
    <row r="153" spans="2:41">
      <c r="B153" s="296"/>
      <c r="C153" s="299"/>
      <c r="D153" s="296"/>
      <c r="E153" s="298"/>
      <c r="F153" s="299"/>
      <c r="G153" s="300"/>
      <c r="H153" s="303"/>
      <c r="I153" s="303"/>
      <c r="J153" s="322">
        <f t="shared" si="32"/>
        <v>0</v>
      </c>
      <c r="K153" s="305" t="e">
        <f>IF(F153="MXN",1/HLOOKUP(YEAR(G153)+(MONTH(G153)/100),TC!$5:$37,DAY(G153)+2,FALSE),VLOOKUP(F153,Equivalencia!$5:$23,((MAX(Equivalencia!$3:$3)-YEAR(G153))*14)+MONTH(G153)+2,FALSE))</f>
        <v>#N/A</v>
      </c>
      <c r="L153" s="306" t="e">
        <f t="shared" si="35"/>
        <v>#N/A</v>
      </c>
      <c r="M153" s="305">
        <f>IF(G153=0,0,HLOOKUP(YEAR(G153)+(MONTH(G153)/100),TC!$5:$37,DAY(G153)+2,FALSE))</f>
        <v>0</v>
      </c>
      <c r="N153" s="306" t="e">
        <f t="shared" si="36"/>
        <v>#N/A</v>
      </c>
      <c r="O153" s="308">
        <f>IF(G153=0,0,VLOOKUP(YEAR(G153),INPC!$B$4:$P$30,MONTH(G153)+2))</f>
        <v>0</v>
      </c>
      <c r="P153" s="308">
        <f>IF(W153=0,0,IF(OR(C153=$AQ$5,C153=AQ157),VLOOKUP(YEAR(W153),INPC!$B$4:$P$30,MONTH(W153)+1),VLOOKUP(YEAR(W153),INPC!$B$4:$P$30,MONTH(W153)+2)))</f>
        <v>0</v>
      </c>
      <c r="Q153" s="309">
        <f t="shared" si="37"/>
        <v>0</v>
      </c>
      <c r="R153" s="310" t="e">
        <f t="shared" si="38"/>
        <v>#N/A</v>
      </c>
      <c r="S153" s="310">
        <f t="shared" si="39"/>
        <v>0</v>
      </c>
      <c r="T153" s="559" t="str">
        <f t="shared" si="40"/>
        <v>NO</v>
      </c>
      <c r="U153" s="323"/>
      <c r="V153" s="299"/>
      <c r="W153" s="300"/>
      <c r="X153" s="299"/>
      <c r="Y153" s="303"/>
      <c r="Z153" s="305">
        <f>IF(Y153=0,0,IF(X153="MXN",1/HLOOKUP(YEAR(W153)+(MONTH(W153)/100),TC!$5:$37,DAY(W153)+2,FALSE),VLOOKUP(X153,Equivalencia!$1:$23,((MAX(Equivalencia!$3:$3)-YEAR(W153))*14)+MONTH(W153)+2,FALSE)))</f>
        <v>0</v>
      </c>
      <c r="AA153" s="306">
        <f t="shared" si="41"/>
        <v>0</v>
      </c>
      <c r="AB153" s="305">
        <f>+IF(W153=0,0,HLOOKUP(YEAR(W153)+(MONTH(W153)/100),TC!$5:$37,DAY(W153)+2,FALSE))</f>
        <v>0</v>
      </c>
      <c r="AC153" s="306">
        <f t="shared" si="42"/>
        <v>0</v>
      </c>
      <c r="AD153" s="314">
        <f t="shared" si="33"/>
        <v>0</v>
      </c>
      <c r="AE153" s="315">
        <f t="shared" si="43"/>
        <v>0</v>
      </c>
      <c r="AF153" s="316">
        <f t="shared" si="34"/>
        <v>0</v>
      </c>
      <c r="AG153" s="314">
        <v>1</v>
      </c>
      <c r="AH153" s="314">
        <f t="shared" si="44"/>
        <v>0</v>
      </c>
      <c r="AI153" s="314">
        <f t="shared" si="45"/>
        <v>0</v>
      </c>
      <c r="AJ153" s="317"/>
      <c r="AK153" s="315" t="e">
        <f t="shared" si="46"/>
        <v>#N/A</v>
      </c>
      <c r="AM153" s="553"/>
      <c r="AN153" s="553"/>
      <c r="AO153" s="553"/>
    </row>
    <row r="154" spans="2:41">
      <c r="B154" s="296"/>
      <c r="C154" s="299"/>
      <c r="D154" s="296"/>
      <c r="E154" s="298"/>
      <c r="F154" s="299"/>
      <c r="G154" s="300"/>
      <c r="H154" s="303"/>
      <c r="I154" s="303"/>
      <c r="J154" s="322">
        <f t="shared" si="32"/>
        <v>0</v>
      </c>
      <c r="K154" s="305" t="e">
        <f>IF(F154="MXN",1/HLOOKUP(YEAR(G154)+(MONTH(G154)/100),TC!$5:$37,DAY(G154)+2,FALSE),VLOOKUP(F154,Equivalencia!$5:$23,((MAX(Equivalencia!$3:$3)-YEAR(G154))*14)+MONTH(G154)+2,FALSE))</f>
        <v>#N/A</v>
      </c>
      <c r="L154" s="306" t="e">
        <f t="shared" si="35"/>
        <v>#N/A</v>
      </c>
      <c r="M154" s="305">
        <f>IF(G154=0,0,HLOOKUP(YEAR(G154)+(MONTH(G154)/100),TC!$5:$37,DAY(G154)+2,FALSE))</f>
        <v>0</v>
      </c>
      <c r="N154" s="306" t="e">
        <f t="shared" si="36"/>
        <v>#N/A</v>
      </c>
      <c r="O154" s="308">
        <f>IF(G154=0,0,VLOOKUP(YEAR(G154),INPC!$B$4:$P$30,MONTH(G154)+2))</f>
        <v>0</v>
      </c>
      <c r="P154" s="308">
        <f>IF(W154=0,0,IF(OR(C154=$AQ$5,C154=AQ158),VLOOKUP(YEAR(W154),INPC!$B$4:$P$30,MONTH(W154)+1),VLOOKUP(YEAR(W154),INPC!$B$4:$P$30,MONTH(W154)+2)))</f>
        <v>0</v>
      </c>
      <c r="Q154" s="309">
        <f t="shared" si="37"/>
        <v>0</v>
      </c>
      <c r="R154" s="310" t="e">
        <f t="shared" si="38"/>
        <v>#N/A</v>
      </c>
      <c r="S154" s="310">
        <f t="shared" si="39"/>
        <v>0</v>
      </c>
      <c r="T154" s="559" t="str">
        <f t="shared" si="40"/>
        <v>NO</v>
      </c>
      <c r="U154" s="323"/>
      <c r="V154" s="299"/>
      <c r="W154" s="300"/>
      <c r="X154" s="299"/>
      <c r="Y154" s="303"/>
      <c r="Z154" s="305">
        <f>IF(Y154=0,0,IF(X154="MXN",1/HLOOKUP(YEAR(W154)+(MONTH(W154)/100),TC!$5:$37,DAY(W154)+2,FALSE),VLOOKUP(X154,Equivalencia!$1:$23,((MAX(Equivalencia!$3:$3)-YEAR(W154))*14)+MONTH(W154)+2,FALSE)))</f>
        <v>0</v>
      </c>
      <c r="AA154" s="306">
        <f t="shared" si="41"/>
        <v>0</v>
      </c>
      <c r="AB154" s="305">
        <f>+IF(W154=0,0,HLOOKUP(YEAR(W154)+(MONTH(W154)/100),TC!$5:$37,DAY(W154)+2,FALSE))</f>
        <v>0</v>
      </c>
      <c r="AC154" s="306">
        <f t="shared" si="42"/>
        <v>0</v>
      </c>
      <c r="AD154" s="314">
        <f t="shared" si="33"/>
        <v>0</v>
      </c>
      <c r="AE154" s="315">
        <f t="shared" si="43"/>
        <v>0</v>
      </c>
      <c r="AF154" s="316">
        <f t="shared" si="34"/>
        <v>0</v>
      </c>
      <c r="AG154" s="314">
        <v>1</v>
      </c>
      <c r="AH154" s="314">
        <f t="shared" si="44"/>
        <v>0</v>
      </c>
      <c r="AI154" s="314">
        <f t="shared" si="45"/>
        <v>0</v>
      </c>
      <c r="AJ154" s="317"/>
      <c r="AK154" s="315" t="e">
        <f t="shared" si="46"/>
        <v>#N/A</v>
      </c>
      <c r="AM154" s="553"/>
      <c r="AN154" s="553"/>
      <c r="AO154" s="553"/>
    </row>
    <row r="155" spans="2:41">
      <c r="B155" s="296"/>
      <c r="C155" s="299"/>
      <c r="D155" s="296"/>
      <c r="E155" s="298"/>
      <c r="F155" s="299"/>
      <c r="G155" s="300"/>
      <c r="H155" s="303"/>
      <c r="I155" s="303"/>
      <c r="J155" s="322">
        <f t="shared" si="32"/>
        <v>0</v>
      </c>
      <c r="K155" s="305" t="e">
        <f>IF(F155="MXN",1/HLOOKUP(YEAR(G155)+(MONTH(G155)/100),TC!$5:$37,DAY(G155)+2,FALSE),VLOOKUP(F155,Equivalencia!$5:$23,((MAX(Equivalencia!$3:$3)-YEAR(G155))*14)+MONTH(G155)+2,FALSE))</f>
        <v>#N/A</v>
      </c>
      <c r="L155" s="306" t="e">
        <f t="shared" si="35"/>
        <v>#N/A</v>
      </c>
      <c r="M155" s="305">
        <f>IF(G155=0,0,HLOOKUP(YEAR(G155)+(MONTH(G155)/100),TC!$5:$37,DAY(G155)+2,FALSE))</f>
        <v>0</v>
      </c>
      <c r="N155" s="306" t="e">
        <f t="shared" si="36"/>
        <v>#N/A</v>
      </c>
      <c r="O155" s="308">
        <f>IF(G155=0,0,VLOOKUP(YEAR(G155),INPC!$B$4:$P$30,MONTH(G155)+2))</f>
        <v>0</v>
      </c>
      <c r="P155" s="308">
        <f>IF(W155=0,0,IF(OR(C155=$AQ$5,C155=AQ159),VLOOKUP(YEAR(W155),INPC!$B$4:$P$30,MONTH(W155)+1),VLOOKUP(YEAR(W155),INPC!$B$4:$P$30,MONTH(W155)+2)))</f>
        <v>0</v>
      </c>
      <c r="Q155" s="309">
        <f t="shared" si="37"/>
        <v>0</v>
      </c>
      <c r="R155" s="310" t="e">
        <f t="shared" si="38"/>
        <v>#N/A</v>
      </c>
      <c r="S155" s="310">
        <f t="shared" si="39"/>
        <v>0</v>
      </c>
      <c r="T155" s="559" t="str">
        <f t="shared" si="40"/>
        <v>NO</v>
      </c>
      <c r="U155" s="323"/>
      <c r="V155" s="299"/>
      <c r="W155" s="300"/>
      <c r="X155" s="299"/>
      <c r="Y155" s="303"/>
      <c r="Z155" s="305">
        <f>IF(Y155=0,0,IF(X155="MXN",1/HLOOKUP(YEAR(W155)+(MONTH(W155)/100),TC!$5:$37,DAY(W155)+2,FALSE),VLOOKUP(X155,Equivalencia!$1:$23,((MAX(Equivalencia!$3:$3)-YEAR(W155))*14)+MONTH(W155)+2,FALSE)))</f>
        <v>0</v>
      </c>
      <c r="AA155" s="306">
        <f t="shared" si="41"/>
        <v>0</v>
      </c>
      <c r="AB155" s="305">
        <f>+IF(W155=0,0,HLOOKUP(YEAR(W155)+(MONTH(W155)/100),TC!$5:$37,DAY(W155)+2,FALSE))</f>
        <v>0</v>
      </c>
      <c r="AC155" s="306">
        <f t="shared" si="42"/>
        <v>0</v>
      </c>
      <c r="AD155" s="314">
        <f t="shared" si="33"/>
        <v>0</v>
      </c>
      <c r="AE155" s="315">
        <f t="shared" si="43"/>
        <v>0</v>
      </c>
      <c r="AF155" s="316">
        <f t="shared" si="34"/>
        <v>0</v>
      </c>
      <c r="AG155" s="314">
        <v>1</v>
      </c>
      <c r="AH155" s="314">
        <f t="shared" si="44"/>
        <v>0</v>
      </c>
      <c r="AI155" s="314">
        <f t="shared" si="45"/>
        <v>0</v>
      </c>
      <c r="AJ155" s="317"/>
      <c r="AK155" s="315" t="e">
        <f t="shared" si="46"/>
        <v>#N/A</v>
      </c>
      <c r="AM155" s="553"/>
      <c r="AN155" s="553"/>
      <c r="AO155" s="553"/>
    </row>
    <row r="156" spans="2:41">
      <c r="B156" s="296"/>
      <c r="C156" s="299"/>
      <c r="D156" s="296"/>
      <c r="E156" s="298"/>
      <c r="F156" s="299"/>
      <c r="G156" s="300"/>
      <c r="H156" s="303"/>
      <c r="I156" s="303"/>
      <c r="J156" s="322">
        <f t="shared" si="32"/>
        <v>0</v>
      </c>
      <c r="K156" s="305" t="e">
        <f>IF(F156="MXN",1/HLOOKUP(YEAR(G156)+(MONTH(G156)/100),TC!$5:$37,DAY(G156)+2,FALSE),VLOOKUP(F156,Equivalencia!$5:$23,((MAX(Equivalencia!$3:$3)-YEAR(G156))*14)+MONTH(G156)+2,FALSE))</f>
        <v>#N/A</v>
      </c>
      <c r="L156" s="306" t="e">
        <f t="shared" si="35"/>
        <v>#N/A</v>
      </c>
      <c r="M156" s="305">
        <f>IF(G156=0,0,HLOOKUP(YEAR(G156)+(MONTH(G156)/100),TC!$5:$37,DAY(G156)+2,FALSE))</f>
        <v>0</v>
      </c>
      <c r="N156" s="306" t="e">
        <f t="shared" si="36"/>
        <v>#N/A</v>
      </c>
      <c r="O156" s="308">
        <f>IF(G156=0,0,VLOOKUP(YEAR(G156),INPC!$B$4:$P$30,MONTH(G156)+2))</f>
        <v>0</v>
      </c>
      <c r="P156" s="308">
        <f>IF(W156=0,0,IF(OR(C156=$AQ$5,C156=AQ160),VLOOKUP(YEAR(W156),INPC!$B$4:$P$30,MONTH(W156)+1),VLOOKUP(YEAR(W156),INPC!$B$4:$P$30,MONTH(W156)+2)))</f>
        <v>0</v>
      </c>
      <c r="Q156" s="309">
        <f t="shared" si="37"/>
        <v>0</v>
      </c>
      <c r="R156" s="310" t="e">
        <f t="shared" si="38"/>
        <v>#N/A</v>
      </c>
      <c r="S156" s="310">
        <f t="shared" si="39"/>
        <v>0</v>
      </c>
      <c r="T156" s="559" t="str">
        <f t="shared" si="40"/>
        <v>NO</v>
      </c>
      <c r="U156" s="323"/>
      <c r="V156" s="299"/>
      <c r="W156" s="300"/>
      <c r="X156" s="299"/>
      <c r="Y156" s="303"/>
      <c r="Z156" s="305">
        <f>IF(Y156=0,0,IF(X156="MXN",1/HLOOKUP(YEAR(W156)+(MONTH(W156)/100),TC!$5:$37,DAY(W156)+2,FALSE),VLOOKUP(X156,Equivalencia!$1:$23,((MAX(Equivalencia!$3:$3)-YEAR(W156))*14)+MONTH(W156)+2,FALSE)))</f>
        <v>0</v>
      </c>
      <c r="AA156" s="306">
        <f t="shared" si="41"/>
        <v>0</v>
      </c>
      <c r="AB156" s="305">
        <f>+IF(W156=0,0,HLOOKUP(YEAR(W156)+(MONTH(W156)/100),TC!$5:$37,DAY(W156)+2,FALSE))</f>
        <v>0</v>
      </c>
      <c r="AC156" s="306">
        <f t="shared" si="42"/>
        <v>0</v>
      </c>
      <c r="AD156" s="314">
        <f t="shared" si="33"/>
        <v>0</v>
      </c>
      <c r="AE156" s="315">
        <f t="shared" si="43"/>
        <v>0</v>
      </c>
      <c r="AF156" s="316">
        <f t="shared" si="34"/>
        <v>0</v>
      </c>
      <c r="AG156" s="314">
        <v>1</v>
      </c>
      <c r="AH156" s="314">
        <f t="shared" si="44"/>
        <v>0</v>
      </c>
      <c r="AI156" s="314">
        <f t="shared" si="45"/>
        <v>0</v>
      </c>
      <c r="AJ156" s="317"/>
      <c r="AK156" s="315" t="e">
        <f t="shared" si="46"/>
        <v>#N/A</v>
      </c>
      <c r="AM156" s="553"/>
      <c r="AN156" s="553"/>
      <c r="AO156" s="553"/>
    </row>
    <row r="157" spans="2:41">
      <c r="B157" s="296"/>
      <c r="C157" s="299"/>
      <c r="D157" s="296"/>
      <c r="E157" s="298"/>
      <c r="F157" s="299"/>
      <c r="G157" s="300"/>
      <c r="H157" s="303"/>
      <c r="I157" s="303"/>
      <c r="J157" s="322">
        <f t="shared" si="32"/>
        <v>0</v>
      </c>
      <c r="K157" s="305" t="e">
        <f>IF(F157="MXN",1/HLOOKUP(YEAR(G157)+(MONTH(G157)/100),TC!$5:$37,DAY(G157)+2,FALSE),VLOOKUP(F157,Equivalencia!$5:$23,((MAX(Equivalencia!$3:$3)-YEAR(G157))*14)+MONTH(G157)+2,FALSE))</f>
        <v>#N/A</v>
      </c>
      <c r="L157" s="306" t="e">
        <f t="shared" si="35"/>
        <v>#N/A</v>
      </c>
      <c r="M157" s="305">
        <f>IF(G157=0,0,HLOOKUP(YEAR(G157)+(MONTH(G157)/100),TC!$5:$37,DAY(G157)+2,FALSE))</f>
        <v>0</v>
      </c>
      <c r="N157" s="306" t="e">
        <f t="shared" si="36"/>
        <v>#N/A</v>
      </c>
      <c r="O157" s="308">
        <f>IF(G157=0,0,VLOOKUP(YEAR(G157),INPC!$B$4:$P$30,MONTH(G157)+2))</f>
        <v>0</v>
      </c>
      <c r="P157" s="308">
        <f>IF(W157=0,0,IF(OR(C157=$AQ$5,C157=AQ161),VLOOKUP(YEAR(W157),INPC!$B$4:$P$30,MONTH(W157)+1),VLOOKUP(YEAR(W157),INPC!$B$4:$P$30,MONTH(W157)+2)))</f>
        <v>0</v>
      </c>
      <c r="Q157" s="309">
        <f t="shared" si="37"/>
        <v>0</v>
      </c>
      <c r="R157" s="310" t="e">
        <f t="shared" si="38"/>
        <v>#N/A</v>
      </c>
      <c r="S157" s="310">
        <f t="shared" si="39"/>
        <v>0</v>
      </c>
      <c r="T157" s="559" t="str">
        <f t="shared" si="40"/>
        <v>NO</v>
      </c>
      <c r="U157" s="323"/>
      <c r="V157" s="299"/>
      <c r="W157" s="300"/>
      <c r="X157" s="299"/>
      <c r="Y157" s="303"/>
      <c r="Z157" s="305">
        <f>IF(Y157=0,0,IF(X157="MXN",1/HLOOKUP(YEAR(W157)+(MONTH(W157)/100),TC!$5:$37,DAY(W157)+2,FALSE),VLOOKUP(X157,Equivalencia!$1:$23,((MAX(Equivalencia!$3:$3)-YEAR(W157))*14)+MONTH(W157)+2,FALSE)))</f>
        <v>0</v>
      </c>
      <c r="AA157" s="306">
        <f t="shared" si="41"/>
        <v>0</v>
      </c>
      <c r="AB157" s="305">
        <f>+IF(W157=0,0,HLOOKUP(YEAR(W157)+(MONTH(W157)/100),TC!$5:$37,DAY(W157)+2,FALSE))</f>
        <v>0</v>
      </c>
      <c r="AC157" s="306">
        <f t="shared" si="42"/>
        <v>0</v>
      </c>
      <c r="AD157" s="314">
        <f t="shared" si="33"/>
        <v>0</v>
      </c>
      <c r="AE157" s="315">
        <f t="shared" si="43"/>
        <v>0</v>
      </c>
      <c r="AF157" s="316">
        <f t="shared" si="34"/>
        <v>0</v>
      </c>
      <c r="AG157" s="314">
        <v>1</v>
      </c>
      <c r="AH157" s="314">
        <f t="shared" si="44"/>
        <v>0</v>
      </c>
      <c r="AI157" s="314">
        <f t="shared" si="45"/>
        <v>0</v>
      </c>
      <c r="AJ157" s="317"/>
      <c r="AK157" s="315" t="e">
        <f t="shared" si="46"/>
        <v>#N/A</v>
      </c>
      <c r="AM157" s="553"/>
      <c r="AN157" s="553"/>
      <c r="AO157" s="553"/>
    </row>
    <row r="158" spans="2:41">
      <c r="B158" s="296"/>
      <c r="C158" s="299"/>
      <c r="D158" s="296"/>
      <c r="E158" s="298"/>
      <c r="F158" s="299"/>
      <c r="G158" s="300"/>
      <c r="H158" s="303"/>
      <c r="I158" s="303"/>
      <c r="J158" s="322">
        <f t="shared" si="32"/>
        <v>0</v>
      </c>
      <c r="K158" s="305" t="e">
        <f>IF(F158="MXN",1/HLOOKUP(YEAR(G158)+(MONTH(G158)/100),TC!$5:$37,DAY(G158)+2,FALSE),VLOOKUP(F158,Equivalencia!$5:$23,((MAX(Equivalencia!$3:$3)-YEAR(G158))*14)+MONTH(G158)+2,FALSE))</f>
        <v>#N/A</v>
      </c>
      <c r="L158" s="306" t="e">
        <f t="shared" si="35"/>
        <v>#N/A</v>
      </c>
      <c r="M158" s="305">
        <f>IF(G158=0,0,HLOOKUP(YEAR(G158)+(MONTH(G158)/100),TC!$5:$37,DAY(G158)+2,FALSE))</f>
        <v>0</v>
      </c>
      <c r="N158" s="306" t="e">
        <f t="shared" si="36"/>
        <v>#N/A</v>
      </c>
      <c r="O158" s="308">
        <f>IF(G158=0,0,VLOOKUP(YEAR(G158),INPC!$B$4:$P$30,MONTH(G158)+2))</f>
        <v>0</v>
      </c>
      <c r="P158" s="308">
        <f>IF(W158=0,0,IF(OR(C158=$AQ$5,C158=AQ162),VLOOKUP(YEAR(W158),INPC!$B$4:$P$30,MONTH(W158)+1),VLOOKUP(YEAR(W158),INPC!$B$4:$P$30,MONTH(W158)+2)))</f>
        <v>0</v>
      </c>
      <c r="Q158" s="309">
        <f t="shared" si="37"/>
        <v>0</v>
      </c>
      <c r="R158" s="310" t="e">
        <f t="shared" si="38"/>
        <v>#N/A</v>
      </c>
      <c r="S158" s="310">
        <f t="shared" si="39"/>
        <v>0</v>
      </c>
      <c r="T158" s="559" t="str">
        <f t="shared" si="40"/>
        <v>NO</v>
      </c>
      <c r="U158" s="323"/>
      <c r="V158" s="299"/>
      <c r="W158" s="300"/>
      <c r="X158" s="299"/>
      <c r="Y158" s="303"/>
      <c r="Z158" s="305">
        <f>IF(Y158=0,0,IF(X158="MXN",1/HLOOKUP(YEAR(W158)+(MONTH(W158)/100),TC!$5:$37,DAY(W158)+2,FALSE),VLOOKUP(X158,Equivalencia!$1:$23,((MAX(Equivalencia!$3:$3)-YEAR(W158))*14)+MONTH(W158)+2,FALSE)))</f>
        <v>0</v>
      </c>
      <c r="AA158" s="306">
        <f t="shared" si="41"/>
        <v>0</v>
      </c>
      <c r="AB158" s="305">
        <f>+IF(W158=0,0,HLOOKUP(YEAR(W158)+(MONTH(W158)/100),TC!$5:$37,DAY(W158)+2,FALSE))</f>
        <v>0</v>
      </c>
      <c r="AC158" s="306">
        <f t="shared" si="42"/>
        <v>0</v>
      </c>
      <c r="AD158" s="314">
        <f t="shared" si="33"/>
        <v>0</v>
      </c>
      <c r="AE158" s="315">
        <f t="shared" si="43"/>
        <v>0</v>
      </c>
      <c r="AF158" s="316">
        <f t="shared" si="34"/>
        <v>0</v>
      </c>
      <c r="AG158" s="314">
        <v>1</v>
      </c>
      <c r="AH158" s="314">
        <f t="shared" si="44"/>
        <v>0</v>
      </c>
      <c r="AI158" s="314">
        <f t="shared" si="45"/>
        <v>0</v>
      </c>
      <c r="AJ158" s="317"/>
      <c r="AK158" s="315" t="e">
        <f t="shared" si="46"/>
        <v>#N/A</v>
      </c>
      <c r="AM158" s="553"/>
      <c r="AN158" s="553"/>
      <c r="AO158" s="553"/>
    </row>
    <row r="159" spans="2:41">
      <c r="B159" s="296"/>
      <c r="C159" s="299"/>
      <c r="D159" s="296"/>
      <c r="E159" s="298"/>
      <c r="F159" s="299"/>
      <c r="G159" s="300"/>
      <c r="H159" s="303"/>
      <c r="I159" s="303"/>
      <c r="J159" s="322">
        <f t="shared" si="32"/>
        <v>0</v>
      </c>
      <c r="K159" s="305" t="e">
        <f>IF(F159="MXN",1/HLOOKUP(YEAR(G159)+(MONTH(G159)/100),TC!$5:$37,DAY(G159)+2,FALSE),VLOOKUP(F159,Equivalencia!$5:$23,((MAX(Equivalencia!$3:$3)-YEAR(G159))*14)+MONTH(G159)+2,FALSE))</f>
        <v>#N/A</v>
      </c>
      <c r="L159" s="306" t="e">
        <f t="shared" si="35"/>
        <v>#N/A</v>
      </c>
      <c r="M159" s="305">
        <f>IF(G159=0,0,HLOOKUP(YEAR(G159)+(MONTH(G159)/100),TC!$5:$37,DAY(G159)+2,FALSE))</f>
        <v>0</v>
      </c>
      <c r="N159" s="306" t="e">
        <f t="shared" si="36"/>
        <v>#N/A</v>
      </c>
      <c r="O159" s="308">
        <f>IF(G159=0,0,VLOOKUP(YEAR(G159),INPC!$B$4:$P$30,MONTH(G159)+2))</f>
        <v>0</v>
      </c>
      <c r="P159" s="308">
        <f>IF(W159=0,0,IF(OR(C159=$AQ$5,C159=AQ163),VLOOKUP(YEAR(W159),INPC!$B$4:$P$30,MONTH(W159)+1),VLOOKUP(YEAR(W159),INPC!$B$4:$P$30,MONTH(W159)+2)))</f>
        <v>0</v>
      </c>
      <c r="Q159" s="309">
        <f t="shared" si="37"/>
        <v>0</v>
      </c>
      <c r="R159" s="310" t="e">
        <f t="shared" si="38"/>
        <v>#N/A</v>
      </c>
      <c r="S159" s="310">
        <f t="shared" si="39"/>
        <v>0</v>
      </c>
      <c r="T159" s="559" t="str">
        <f t="shared" si="40"/>
        <v>NO</v>
      </c>
      <c r="U159" s="323"/>
      <c r="V159" s="299"/>
      <c r="W159" s="300"/>
      <c r="X159" s="299"/>
      <c r="Y159" s="303"/>
      <c r="Z159" s="305">
        <f>IF(Y159=0,0,IF(X159="MXN",1/HLOOKUP(YEAR(W159)+(MONTH(W159)/100),TC!$5:$37,DAY(W159)+2,FALSE),VLOOKUP(X159,Equivalencia!$1:$23,((MAX(Equivalencia!$3:$3)-YEAR(W159))*14)+MONTH(W159)+2,FALSE)))</f>
        <v>0</v>
      </c>
      <c r="AA159" s="306">
        <f t="shared" si="41"/>
        <v>0</v>
      </c>
      <c r="AB159" s="305">
        <f>+IF(W159=0,0,HLOOKUP(YEAR(W159)+(MONTH(W159)/100),TC!$5:$37,DAY(W159)+2,FALSE))</f>
        <v>0</v>
      </c>
      <c r="AC159" s="306">
        <f t="shared" si="42"/>
        <v>0</v>
      </c>
      <c r="AD159" s="314">
        <f t="shared" si="33"/>
        <v>0</v>
      </c>
      <c r="AE159" s="315">
        <f t="shared" si="43"/>
        <v>0</v>
      </c>
      <c r="AF159" s="316">
        <f t="shared" si="34"/>
        <v>0</v>
      </c>
      <c r="AG159" s="314">
        <v>1</v>
      </c>
      <c r="AH159" s="314">
        <f t="shared" si="44"/>
        <v>0</v>
      </c>
      <c r="AI159" s="314">
        <f t="shared" si="45"/>
        <v>0</v>
      </c>
      <c r="AJ159" s="317"/>
      <c r="AK159" s="315" t="e">
        <f t="shared" si="46"/>
        <v>#N/A</v>
      </c>
      <c r="AM159" s="553"/>
      <c r="AN159" s="553"/>
      <c r="AO159" s="553"/>
    </row>
    <row r="160" spans="2:41">
      <c r="B160" s="296"/>
      <c r="C160" s="299"/>
      <c r="D160" s="296"/>
      <c r="E160" s="298"/>
      <c r="F160" s="299"/>
      <c r="G160" s="300"/>
      <c r="H160" s="303"/>
      <c r="I160" s="303"/>
      <c r="J160" s="322">
        <f t="shared" si="32"/>
        <v>0</v>
      </c>
      <c r="K160" s="305" t="e">
        <f>IF(F160="MXN",1/HLOOKUP(YEAR(G160)+(MONTH(G160)/100),TC!$5:$37,DAY(G160)+2,FALSE),VLOOKUP(F160,Equivalencia!$5:$23,((MAX(Equivalencia!$3:$3)-YEAR(G160))*14)+MONTH(G160)+2,FALSE))</f>
        <v>#N/A</v>
      </c>
      <c r="L160" s="306" t="e">
        <f t="shared" si="35"/>
        <v>#N/A</v>
      </c>
      <c r="M160" s="305">
        <f>IF(G160=0,0,HLOOKUP(YEAR(G160)+(MONTH(G160)/100),TC!$5:$37,DAY(G160)+2,FALSE))</f>
        <v>0</v>
      </c>
      <c r="N160" s="306" t="e">
        <f t="shared" si="36"/>
        <v>#N/A</v>
      </c>
      <c r="O160" s="308">
        <f>IF(G160=0,0,VLOOKUP(YEAR(G160),INPC!$B$4:$P$30,MONTH(G160)+2))</f>
        <v>0</v>
      </c>
      <c r="P160" s="308">
        <f>IF(W160=0,0,IF(OR(C160=$AQ$5,C160=AQ164),VLOOKUP(YEAR(W160),INPC!$B$4:$P$30,MONTH(W160)+1),VLOOKUP(YEAR(W160),INPC!$B$4:$P$30,MONTH(W160)+2)))</f>
        <v>0</v>
      </c>
      <c r="Q160" s="309">
        <f t="shared" si="37"/>
        <v>0</v>
      </c>
      <c r="R160" s="310" t="e">
        <f t="shared" si="38"/>
        <v>#N/A</v>
      </c>
      <c r="S160" s="310">
        <f t="shared" si="39"/>
        <v>0</v>
      </c>
      <c r="T160" s="559" t="str">
        <f t="shared" si="40"/>
        <v>NO</v>
      </c>
      <c r="U160" s="323"/>
      <c r="V160" s="299"/>
      <c r="W160" s="300"/>
      <c r="X160" s="299"/>
      <c r="Y160" s="303"/>
      <c r="Z160" s="305">
        <f>IF(Y160=0,0,IF(X160="MXN",1/HLOOKUP(YEAR(W160)+(MONTH(W160)/100),TC!$5:$37,DAY(W160)+2,FALSE),VLOOKUP(X160,Equivalencia!$1:$23,((MAX(Equivalencia!$3:$3)-YEAR(W160))*14)+MONTH(W160)+2,FALSE)))</f>
        <v>0</v>
      </c>
      <c r="AA160" s="306">
        <f t="shared" si="41"/>
        <v>0</v>
      </c>
      <c r="AB160" s="305">
        <f>+IF(W160=0,0,HLOOKUP(YEAR(W160)+(MONTH(W160)/100),TC!$5:$37,DAY(W160)+2,FALSE))</f>
        <v>0</v>
      </c>
      <c r="AC160" s="306">
        <f t="shared" si="42"/>
        <v>0</v>
      </c>
      <c r="AD160" s="314">
        <f t="shared" si="33"/>
        <v>0</v>
      </c>
      <c r="AE160" s="315">
        <f t="shared" si="43"/>
        <v>0</v>
      </c>
      <c r="AF160" s="316">
        <f t="shared" si="34"/>
        <v>0</v>
      </c>
      <c r="AG160" s="314">
        <v>1</v>
      </c>
      <c r="AH160" s="314">
        <f t="shared" si="44"/>
        <v>0</v>
      </c>
      <c r="AI160" s="314">
        <f t="shared" si="45"/>
        <v>0</v>
      </c>
      <c r="AJ160" s="317"/>
      <c r="AK160" s="315" t="e">
        <f t="shared" si="46"/>
        <v>#N/A</v>
      </c>
      <c r="AM160" s="553"/>
      <c r="AN160" s="553"/>
      <c r="AO160" s="553"/>
    </row>
    <row r="161" spans="2:41">
      <c r="B161" s="296"/>
      <c r="C161" s="299"/>
      <c r="D161" s="296"/>
      <c r="E161" s="298"/>
      <c r="F161" s="299"/>
      <c r="G161" s="300"/>
      <c r="H161" s="303"/>
      <c r="I161" s="303"/>
      <c r="J161" s="322">
        <f t="shared" si="32"/>
        <v>0</v>
      </c>
      <c r="K161" s="305" t="e">
        <f>IF(F161="MXN",1/HLOOKUP(YEAR(G161)+(MONTH(G161)/100),TC!$5:$37,DAY(G161)+2,FALSE),VLOOKUP(F161,Equivalencia!$5:$23,((MAX(Equivalencia!$3:$3)-YEAR(G161))*14)+MONTH(G161)+2,FALSE))</f>
        <v>#N/A</v>
      </c>
      <c r="L161" s="306" t="e">
        <f t="shared" si="35"/>
        <v>#N/A</v>
      </c>
      <c r="M161" s="305">
        <f>IF(G161=0,0,HLOOKUP(YEAR(G161)+(MONTH(G161)/100),TC!$5:$37,DAY(G161)+2,FALSE))</f>
        <v>0</v>
      </c>
      <c r="N161" s="306" t="e">
        <f t="shared" si="36"/>
        <v>#N/A</v>
      </c>
      <c r="O161" s="308">
        <f>IF(G161=0,0,VLOOKUP(YEAR(G161),INPC!$B$4:$P$30,MONTH(G161)+2))</f>
        <v>0</v>
      </c>
      <c r="P161" s="308">
        <f>IF(W161=0,0,IF(OR(C161=$AQ$5,C161=AQ165),VLOOKUP(YEAR(W161),INPC!$B$4:$P$30,MONTH(W161)+1),VLOOKUP(YEAR(W161),INPC!$B$4:$P$30,MONTH(W161)+2)))</f>
        <v>0</v>
      </c>
      <c r="Q161" s="309">
        <f t="shared" si="37"/>
        <v>0</v>
      </c>
      <c r="R161" s="310" t="e">
        <f t="shared" si="38"/>
        <v>#N/A</v>
      </c>
      <c r="S161" s="310">
        <f t="shared" si="39"/>
        <v>0</v>
      </c>
      <c r="T161" s="559" t="str">
        <f t="shared" si="40"/>
        <v>NO</v>
      </c>
      <c r="U161" s="323"/>
      <c r="V161" s="299"/>
      <c r="W161" s="300"/>
      <c r="X161" s="299"/>
      <c r="Y161" s="303"/>
      <c r="Z161" s="305">
        <f>IF(Y161=0,0,IF(X161="MXN",1/HLOOKUP(YEAR(W161)+(MONTH(W161)/100),TC!$5:$37,DAY(W161)+2,FALSE),VLOOKUP(X161,Equivalencia!$1:$23,((MAX(Equivalencia!$3:$3)-YEAR(W161))*14)+MONTH(W161)+2,FALSE)))</f>
        <v>0</v>
      </c>
      <c r="AA161" s="306">
        <f t="shared" si="41"/>
        <v>0</v>
      </c>
      <c r="AB161" s="305">
        <f>+IF(W161=0,0,HLOOKUP(YEAR(W161)+(MONTH(W161)/100),TC!$5:$37,DAY(W161)+2,FALSE))</f>
        <v>0</v>
      </c>
      <c r="AC161" s="306">
        <f t="shared" si="42"/>
        <v>0</v>
      </c>
      <c r="AD161" s="314">
        <f t="shared" si="33"/>
        <v>0</v>
      </c>
      <c r="AE161" s="315">
        <f t="shared" si="43"/>
        <v>0</v>
      </c>
      <c r="AF161" s="316">
        <f t="shared" si="34"/>
        <v>0</v>
      </c>
      <c r="AG161" s="314">
        <v>1</v>
      </c>
      <c r="AH161" s="314">
        <f t="shared" si="44"/>
        <v>0</v>
      </c>
      <c r="AI161" s="314">
        <f t="shared" si="45"/>
        <v>0</v>
      </c>
      <c r="AJ161" s="317"/>
      <c r="AK161" s="315" t="e">
        <f t="shared" si="46"/>
        <v>#N/A</v>
      </c>
      <c r="AM161" s="553"/>
      <c r="AN161" s="553"/>
      <c r="AO161" s="553"/>
    </row>
    <row r="162" spans="2:41">
      <c r="B162" s="296"/>
      <c r="C162" s="299"/>
      <c r="D162" s="296"/>
      <c r="E162" s="298"/>
      <c r="F162" s="299"/>
      <c r="G162" s="300"/>
      <c r="H162" s="303"/>
      <c r="I162" s="303"/>
      <c r="J162" s="322">
        <f t="shared" si="32"/>
        <v>0</v>
      </c>
      <c r="K162" s="305" t="e">
        <f>IF(F162="MXN",1/HLOOKUP(YEAR(G162)+(MONTH(G162)/100),TC!$5:$37,DAY(G162)+2,FALSE),VLOOKUP(F162,Equivalencia!$5:$23,((MAX(Equivalencia!$3:$3)-YEAR(G162))*14)+MONTH(G162)+2,FALSE))</f>
        <v>#N/A</v>
      </c>
      <c r="L162" s="306" t="e">
        <f t="shared" si="35"/>
        <v>#N/A</v>
      </c>
      <c r="M162" s="305">
        <f>IF(G162=0,0,HLOOKUP(YEAR(G162)+(MONTH(G162)/100),TC!$5:$37,DAY(G162)+2,FALSE))</f>
        <v>0</v>
      </c>
      <c r="N162" s="306" t="e">
        <f t="shared" si="36"/>
        <v>#N/A</v>
      </c>
      <c r="O162" s="308">
        <f>IF(G162=0,0,VLOOKUP(YEAR(G162),INPC!$B$4:$P$30,MONTH(G162)+2))</f>
        <v>0</v>
      </c>
      <c r="P162" s="308">
        <f>IF(W162=0,0,IF(OR(C162=$AQ$5,C162=AQ166),VLOOKUP(YEAR(W162),INPC!$B$4:$P$30,MONTH(W162)+1),VLOOKUP(YEAR(W162),INPC!$B$4:$P$30,MONTH(W162)+2)))</f>
        <v>0</v>
      </c>
      <c r="Q162" s="309">
        <f t="shared" si="37"/>
        <v>0</v>
      </c>
      <c r="R162" s="310" t="e">
        <f t="shared" si="38"/>
        <v>#N/A</v>
      </c>
      <c r="S162" s="310">
        <f t="shared" si="39"/>
        <v>0</v>
      </c>
      <c r="T162" s="559" t="str">
        <f t="shared" si="40"/>
        <v>NO</v>
      </c>
      <c r="U162" s="323"/>
      <c r="V162" s="299"/>
      <c r="W162" s="300"/>
      <c r="X162" s="299"/>
      <c r="Y162" s="303"/>
      <c r="Z162" s="305">
        <f>IF(Y162=0,0,IF(X162="MXN",1/HLOOKUP(YEAR(W162)+(MONTH(W162)/100),TC!$5:$37,DAY(W162)+2,FALSE),VLOOKUP(X162,Equivalencia!$1:$23,((MAX(Equivalencia!$3:$3)-YEAR(W162))*14)+MONTH(W162)+2,FALSE)))</f>
        <v>0</v>
      </c>
      <c r="AA162" s="306">
        <f t="shared" si="41"/>
        <v>0</v>
      </c>
      <c r="AB162" s="305">
        <f>+IF(W162=0,0,HLOOKUP(YEAR(W162)+(MONTH(W162)/100),TC!$5:$37,DAY(W162)+2,FALSE))</f>
        <v>0</v>
      </c>
      <c r="AC162" s="306">
        <f t="shared" si="42"/>
        <v>0</v>
      </c>
      <c r="AD162" s="314">
        <f t="shared" si="33"/>
        <v>0</v>
      </c>
      <c r="AE162" s="315">
        <f t="shared" si="43"/>
        <v>0</v>
      </c>
      <c r="AF162" s="316">
        <f t="shared" si="34"/>
        <v>0</v>
      </c>
      <c r="AG162" s="314">
        <v>1</v>
      </c>
      <c r="AH162" s="314">
        <f t="shared" si="44"/>
        <v>0</v>
      </c>
      <c r="AI162" s="314">
        <f t="shared" si="45"/>
        <v>0</v>
      </c>
      <c r="AJ162" s="317"/>
      <c r="AK162" s="315" t="e">
        <f t="shared" si="46"/>
        <v>#N/A</v>
      </c>
      <c r="AM162" s="553"/>
      <c r="AN162" s="553"/>
      <c r="AO162" s="553"/>
    </row>
    <row r="163" spans="2:41">
      <c r="B163" s="296"/>
      <c r="C163" s="299"/>
      <c r="D163" s="296"/>
      <c r="E163" s="298"/>
      <c r="F163" s="299"/>
      <c r="G163" s="300"/>
      <c r="H163" s="303"/>
      <c r="I163" s="303"/>
      <c r="J163" s="322">
        <f t="shared" si="32"/>
        <v>0</v>
      </c>
      <c r="K163" s="305" t="e">
        <f>IF(F163="MXN",1/HLOOKUP(YEAR(G163)+(MONTH(G163)/100),TC!$5:$37,DAY(G163)+2,FALSE),VLOOKUP(F163,Equivalencia!$5:$23,((MAX(Equivalencia!$3:$3)-YEAR(G163))*14)+MONTH(G163)+2,FALSE))</f>
        <v>#N/A</v>
      </c>
      <c r="L163" s="306" t="e">
        <f t="shared" si="35"/>
        <v>#N/A</v>
      </c>
      <c r="M163" s="305">
        <f>IF(G163=0,0,HLOOKUP(YEAR(G163)+(MONTH(G163)/100),TC!$5:$37,DAY(G163)+2,FALSE))</f>
        <v>0</v>
      </c>
      <c r="N163" s="306" t="e">
        <f t="shared" si="36"/>
        <v>#N/A</v>
      </c>
      <c r="O163" s="308">
        <f>IF(G163=0,0,VLOOKUP(YEAR(G163),INPC!$B$4:$P$30,MONTH(G163)+2))</f>
        <v>0</v>
      </c>
      <c r="P163" s="308">
        <f>IF(W163=0,0,IF(OR(C163=$AQ$5,C163=AQ167),VLOOKUP(YEAR(W163),INPC!$B$4:$P$30,MONTH(W163)+1),VLOOKUP(YEAR(W163),INPC!$B$4:$P$30,MONTH(W163)+2)))</f>
        <v>0</v>
      </c>
      <c r="Q163" s="309">
        <f t="shared" si="37"/>
        <v>0</v>
      </c>
      <c r="R163" s="310" t="e">
        <f t="shared" si="38"/>
        <v>#N/A</v>
      </c>
      <c r="S163" s="310">
        <f t="shared" si="39"/>
        <v>0</v>
      </c>
      <c r="T163" s="559" t="str">
        <f t="shared" si="40"/>
        <v>NO</v>
      </c>
      <c r="U163" s="323"/>
      <c r="V163" s="299"/>
      <c r="W163" s="300"/>
      <c r="X163" s="299"/>
      <c r="Y163" s="303"/>
      <c r="Z163" s="305">
        <f>IF(Y163=0,0,IF(X163="MXN",1/HLOOKUP(YEAR(W163)+(MONTH(W163)/100),TC!$5:$37,DAY(W163)+2,FALSE),VLOOKUP(X163,Equivalencia!$1:$23,((MAX(Equivalencia!$3:$3)-YEAR(W163))*14)+MONTH(W163)+2,FALSE)))</f>
        <v>0</v>
      </c>
      <c r="AA163" s="306">
        <f t="shared" si="41"/>
        <v>0</v>
      </c>
      <c r="AB163" s="305">
        <f>+IF(W163=0,0,HLOOKUP(YEAR(W163)+(MONTH(W163)/100),TC!$5:$37,DAY(W163)+2,FALSE))</f>
        <v>0</v>
      </c>
      <c r="AC163" s="306">
        <f t="shared" si="42"/>
        <v>0</v>
      </c>
      <c r="AD163" s="314">
        <f t="shared" si="33"/>
        <v>0</v>
      </c>
      <c r="AE163" s="315">
        <f t="shared" si="43"/>
        <v>0</v>
      </c>
      <c r="AF163" s="316">
        <f t="shared" si="34"/>
        <v>0</v>
      </c>
      <c r="AG163" s="314">
        <v>1</v>
      </c>
      <c r="AH163" s="314">
        <f t="shared" si="44"/>
        <v>0</v>
      </c>
      <c r="AI163" s="314">
        <f t="shared" si="45"/>
        <v>0</v>
      </c>
      <c r="AJ163" s="317"/>
      <c r="AK163" s="315" t="e">
        <f t="shared" si="46"/>
        <v>#N/A</v>
      </c>
      <c r="AM163" s="553"/>
      <c r="AN163" s="553"/>
      <c r="AO163" s="553"/>
    </row>
    <row r="164" spans="2:41">
      <c r="B164" s="296"/>
      <c r="C164" s="299"/>
      <c r="D164" s="296"/>
      <c r="E164" s="298"/>
      <c r="F164" s="299"/>
      <c r="G164" s="300"/>
      <c r="H164" s="303"/>
      <c r="I164" s="303"/>
      <c r="J164" s="322">
        <f t="shared" si="32"/>
        <v>0</v>
      </c>
      <c r="K164" s="305" t="e">
        <f>IF(F164="MXN",1/HLOOKUP(YEAR(G164)+(MONTH(G164)/100),TC!$5:$37,DAY(G164)+2,FALSE),VLOOKUP(F164,Equivalencia!$5:$23,((MAX(Equivalencia!$3:$3)-YEAR(G164))*14)+MONTH(G164)+2,FALSE))</f>
        <v>#N/A</v>
      </c>
      <c r="L164" s="306" t="e">
        <f t="shared" si="35"/>
        <v>#N/A</v>
      </c>
      <c r="M164" s="305">
        <f>IF(G164=0,0,HLOOKUP(YEAR(G164)+(MONTH(G164)/100),TC!$5:$37,DAY(G164)+2,FALSE))</f>
        <v>0</v>
      </c>
      <c r="N164" s="306" t="e">
        <f t="shared" si="36"/>
        <v>#N/A</v>
      </c>
      <c r="O164" s="308">
        <f>IF(G164=0,0,VLOOKUP(YEAR(G164),INPC!$B$4:$P$30,MONTH(G164)+2))</f>
        <v>0</v>
      </c>
      <c r="P164" s="308">
        <f>IF(W164=0,0,IF(OR(C164=$AQ$5,C164=AQ168),VLOOKUP(YEAR(W164),INPC!$B$4:$P$30,MONTH(W164)+1),VLOOKUP(YEAR(W164),INPC!$B$4:$P$30,MONTH(W164)+2)))</f>
        <v>0</v>
      </c>
      <c r="Q164" s="309">
        <f t="shared" si="37"/>
        <v>0</v>
      </c>
      <c r="R164" s="310" t="e">
        <f t="shared" si="38"/>
        <v>#N/A</v>
      </c>
      <c r="S164" s="310">
        <f t="shared" si="39"/>
        <v>0</v>
      </c>
      <c r="T164" s="559" t="str">
        <f t="shared" si="40"/>
        <v>NO</v>
      </c>
      <c r="U164" s="323"/>
      <c r="V164" s="299"/>
      <c r="W164" s="300"/>
      <c r="X164" s="299"/>
      <c r="Y164" s="303"/>
      <c r="Z164" s="305">
        <f>IF(Y164=0,0,IF(X164="MXN",1/HLOOKUP(YEAR(W164)+(MONTH(W164)/100),TC!$5:$37,DAY(W164)+2,FALSE),VLOOKUP(X164,Equivalencia!$1:$23,((MAX(Equivalencia!$3:$3)-YEAR(W164))*14)+MONTH(W164)+2,FALSE)))</f>
        <v>0</v>
      </c>
      <c r="AA164" s="306">
        <f t="shared" si="41"/>
        <v>0</v>
      </c>
      <c r="AB164" s="305">
        <f>+IF(W164=0,0,HLOOKUP(YEAR(W164)+(MONTH(W164)/100),TC!$5:$37,DAY(W164)+2,FALSE))</f>
        <v>0</v>
      </c>
      <c r="AC164" s="306">
        <f t="shared" si="42"/>
        <v>0</v>
      </c>
      <c r="AD164" s="314">
        <f t="shared" si="33"/>
        <v>0</v>
      </c>
      <c r="AE164" s="315">
        <f t="shared" si="43"/>
        <v>0</v>
      </c>
      <c r="AF164" s="316">
        <f t="shared" si="34"/>
        <v>0</v>
      </c>
      <c r="AG164" s="314">
        <v>1</v>
      </c>
      <c r="AH164" s="314">
        <f t="shared" si="44"/>
        <v>0</v>
      </c>
      <c r="AI164" s="314">
        <f t="shared" si="45"/>
        <v>0</v>
      </c>
      <c r="AJ164" s="317"/>
      <c r="AK164" s="315" t="e">
        <f t="shared" si="46"/>
        <v>#N/A</v>
      </c>
      <c r="AM164" s="553"/>
      <c r="AN164" s="553"/>
      <c r="AO164" s="553"/>
    </row>
    <row r="165" spans="2:41">
      <c r="B165" s="296"/>
      <c r="C165" s="299"/>
      <c r="D165" s="296"/>
      <c r="E165" s="298"/>
      <c r="F165" s="299"/>
      <c r="G165" s="300"/>
      <c r="H165" s="303"/>
      <c r="I165" s="303"/>
      <c r="J165" s="322">
        <f t="shared" si="32"/>
        <v>0</v>
      </c>
      <c r="K165" s="305" t="e">
        <f>IF(F165="MXN",1/HLOOKUP(YEAR(G165)+(MONTH(G165)/100),TC!$5:$37,DAY(G165)+2,FALSE),VLOOKUP(F165,Equivalencia!$5:$23,((MAX(Equivalencia!$3:$3)-YEAR(G165))*14)+MONTH(G165)+2,FALSE))</f>
        <v>#N/A</v>
      </c>
      <c r="L165" s="306" t="e">
        <f t="shared" si="35"/>
        <v>#N/A</v>
      </c>
      <c r="M165" s="305">
        <f>IF(G165=0,0,HLOOKUP(YEAR(G165)+(MONTH(G165)/100),TC!$5:$37,DAY(G165)+2,FALSE))</f>
        <v>0</v>
      </c>
      <c r="N165" s="306" t="e">
        <f t="shared" si="36"/>
        <v>#N/A</v>
      </c>
      <c r="O165" s="308">
        <f>IF(G165=0,0,VLOOKUP(YEAR(G165),INPC!$B$4:$P$30,MONTH(G165)+2))</f>
        <v>0</v>
      </c>
      <c r="P165" s="308">
        <f>IF(W165=0,0,IF(OR(C165=$AQ$5,C165=AQ169),VLOOKUP(YEAR(W165),INPC!$B$4:$P$30,MONTH(W165)+1),VLOOKUP(YEAR(W165),INPC!$B$4:$P$30,MONTH(W165)+2)))</f>
        <v>0</v>
      </c>
      <c r="Q165" s="309">
        <f t="shared" si="37"/>
        <v>0</v>
      </c>
      <c r="R165" s="310" t="e">
        <f t="shared" si="38"/>
        <v>#N/A</v>
      </c>
      <c r="S165" s="310">
        <f t="shared" si="39"/>
        <v>0</v>
      </c>
      <c r="T165" s="559" t="str">
        <f t="shared" si="40"/>
        <v>NO</v>
      </c>
      <c r="U165" s="323"/>
      <c r="V165" s="299"/>
      <c r="W165" s="300"/>
      <c r="X165" s="299"/>
      <c r="Y165" s="303"/>
      <c r="Z165" s="305">
        <f>IF(Y165=0,0,IF(X165="MXN",1/HLOOKUP(YEAR(W165)+(MONTH(W165)/100),TC!$5:$37,DAY(W165)+2,FALSE),VLOOKUP(X165,Equivalencia!$1:$23,((MAX(Equivalencia!$3:$3)-YEAR(W165))*14)+MONTH(W165)+2,FALSE)))</f>
        <v>0</v>
      </c>
      <c r="AA165" s="306">
        <f t="shared" si="41"/>
        <v>0</v>
      </c>
      <c r="AB165" s="305">
        <f>+IF(W165=0,0,HLOOKUP(YEAR(W165)+(MONTH(W165)/100),TC!$5:$37,DAY(W165)+2,FALSE))</f>
        <v>0</v>
      </c>
      <c r="AC165" s="306">
        <f t="shared" si="42"/>
        <v>0</v>
      </c>
      <c r="AD165" s="314">
        <f t="shared" si="33"/>
        <v>0</v>
      </c>
      <c r="AE165" s="315">
        <f t="shared" si="43"/>
        <v>0</v>
      </c>
      <c r="AF165" s="316">
        <f t="shared" si="34"/>
        <v>0</v>
      </c>
      <c r="AG165" s="314">
        <v>1</v>
      </c>
      <c r="AH165" s="314">
        <f t="shared" si="44"/>
        <v>0</v>
      </c>
      <c r="AI165" s="314">
        <f t="shared" si="45"/>
        <v>0</v>
      </c>
      <c r="AJ165" s="317"/>
      <c r="AK165" s="315" t="e">
        <f t="shared" si="46"/>
        <v>#N/A</v>
      </c>
      <c r="AM165" s="553"/>
      <c r="AN165" s="553"/>
      <c r="AO165" s="553"/>
    </row>
    <row r="166" spans="2:41">
      <c r="B166" s="296"/>
      <c r="C166" s="299"/>
      <c r="D166" s="296"/>
      <c r="E166" s="298"/>
      <c r="F166" s="299"/>
      <c r="G166" s="300"/>
      <c r="H166" s="303"/>
      <c r="I166" s="303"/>
      <c r="J166" s="322">
        <f t="shared" si="32"/>
        <v>0</v>
      </c>
      <c r="K166" s="305" t="e">
        <f>IF(F166="MXN",1/HLOOKUP(YEAR(G166)+(MONTH(G166)/100),TC!$5:$37,DAY(G166)+2,FALSE),VLOOKUP(F166,Equivalencia!$5:$23,((MAX(Equivalencia!$3:$3)-YEAR(G166))*14)+MONTH(G166)+2,FALSE))</f>
        <v>#N/A</v>
      </c>
      <c r="L166" s="306" t="e">
        <f t="shared" si="35"/>
        <v>#N/A</v>
      </c>
      <c r="M166" s="305">
        <f>IF(G166=0,0,HLOOKUP(YEAR(G166)+(MONTH(G166)/100),TC!$5:$37,DAY(G166)+2,FALSE))</f>
        <v>0</v>
      </c>
      <c r="N166" s="306" t="e">
        <f t="shared" si="36"/>
        <v>#N/A</v>
      </c>
      <c r="O166" s="308">
        <f>IF(G166=0,0,VLOOKUP(YEAR(G166),INPC!$B$4:$P$30,MONTH(G166)+2))</f>
        <v>0</v>
      </c>
      <c r="P166" s="308">
        <f>IF(W166=0,0,IF(OR(C166=$AQ$5,C166=AQ170),VLOOKUP(YEAR(W166),INPC!$B$4:$P$30,MONTH(W166)+1),VLOOKUP(YEAR(W166),INPC!$B$4:$P$30,MONTH(W166)+2)))</f>
        <v>0</v>
      </c>
      <c r="Q166" s="309">
        <f t="shared" si="37"/>
        <v>0</v>
      </c>
      <c r="R166" s="310" t="e">
        <f t="shared" si="38"/>
        <v>#N/A</v>
      </c>
      <c r="S166" s="310">
        <f t="shared" si="39"/>
        <v>0</v>
      </c>
      <c r="T166" s="559" t="str">
        <f t="shared" si="40"/>
        <v>NO</v>
      </c>
      <c r="U166" s="323"/>
      <c r="V166" s="299"/>
      <c r="W166" s="300"/>
      <c r="X166" s="299"/>
      <c r="Y166" s="303"/>
      <c r="Z166" s="305">
        <f>IF(Y166=0,0,IF(X166="MXN",1/HLOOKUP(YEAR(W166)+(MONTH(W166)/100),TC!$5:$37,DAY(W166)+2,FALSE),VLOOKUP(X166,Equivalencia!$1:$23,((MAX(Equivalencia!$3:$3)-YEAR(W166))*14)+MONTH(W166)+2,FALSE)))</f>
        <v>0</v>
      </c>
      <c r="AA166" s="306">
        <f t="shared" si="41"/>
        <v>0</v>
      </c>
      <c r="AB166" s="305">
        <f>+IF(W166=0,0,HLOOKUP(YEAR(W166)+(MONTH(W166)/100),TC!$5:$37,DAY(W166)+2,FALSE))</f>
        <v>0</v>
      </c>
      <c r="AC166" s="306">
        <f t="shared" si="42"/>
        <v>0</v>
      </c>
      <c r="AD166" s="314">
        <f t="shared" si="33"/>
        <v>0</v>
      </c>
      <c r="AE166" s="315">
        <f t="shared" si="43"/>
        <v>0</v>
      </c>
      <c r="AF166" s="316">
        <f t="shared" si="34"/>
        <v>0</v>
      </c>
      <c r="AG166" s="314">
        <v>1</v>
      </c>
      <c r="AH166" s="314">
        <f t="shared" si="44"/>
        <v>0</v>
      </c>
      <c r="AI166" s="314">
        <f t="shared" si="45"/>
        <v>0</v>
      </c>
      <c r="AJ166" s="317"/>
      <c r="AK166" s="315" t="e">
        <f t="shared" si="46"/>
        <v>#N/A</v>
      </c>
      <c r="AM166" s="553"/>
      <c r="AN166" s="553"/>
      <c r="AO166" s="553"/>
    </row>
    <row r="167" spans="2:41">
      <c r="B167" s="296"/>
      <c r="C167" s="299"/>
      <c r="D167" s="296"/>
      <c r="E167" s="298"/>
      <c r="F167" s="299"/>
      <c r="G167" s="300"/>
      <c r="H167" s="303"/>
      <c r="I167" s="303"/>
      <c r="J167" s="322">
        <f t="shared" si="32"/>
        <v>0</v>
      </c>
      <c r="K167" s="305" t="e">
        <f>IF(F167="MXN",1/HLOOKUP(YEAR(G167)+(MONTH(G167)/100),TC!$5:$37,DAY(G167)+2,FALSE),VLOOKUP(F167,Equivalencia!$5:$23,((MAX(Equivalencia!$3:$3)-YEAR(G167))*14)+MONTH(G167)+2,FALSE))</f>
        <v>#N/A</v>
      </c>
      <c r="L167" s="306" t="e">
        <f t="shared" si="35"/>
        <v>#N/A</v>
      </c>
      <c r="M167" s="305">
        <f>IF(G167=0,0,HLOOKUP(YEAR(G167)+(MONTH(G167)/100),TC!$5:$37,DAY(G167)+2,FALSE))</f>
        <v>0</v>
      </c>
      <c r="N167" s="306" t="e">
        <f t="shared" si="36"/>
        <v>#N/A</v>
      </c>
      <c r="O167" s="308">
        <f>IF(G167=0,0,VLOOKUP(YEAR(G167),INPC!$B$4:$P$30,MONTH(G167)+2))</f>
        <v>0</v>
      </c>
      <c r="P167" s="308">
        <f>IF(W167=0,0,IF(OR(C167=$AQ$5,C167=AQ171),VLOOKUP(YEAR(W167),INPC!$B$4:$P$30,MONTH(W167)+1),VLOOKUP(YEAR(W167),INPC!$B$4:$P$30,MONTH(W167)+2)))</f>
        <v>0</v>
      </c>
      <c r="Q167" s="309">
        <f t="shared" si="37"/>
        <v>0</v>
      </c>
      <c r="R167" s="310" t="e">
        <f t="shared" si="38"/>
        <v>#N/A</v>
      </c>
      <c r="S167" s="310">
        <f t="shared" si="39"/>
        <v>0</v>
      </c>
      <c r="T167" s="559" t="str">
        <f t="shared" si="40"/>
        <v>NO</v>
      </c>
      <c r="U167" s="323"/>
      <c r="V167" s="299"/>
      <c r="W167" s="300"/>
      <c r="X167" s="299"/>
      <c r="Y167" s="303"/>
      <c r="Z167" s="305">
        <f>IF(Y167=0,0,IF(X167="MXN",1/HLOOKUP(YEAR(W167)+(MONTH(W167)/100),TC!$5:$37,DAY(W167)+2,FALSE),VLOOKUP(X167,Equivalencia!$1:$23,((MAX(Equivalencia!$3:$3)-YEAR(W167))*14)+MONTH(W167)+2,FALSE)))</f>
        <v>0</v>
      </c>
      <c r="AA167" s="306">
        <f t="shared" si="41"/>
        <v>0</v>
      </c>
      <c r="AB167" s="305">
        <f>+IF(W167=0,0,HLOOKUP(YEAR(W167)+(MONTH(W167)/100),TC!$5:$37,DAY(W167)+2,FALSE))</f>
        <v>0</v>
      </c>
      <c r="AC167" s="306">
        <f t="shared" si="42"/>
        <v>0</v>
      </c>
      <c r="AD167" s="314">
        <f t="shared" si="33"/>
        <v>0</v>
      </c>
      <c r="AE167" s="315">
        <f t="shared" si="43"/>
        <v>0</v>
      </c>
      <c r="AF167" s="316">
        <f t="shared" si="34"/>
        <v>0</v>
      </c>
      <c r="AG167" s="314">
        <v>1</v>
      </c>
      <c r="AH167" s="314">
        <f t="shared" si="44"/>
        <v>0</v>
      </c>
      <c r="AI167" s="314">
        <f t="shared" si="45"/>
        <v>0</v>
      </c>
      <c r="AJ167" s="317"/>
      <c r="AK167" s="315" t="e">
        <f t="shared" si="46"/>
        <v>#N/A</v>
      </c>
      <c r="AM167" s="553"/>
      <c r="AN167" s="553"/>
      <c r="AO167" s="553"/>
    </row>
    <row r="168" spans="2:41">
      <c r="B168" s="296"/>
      <c r="C168" s="299"/>
      <c r="D168" s="296"/>
      <c r="E168" s="298"/>
      <c r="F168" s="299"/>
      <c r="G168" s="300"/>
      <c r="H168" s="303"/>
      <c r="I168" s="303"/>
      <c r="J168" s="322">
        <f t="shared" si="32"/>
        <v>0</v>
      </c>
      <c r="K168" s="305" t="e">
        <f>IF(F168="MXN",1/HLOOKUP(YEAR(G168)+(MONTH(G168)/100),TC!$5:$37,DAY(G168)+2,FALSE),VLOOKUP(F168,Equivalencia!$5:$23,((MAX(Equivalencia!$3:$3)-YEAR(G168))*14)+MONTH(G168)+2,FALSE))</f>
        <v>#N/A</v>
      </c>
      <c r="L168" s="306" t="e">
        <f t="shared" si="35"/>
        <v>#N/A</v>
      </c>
      <c r="M168" s="305">
        <f>IF(G168=0,0,HLOOKUP(YEAR(G168)+(MONTH(G168)/100),TC!$5:$37,DAY(G168)+2,FALSE))</f>
        <v>0</v>
      </c>
      <c r="N168" s="306" t="e">
        <f t="shared" si="36"/>
        <v>#N/A</v>
      </c>
      <c r="O168" s="308">
        <f>IF(G168=0,0,VLOOKUP(YEAR(G168),INPC!$B$4:$P$30,MONTH(G168)+2))</f>
        <v>0</v>
      </c>
      <c r="P168" s="308">
        <f>IF(W168=0,0,IF(OR(C168=$AQ$5,C168=AQ172),VLOOKUP(YEAR(W168),INPC!$B$4:$P$30,MONTH(W168)+1),VLOOKUP(YEAR(W168),INPC!$B$4:$P$30,MONTH(W168)+2)))</f>
        <v>0</v>
      </c>
      <c r="Q168" s="309">
        <f t="shared" si="37"/>
        <v>0</v>
      </c>
      <c r="R168" s="310" t="e">
        <f t="shared" si="38"/>
        <v>#N/A</v>
      </c>
      <c r="S168" s="310">
        <f t="shared" si="39"/>
        <v>0</v>
      </c>
      <c r="T168" s="559" t="str">
        <f t="shared" si="40"/>
        <v>NO</v>
      </c>
      <c r="U168" s="323"/>
      <c r="V168" s="299"/>
      <c r="W168" s="300"/>
      <c r="X168" s="299"/>
      <c r="Y168" s="303"/>
      <c r="Z168" s="305">
        <f>IF(Y168=0,0,IF(X168="MXN",1/HLOOKUP(YEAR(W168)+(MONTH(W168)/100),TC!$5:$37,DAY(W168)+2,FALSE),VLOOKUP(X168,Equivalencia!$1:$23,((MAX(Equivalencia!$3:$3)-YEAR(W168))*14)+MONTH(W168)+2,FALSE)))</f>
        <v>0</v>
      </c>
      <c r="AA168" s="306">
        <f t="shared" si="41"/>
        <v>0</v>
      </c>
      <c r="AB168" s="305">
        <f>+IF(W168=0,0,HLOOKUP(YEAR(W168)+(MONTH(W168)/100),TC!$5:$37,DAY(W168)+2,FALSE))</f>
        <v>0</v>
      </c>
      <c r="AC168" s="306">
        <f t="shared" si="42"/>
        <v>0</v>
      </c>
      <c r="AD168" s="314">
        <f t="shared" si="33"/>
        <v>0</v>
      </c>
      <c r="AE168" s="315">
        <f t="shared" si="43"/>
        <v>0</v>
      </c>
      <c r="AF168" s="316">
        <f t="shared" si="34"/>
        <v>0</v>
      </c>
      <c r="AG168" s="314">
        <v>1</v>
      </c>
      <c r="AH168" s="314">
        <f t="shared" si="44"/>
        <v>0</v>
      </c>
      <c r="AI168" s="314">
        <f t="shared" si="45"/>
        <v>0</v>
      </c>
      <c r="AJ168" s="317"/>
      <c r="AK168" s="315" t="e">
        <f t="shared" si="46"/>
        <v>#N/A</v>
      </c>
      <c r="AM168" s="553"/>
      <c r="AN168" s="553"/>
      <c r="AO168" s="553"/>
    </row>
    <row r="169" spans="2:41">
      <c r="B169" s="296"/>
      <c r="C169" s="299"/>
      <c r="D169" s="296"/>
      <c r="E169" s="298"/>
      <c r="F169" s="299"/>
      <c r="G169" s="300"/>
      <c r="H169" s="303"/>
      <c r="I169" s="303"/>
      <c r="J169" s="322">
        <f t="shared" si="32"/>
        <v>0</v>
      </c>
      <c r="K169" s="305" t="e">
        <f>IF(F169="MXN",1/HLOOKUP(YEAR(G169)+(MONTH(G169)/100),TC!$5:$37,DAY(G169)+2,FALSE),VLOOKUP(F169,Equivalencia!$5:$23,((MAX(Equivalencia!$3:$3)-YEAR(G169))*14)+MONTH(G169)+2,FALSE))</f>
        <v>#N/A</v>
      </c>
      <c r="L169" s="306" t="e">
        <f t="shared" si="35"/>
        <v>#N/A</v>
      </c>
      <c r="M169" s="305">
        <f>IF(G169=0,0,HLOOKUP(YEAR(G169)+(MONTH(G169)/100),TC!$5:$37,DAY(G169)+2,FALSE))</f>
        <v>0</v>
      </c>
      <c r="N169" s="306" t="e">
        <f t="shared" si="36"/>
        <v>#N/A</v>
      </c>
      <c r="O169" s="308">
        <f>IF(G169=0,0,VLOOKUP(YEAR(G169),INPC!$B$4:$P$30,MONTH(G169)+2))</f>
        <v>0</v>
      </c>
      <c r="P169" s="308">
        <f>IF(W169=0,0,IF(OR(C169=$AQ$5,C169=AQ173),VLOOKUP(YEAR(W169),INPC!$B$4:$P$30,MONTH(W169)+1),VLOOKUP(YEAR(W169),INPC!$B$4:$P$30,MONTH(W169)+2)))</f>
        <v>0</v>
      </c>
      <c r="Q169" s="309">
        <f t="shared" si="37"/>
        <v>0</v>
      </c>
      <c r="R169" s="310" t="e">
        <f t="shared" si="38"/>
        <v>#N/A</v>
      </c>
      <c r="S169" s="310">
        <f t="shared" si="39"/>
        <v>0</v>
      </c>
      <c r="T169" s="559" t="str">
        <f t="shared" si="40"/>
        <v>NO</v>
      </c>
      <c r="U169" s="323"/>
      <c r="V169" s="299"/>
      <c r="W169" s="300"/>
      <c r="X169" s="299"/>
      <c r="Y169" s="303"/>
      <c r="Z169" s="305">
        <f>IF(Y169=0,0,IF(X169="MXN",1/HLOOKUP(YEAR(W169)+(MONTH(W169)/100),TC!$5:$37,DAY(W169)+2,FALSE),VLOOKUP(X169,Equivalencia!$1:$23,((MAX(Equivalencia!$3:$3)-YEAR(W169))*14)+MONTH(W169)+2,FALSE)))</f>
        <v>0</v>
      </c>
      <c r="AA169" s="306">
        <f t="shared" si="41"/>
        <v>0</v>
      </c>
      <c r="AB169" s="305">
        <f>+IF(W169=0,0,HLOOKUP(YEAR(W169)+(MONTH(W169)/100),TC!$5:$37,DAY(W169)+2,FALSE))</f>
        <v>0</v>
      </c>
      <c r="AC169" s="306">
        <f t="shared" si="42"/>
        <v>0</v>
      </c>
      <c r="AD169" s="314">
        <f t="shared" si="33"/>
        <v>0</v>
      </c>
      <c r="AE169" s="315">
        <f t="shared" si="43"/>
        <v>0</v>
      </c>
      <c r="AF169" s="316">
        <f t="shared" si="34"/>
        <v>0</v>
      </c>
      <c r="AG169" s="314">
        <v>1</v>
      </c>
      <c r="AH169" s="314">
        <f t="shared" si="44"/>
        <v>0</v>
      </c>
      <c r="AI169" s="314">
        <f t="shared" si="45"/>
        <v>0</v>
      </c>
      <c r="AJ169" s="317"/>
      <c r="AK169" s="315" t="e">
        <f t="shared" si="46"/>
        <v>#N/A</v>
      </c>
      <c r="AM169" s="553"/>
      <c r="AN169" s="553"/>
      <c r="AO169" s="553"/>
    </row>
    <row r="170" spans="2:41">
      <c r="B170" s="296"/>
      <c r="C170" s="299"/>
      <c r="D170" s="296"/>
      <c r="E170" s="298"/>
      <c r="F170" s="299"/>
      <c r="G170" s="300"/>
      <c r="H170" s="303"/>
      <c r="I170" s="303"/>
      <c r="J170" s="322">
        <f t="shared" si="32"/>
        <v>0</v>
      </c>
      <c r="K170" s="305" t="e">
        <f>IF(F170="MXN",1/HLOOKUP(YEAR(G170)+(MONTH(G170)/100),TC!$5:$37,DAY(G170)+2,FALSE),VLOOKUP(F170,Equivalencia!$5:$23,((MAX(Equivalencia!$3:$3)-YEAR(G170))*14)+MONTH(G170)+2,FALSE))</f>
        <v>#N/A</v>
      </c>
      <c r="L170" s="306" t="e">
        <f t="shared" si="35"/>
        <v>#N/A</v>
      </c>
      <c r="M170" s="305">
        <f>IF(G170=0,0,HLOOKUP(YEAR(G170)+(MONTH(G170)/100),TC!$5:$37,DAY(G170)+2,FALSE))</f>
        <v>0</v>
      </c>
      <c r="N170" s="306" t="e">
        <f t="shared" si="36"/>
        <v>#N/A</v>
      </c>
      <c r="O170" s="308">
        <f>IF(G170=0,0,VLOOKUP(YEAR(G170),INPC!$B$4:$P$30,MONTH(G170)+2))</f>
        <v>0</v>
      </c>
      <c r="P170" s="308">
        <f>IF(W170=0,0,IF(OR(C170=$AQ$5,C170=AQ174),VLOOKUP(YEAR(W170),INPC!$B$4:$P$30,MONTH(W170)+1),VLOOKUP(YEAR(W170),INPC!$B$4:$P$30,MONTH(W170)+2)))</f>
        <v>0</v>
      </c>
      <c r="Q170" s="309">
        <f t="shared" si="37"/>
        <v>0</v>
      </c>
      <c r="R170" s="310" t="e">
        <f t="shared" si="38"/>
        <v>#N/A</v>
      </c>
      <c r="S170" s="310">
        <f t="shared" si="39"/>
        <v>0</v>
      </c>
      <c r="T170" s="559" t="str">
        <f t="shared" si="40"/>
        <v>NO</v>
      </c>
      <c r="U170" s="323"/>
      <c r="V170" s="299"/>
      <c r="W170" s="300"/>
      <c r="X170" s="299"/>
      <c r="Y170" s="303"/>
      <c r="Z170" s="305">
        <f>IF(Y170=0,0,IF(X170="MXN",1/HLOOKUP(YEAR(W170)+(MONTH(W170)/100),TC!$5:$37,DAY(W170)+2,FALSE),VLOOKUP(X170,Equivalencia!$1:$23,((MAX(Equivalencia!$3:$3)-YEAR(W170))*14)+MONTH(W170)+2,FALSE)))</f>
        <v>0</v>
      </c>
      <c r="AA170" s="306">
        <f t="shared" si="41"/>
        <v>0</v>
      </c>
      <c r="AB170" s="305">
        <f>+IF(W170=0,0,HLOOKUP(YEAR(W170)+(MONTH(W170)/100),TC!$5:$37,DAY(W170)+2,FALSE))</f>
        <v>0</v>
      </c>
      <c r="AC170" s="306">
        <f t="shared" si="42"/>
        <v>0</v>
      </c>
      <c r="AD170" s="314">
        <f t="shared" si="33"/>
        <v>0</v>
      </c>
      <c r="AE170" s="315">
        <f t="shared" si="43"/>
        <v>0</v>
      </c>
      <c r="AF170" s="316">
        <f t="shared" si="34"/>
        <v>0</v>
      </c>
      <c r="AG170" s="314">
        <v>1</v>
      </c>
      <c r="AH170" s="314">
        <f t="shared" si="44"/>
        <v>0</v>
      </c>
      <c r="AI170" s="314">
        <f t="shared" si="45"/>
        <v>0</v>
      </c>
      <c r="AJ170" s="317"/>
      <c r="AK170" s="315" t="e">
        <f t="shared" si="46"/>
        <v>#N/A</v>
      </c>
      <c r="AM170" s="553"/>
      <c r="AN170" s="553"/>
      <c r="AO170" s="553"/>
    </row>
    <row r="171" spans="2:41">
      <c r="B171" s="296"/>
      <c r="C171" s="299"/>
      <c r="D171" s="296"/>
      <c r="E171" s="298"/>
      <c r="F171" s="299"/>
      <c r="G171" s="300"/>
      <c r="H171" s="303"/>
      <c r="I171" s="303"/>
      <c r="J171" s="322">
        <f t="shared" si="32"/>
        <v>0</v>
      </c>
      <c r="K171" s="305" t="e">
        <f>IF(F171="MXN",1/HLOOKUP(YEAR(G171)+(MONTH(G171)/100),TC!$5:$37,DAY(G171)+2,FALSE),VLOOKUP(F171,Equivalencia!$5:$23,((MAX(Equivalencia!$3:$3)-YEAR(G171))*14)+MONTH(G171)+2,FALSE))</f>
        <v>#N/A</v>
      </c>
      <c r="L171" s="306" t="e">
        <f t="shared" si="35"/>
        <v>#N/A</v>
      </c>
      <c r="M171" s="305">
        <f>IF(G171=0,0,HLOOKUP(YEAR(G171)+(MONTH(G171)/100),TC!$5:$37,DAY(G171)+2,FALSE))</f>
        <v>0</v>
      </c>
      <c r="N171" s="306" t="e">
        <f t="shared" si="36"/>
        <v>#N/A</v>
      </c>
      <c r="O171" s="308">
        <f>IF(G171=0,0,VLOOKUP(YEAR(G171),INPC!$B$4:$P$30,MONTH(G171)+2))</f>
        <v>0</v>
      </c>
      <c r="P171" s="308">
        <f>IF(W171=0,0,IF(OR(C171=$AQ$5,C171=AQ175),VLOOKUP(YEAR(W171),INPC!$B$4:$P$30,MONTH(W171)+1),VLOOKUP(YEAR(W171),INPC!$B$4:$P$30,MONTH(W171)+2)))</f>
        <v>0</v>
      </c>
      <c r="Q171" s="309">
        <f t="shared" si="37"/>
        <v>0</v>
      </c>
      <c r="R171" s="310" t="e">
        <f t="shared" si="38"/>
        <v>#N/A</v>
      </c>
      <c r="S171" s="310">
        <f t="shared" si="39"/>
        <v>0</v>
      </c>
      <c r="T171" s="559" t="str">
        <f t="shared" si="40"/>
        <v>NO</v>
      </c>
      <c r="U171" s="323"/>
      <c r="V171" s="299"/>
      <c r="W171" s="300"/>
      <c r="X171" s="299"/>
      <c r="Y171" s="303"/>
      <c r="Z171" s="305">
        <f>IF(Y171=0,0,IF(X171="MXN",1/HLOOKUP(YEAR(W171)+(MONTH(W171)/100),TC!$5:$37,DAY(W171)+2,FALSE),VLOOKUP(X171,Equivalencia!$1:$23,((MAX(Equivalencia!$3:$3)-YEAR(W171))*14)+MONTH(W171)+2,FALSE)))</f>
        <v>0</v>
      </c>
      <c r="AA171" s="306">
        <f t="shared" si="41"/>
        <v>0</v>
      </c>
      <c r="AB171" s="305">
        <f>+IF(W171=0,0,HLOOKUP(YEAR(W171)+(MONTH(W171)/100),TC!$5:$37,DAY(W171)+2,FALSE))</f>
        <v>0</v>
      </c>
      <c r="AC171" s="306">
        <f t="shared" si="42"/>
        <v>0</v>
      </c>
      <c r="AD171" s="314">
        <f t="shared" si="33"/>
        <v>0</v>
      </c>
      <c r="AE171" s="315">
        <f t="shared" si="43"/>
        <v>0</v>
      </c>
      <c r="AF171" s="316">
        <f t="shared" si="34"/>
        <v>0</v>
      </c>
      <c r="AG171" s="314">
        <v>1</v>
      </c>
      <c r="AH171" s="314">
        <f t="shared" si="44"/>
        <v>0</v>
      </c>
      <c r="AI171" s="314">
        <f t="shared" si="45"/>
        <v>0</v>
      </c>
      <c r="AJ171" s="317"/>
      <c r="AK171" s="315" t="e">
        <f t="shared" si="46"/>
        <v>#N/A</v>
      </c>
      <c r="AM171" s="553"/>
      <c r="AN171" s="553"/>
      <c r="AO171" s="553"/>
    </row>
    <row r="172" spans="2:41">
      <c r="B172" s="296"/>
      <c r="C172" s="299"/>
      <c r="D172" s="296"/>
      <c r="E172" s="298"/>
      <c r="F172" s="299"/>
      <c r="G172" s="300"/>
      <c r="H172" s="303"/>
      <c r="I172" s="303"/>
      <c r="J172" s="322">
        <f t="shared" si="32"/>
        <v>0</v>
      </c>
      <c r="K172" s="305" t="e">
        <f>IF(F172="MXN",1/HLOOKUP(YEAR(G172)+(MONTH(G172)/100),TC!$5:$37,DAY(G172)+2,FALSE),VLOOKUP(F172,Equivalencia!$5:$23,((MAX(Equivalencia!$3:$3)-YEAR(G172))*14)+MONTH(G172)+2,FALSE))</f>
        <v>#N/A</v>
      </c>
      <c r="L172" s="306" t="e">
        <f t="shared" si="35"/>
        <v>#N/A</v>
      </c>
      <c r="M172" s="305">
        <f>IF(G172=0,0,HLOOKUP(YEAR(G172)+(MONTH(G172)/100),TC!$5:$37,DAY(G172)+2,FALSE))</f>
        <v>0</v>
      </c>
      <c r="N172" s="306" t="e">
        <f t="shared" si="36"/>
        <v>#N/A</v>
      </c>
      <c r="O172" s="308">
        <f>IF(G172=0,0,VLOOKUP(YEAR(G172),INPC!$B$4:$P$30,MONTH(G172)+2))</f>
        <v>0</v>
      </c>
      <c r="P172" s="308">
        <f>IF(W172=0,0,IF(OR(C172=$AQ$5,C172=AQ176),VLOOKUP(YEAR(W172),INPC!$B$4:$P$30,MONTH(W172)+1),VLOOKUP(YEAR(W172),INPC!$B$4:$P$30,MONTH(W172)+2)))</f>
        <v>0</v>
      </c>
      <c r="Q172" s="309">
        <f t="shared" si="37"/>
        <v>0</v>
      </c>
      <c r="R172" s="310" t="e">
        <f t="shared" si="38"/>
        <v>#N/A</v>
      </c>
      <c r="S172" s="310">
        <f t="shared" si="39"/>
        <v>0</v>
      </c>
      <c r="T172" s="559" t="str">
        <f t="shared" si="40"/>
        <v>NO</v>
      </c>
      <c r="U172" s="323"/>
      <c r="V172" s="299"/>
      <c r="W172" s="300"/>
      <c r="X172" s="299"/>
      <c r="Y172" s="303"/>
      <c r="Z172" s="305">
        <f>IF(Y172=0,0,IF(X172="MXN",1/HLOOKUP(YEAR(W172)+(MONTH(W172)/100),TC!$5:$37,DAY(W172)+2,FALSE),VLOOKUP(X172,Equivalencia!$1:$23,((MAX(Equivalencia!$3:$3)-YEAR(W172))*14)+MONTH(W172)+2,FALSE)))</f>
        <v>0</v>
      </c>
      <c r="AA172" s="306">
        <f t="shared" si="41"/>
        <v>0</v>
      </c>
      <c r="AB172" s="305">
        <f>+IF(W172=0,0,HLOOKUP(YEAR(W172)+(MONTH(W172)/100),TC!$5:$37,DAY(W172)+2,FALSE))</f>
        <v>0</v>
      </c>
      <c r="AC172" s="306">
        <f t="shared" si="42"/>
        <v>0</v>
      </c>
      <c r="AD172" s="314">
        <f t="shared" si="33"/>
        <v>0</v>
      </c>
      <c r="AE172" s="315">
        <f t="shared" si="43"/>
        <v>0</v>
      </c>
      <c r="AF172" s="316">
        <f t="shared" si="34"/>
        <v>0</v>
      </c>
      <c r="AG172" s="314">
        <v>1</v>
      </c>
      <c r="AH172" s="314">
        <f t="shared" si="44"/>
        <v>0</v>
      </c>
      <c r="AI172" s="314">
        <f t="shared" si="45"/>
        <v>0</v>
      </c>
      <c r="AJ172" s="317"/>
      <c r="AK172" s="315" t="e">
        <f t="shared" si="46"/>
        <v>#N/A</v>
      </c>
      <c r="AM172" s="553"/>
      <c r="AN172" s="553"/>
      <c r="AO172" s="553"/>
    </row>
    <row r="173" spans="2:41">
      <c r="B173" s="296"/>
      <c r="C173" s="299"/>
      <c r="D173" s="296"/>
      <c r="E173" s="298"/>
      <c r="F173" s="299"/>
      <c r="G173" s="300"/>
      <c r="H173" s="303"/>
      <c r="I173" s="303"/>
      <c r="J173" s="322">
        <f t="shared" si="32"/>
        <v>0</v>
      </c>
      <c r="K173" s="305" t="e">
        <f>IF(F173="MXN",1/HLOOKUP(YEAR(G173)+(MONTH(G173)/100),TC!$5:$37,DAY(G173)+2,FALSE),VLOOKUP(F173,Equivalencia!$5:$23,((MAX(Equivalencia!$3:$3)-YEAR(G173))*14)+MONTH(G173)+2,FALSE))</f>
        <v>#N/A</v>
      </c>
      <c r="L173" s="306" t="e">
        <f t="shared" si="35"/>
        <v>#N/A</v>
      </c>
      <c r="M173" s="305">
        <f>IF(G173=0,0,HLOOKUP(YEAR(G173)+(MONTH(G173)/100),TC!$5:$37,DAY(G173)+2,FALSE))</f>
        <v>0</v>
      </c>
      <c r="N173" s="306" t="e">
        <f t="shared" si="36"/>
        <v>#N/A</v>
      </c>
      <c r="O173" s="308">
        <f>IF(G173=0,0,VLOOKUP(YEAR(G173),INPC!$B$4:$P$30,MONTH(G173)+2))</f>
        <v>0</v>
      </c>
      <c r="P173" s="308">
        <f>IF(W173=0,0,IF(OR(C173=$AQ$5,C173=AQ177),VLOOKUP(YEAR(W173),INPC!$B$4:$P$30,MONTH(W173)+1),VLOOKUP(YEAR(W173),INPC!$B$4:$P$30,MONTH(W173)+2)))</f>
        <v>0</v>
      </c>
      <c r="Q173" s="309">
        <f t="shared" si="37"/>
        <v>0</v>
      </c>
      <c r="R173" s="310" t="e">
        <f t="shared" si="38"/>
        <v>#N/A</v>
      </c>
      <c r="S173" s="310">
        <f t="shared" si="39"/>
        <v>0</v>
      </c>
      <c r="T173" s="559" t="str">
        <f t="shared" si="40"/>
        <v>NO</v>
      </c>
      <c r="U173" s="323"/>
      <c r="V173" s="299"/>
      <c r="W173" s="300"/>
      <c r="X173" s="299"/>
      <c r="Y173" s="303"/>
      <c r="Z173" s="305">
        <f>IF(Y173=0,0,IF(X173="MXN",1/HLOOKUP(YEAR(W173)+(MONTH(W173)/100),TC!$5:$37,DAY(W173)+2,FALSE),VLOOKUP(X173,Equivalencia!$1:$23,((MAX(Equivalencia!$3:$3)-YEAR(W173))*14)+MONTH(W173)+2,FALSE)))</f>
        <v>0</v>
      </c>
      <c r="AA173" s="306">
        <f t="shared" si="41"/>
        <v>0</v>
      </c>
      <c r="AB173" s="305">
        <f>+IF(W173=0,0,HLOOKUP(YEAR(W173)+(MONTH(W173)/100),TC!$5:$37,DAY(W173)+2,FALSE))</f>
        <v>0</v>
      </c>
      <c r="AC173" s="306">
        <f t="shared" si="42"/>
        <v>0</v>
      </c>
      <c r="AD173" s="314">
        <f t="shared" si="33"/>
        <v>0</v>
      </c>
      <c r="AE173" s="315">
        <f t="shared" si="43"/>
        <v>0</v>
      </c>
      <c r="AF173" s="316">
        <f t="shared" si="34"/>
        <v>0</v>
      </c>
      <c r="AG173" s="314">
        <v>1</v>
      </c>
      <c r="AH173" s="314">
        <f t="shared" si="44"/>
        <v>0</v>
      </c>
      <c r="AI173" s="314">
        <f t="shared" si="45"/>
        <v>0</v>
      </c>
      <c r="AJ173" s="317"/>
      <c r="AK173" s="315" t="e">
        <f t="shared" si="46"/>
        <v>#N/A</v>
      </c>
      <c r="AM173" s="553"/>
      <c r="AN173" s="553"/>
      <c r="AO173" s="553"/>
    </row>
    <row r="174" spans="2:41">
      <c r="B174" s="296"/>
      <c r="C174" s="299"/>
      <c r="D174" s="296"/>
      <c r="E174" s="298"/>
      <c r="F174" s="299"/>
      <c r="G174" s="300"/>
      <c r="H174" s="303"/>
      <c r="I174" s="303"/>
      <c r="J174" s="322">
        <f t="shared" si="32"/>
        <v>0</v>
      </c>
      <c r="K174" s="305" t="e">
        <f>IF(F174="MXN",1/HLOOKUP(YEAR(G174)+(MONTH(G174)/100),TC!$5:$37,DAY(G174)+2,FALSE),VLOOKUP(F174,Equivalencia!$5:$23,((MAX(Equivalencia!$3:$3)-YEAR(G174))*14)+MONTH(G174)+2,FALSE))</f>
        <v>#N/A</v>
      </c>
      <c r="L174" s="306" t="e">
        <f t="shared" si="35"/>
        <v>#N/A</v>
      </c>
      <c r="M174" s="305">
        <f>IF(G174=0,0,HLOOKUP(YEAR(G174)+(MONTH(G174)/100),TC!$5:$37,DAY(G174)+2,FALSE))</f>
        <v>0</v>
      </c>
      <c r="N174" s="306" t="e">
        <f t="shared" si="36"/>
        <v>#N/A</v>
      </c>
      <c r="O174" s="308">
        <f>IF(G174=0,0,VLOOKUP(YEAR(G174),INPC!$B$4:$P$30,MONTH(G174)+2))</f>
        <v>0</v>
      </c>
      <c r="P174" s="308">
        <f>IF(W174=0,0,IF(OR(C174=$AQ$5,C174=AQ178),VLOOKUP(YEAR(W174),INPC!$B$4:$P$30,MONTH(W174)+1),VLOOKUP(YEAR(W174),INPC!$B$4:$P$30,MONTH(W174)+2)))</f>
        <v>0</v>
      </c>
      <c r="Q174" s="309">
        <f t="shared" si="37"/>
        <v>0</v>
      </c>
      <c r="R174" s="310" t="e">
        <f t="shared" si="38"/>
        <v>#N/A</v>
      </c>
      <c r="S174" s="310">
        <f t="shared" si="39"/>
        <v>0</v>
      </c>
      <c r="T174" s="559" t="str">
        <f t="shared" si="40"/>
        <v>NO</v>
      </c>
      <c r="U174" s="323"/>
      <c r="V174" s="299"/>
      <c r="W174" s="300"/>
      <c r="X174" s="299"/>
      <c r="Y174" s="303"/>
      <c r="Z174" s="305">
        <f>IF(Y174=0,0,IF(X174="MXN",1/HLOOKUP(YEAR(W174)+(MONTH(W174)/100),TC!$5:$37,DAY(W174)+2,FALSE),VLOOKUP(X174,Equivalencia!$1:$23,((MAX(Equivalencia!$3:$3)-YEAR(W174))*14)+MONTH(W174)+2,FALSE)))</f>
        <v>0</v>
      </c>
      <c r="AA174" s="306">
        <f t="shared" si="41"/>
        <v>0</v>
      </c>
      <c r="AB174" s="305">
        <f>+IF(W174=0,0,HLOOKUP(YEAR(W174)+(MONTH(W174)/100),TC!$5:$37,DAY(W174)+2,FALSE))</f>
        <v>0</v>
      </c>
      <c r="AC174" s="306">
        <f t="shared" si="42"/>
        <v>0</v>
      </c>
      <c r="AD174" s="314">
        <f t="shared" si="33"/>
        <v>0</v>
      </c>
      <c r="AE174" s="315">
        <f t="shared" si="43"/>
        <v>0</v>
      </c>
      <c r="AF174" s="316">
        <f t="shared" si="34"/>
        <v>0</v>
      </c>
      <c r="AG174" s="314">
        <v>1</v>
      </c>
      <c r="AH174" s="314">
        <f t="shared" si="44"/>
        <v>0</v>
      </c>
      <c r="AI174" s="314">
        <f t="shared" si="45"/>
        <v>0</v>
      </c>
      <c r="AJ174" s="317"/>
      <c r="AK174" s="315" t="e">
        <f t="shared" si="46"/>
        <v>#N/A</v>
      </c>
      <c r="AM174" s="553"/>
      <c r="AN174" s="553"/>
      <c r="AO174" s="553"/>
    </row>
    <row r="175" spans="2:41">
      <c r="B175" s="296"/>
      <c r="C175" s="299"/>
      <c r="D175" s="296"/>
      <c r="E175" s="298"/>
      <c r="F175" s="299"/>
      <c r="G175" s="300"/>
      <c r="H175" s="303"/>
      <c r="I175" s="303"/>
      <c r="J175" s="322">
        <f t="shared" si="32"/>
        <v>0</v>
      </c>
      <c r="K175" s="305" t="e">
        <f>IF(F175="MXN",1/HLOOKUP(YEAR(G175)+(MONTH(G175)/100),TC!$5:$37,DAY(G175)+2,FALSE),VLOOKUP(F175,Equivalencia!$5:$23,((MAX(Equivalencia!$3:$3)-YEAR(G175))*14)+MONTH(G175)+2,FALSE))</f>
        <v>#N/A</v>
      </c>
      <c r="L175" s="306" t="e">
        <f t="shared" si="35"/>
        <v>#N/A</v>
      </c>
      <c r="M175" s="305">
        <f>IF(G175=0,0,HLOOKUP(YEAR(G175)+(MONTH(G175)/100),TC!$5:$37,DAY(G175)+2,FALSE))</f>
        <v>0</v>
      </c>
      <c r="N175" s="306" t="e">
        <f t="shared" si="36"/>
        <v>#N/A</v>
      </c>
      <c r="O175" s="308">
        <f>IF(G175=0,0,VLOOKUP(YEAR(G175),INPC!$B$4:$P$30,MONTH(G175)+2))</f>
        <v>0</v>
      </c>
      <c r="P175" s="308">
        <f>IF(W175=0,0,IF(OR(C175=$AQ$5,C175=AQ179),VLOOKUP(YEAR(W175),INPC!$B$4:$P$30,MONTH(W175)+1),VLOOKUP(YEAR(W175),INPC!$B$4:$P$30,MONTH(W175)+2)))</f>
        <v>0</v>
      </c>
      <c r="Q175" s="309">
        <f t="shared" si="37"/>
        <v>0</v>
      </c>
      <c r="R175" s="310" t="e">
        <f t="shared" si="38"/>
        <v>#N/A</v>
      </c>
      <c r="S175" s="310">
        <f t="shared" si="39"/>
        <v>0</v>
      </c>
      <c r="T175" s="559" t="str">
        <f t="shared" si="40"/>
        <v>NO</v>
      </c>
      <c r="U175" s="323"/>
      <c r="V175" s="299"/>
      <c r="W175" s="300"/>
      <c r="X175" s="299"/>
      <c r="Y175" s="303"/>
      <c r="Z175" s="305">
        <f>IF(Y175=0,0,IF(X175="MXN",1/HLOOKUP(YEAR(W175)+(MONTH(W175)/100),TC!$5:$37,DAY(W175)+2,FALSE),VLOOKUP(X175,Equivalencia!$1:$23,((MAX(Equivalencia!$3:$3)-YEAR(W175))*14)+MONTH(W175)+2,FALSE)))</f>
        <v>0</v>
      </c>
      <c r="AA175" s="306">
        <f t="shared" si="41"/>
        <v>0</v>
      </c>
      <c r="AB175" s="305">
        <f>+IF(W175=0,0,HLOOKUP(YEAR(W175)+(MONTH(W175)/100),TC!$5:$37,DAY(W175)+2,FALSE))</f>
        <v>0</v>
      </c>
      <c r="AC175" s="306">
        <f t="shared" si="42"/>
        <v>0</v>
      </c>
      <c r="AD175" s="314">
        <f t="shared" si="33"/>
        <v>0</v>
      </c>
      <c r="AE175" s="315">
        <f t="shared" si="43"/>
        <v>0</v>
      </c>
      <c r="AF175" s="316">
        <f t="shared" si="34"/>
        <v>0</v>
      </c>
      <c r="AG175" s="314">
        <v>1</v>
      </c>
      <c r="AH175" s="314">
        <f t="shared" si="44"/>
        <v>0</v>
      </c>
      <c r="AI175" s="314">
        <f t="shared" si="45"/>
        <v>0</v>
      </c>
      <c r="AJ175" s="317"/>
      <c r="AK175" s="315" t="e">
        <f t="shared" si="46"/>
        <v>#N/A</v>
      </c>
      <c r="AM175" s="553"/>
      <c r="AN175" s="553"/>
      <c r="AO175" s="553"/>
    </row>
    <row r="176" spans="2:41">
      <c r="B176" s="296"/>
      <c r="C176" s="299"/>
      <c r="D176" s="296"/>
      <c r="E176" s="298"/>
      <c r="F176" s="299"/>
      <c r="G176" s="300"/>
      <c r="H176" s="303"/>
      <c r="I176" s="303"/>
      <c r="J176" s="322">
        <f t="shared" si="32"/>
        <v>0</v>
      </c>
      <c r="K176" s="305" t="e">
        <f>IF(F176="MXN",1/HLOOKUP(YEAR(G176)+(MONTH(G176)/100),TC!$5:$37,DAY(G176)+2,FALSE),VLOOKUP(F176,Equivalencia!$5:$23,((MAX(Equivalencia!$3:$3)-YEAR(G176))*14)+MONTH(G176)+2,FALSE))</f>
        <v>#N/A</v>
      </c>
      <c r="L176" s="306" t="e">
        <f t="shared" si="35"/>
        <v>#N/A</v>
      </c>
      <c r="M176" s="305">
        <f>IF(G176=0,0,HLOOKUP(YEAR(G176)+(MONTH(G176)/100),TC!$5:$37,DAY(G176)+2,FALSE))</f>
        <v>0</v>
      </c>
      <c r="N176" s="306" t="e">
        <f t="shared" si="36"/>
        <v>#N/A</v>
      </c>
      <c r="O176" s="308">
        <f>IF(G176=0,0,VLOOKUP(YEAR(G176),INPC!$B$4:$P$30,MONTH(G176)+2))</f>
        <v>0</v>
      </c>
      <c r="P176" s="308">
        <f>IF(W176=0,0,IF(OR(C176=$AQ$5,C176=AQ180),VLOOKUP(YEAR(W176),INPC!$B$4:$P$30,MONTH(W176)+1),VLOOKUP(YEAR(W176),INPC!$B$4:$P$30,MONTH(W176)+2)))</f>
        <v>0</v>
      </c>
      <c r="Q176" s="309">
        <f t="shared" si="37"/>
        <v>0</v>
      </c>
      <c r="R176" s="310" t="e">
        <f t="shared" si="38"/>
        <v>#N/A</v>
      </c>
      <c r="S176" s="310">
        <f t="shared" si="39"/>
        <v>0</v>
      </c>
      <c r="T176" s="559" t="str">
        <f t="shared" si="40"/>
        <v>NO</v>
      </c>
      <c r="U176" s="323"/>
      <c r="V176" s="299"/>
      <c r="W176" s="300"/>
      <c r="X176" s="299"/>
      <c r="Y176" s="303"/>
      <c r="Z176" s="305">
        <f>IF(Y176=0,0,IF(X176="MXN",1/HLOOKUP(YEAR(W176)+(MONTH(W176)/100),TC!$5:$37,DAY(W176)+2,FALSE),VLOOKUP(X176,Equivalencia!$1:$23,((MAX(Equivalencia!$3:$3)-YEAR(W176))*14)+MONTH(W176)+2,FALSE)))</f>
        <v>0</v>
      </c>
      <c r="AA176" s="306">
        <f t="shared" si="41"/>
        <v>0</v>
      </c>
      <c r="AB176" s="305">
        <f>+IF(W176=0,0,HLOOKUP(YEAR(W176)+(MONTH(W176)/100),TC!$5:$37,DAY(W176)+2,FALSE))</f>
        <v>0</v>
      </c>
      <c r="AC176" s="306">
        <f t="shared" si="42"/>
        <v>0</v>
      </c>
      <c r="AD176" s="314">
        <f t="shared" si="33"/>
        <v>0</v>
      </c>
      <c r="AE176" s="315">
        <f t="shared" si="43"/>
        <v>0</v>
      </c>
      <c r="AF176" s="316">
        <f t="shared" si="34"/>
        <v>0</v>
      </c>
      <c r="AG176" s="314">
        <v>1</v>
      </c>
      <c r="AH176" s="314">
        <f t="shared" si="44"/>
        <v>0</v>
      </c>
      <c r="AI176" s="314">
        <f t="shared" si="45"/>
        <v>0</v>
      </c>
      <c r="AJ176" s="317"/>
      <c r="AK176" s="315" t="e">
        <f t="shared" si="46"/>
        <v>#N/A</v>
      </c>
      <c r="AM176" s="553"/>
      <c r="AN176" s="553"/>
      <c r="AO176" s="553"/>
    </row>
    <row r="177" spans="2:41">
      <c r="B177" s="296"/>
      <c r="C177" s="299"/>
      <c r="D177" s="296"/>
      <c r="E177" s="298"/>
      <c r="F177" s="299"/>
      <c r="G177" s="300"/>
      <c r="H177" s="303"/>
      <c r="I177" s="303"/>
      <c r="J177" s="322">
        <f t="shared" si="32"/>
        <v>0</v>
      </c>
      <c r="K177" s="305" t="e">
        <f>IF(F177="MXN",1/HLOOKUP(YEAR(G177)+(MONTH(G177)/100),TC!$5:$37,DAY(G177)+2,FALSE),VLOOKUP(F177,Equivalencia!$5:$23,((MAX(Equivalencia!$3:$3)-YEAR(G177))*14)+MONTH(G177)+2,FALSE))</f>
        <v>#N/A</v>
      </c>
      <c r="L177" s="306" t="e">
        <f t="shared" si="35"/>
        <v>#N/A</v>
      </c>
      <c r="M177" s="305">
        <f>IF(G177=0,0,HLOOKUP(YEAR(G177)+(MONTH(G177)/100),TC!$5:$37,DAY(G177)+2,FALSE))</f>
        <v>0</v>
      </c>
      <c r="N177" s="306" t="e">
        <f t="shared" si="36"/>
        <v>#N/A</v>
      </c>
      <c r="O177" s="308">
        <f>IF(G177=0,0,VLOOKUP(YEAR(G177),INPC!$B$4:$P$30,MONTH(G177)+2))</f>
        <v>0</v>
      </c>
      <c r="P177" s="308">
        <f>IF(W177=0,0,IF(OR(C177=$AQ$5,C177=AQ181),VLOOKUP(YEAR(W177),INPC!$B$4:$P$30,MONTH(W177)+1),VLOOKUP(YEAR(W177),INPC!$B$4:$P$30,MONTH(W177)+2)))</f>
        <v>0</v>
      </c>
      <c r="Q177" s="309">
        <f t="shared" si="37"/>
        <v>0</v>
      </c>
      <c r="R177" s="310" t="e">
        <f t="shared" si="38"/>
        <v>#N/A</v>
      </c>
      <c r="S177" s="310">
        <f t="shared" si="39"/>
        <v>0</v>
      </c>
      <c r="T177" s="559" t="str">
        <f t="shared" si="40"/>
        <v>NO</v>
      </c>
      <c r="U177" s="323"/>
      <c r="V177" s="299"/>
      <c r="W177" s="300"/>
      <c r="X177" s="299"/>
      <c r="Y177" s="303"/>
      <c r="Z177" s="305">
        <f>IF(Y177=0,0,IF(X177="MXN",1/HLOOKUP(YEAR(W177)+(MONTH(W177)/100),TC!$5:$37,DAY(W177)+2,FALSE),VLOOKUP(X177,Equivalencia!$1:$23,((MAX(Equivalencia!$3:$3)-YEAR(W177))*14)+MONTH(W177)+2,FALSE)))</f>
        <v>0</v>
      </c>
      <c r="AA177" s="306">
        <f t="shared" si="41"/>
        <v>0</v>
      </c>
      <c r="AB177" s="305">
        <f>+IF(W177=0,0,HLOOKUP(YEAR(W177)+(MONTH(W177)/100),TC!$5:$37,DAY(W177)+2,FALSE))</f>
        <v>0</v>
      </c>
      <c r="AC177" s="306">
        <f t="shared" si="42"/>
        <v>0</v>
      </c>
      <c r="AD177" s="314">
        <f t="shared" si="33"/>
        <v>0</v>
      </c>
      <c r="AE177" s="315">
        <f t="shared" si="43"/>
        <v>0</v>
      </c>
      <c r="AF177" s="316">
        <f t="shared" si="34"/>
        <v>0</v>
      </c>
      <c r="AG177" s="314">
        <v>1</v>
      </c>
      <c r="AH177" s="314">
        <f t="shared" si="44"/>
        <v>0</v>
      </c>
      <c r="AI177" s="314">
        <f t="shared" si="45"/>
        <v>0</v>
      </c>
      <c r="AJ177" s="317"/>
      <c r="AK177" s="315" t="e">
        <f t="shared" si="46"/>
        <v>#N/A</v>
      </c>
      <c r="AM177" s="553"/>
      <c r="AN177" s="553"/>
      <c r="AO177" s="553"/>
    </row>
    <row r="178" spans="2:41">
      <c r="B178" s="296"/>
      <c r="C178" s="299"/>
      <c r="D178" s="296"/>
      <c r="E178" s="298"/>
      <c r="F178" s="299"/>
      <c r="G178" s="300"/>
      <c r="H178" s="303"/>
      <c r="I178" s="303"/>
      <c r="J178" s="322">
        <f t="shared" si="32"/>
        <v>0</v>
      </c>
      <c r="K178" s="305" t="e">
        <f>IF(F178="MXN",1/HLOOKUP(YEAR(G178)+(MONTH(G178)/100),TC!$5:$37,DAY(G178)+2,FALSE),VLOOKUP(F178,Equivalencia!$5:$23,((MAX(Equivalencia!$3:$3)-YEAR(G178))*14)+MONTH(G178)+2,FALSE))</f>
        <v>#N/A</v>
      </c>
      <c r="L178" s="306" t="e">
        <f t="shared" si="35"/>
        <v>#N/A</v>
      </c>
      <c r="M178" s="305">
        <f>IF(G178=0,0,HLOOKUP(YEAR(G178)+(MONTH(G178)/100),TC!$5:$37,DAY(G178)+2,FALSE))</f>
        <v>0</v>
      </c>
      <c r="N178" s="306" t="e">
        <f t="shared" si="36"/>
        <v>#N/A</v>
      </c>
      <c r="O178" s="308">
        <f>IF(G178=0,0,VLOOKUP(YEAR(G178),INPC!$B$4:$P$30,MONTH(G178)+2))</f>
        <v>0</v>
      </c>
      <c r="P178" s="308">
        <f>IF(W178=0,0,IF(OR(C178=$AQ$5,C178=AQ182),VLOOKUP(YEAR(W178),INPC!$B$4:$P$30,MONTH(W178)+1),VLOOKUP(YEAR(W178),INPC!$B$4:$P$30,MONTH(W178)+2)))</f>
        <v>0</v>
      </c>
      <c r="Q178" s="309">
        <f t="shared" si="37"/>
        <v>0</v>
      </c>
      <c r="R178" s="310" t="e">
        <f t="shared" si="38"/>
        <v>#N/A</v>
      </c>
      <c r="S178" s="310">
        <f t="shared" si="39"/>
        <v>0</v>
      </c>
      <c r="T178" s="559" t="str">
        <f t="shared" si="40"/>
        <v>NO</v>
      </c>
      <c r="U178" s="323"/>
      <c r="V178" s="299"/>
      <c r="W178" s="300"/>
      <c r="X178" s="299"/>
      <c r="Y178" s="303"/>
      <c r="Z178" s="305">
        <f>IF(Y178=0,0,IF(X178="MXN",1/HLOOKUP(YEAR(W178)+(MONTH(W178)/100),TC!$5:$37,DAY(W178)+2,FALSE),VLOOKUP(X178,Equivalencia!$1:$23,((MAX(Equivalencia!$3:$3)-YEAR(W178))*14)+MONTH(W178)+2,FALSE)))</f>
        <v>0</v>
      </c>
      <c r="AA178" s="306">
        <f t="shared" si="41"/>
        <v>0</v>
      </c>
      <c r="AB178" s="305">
        <f>+IF(W178=0,0,HLOOKUP(YEAR(W178)+(MONTH(W178)/100),TC!$5:$37,DAY(W178)+2,FALSE))</f>
        <v>0</v>
      </c>
      <c r="AC178" s="306">
        <f t="shared" si="42"/>
        <v>0</v>
      </c>
      <c r="AD178" s="314">
        <f t="shared" si="33"/>
        <v>0</v>
      </c>
      <c r="AE178" s="315">
        <f t="shared" si="43"/>
        <v>0</v>
      </c>
      <c r="AF178" s="316">
        <f t="shared" si="34"/>
        <v>0</v>
      </c>
      <c r="AG178" s="314">
        <v>1</v>
      </c>
      <c r="AH178" s="314">
        <f t="shared" si="44"/>
        <v>0</v>
      </c>
      <c r="AI178" s="314">
        <f t="shared" si="45"/>
        <v>0</v>
      </c>
      <c r="AJ178" s="317"/>
      <c r="AK178" s="315" t="e">
        <f t="shared" si="46"/>
        <v>#N/A</v>
      </c>
      <c r="AM178" s="553"/>
      <c r="AN178" s="553"/>
      <c r="AO178" s="553"/>
    </row>
    <row r="179" spans="2:41">
      <c r="B179" s="296"/>
      <c r="C179" s="299"/>
      <c r="D179" s="296"/>
      <c r="E179" s="298"/>
      <c r="F179" s="299"/>
      <c r="G179" s="300"/>
      <c r="H179" s="303"/>
      <c r="I179" s="303"/>
      <c r="J179" s="322">
        <f t="shared" si="32"/>
        <v>0</v>
      </c>
      <c r="K179" s="305" t="e">
        <f>IF(F179="MXN",1/HLOOKUP(YEAR(G179)+(MONTH(G179)/100),TC!$5:$37,DAY(G179)+2,FALSE),VLOOKUP(F179,Equivalencia!$5:$23,((MAX(Equivalencia!$3:$3)-YEAR(G179))*14)+MONTH(G179)+2,FALSE))</f>
        <v>#N/A</v>
      </c>
      <c r="L179" s="306" t="e">
        <f t="shared" si="35"/>
        <v>#N/A</v>
      </c>
      <c r="M179" s="305">
        <f>IF(G179=0,0,HLOOKUP(YEAR(G179)+(MONTH(G179)/100),TC!$5:$37,DAY(G179)+2,FALSE))</f>
        <v>0</v>
      </c>
      <c r="N179" s="306" t="e">
        <f t="shared" si="36"/>
        <v>#N/A</v>
      </c>
      <c r="O179" s="308">
        <f>IF(G179=0,0,VLOOKUP(YEAR(G179),INPC!$B$4:$P$30,MONTH(G179)+2))</f>
        <v>0</v>
      </c>
      <c r="P179" s="308">
        <f>IF(W179=0,0,IF(OR(C179=$AQ$5,C179=AQ183),VLOOKUP(YEAR(W179),INPC!$B$4:$P$30,MONTH(W179)+1),VLOOKUP(YEAR(W179),INPC!$B$4:$P$30,MONTH(W179)+2)))</f>
        <v>0</v>
      </c>
      <c r="Q179" s="309">
        <f t="shared" si="37"/>
        <v>0</v>
      </c>
      <c r="R179" s="310" t="e">
        <f t="shared" si="38"/>
        <v>#N/A</v>
      </c>
      <c r="S179" s="310">
        <f t="shared" si="39"/>
        <v>0</v>
      </c>
      <c r="T179" s="559" t="str">
        <f t="shared" si="40"/>
        <v>NO</v>
      </c>
      <c r="U179" s="323"/>
      <c r="V179" s="299"/>
      <c r="W179" s="300"/>
      <c r="X179" s="299"/>
      <c r="Y179" s="303"/>
      <c r="Z179" s="305">
        <f>IF(Y179=0,0,IF(X179="MXN",1/HLOOKUP(YEAR(W179)+(MONTH(W179)/100),TC!$5:$37,DAY(W179)+2,FALSE),VLOOKUP(X179,Equivalencia!$1:$23,((MAX(Equivalencia!$3:$3)-YEAR(W179))*14)+MONTH(W179)+2,FALSE)))</f>
        <v>0</v>
      </c>
      <c r="AA179" s="306">
        <f t="shared" si="41"/>
        <v>0</v>
      </c>
      <c r="AB179" s="305">
        <f>+IF(W179=0,0,HLOOKUP(YEAR(W179)+(MONTH(W179)/100),TC!$5:$37,DAY(W179)+2,FALSE))</f>
        <v>0</v>
      </c>
      <c r="AC179" s="306">
        <f t="shared" si="42"/>
        <v>0</v>
      </c>
      <c r="AD179" s="314">
        <f t="shared" si="33"/>
        <v>0</v>
      </c>
      <c r="AE179" s="315">
        <f t="shared" si="43"/>
        <v>0</v>
      </c>
      <c r="AF179" s="316">
        <f t="shared" si="34"/>
        <v>0</v>
      </c>
      <c r="AG179" s="314">
        <v>1</v>
      </c>
      <c r="AH179" s="314">
        <f t="shared" si="44"/>
        <v>0</v>
      </c>
      <c r="AI179" s="314">
        <f t="shared" si="45"/>
        <v>0</v>
      </c>
      <c r="AJ179" s="317"/>
      <c r="AK179" s="315" t="e">
        <f t="shared" si="46"/>
        <v>#N/A</v>
      </c>
      <c r="AM179" s="553"/>
      <c r="AN179" s="553"/>
      <c r="AO179" s="553"/>
    </row>
    <row r="180" spans="2:41">
      <c r="B180" s="296"/>
      <c r="C180" s="299"/>
      <c r="D180" s="296"/>
      <c r="E180" s="298"/>
      <c r="F180" s="299"/>
      <c r="G180" s="300"/>
      <c r="H180" s="303"/>
      <c r="I180" s="303"/>
      <c r="J180" s="322">
        <f t="shared" si="32"/>
        <v>0</v>
      </c>
      <c r="K180" s="305" t="e">
        <f>IF(F180="MXN",1/HLOOKUP(YEAR(G180)+(MONTH(G180)/100),TC!$5:$37,DAY(G180)+2,FALSE),VLOOKUP(F180,Equivalencia!$5:$23,((MAX(Equivalencia!$3:$3)-YEAR(G180))*14)+MONTH(G180)+2,FALSE))</f>
        <v>#N/A</v>
      </c>
      <c r="L180" s="306" t="e">
        <f t="shared" si="35"/>
        <v>#N/A</v>
      </c>
      <c r="M180" s="305">
        <f>IF(G180=0,0,HLOOKUP(YEAR(G180)+(MONTH(G180)/100),TC!$5:$37,DAY(G180)+2,FALSE))</f>
        <v>0</v>
      </c>
      <c r="N180" s="306" t="e">
        <f t="shared" si="36"/>
        <v>#N/A</v>
      </c>
      <c r="O180" s="308">
        <f>IF(G180=0,0,VLOOKUP(YEAR(G180),INPC!$B$4:$P$30,MONTH(G180)+2))</f>
        <v>0</v>
      </c>
      <c r="P180" s="308">
        <f>IF(W180=0,0,IF(OR(C180=$AQ$5,C180=AQ184),VLOOKUP(YEAR(W180),INPC!$B$4:$P$30,MONTH(W180)+1),VLOOKUP(YEAR(W180),INPC!$B$4:$P$30,MONTH(W180)+2)))</f>
        <v>0</v>
      </c>
      <c r="Q180" s="309">
        <f t="shared" si="37"/>
        <v>0</v>
      </c>
      <c r="R180" s="310" t="e">
        <f t="shared" si="38"/>
        <v>#N/A</v>
      </c>
      <c r="S180" s="310">
        <f t="shared" si="39"/>
        <v>0</v>
      </c>
      <c r="T180" s="559" t="str">
        <f t="shared" si="40"/>
        <v>NO</v>
      </c>
      <c r="U180" s="323"/>
      <c r="V180" s="299"/>
      <c r="W180" s="300"/>
      <c r="X180" s="299"/>
      <c r="Y180" s="303"/>
      <c r="Z180" s="305">
        <f>IF(Y180=0,0,IF(X180="MXN",1/HLOOKUP(YEAR(W180)+(MONTH(W180)/100),TC!$5:$37,DAY(W180)+2,FALSE),VLOOKUP(X180,Equivalencia!$1:$23,((MAX(Equivalencia!$3:$3)-YEAR(W180))*14)+MONTH(W180)+2,FALSE)))</f>
        <v>0</v>
      </c>
      <c r="AA180" s="306">
        <f t="shared" si="41"/>
        <v>0</v>
      </c>
      <c r="AB180" s="305">
        <f>+IF(W180=0,0,HLOOKUP(YEAR(W180)+(MONTH(W180)/100),TC!$5:$37,DAY(W180)+2,FALSE))</f>
        <v>0</v>
      </c>
      <c r="AC180" s="306">
        <f t="shared" si="42"/>
        <v>0</v>
      </c>
      <c r="AD180" s="314">
        <f t="shared" si="33"/>
        <v>0</v>
      </c>
      <c r="AE180" s="315">
        <f t="shared" si="43"/>
        <v>0</v>
      </c>
      <c r="AF180" s="316">
        <f t="shared" si="34"/>
        <v>0</v>
      </c>
      <c r="AG180" s="314">
        <v>1</v>
      </c>
      <c r="AH180" s="314">
        <f t="shared" si="44"/>
        <v>0</v>
      </c>
      <c r="AI180" s="314">
        <f t="shared" si="45"/>
        <v>0</v>
      </c>
      <c r="AJ180" s="317"/>
      <c r="AK180" s="315" t="e">
        <f t="shared" si="46"/>
        <v>#N/A</v>
      </c>
      <c r="AM180" s="553"/>
      <c r="AN180" s="553"/>
      <c r="AO180" s="553"/>
    </row>
    <row r="181" spans="2:41">
      <c r="B181" s="296"/>
      <c r="C181" s="299"/>
      <c r="D181" s="296"/>
      <c r="E181" s="298"/>
      <c r="F181" s="299"/>
      <c r="G181" s="300"/>
      <c r="H181" s="303"/>
      <c r="I181" s="303"/>
      <c r="J181" s="322">
        <f t="shared" si="32"/>
        <v>0</v>
      </c>
      <c r="K181" s="305" t="e">
        <f>IF(F181="MXN",1/HLOOKUP(YEAR(G181)+(MONTH(G181)/100),TC!$5:$37,DAY(G181)+2,FALSE),VLOOKUP(F181,Equivalencia!$5:$23,((MAX(Equivalencia!$3:$3)-YEAR(G181))*14)+MONTH(G181)+2,FALSE))</f>
        <v>#N/A</v>
      </c>
      <c r="L181" s="306" t="e">
        <f t="shared" si="35"/>
        <v>#N/A</v>
      </c>
      <c r="M181" s="305">
        <f>IF(G181=0,0,HLOOKUP(YEAR(G181)+(MONTH(G181)/100),TC!$5:$37,DAY(G181)+2,FALSE))</f>
        <v>0</v>
      </c>
      <c r="N181" s="306" t="e">
        <f t="shared" si="36"/>
        <v>#N/A</v>
      </c>
      <c r="O181" s="308">
        <f>IF(G181=0,0,VLOOKUP(YEAR(G181),INPC!$B$4:$P$30,MONTH(G181)+2))</f>
        <v>0</v>
      </c>
      <c r="P181" s="308">
        <f>IF(W181=0,0,IF(OR(C181=$AQ$5,C181=AQ185),VLOOKUP(YEAR(W181),INPC!$B$4:$P$30,MONTH(W181)+1),VLOOKUP(YEAR(W181),INPC!$B$4:$P$30,MONTH(W181)+2)))</f>
        <v>0</v>
      </c>
      <c r="Q181" s="309">
        <f t="shared" si="37"/>
        <v>0</v>
      </c>
      <c r="R181" s="310" t="e">
        <f t="shared" si="38"/>
        <v>#N/A</v>
      </c>
      <c r="S181" s="310">
        <f t="shared" si="39"/>
        <v>0</v>
      </c>
      <c r="T181" s="559" t="str">
        <f t="shared" si="40"/>
        <v>NO</v>
      </c>
      <c r="U181" s="323"/>
      <c r="V181" s="299"/>
      <c r="W181" s="300"/>
      <c r="X181" s="299"/>
      <c r="Y181" s="303"/>
      <c r="Z181" s="305">
        <f>IF(Y181=0,0,IF(X181="MXN",1/HLOOKUP(YEAR(W181)+(MONTH(W181)/100),TC!$5:$37,DAY(W181)+2,FALSE),VLOOKUP(X181,Equivalencia!$1:$23,((MAX(Equivalencia!$3:$3)-YEAR(W181))*14)+MONTH(W181)+2,FALSE)))</f>
        <v>0</v>
      </c>
      <c r="AA181" s="306">
        <f t="shared" si="41"/>
        <v>0</v>
      </c>
      <c r="AB181" s="305">
        <f>+IF(W181=0,0,HLOOKUP(YEAR(W181)+(MONTH(W181)/100),TC!$5:$37,DAY(W181)+2,FALSE))</f>
        <v>0</v>
      </c>
      <c r="AC181" s="306">
        <f t="shared" si="42"/>
        <v>0</v>
      </c>
      <c r="AD181" s="314">
        <f t="shared" si="33"/>
        <v>0</v>
      </c>
      <c r="AE181" s="315">
        <f t="shared" si="43"/>
        <v>0</v>
      </c>
      <c r="AF181" s="316">
        <f t="shared" si="34"/>
        <v>0</v>
      </c>
      <c r="AG181" s="314">
        <v>1</v>
      </c>
      <c r="AH181" s="314">
        <f t="shared" si="44"/>
        <v>0</v>
      </c>
      <c r="AI181" s="314">
        <f t="shared" si="45"/>
        <v>0</v>
      </c>
      <c r="AJ181" s="317"/>
      <c r="AK181" s="315" t="e">
        <f t="shared" si="46"/>
        <v>#N/A</v>
      </c>
      <c r="AM181" s="553"/>
      <c r="AN181" s="553"/>
      <c r="AO181" s="553"/>
    </row>
    <row r="182" spans="2:41">
      <c r="B182" s="296"/>
      <c r="C182" s="299"/>
      <c r="D182" s="296"/>
      <c r="E182" s="298"/>
      <c r="F182" s="299"/>
      <c r="G182" s="300"/>
      <c r="H182" s="303"/>
      <c r="I182" s="303"/>
      <c r="J182" s="322">
        <f t="shared" si="32"/>
        <v>0</v>
      </c>
      <c r="K182" s="305" t="e">
        <f>IF(F182="MXN",1/HLOOKUP(YEAR(G182)+(MONTH(G182)/100),TC!$5:$37,DAY(G182)+2,FALSE),VLOOKUP(F182,Equivalencia!$5:$23,((MAX(Equivalencia!$3:$3)-YEAR(G182))*14)+MONTH(G182)+2,FALSE))</f>
        <v>#N/A</v>
      </c>
      <c r="L182" s="306" t="e">
        <f t="shared" si="35"/>
        <v>#N/A</v>
      </c>
      <c r="M182" s="305">
        <f>IF(G182=0,0,HLOOKUP(YEAR(G182)+(MONTH(G182)/100),TC!$5:$37,DAY(G182)+2,FALSE))</f>
        <v>0</v>
      </c>
      <c r="N182" s="306" t="e">
        <f t="shared" si="36"/>
        <v>#N/A</v>
      </c>
      <c r="O182" s="308">
        <f>IF(G182=0,0,VLOOKUP(YEAR(G182),INPC!$B$4:$P$30,MONTH(G182)+2))</f>
        <v>0</v>
      </c>
      <c r="P182" s="308">
        <f>IF(W182=0,0,IF(OR(C182=$AQ$5,C182=AQ186),VLOOKUP(YEAR(W182),INPC!$B$4:$P$30,MONTH(W182)+1),VLOOKUP(YEAR(W182),INPC!$B$4:$P$30,MONTH(W182)+2)))</f>
        <v>0</v>
      </c>
      <c r="Q182" s="309">
        <f t="shared" si="37"/>
        <v>0</v>
      </c>
      <c r="R182" s="310" t="e">
        <f t="shared" si="38"/>
        <v>#N/A</v>
      </c>
      <c r="S182" s="310">
        <f t="shared" si="39"/>
        <v>0</v>
      </c>
      <c r="T182" s="559" t="str">
        <f t="shared" si="40"/>
        <v>NO</v>
      </c>
      <c r="U182" s="323"/>
      <c r="V182" s="299"/>
      <c r="W182" s="300"/>
      <c r="X182" s="299"/>
      <c r="Y182" s="303"/>
      <c r="Z182" s="305">
        <f>IF(Y182=0,0,IF(X182="MXN",1/HLOOKUP(YEAR(W182)+(MONTH(W182)/100),TC!$5:$37,DAY(W182)+2,FALSE),VLOOKUP(X182,Equivalencia!$1:$23,((MAX(Equivalencia!$3:$3)-YEAR(W182))*14)+MONTH(W182)+2,FALSE)))</f>
        <v>0</v>
      </c>
      <c r="AA182" s="306">
        <f t="shared" si="41"/>
        <v>0</v>
      </c>
      <c r="AB182" s="305">
        <f>+IF(W182=0,0,HLOOKUP(YEAR(W182)+(MONTH(W182)/100),TC!$5:$37,DAY(W182)+2,FALSE))</f>
        <v>0</v>
      </c>
      <c r="AC182" s="306">
        <f t="shared" si="42"/>
        <v>0</v>
      </c>
      <c r="AD182" s="314">
        <f t="shared" si="33"/>
        <v>0</v>
      </c>
      <c r="AE182" s="315">
        <f t="shared" si="43"/>
        <v>0</v>
      </c>
      <c r="AF182" s="316">
        <f t="shared" si="34"/>
        <v>0</v>
      </c>
      <c r="AG182" s="314">
        <v>1</v>
      </c>
      <c r="AH182" s="314">
        <f t="shared" si="44"/>
        <v>0</v>
      </c>
      <c r="AI182" s="314">
        <f t="shared" si="45"/>
        <v>0</v>
      </c>
      <c r="AJ182" s="317"/>
      <c r="AK182" s="315" t="e">
        <f t="shared" si="46"/>
        <v>#N/A</v>
      </c>
      <c r="AM182" s="553"/>
      <c r="AN182" s="553"/>
      <c r="AO182" s="553"/>
    </row>
    <row r="183" spans="2:41">
      <c r="B183" s="296"/>
      <c r="C183" s="299"/>
      <c r="D183" s="296"/>
      <c r="E183" s="298"/>
      <c r="F183" s="299"/>
      <c r="G183" s="300"/>
      <c r="H183" s="303"/>
      <c r="I183" s="303"/>
      <c r="J183" s="322">
        <f t="shared" si="32"/>
        <v>0</v>
      </c>
      <c r="K183" s="305" t="e">
        <f>IF(F183="MXN",1/HLOOKUP(YEAR(G183)+(MONTH(G183)/100),TC!$5:$37,DAY(G183)+2,FALSE),VLOOKUP(F183,Equivalencia!$5:$23,((MAX(Equivalencia!$3:$3)-YEAR(G183))*14)+MONTH(G183)+2,FALSE))</f>
        <v>#N/A</v>
      </c>
      <c r="L183" s="306" t="e">
        <f t="shared" si="35"/>
        <v>#N/A</v>
      </c>
      <c r="M183" s="305">
        <f>IF(G183=0,0,HLOOKUP(YEAR(G183)+(MONTH(G183)/100),TC!$5:$37,DAY(G183)+2,FALSE))</f>
        <v>0</v>
      </c>
      <c r="N183" s="306" t="e">
        <f t="shared" si="36"/>
        <v>#N/A</v>
      </c>
      <c r="O183" s="308">
        <f>IF(G183=0,0,VLOOKUP(YEAR(G183),INPC!$B$4:$P$30,MONTH(G183)+2))</f>
        <v>0</v>
      </c>
      <c r="P183" s="308">
        <f>IF(W183=0,0,IF(OR(C183=$AQ$5,C183=AQ187),VLOOKUP(YEAR(W183),INPC!$B$4:$P$30,MONTH(W183)+1),VLOOKUP(YEAR(W183),INPC!$B$4:$P$30,MONTH(W183)+2)))</f>
        <v>0</v>
      </c>
      <c r="Q183" s="309">
        <f t="shared" si="37"/>
        <v>0</v>
      </c>
      <c r="R183" s="310" t="e">
        <f t="shared" si="38"/>
        <v>#N/A</v>
      </c>
      <c r="S183" s="310">
        <f t="shared" si="39"/>
        <v>0</v>
      </c>
      <c r="T183" s="559" t="str">
        <f t="shared" si="40"/>
        <v>NO</v>
      </c>
      <c r="U183" s="323"/>
      <c r="V183" s="299"/>
      <c r="W183" s="300"/>
      <c r="X183" s="299"/>
      <c r="Y183" s="303"/>
      <c r="Z183" s="305">
        <f>IF(Y183=0,0,IF(X183="MXN",1/HLOOKUP(YEAR(W183)+(MONTH(W183)/100),TC!$5:$37,DAY(W183)+2,FALSE),VLOOKUP(X183,Equivalencia!$1:$23,((MAX(Equivalencia!$3:$3)-YEAR(W183))*14)+MONTH(W183)+2,FALSE)))</f>
        <v>0</v>
      </c>
      <c r="AA183" s="306">
        <f t="shared" si="41"/>
        <v>0</v>
      </c>
      <c r="AB183" s="305">
        <f>+IF(W183=0,0,HLOOKUP(YEAR(W183)+(MONTH(W183)/100),TC!$5:$37,DAY(W183)+2,FALSE))</f>
        <v>0</v>
      </c>
      <c r="AC183" s="306">
        <f t="shared" si="42"/>
        <v>0</v>
      </c>
      <c r="AD183" s="314">
        <f t="shared" si="33"/>
        <v>0</v>
      </c>
      <c r="AE183" s="315">
        <f t="shared" si="43"/>
        <v>0</v>
      </c>
      <c r="AF183" s="316">
        <f t="shared" si="34"/>
        <v>0</v>
      </c>
      <c r="AG183" s="314">
        <v>1</v>
      </c>
      <c r="AH183" s="314">
        <f t="shared" si="44"/>
        <v>0</v>
      </c>
      <c r="AI183" s="314">
        <f t="shared" si="45"/>
        <v>0</v>
      </c>
      <c r="AJ183" s="317"/>
      <c r="AK183" s="315" t="e">
        <f t="shared" si="46"/>
        <v>#N/A</v>
      </c>
      <c r="AM183" s="553"/>
      <c r="AN183" s="553"/>
      <c r="AO183" s="553"/>
    </row>
    <row r="184" spans="2:41">
      <c r="B184" s="296"/>
      <c r="C184" s="299"/>
      <c r="D184" s="296"/>
      <c r="E184" s="298"/>
      <c r="F184" s="299"/>
      <c r="G184" s="300"/>
      <c r="H184" s="303"/>
      <c r="I184" s="303"/>
      <c r="J184" s="322">
        <f t="shared" si="32"/>
        <v>0</v>
      </c>
      <c r="K184" s="305" t="e">
        <f>IF(F184="MXN",1/HLOOKUP(YEAR(G184)+(MONTH(G184)/100),TC!$5:$37,DAY(G184)+2,FALSE),VLOOKUP(F184,Equivalencia!$5:$23,((MAX(Equivalencia!$3:$3)-YEAR(G184))*14)+MONTH(G184)+2,FALSE))</f>
        <v>#N/A</v>
      </c>
      <c r="L184" s="306" t="e">
        <f t="shared" si="35"/>
        <v>#N/A</v>
      </c>
      <c r="M184" s="305">
        <f>IF(G184=0,0,HLOOKUP(YEAR(G184)+(MONTH(G184)/100),TC!$5:$37,DAY(G184)+2,FALSE))</f>
        <v>0</v>
      </c>
      <c r="N184" s="306" t="e">
        <f t="shared" si="36"/>
        <v>#N/A</v>
      </c>
      <c r="O184" s="308">
        <f>IF(G184=0,0,VLOOKUP(YEAR(G184),INPC!$B$4:$P$30,MONTH(G184)+2))</f>
        <v>0</v>
      </c>
      <c r="P184" s="308">
        <f>IF(W184=0,0,IF(OR(C184=$AQ$5,C184=AQ188),VLOOKUP(YEAR(W184),INPC!$B$4:$P$30,MONTH(W184)+1),VLOOKUP(YEAR(W184),INPC!$B$4:$P$30,MONTH(W184)+2)))</f>
        <v>0</v>
      </c>
      <c r="Q184" s="309">
        <f t="shared" si="37"/>
        <v>0</v>
      </c>
      <c r="R184" s="310" t="e">
        <f t="shared" si="38"/>
        <v>#N/A</v>
      </c>
      <c r="S184" s="310">
        <f t="shared" si="39"/>
        <v>0</v>
      </c>
      <c r="T184" s="559" t="str">
        <f t="shared" si="40"/>
        <v>NO</v>
      </c>
      <c r="U184" s="323"/>
      <c r="V184" s="299"/>
      <c r="W184" s="300"/>
      <c r="X184" s="299"/>
      <c r="Y184" s="303"/>
      <c r="Z184" s="305">
        <f>IF(Y184=0,0,IF(X184="MXN",1/HLOOKUP(YEAR(W184)+(MONTH(W184)/100),TC!$5:$37,DAY(W184)+2,FALSE),VLOOKUP(X184,Equivalencia!$1:$23,((MAX(Equivalencia!$3:$3)-YEAR(W184))*14)+MONTH(W184)+2,FALSE)))</f>
        <v>0</v>
      </c>
      <c r="AA184" s="306">
        <f t="shared" si="41"/>
        <v>0</v>
      </c>
      <c r="AB184" s="305">
        <f>+IF(W184=0,0,HLOOKUP(YEAR(W184)+(MONTH(W184)/100),TC!$5:$37,DAY(W184)+2,FALSE))</f>
        <v>0</v>
      </c>
      <c r="AC184" s="306">
        <f t="shared" si="42"/>
        <v>0</v>
      </c>
      <c r="AD184" s="314">
        <f t="shared" si="33"/>
        <v>0</v>
      </c>
      <c r="AE184" s="315">
        <f t="shared" si="43"/>
        <v>0</v>
      </c>
      <c r="AF184" s="316">
        <f t="shared" si="34"/>
        <v>0</v>
      </c>
      <c r="AG184" s="314">
        <v>1</v>
      </c>
      <c r="AH184" s="314">
        <f t="shared" si="44"/>
        <v>0</v>
      </c>
      <c r="AI184" s="314">
        <f t="shared" si="45"/>
        <v>0</v>
      </c>
      <c r="AJ184" s="317"/>
      <c r="AK184" s="315" t="e">
        <f t="shared" si="46"/>
        <v>#N/A</v>
      </c>
      <c r="AM184" s="553"/>
      <c r="AN184" s="553"/>
      <c r="AO184" s="553"/>
    </row>
    <row r="185" spans="2:41">
      <c r="B185" s="296"/>
      <c r="C185" s="299"/>
      <c r="D185" s="296"/>
      <c r="E185" s="298"/>
      <c r="F185" s="299"/>
      <c r="G185" s="300"/>
      <c r="H185" s="303"/>
      <c r="I185" s="303"/>
      <c r="J185" s="322">
        <f t="shared" si="32"/>
        <v>0</v>
      </c>
      <c r="K185" s="305" t="e">
        <f>IF(F185="MXN",1/HLOOKUP(YEAR(G185)+(MONTH(G185)/100),TC!$5:$37,DAY(G185)+2,FALSE),VLOOKUP(F185,Equivalencia!$5:$23,((MAX(Equivalencia!$3:$3)-YEAR(G185))*14)+MONTH(G185)+2,FALSE))</f>
        <v>#N/A</v>
      </c>
      <c r="L185" s="306" t="e">
        <f t="shared" si="35"/>
        <v>#N/A</v>
      </c>
      <c r="M185" s="305">
        <f>IF(G185=0,0,HLOOKUP(YEAR(G185)+(MONTH(G185)/100),TC!$5:$37,DAY(G185)+2,FALSE))</f>
        <v>0</v>
      </c>
      <c r="N185" s="306" t="e">
        <f t="shared" si="36"/>
        <v>#N/A</v>
      </c>
      <c r="O185" s="308">
        <f>IF(G185=0,0,VLOOKUP(YEAR(G185),INPC!$B$4:$P$30,MONTH(G185)+2))</f>
        <v>0</v>
      </c>
      <c r="P185" s="308">
        <f>IF(W185=0,0,IF(OR(C185=$AQ$5,C185=AQ189),VLOOKUP(YEAR(W185),INPC!$B$4:$P$30,MONTH(W185)+1),VLOOKUP(YEAR(W185),INPC!$B$4:$P$30,MONTH(W185)+2)))</f>
        <v>0</v>
      </c>
      <c r="Q185" s="309">
        <f t="shared" si="37"/>
        <v>0</v>
      </c>
      <c r="R185" s="310" t="e">
        <f t="shared" si="38"/>
        <v>#N/A</v>
      </c>
      <c r="S185" s="310">
        <f t="shared" si="39"/>
        <v>0</v>
      </c>
      <c r="T185" s="559" t="str">
        <f t="shared" si="40"/>
        <v>NO</v>
      </c>
      <c r="U185" s="323"/>
      <c r="V185" s="299"/>
      <c r="W185" s="300"/>
      <c r="X185" s="299"/>
      <c r="Y185" s="303"/>
      <c r="Z185" s="305">
        <f>IF(Y185=0,0,IF(X185="MXN",1/HLOOKUP(YEAR(W185)+(MONTH(W185)/100),TC!$5:$37,DAY(W185)+2,FALSE),VLOOKUP(X185,Equivalencia!$1:$23,((MAX(Equivalencia!$3:$3)-YEAR(W185))*14)+MONTH(W185)+2,FALSE)))</f>
        <v>0</v>
      </c>
      <c r="AA185" s="306">
        <f t="shared" si="41"/>
        <v>0</v>
      </c>
      <c r="AB185" s="305">
        <f>+IF(W185=0,0,HLOOKUP(YEAR(W185)+(MONTH(W185)/100),TC!$5:$37,DAY(W185)+2,FALSE))</f>
        <v>0</v>
      </c>
      <c r="AC185" s="306">
        <f t="shared" si="42"/>
        <v>0</v>
      </c>
      <c r="AD185" s="314">
        <f t="shared" si="33"/>
        <v>0</v>
      </c>
      <c r="AE185" s="315">
        <f t="shared" si="43"/>
        <v>0</v>
      </c>
      <c r="AF185" s="316">
        <f t="shared" si="34"/>
        <v>0</v>
      </c>
      <c r="AG185" s="314">
        <v>1</v>
      </c>
      <c r="AH185" s="314">
        <f t="shared" si="44"/>
        <v>0</v>
      </c>
      <c r="AI185" s="314">
        <f t="shared" si="45"/>
        <v>0</v>
      </c>
      <c r="AJ185" s="317"/>
      <c r="AK185" s="315" t="e">
        <f t="shared" si="46"/>
        <v>#N/A</v>
      </c>
      <c r="AM185" s="553"/>
      <c r="AN185" s="553"/>
      <c r="AO185" s="553"/>
    </row>
    <row r="186" spans="2:41">
      <c r="B186" s="296"/>
      <c r="C186" s="299"/>
      <c r="D186" s="296"/>
      <c r="E186" s="298"/>
      <c r="F186" s="299"/>
      <c r="G186" s="300"/>
      <c r="H186" s="303"/>
      <c r="I186" s="303"/>
      <c r="J186" s="322">
        <f t="shared" si="32"/>
        <v>0</v>
      </c>
      <c r="K186" s="305" t="e">
        <f>IF(F186="MXN",1/HLOOKUP(YEAR(G186)+(MONTH(G186)/100),TC!$5:$37,DAY(G186)+2,FALSE),VLOOKUP(F186,Equivalencia!$5:$23,((MAX(Equivalencia!$3:$3)-YEAR(G186))*14)+MONTH(G186)+2,FALSE))</f>
        <v>#N/A</v>
      </c>
      <c r="L186" s="306" t="e">
        <f t="shared" si="35"/>
        <v>#N/A</v>
      </c>
      <c r="M186" s="305">
        <f>IF(G186=0,0,HLOOKUP(YEAR(G186)+(MONTH(G186)/100),TC!$5:$37,DAY(G186)+2,FALSE))</f>
        <v>0</v>
      </c>
      <c r="N186" s="306" t="e">
        <f t="shared" si="36"/>
        <v>#N/A</v>
      </c>
      <c r="O186" s="308">
        <f>IF(G186=0,0,VLOOKUP(YEAR(G186),INPC!$B$4:$P$30,MONTH(G186)+2))</f>
        <v>0</v>
      </c>
      <c r="P186" s="308">
        <f>IF(W186=0,0,IF(OR(C186=$AQ$5,C186=AQ190),VLOOKUP(YEAR(W186),INPC!$B$4:$P$30,MONTH(W186)+1),VLOOKUP(YEAR(W186),INPC!$B$4:$P$30,MONTH(W186)+2)))</f>
        <v>0</v>
      </c>
      <c r="Q186" s="309">
        <f t="shared" si="37"/>
        <v>0</v>
      </c>
      <c r="R186" s="310" t="e">
        <f t="shared" si="38"/>
        <v>#N/A</v>
      </c>
      <c r="S186" s="310">
        <f t="shared" si="39"/>
        <v>0</v>
      </c>
      <c r="T186" s="559" t="str">
        <f t="shared" si="40"/>
        <v>NO</v>
      </c>
      <c r="U186" s="323"/>
      <c r="V186" s="299"/>
      <c r="W186" s="300"/>
      <c r="X186" s="299"/>
      <c r="Y186" s="303"/>
      <c r="Z186" s="305">
        <f>IF(Y186=0,0,IF(X186="MXN",1/HLOOKUP(YEAR(W186)+(MONTH(W186)/100),TC!$5:$37,DAY(W186)+2,FALSE),VLOOKUP(X186,Equivalencia!$1:$23,((MAX(Equivalencia!$3:$3)-YEAR(W186))*14)+MONTH(W186)+2,FALSE)))</f>
        <v>0</v>
      </c>
      <c r="AA186" s="306">
        <f t="shared" si="41"/>
        <v>0</v>
      </c>
      <c r="AB186" s="305">
        <f>+IF(W186=0,0,HLOOKUP(YEAR(W186)+(MONTH(W186)/100),TC!$5:$37,DAY(W186)+2,FALSE))</f>
        <v>0</v>
      </c>
      <c r="AC186" s="306">
        <f t="shared" si="42"/>
        <v>0</v>
      </c>
      <c r="AD186" s="314">
        <f t="shared" si="33"/>
        <v>0</v>
      </c>
      <c r="AE186" s="315">
        <f t="shared" si="43"/>
        <v>0</v>
      </c>
      <c r="AF186" s="316">
        <f t="shared" si="34"/>
        <v>0</v>
      </c>
      <c r="AG186" s="314">
        <v>1</v>
      </c>
      <c r="AH186" s="314">
        <f t="shared" si="44"/>
        <v>0</v>
      </c>
      <c r="AI186" s="314">
        <f t="shared" si="45"/>
        <v>0</v>
      </c>
      <c r="AJ186" s="317"/>
      <c r="AK186" s="315" t="e">
        <f t="shared" si="46"/>
        <v>#N/A</v>
      </c>
      <c r="AM186" s="553"/>
      <c r="AN186" s="553"/>
      <c r="AO186" s="553"/>
    </row>
    <row r="187" spans="2:41">
      <c r="B187" s="296"/>
      <c r="C187" s="299"/>
      <c r="D187" s="296"/>
      <c r="E187" s="298"/>
      <c r="F187" s="299"/>
      <c r="G187" s="300"/>
      <c r="H187" s="303"/>
      <c r="I187" s="303"/>
      <c r="J187" s="322">
        <f t="shared" si="32"/>
        <v>0</v>
      </c>
      <c r="K187" s="305" t="e">
        <f>IF(F187="MXN",1/HLOOKUP(YEAR(G187)+(MONTH(G187)/100),TC!$5:$37,DAY(G187)+2,FALSE),VLOOKUP(F187,Equivalencia!$5:$23,((MAX(Equivalencia!$3:$3)-YEAR(G187))*14)+MONTH(G187)+2,FALSE))</f>
        <v>#N/A</v>
      </c>
      <c r="L187" s="306" t="e">
        <f t="shared" si="35"/>
        <v>#N/A</v>
      </c>
      <c r="M187" s="305">
        <f>IF(G187=0,0,HLOOKUP(YEAR(G187)+(MONTH(G187)/100),TC!$5:$37,DAY(G187)+2,FALSE))</f>
        <v>0</v>
      </c>
      <c r="N187" s="306" t="e">
        <f t="shared" si="36"/>
        <v>#N/A</v>
      </c>
      <c r="O187" s="308">
        <f>IF(G187=0,0,VLOOKUP(YEAR(G187),INPC!$B$4:$P$30,MONTH(G187)+2))</f>
        <v>0</v>
      </c>
      <c r="P187" s="308">
        <f>IF(W187=0,0,IF(OR(C187=$AQ$5,C187=AQ191),VLOOKUP(YEAR(W187),INPC!$B$4:$P$30,MONTH(W187)+1),VLOOKUP(YEAR(W187),INPC!$B$4:$P$30,MONTH(W187)+2)))</f>
        <v>0</v>
      </c>
      <c r="Q187" s="309">
        <f t="shared" si="37"/>
        <v>0</v>
      </c>
      <c r="R187" s="310" t="e">
        <f t="shared" si="38"/>
        <v>#N/A</v>
      </c>
      <c r="S187" s="310">
        <f t="shared" si="39"/>
        <v>0</v>
      </c>
      <c r="T187" s="559" t="str">
        <f t="shared" si="40"/>
        <v>NO</v>
      </c>
      <c r="U187" s="323"/>
      <c r="V187" s="299"/>
      <c r="W187" s="300"/>
      <c r="X187" s="299"/>
      <c r="Y187" s="303"/>
      <c r="Z187" s="305">
        <f>IF(Y187=0,0,IF(X187="MXN",1/HLOOKUP(YEAR(W187)+(MONTH(W187)/100),TC!$5:$37,DAY(W187)+2,FALSE),VLOOKUP(X187,Equivalencia!$1:$23,((MAX(Equivalencia!$3:$3)-YEAR(W187))*14)+MONTH(W187)+2,FALSE)))</f>
        <v>0</v>
      </c>
      <c r="AA187" s="306">
        <f t="shared" si="41"/>
        <v>0</v>
      </c>
      <c r="AB187" s="305">
        <f>+IF(W187=0,0,HLOOKUP(YEAR(W187)+(MONTH(W187)/100),TC!$5:$37,DAY(W187)+2,FALSE))</f>
        <v>0</v>
      </c>
      <c r="AC187" s="306">
        <f t="shared" si="42"/>
        <v>0</v>
      </c>
      <c r="AD187" s="314">
        <f t="shared" si="33"/>
        <v>0</v>
      </c>
      <c r="AE187" s="315">
        <f t="shared" si="43"/>
        <v>0</v>
      </c>
      <c r="AF187" s="316">
        <f t="shared" si="34"/>
        <v>0</v>
      </c>
      <c r="AG187" s="314">
        <v>1</v>
      </c>
      <c r="AH187" s="314">
        <f t="shared" si="44"/>
        <v>0</v>
      </c>
      <c r="AI187" s="314">
        <f t="shared" si="45"/>
        <v>0</v>
      </c>
      <c r="AJ187" s="317"/>
      <c r="AK187" s="315" t="e">
        <f t="shared" si="46"/>
        <v>#N/A</v>
      </c>
      <c r="AM187" s="553"/>
      <c r="AN187" s="553"/>
      <c r="AO187" s="553"/>
    </row>
    <row r="188" spans="2:41">
      <c r="B188" s="296"/>
      <c r="C188" s="299"/>
      <c r="D188" s="296"/>
      <c r="E188" s="298"/>
      <c r="F188" s="299"/>
      <c r="G188" s="300"/>
      <c r="H188" s="303"/>
      <c r="I188" s="303"/>
      <c r="J188" s="322">
        <f t="shared" si="32"/>
        <v>0</v>
      </c>
      <c r="K188" s="305" t="e">
        <f>IF(F188="MXN",1/HLOOKUP(YEAR(G188)+(MONTH(G188)/100),TC!$5:$37,DAY(G188)+2,FALSE),VLOOKUP(F188,Equivalencia!$5:$23,((MAX(Equivalencia!$3:$3)-YEAR(G188))*14)+MONTH(G188)+2,FALSE))</f>
        <v>#N/A</v>
      </c>
      <c r="L188" s="306" t="e">
        <f t="shared" si="35"/>
        <v>#N/A</v>
      </c>
      <c r="M188" s="305">
        <f>IF(G188=0,0,HLOOKUP(YEAR(G188)+(MONTH(G188)/100),TC!$5:$37,DAY(G188)+2,FALSE))</f>
        <v>0</v>
      </c>
      <c r="N188" s="306" t="e">
        <f t="shared" si="36"/>
        <v>#N/A</v>
      </c>
      <c r="O188" s="308">
        <f>IF(G188=0,0,VLOOKUP(YEAR(G188),INPC!$B$4:$P$30,MONTH(G188)+2))</f>
        <v>0</v>
      </c>
      <c r="P188" s="308">
        <f>IF(W188=0,0,IF(OR(C188=$AQ$5,C188=AQ192),VLOOKUP(YEAR(W188),INPC!$B$4:$P$30,MONTH(W188)+1),VLOOKUP(YEAR(W188),INPC!$B$4:$P$30,MONTH(W188)+2)))</f>
        <v>0</v>
      </c>
      <c r="Q188" s="309">
        <f t="shared" si="37"/>
        <v>0</v>
      </c>
      <c r="R188" s="310" t="e">
        <f t="shared" si="38"/>
        <v>#N/A</v>
      </c>
      <c r="S188" s="310">
        <f t="shared" si="39"/>
        <v>0</v>
      </c>
      <c r="T188" s="559" t="str">
        <f t="shared" si="40"/>
        <v>NO</v>
      </c>
      <c r="U188" s="323"/>
      <c r="V188" s="299"/>
      <c r="W188" s="300"/>
      <c r="X188" s="299"/>
      <c r="Y188" s="303"/>
      <c r="Z188" s="305">
        <f>IF(Y188=0,0,IF(X188="MXN",1/HLOOKUP(YEAR(W188)+(MONTH(W188)/100),TC!$5:$37,DAY(W188)+2,FALSE),VLOOKUP(X188,Equivalencia!$1:$23,((MAX(Equivalencia!$3:$3)-YEAR(W188))*14)+MONTH(W188)+2,FALSE)))</f>
        <v>0</v>
      </c>
      <c r="AA188" s="306">
        <f t="shared" si="41"/>
        <v>0</v>
      </c>
      <c r="AB188" s="305">
        <f>+IF(W188=0,0,HLOOKUP(YEAR(W188)+(MONTH(W188)/100),TC!$5:$37,DAY(W188)+2,FALSE))</f>
        <v>0</v>
      </c>
      <c r="AC188" s="306">
        <f t="shared" si="42"/>
        <v>0</v>
      </c>
      <c r="AD188" s="314">
        <f t="shared" si="33"/>
        <v>0</v>
      </c>
      <c r="AE188" s="315">
        <f t="shared" si="43"/>
        <v>0</v>
      </c>
      <c r="AF188" s="316">
        <f t="shared" si="34"/>
        <v>0</v>
      </c>
      <c r="AG188" s="314">
        <v>1</v>
      </c>
      <c r="AH188" s="314">
        <f t="shared" si="44"/>
        <v>0</v>
      </c>
      <c r="AI188" s="314">
        <f t="shared" si="45"/>
        <v>0</v>
      </c>
      <c r="AJ188" s="317"/>
      <c r="AK188" s="315" t="e">
        <f t="shared" si="46"/>
        <v>#N/A</v>
      </c>
      <c r="AM188" s="553"/>
      <c r="AN188" s="553"/>
      <c r="AO188" s="553"/>
    </row>
    <row r="189" spans="2:41">
      <c r="B189" s="296"/>
      <c r="C189" s="299"/>
      <c r="D189" s="296"/>
      <c r="E189" s="298"/>
      <c r="F189" s="299"/>
      <c r="G189" s="300"/>
      <c r="H189" s="303"/>
      <c r="I189" s="303"/>
      <c r="J189" s="322">
        <f t="shared" si="32"/>
        <v>0</v>
      </c>
      <c r="K189" s="305" t="e">
        <f>IF(F189="MXN",1/HLOOKUP(YEAR(G189)+(MONTH(G189)/100),TC!$5:$37,DAY(G189)+2,FALSE),VLOOKUP(F189,Equivalencia!$5:$23,((MAX(Equivalencia!$3:$3)-YEAR(G189))*14)+MONTH(G189)+2,FALSE))</f>
        <v>#N/A</v>
      </c>
      <c r="L189" s="306" t="e">
        <f t="shared" si="35"/>
        <v>#N/A</v>
      </c>
      <c r="M189" s="305">
        <f>IF(G189=0,0,HLOOKUP(YEAR(G189)+(MONTH(G189)/100),TC!$5:$37,DAY(G189)+2,FALSE))</f>
        <v>0</v>
      </c>
      <c r="N189" s="306" t="e">
        <f t="shared" si="36"/>
        <v>#N/A</v>
      </c>
      <c r="O189" s="308">
        <f>IF(G189=0,0,VLOOKUP(YEAR(G189),INPC!$B$4:$P$30,MONTH(G189)+2))</f>
        <v>0</v>
      </c>
      <c r="P189" s="308">
        <f>IF(W189=0,0,IF(OR(C189=$AQ$5,C189=AQ193),VLOOKUP(YEAR(W189),INPC!$B$4:$P$30,MONTH(W189)+1),VLOOKUP(YEAR(W189),INPC!$B$4:$P$30,MONTH(W189)+2)))</f>
        <v>0</v>
      </c>
      <c r="Q189" s="309">
        <f t="shared" si="37"/>
        <v>0</v>
      </c>
      <c r="R189" s="310" t="e">
        <f t="shared" si="38"/>
        <v>#N/A</v>
      </c>
      <c r="S189" s="310">
        <f t="shared" si="39"/>
        <v>0</v>
      </c>
      <c r="T189" s="559" t="str">
        <f t="shared" si="40"/>
        <v>NO</v>
      </c>
      <c r="U189" s="323"/>
      <c r="V189" s="299"/>
      <c r="W189" s="300"/>
      <c r="X189" s="299"/>
      <c r="Y189" s="303"/>
      <c r="Z189" s="305">
        <f>IF(Y189=0,0,IF(X189="MXN",1/HLOOKUP(YEAR(W189)+(MONTH(W189)/100),TC!$5:$37,DAY(W189)+2,FALSE),VLOOKUP(X189,Equivalencia!$1:$23,((MAX(Equivalencia!$3:$3)-YEAR(W189))*14)+MONTH(W189)+2,FALSE)))</f>
        <v>0</v>
      </c>
      <c r="AA189" s="306">
        <f t="shared" si="41"/>
        <v>0</v>
      </c>
      <c r="AB189" s="305">
        <f>+IF(W189=0,0,HLOOKUP(YEAR(W189)+(MONTH(W189)/100),TC!$5:$37,DAY(W189)+2,FALSE))</f>
        <v>0</v>
      </c>
      <c r="AC189" s="306">
        <f t="shared" si="42"/>
        <v>0</v>
      </c>
      <c r="AD189" s="314">
        <f t="shared" si="33"/>
        <v>0</v>
      </c>
      <c r="AE189" s="315">
        <f t="shared" si="43"/>
        <v>0</v>
      </c>
      <c r="AF189" s="316">
        <f t="shared" si="34"/>
        <v>0</v>
      </c>
      <c r="AG189" s="314">
        <v>1</v>
      </c>
      <c r="AH189" s="314">
        <f t="shared" si="44"/>
        <v>0</v>
      </c>
      <c r="AI189" s="314">
        <f t="shared" si="45"/>
        <v>0</v>
      </c>
      <c r="AJ189" s="317"/>
      <c r="AK189" s="315" t="e">
        <f t="shared" si="46"/>
        <v>#N/A</v>
      </c>
      <c r="AM189" s="553"/>
      <c r="AN189" s="553"/>
      <c r="AO189" s="553"/>
    </row>
    <row r="190" spans="2:41">
      <c r="B190" s="296"/>
      <c r="C190" s="299"/>
      <c r="D190" s="296"/>
      <c r="E190" s="298"/>
      <c r="F190" s="299"/>
      <c r="G190" s="300"/>
      <c r="H190" s="303"/>
      <c r="I190" s="303"/>
      <c r="J190" s="322">
        <f t="shared" si="32"/>
        <v>0</v>
      </c>
      <c r="K190" s="305" t="e">
        <f>IF(F190="MXN",1/HLOOKUP(YEAR(G190)+(MONTH(G190)/100),TC!$5:$37,DAY(G190)+2,FALSE),VLOOKUP(F190,Equivalencia!$5:$23,((MAX(Equivalencia!$3:$3)-YEAR(G190))*14)+MONTH(G190)+2,FALSE))</f>
        <v>#N/A</v>
      </c>
      <c r="L190" s="306" t="e">
        <f t="shared" si="35"/>
        <v>#N/A</v>
      </c>
      <c r="M190" s="305">
        <f>IF(G190=0,0,HLOOKUP(YEAR(G190)+(MONTH(G190)/100),TC!$5:$37,DAY(G190)+2,FALSE))</f>
        <v>0</v>
      </c>
      <c r="N190" s="306" t="e">
        <f t="shared" si="36"/>
        <v>#N/A</v>
      </c>
      <c r="O190" s="308">
        <f>IF(G190=0,0,VLOOKUP(YEAR(G190),INPC!$B$4:$P$30,MONTH(G190)+2))</f>
        <v>0</v>
      </c>
      <c r="P190" s="308">
        <f>IF(W190=0,0,IF(OR(C190=$AQ$5,C190=AQ194),VLOOKUP(YEAR(W190),INPC!$B$4:$P$30,MONTH(W190)+1),VLOOKUP(YEAR(W190),INPC!$B$4:$P$30,MONTH(W190)+2)))</f>
        <v>0</v>
      </c>
      <c r="Q190" s="309">
        <f t="shared" si="37"/>
        <v>0</v>
      </c>
      <c r="R190" s="310" t="e">
        <f t="shared" si="38"/>
        <v>#N/A</v>
      </c>
      <c r="S190" s="310">
        <f t="shared" si="39"/>
        <v>0</v>
      </c>
      <c r="T190" s="559" t="str">
        <f t="shared" si="40"/>
        <v>NO</v>
      </c>
      <c r="U190" s="323"/>
      <c r="V190" s="299"/>
      <c r="W190" s="300"/>
      <c r="X190" s="299"/>
      <c r="Y190" s="303"/>
      <c r="Z190" s="305">
        <f>IF(Y190=0,0,IF(X190="MXN",1/HLOOKUP(YEAR(W190)+(MONTH(W190)/100),TC!$5:$37,DAY(W190)+2,FALSE),VLOOKUP(X190,Equivalencia!$1:$23,((MAX(Equivalencia!$3:$3)-YEAR(W190))*14)+MONTH(W190)+2,FALSE)))</f>
        <v>0</v>
      </c>
      <c r="AA190" s="306">
        <f t="shared" si="41"/>
        <v>0</v>
      </c>
      <c r="AB190" s="305">
        <f>+IF(W190=0,0,HLOOKUP(YEAR(W190)+(MONTH(W190)/100),TC!$5:$37,DAY(W190)+2,FALSE))</f>
        <v>0</v>
      </c>
      <c r="AC190" s="306">
        <f t="shared" si="42"/>
        <v>0</v>
      </c>
      <c r="AD190" s="314">
        <f t="shared" si="33"/>
        <v>0</v>
      </c>
      <c r="AE190" s="315">
        <f t="shared" si="43"/>
        <v>0</v>
      </c>
      <c r="AF190" s="316">
        <f t="shared" si="34"/>
        <v>0</v>
      </c>
      <c r="AG190" s="314">
        <v>1</v>
      </c>
      <c r="AH190" s="314">
        <f t="shared" si="44"/>
        <v>0</v>
      </c>
      <c r="AI190" s="314">
        <f t="shared" si="45"/>
        <v>0</v>
      </c>
      <c r="AJ190" s="317"/>
      <c r="AK190" s="315" t="e">
        <f t="shared" si="46"/>
        <v>#N/A</v>
      </c>
      <c r="AM190" s="553"/>
      <c r="AN190" s="553"/>
      <c r="AO190" s="553"/>
    </row>
    <row r="191" spans="2:41">
      <c r="B191" s="296"/>
      <c r="C191" s="299"/>
      <c r="D191" s="296"/>
      <c r="E191" s="298"/>
      <c r="F191" s="299"/>
      <c r="G191" s="300"/>
      <c r="H191" s="303"/>
      <c r="I191" s="303"/>
      <c r="J191" s="322">
        <f t="shared" si="32"/>
        <v>0</v>
      </c>
      <c r="K191" s="305" t="e">
        <f>IF(F191="MXN",1/HLOOKUP(YEAR(G191)+(MONTH(G191)/100),TC!$5:$37,DAY(G191)+2,FALSE),VLOOKUP(F191,Equivalencia!$5:$23,((MAX(Equivalencia!$3:$3)-YEAR(G191))*14)+MONTH(G191)+2,FALSE))</f>
        <v>#N/A</v>
      </c>
      <c r="L191" s="306" t="e">
        <f t="shared" si="35"/>
        <v>#N/A</v>
      </c>
      <c r="M191" s="305">
        <f>IF(G191=0,0,HLOOKUP(YEAR(G191)+(MONTH(G191)/100),TC!$5:$37,DAY(G191)+2,FALSE))</f>
        <v>0</v>
      </c>
      <c r="N191" s="306" t="e">
        <f t="shared" si="36"/>
        <v>#N/A</v>
      </c>
      <c r="O191" s="308">
        <f>IF(G191=0,0,VLOOKUP(YEAR(G191),INPC!$B$4:$P$30,MONTH(G191)+2))</f>
        <v>0</v>
      </c>
      <c r="P191" s="308">
        <f>IF(W191=0,0,IF(OR(C191=$AQ$5,C191=AQ195),VLOOKUP(YEAR(W191),INPC!$B$4:$P$30,MONTH(W191)+1),VLOOKUP(YEAR(W191),INPC!$B$4:$P$30,MONTH(W191)+2)))</f>
        <v>0</v>
      </c>
      <c r="Q191" s="309">
        <f t="shared" si="37"/>
        <v>0</v>
      </c>
      <c r="R191" s="310" t="e">
        <f t="shared" si="38"/>
        <v>#N/A</v>
      </c>
      <c r="S191" s="310">
        <f t="shared" si="39"/>
        <v>0</v>
      </c>
      <c r="T191" s="559" t="str">
        <f t="shared" si="40"/>
        <v>NO</v>
      </c>
      <c r="U191" s="323"/>
      <c r="V191" s="299"/>
      <c r="W191" s="300"/>
      <c r="X191" s="299"/>
      <c r="Y191" s="303"/>
      <c r="Z191" s="305">
        <f>IF(Y191=0,0,IF(X191="MXN",1/HLOOKUP(YEAR(W191)+(MONTH(W191)/100),TC!$5:$37,DAY(W191)+2,FALSE),VLOOKUP(X191,Equivalencia!$1:$23,((MAX(Equivalencia!$3:$3)-YEAR(W191))*14)+MONTH(W191)+2,FALSE)))</f>
        <v>0</v>
      </c>
      <c r="AA191" s="306">
        <f t="shared" si="41"/>
        <v>0</v>
      </c>
      <c r="AB191" s="305">
        <f>+IF(W191=0,0,HLOOKUP(YEAR(W191)+(MONTH(W191)/100),TC!$5:$37,DAY(W191)+2,FALSE))</f>
        <v>0</v>
      </c>
      <c r="AC191" s="306">
        <f t="shared" si="42"/>
        <v>0</v>
      </c>
      <c r="AD191" s="314">
        <f t="shared" si="33"/>
        <v>0</v>
      </c>
      <c r="AE191" s="315">
        <f t="shared" si="43"/>
        <v>0</v>
      </c>
      <c r="AF191" s="316">
        <f t="shared" si="34"/>
        <v>0</v>
      </c>
      <c r="AG191" s="314">
        <v>1</v>
      </c>
      <c r="AH191" s="314">
        <f t="shared" si="44"/>
        <v>0</v>
      </c>
      <c r="AI191" s="314">
        <f t="shared" si="45"/>
        <v>0</v>
      </c>
      <c r="AJ191" s="317"/>
      <c r="AK191" s="315" t="e">
        <f t="shared" si="46"/>
        <v>#N/A</v>
      </c>
      <c r="AM191" s="553"/>
      <c r="AN191" s="553"/>
      <c r="AO191" s="553"/>
    </row>
    <row r="192" spans="2:41">
      <c r="B192" s="296"/>
      <c r="C192" s="299"/>
      <c r="D192" s="296"/>
      <c r="E192" s="298"/>
      <c r="F192" s="299"/>
      <c r="G192" s="300"/>
      <c r="H192" s="303"/>
      <c r="I192" s="303"/>
      <c r="J192" s="322">
        <f t="shared" si="32"/>
        <v>0</v>
      </c>
      <c r="K192" s="305" t="e">
        <f>IF(F192="MXN",1/HLOOKUP(YEAR(G192)+(MONTH(G192)/100),TC!$5:$37,DAY(G192)+2,FALSE),VLOOKUP(F192,Equivalencia!$5:$23,((MAX(Equivalencia!$3:$3)-YEAR(G192))*14)+MONTH(G192)+2,FALSE))</f>
        <v>#N/A</v>
      </c>
      <c r="L192" s="306" t="e">
        <f t="shared" si="35"/>
        <v>#N/A</v>
      </c>
      <c r="M192" s="305">
        <f>IF(G192=0,0,HLOOKUP(YEAR(G192)+(MONTH(G192)/100),TC!$5:$37,DAY(G192)+2,FALSE))</f>
        <v>0</v>
      </c>
      <c r="N192" s="306" t="e">
        <f t="shared" si="36"/>
        <v>#N/A</v>
      </c>
      <c r="O192" s="308">
        <f>IF(G192=0,0,VLOOKUP(YEAR(G192),INPC!$B$4:$P$30,MONTH(G192)+2))</f>
        <v>0</v>
      </c>
      <c r="P192" s="308">
        <f>IF(W192=0,0,IF(OR(C192=$AQ$5,C192=AQ196),VLOOKUP(YEAR(W192),INPC!$B$4:$P$30,MONTH(W192)+1),VLOOKUP(YEAR(W192),INPC!$B$4:$P$30,MONTH(W192)+2)))</f>
        <v>0</v>
      </c>
      <c r="Q192" s="309">
        <f t="shared" si="37"/>
        <v>0</v>
      </c>
      <c r="R192" s="310" t="e">
        <f t="shared" si="38"/>
        <v>#N/A</v>
      </c>
      <c r="S192" s="310">
        <f t="shared" si="39"/>
        <v>0</v>
      </c>
      <c r="T192" s="559" t="str">
        <f t="shared" si="40"/>
        <v>NO</v>
      </c>
      <c r="U192" s="323"/>
      <c r="V192" s="299"/>
      <c r="W192" s="300"/>
      <c r="X192" s="299"/>
      <c r="Y192" s="303"/>
      <c r="Z192" s="305">
        <f>IF(Y192=0,0,IF(X192="MXN",1/HLOOKUP(YEAR(W192)+(MONTH(W192)/100),TC!$5:$37,DAY(W192)+2,FALSE),VLOOKUP(X192,Equivalencia!$1:$23,((MAX(Equivalencia!$3:$3)-YEAR(W192))*14)+MONTH(W192)+2,FALSE)))</f>
        <v>0</v>
      </c>
      <c r="AA192" s="306">
        <f t="shared" si="41"/>
        <v>0</v>
      </c>
      <c r="AB192" s="305">
        <f>+IF(W192=0,0,HLOOKUP(YEAR(W192)+(MONTH(W192)/100),TC!$5:$37,DAY(W192)+2,FALSE))</f>
        <v>0</v>
      </c>
      <c r="AC192" s="306">
        <f t="shared" si="42"/>
        <v>0</v>
      </c>
      <c r="AD192" s="314">
        <f t="shared" si="33"/>
        <v>0</v>
      </c>
      <c r="AE192" s="315">
        <f t="shared" si="43"/>
        <v>0</v>
      </c>
      <c r="AF192" s="316">
        <f t="shared" si="34"/>
        <v>0</v>
      </c>
      <c r="AG192" s="314">
        <v>1</v>
      </c>
      <c r="AH192" s="314">
        <f t="shared" si="44"/>
        <v>0</v>
      </c>
      <c r="AI192" s="314">
        <f t="shared" si="45"/>
        <v>0</v>
      </c>
      <c r="AJ192" s="317"/>
      <c r="AK192" s="315" t="e">
        <f t="shared" si="46"/>
        <v>#N/A</v>
      </c>
      <c r="AM192" s="553"/>
      <c r="AN192" s="553"/>
      <c r="AO192" s="553"/>
    </row>
    <row r="193" spans="2:41">
      <c r="B193" s="296"/>
      <c r="C193" s="299"/>
      <c r="D193" s="296"/>
      <c r="E193" s="298"/>
      <c r="F193" s="299"/>
      <c r="G193" s="300"/>
      <c r="H193" s="303"/>
      <c r="I193" s="303"/>
      <c r="J193" s="322">
        <f t="shared" si="32"/>
        <v>0</v>
      </c>
      <c r="K193" s="305" t="e">
        <f>IF(F193="MXN",1/HLOOKUP(YEAR(G193)+(MONTH(G193)/100),TC!$5:$37,DAY(G193)+2,FALSE),VLOOKUP(F193,Equivalencia!$5:$23,((MAX(Equivalencia!$3:$3)-YEAR(G193))*14)+MONTH(G193)+2,FALSE))</f>
        <v>#N/A</v>
      </c>
      <c r="L193" s="306" t="e">
        <f t="shared" si="35"/>
        <v>#N/A</v>
      </c>
      <c r="M193" s="305">
        <f>IF(G193=0,0,HLOOKUP(YEAR(G193)+(MONTH(G193)/100),TC!$5:$37,DAY(G193)+2,FALSE))</f>
        <v>0</v>
      </c>
      <c r="N193" s="306" t="e">
        <f t="shared" si="36"/>
        <v>#N/A</v>
      </c>
      <c r="O193" s="308">
        <f>IF(G193=0,0,VLOOKUP(YEAR(G193),INPC!$B$4:$P$30,MONTH(G193)+2))</f>
        <v>0</v>
      </c>
      <c r="P193" s="308">
        <f>IF(W193=0,0,IF(OR(C193=$AQ$5,C193=AQ197),VLOOKUP(YEAR(W193),INPC!$B$4:$P$30,MONTH(W193)+1),VLOOKUP(YEAR(W193),INPC!$B$4:$P$30,MONTH(W193)+2)))</f>
        <v>0</v>
      </c>
      <c r="Q193" s="309">
        <f t="shared" si="37"/>
        <v>0</v>
      </c>
      <c r="R193" s="310" t="e">
        <f t="shared" si="38"/>
        <v>#N/A</v>
      </c>
      <c r="S193" s="310">
        <f t="shared" si="39"/>
        <v>0</v>
      </c>
      <c r="T193" s="559" t="str">
        <f t="shared" si="40"/>
        <v>NO</v>
      </c>
      <c r="U193" s="323"/>
      <c r="V193" s="299"/>
      <c r="W193" s="300"/>
      <c r="X193" s="299"/>
      <c r="Y193" s="303"/>
      <c r="Z193" s="305">
        <f>IF(Y193=0,0,IF(X193="MXN",1/HLOOKUP(YEAR(W193)+(MONTH(W193)/100),TC!$5:$37,DAY(W193)+2,FALSE),VLOOKUP(X193,Equivalencia!$1:$23,((MAX(Equivalencia!$3:$3)-YEAR(W193))*14)+MONTH(W193)+2,FALSE)))</f>
        <v>0</v>
      </c>
      <c r="AA193" s="306">
        <f t="shared" si="41"/>
        <v>0</v>
      </c>
      <c r="AB193" s="305">
        <f>+IF(W193=0,0,HLOOKUP(YEAR(W193)+(MONTH(W193)/100),TC!$5:$37,DAY(W193)+2,FALSE))</f>
        <v>0</v>
      </c>
      <c r="AC193" s="306">
        <f t="shared" si="42"/>
        <v>0</v>
      </c>
      <c r="AD193" s="314">
        <f t="shared" si="33"/>
        <v>0</v>
      </c>
      <c r="AE193" s="315">
        <f t="shared" si="43"/>
        <v>0</v>
      </c>
      <c r="AF193" s="316">
        <f t="shared" si="34"/>
        <v>0</v>
      </c>
      <c r="AG193" s="314">
        <v>1</v>
      </c>
      <c r="AH193" s="314">
        <f t="shared" si="44"/>
        <v>0</v>
      </c>
      <c r="AI193" s="314">
        <f t="shared" si="45"/>
        <v>0</v>
      </c>
      <c r="AJ193" s="317"/>
      <c r="AK193" s="315" t="e">
        <f t="shared" si="46"/>
        <v>#N/A</v>
      </c>
      <c r="AM193" s="553"/>
      <c r="AN193" s="553"/>
      <c r="AO193" s="553"/>
    </row>
    <row r="194" spans="2:41">
      <c r="B194" s="296"/>
      <c r="C194" s="299"/>
      <c r="D194" s="296"/>
      <c r="E194" s="298"/>
      <c r="F194" s="299"/>
      <c r="G194" s="300"/>
      <c r="H194" s="303"/>
      <c r="I194" s="303"/>
      <c r="J194" s="322">
        <f t="shared" ref="J194:J257" si="47">IF(E194=0,0,IF(OR(C194=$AQ$5,C194=$AQ$6),"Derivados Cap IV, Sec II - SIC &amp; BMV","Derivados Cap IX - No SIC"))</f>
        <v>0</v>
      </c>
      <c r="K194" s="305" t="e">
        <f>IF(F194="MXN",1/HLOOKUP(YEAR(G194)+(MONTH(G194)/100),TC!$5:$37,DAY(G194)+2,FALSE),VLOOKUP(F194,Equivalencia!$5:$23,((MAX(Equivalencia!$3:$3)-YEAR(G194))*14)+MONTH(G194)+2,FALSE))</f>
        <v>#N/A</v>
      </c>
      <c r="L194" s="306" t="e">
        <f t="shared" si="35"/>
        <v>#N/A</v>
      </c>
      <c r="M194" s="305">
        <f>IF(G194=0,0,HLOOKUP(YEAR(G194)+(MONTH(G194)/100),TC!$5:$37,DAY(G194)+2,FALSE))</f>
        <v>0</v>
      </c>
      <c r="N194" s="306" t="e">
        <f t="shared" si="36"/>
        <v>#N/A</v>
      </c>
      <c r="O194" s="308">
        <f>IF(G194=0,0,VLOOKUP(YEAR(G194),INPC!$B$4:$P$30,MONTH(G194)+2))</f>
        <v>0</v>
      </c>
      <c r="P194" s="308">
        <f>IF(W194=0,0,IF(OR(C194=$AQ$5,C194=AQ198),VLOOKUP(YEAR(W194),INPC!$B$4:$P$30,MONTH(W194)+1),VLOOKUP(YEAR(W194),INPC!$B$4:$P$30,MONTH(W194)+2)))</f>
        <v>0</v>
      </c>
      <c r="Q194" s="309">
        <f t="shared" si="37"/>
        <v>0</v>
      </c>
      <c r="R194" s="310" t="e">
        <f t="shared" si="38"/>
        <v>#N/A</v>
      </c>
      <c r="S194" s="310">
        <f t="shared" si="39"/>
        <v>0</v>
      </c>
      <c r="T194" s="559" t="str">
        <f t="shared" si="40"/>
        <v>NO</v>
      </c>
      <c r="U194" s="323"/>
      <c r="V194" s="299"/>
      <c r="W194" s="300"/>
      <c r="X194" s="299"/>
      <c r="Y194" s="303"/>
      <c r="Z194" s="305">
        <f>IF(Y194=0,0,IF(X194="MXN",1/HLOOKUP(YEAR(W194)+(MONTH(W194)/100),TC!$5:$37,DAY(W194)+2,FALSE),VLOOKUP(X194,Equivalencia!$1:$23,((MAX(Equivalencia!$3:$3)-YEAR(W194))*14)+MONTH(W194)+2,FALSE)))</f>
        <v>0</v>
      </c>
      <c r="AA194" s="306">
        <f t="shared" si="41"/>
        <v>0</v>
      </c>
      <c r="AB194" s="305">
        <f>+IF(W194=0,0,HLOOKUP(YEAR(W194)+(MONTH(W194)/100),TC!$5:$37,DAY(W194)+2,FALSE))</f>
        <v>0</v>
      </c>
      <c r="AC194" s="306">
        <f t="shared" si="42"/>
        <v>0</v>
      </c>
      <c r="AD194" s="314">
        <f t="shared" ref="AD194:AD257" si="48">+U194*S194</f>
        <v>0</v>
      </c>
      <c r="AE194" s="315">
        <f t="shared" si="43"/>
        <v>0</v>
      </c>
      <c r="AF194" s="316">
        <f t="shared" ref="AF194:AF257" si="49">+IF(OR(C194=$AQ$5,C194=$AQ$6),1,((W194-G194)/365))</f>
        <v>0</v>
      </c>
      <c r="AG194" s="314">
        <v>1</v>
      </c>
      <c r="AH194" s="314">
        <f t="shared" si="44"/>
        <v>0</v>
      </c>
      <c r="AI194" s="314">
        <f t="shared" si="45"/>
        <v>0</v>
      </c>
      <c r="AJ194" s="317"/>
      <c r="AK194" s="315" t="e">
        <f t="shared" si="46"/>
        <v>#N/A</v>
      </c>
      <c r="AM194" s="553"/>
      <c r="AN194" s="553"/>
      <c r="AO194" s="553"/>
    </row>
    <row r="195" spans="2:41">
      <c r="B195" s="296"/>
      <c r="C195" s="299"/>
      <c r="D195" s="296"/>
      <c r="E195" s="298"/>
      <c r="F195" s="299"/>
      <c r="G195" s="300"/>
      <c r="H195" s="303"/>
      <c r="I195" s="303"/>
      <c r="J195" s="322">
        <f t="shared" si="47"/>
        <v>0</v>
      </c>
      <c r="K195" s="305" t="e">
        <f>IF(F195="MXN",1/HLOOKUP(YEAR(G195)+(MONTH(G195)/100),TC!$5:$37,DAY(G195)+2,FALSE),VLOOKUP(F195,Equivalencia!$5:$23,((MAX(Equivalencia!$3:$3)-YEAR(G195))*14)+MONTH(G195)+2,FALSE))</f>
        <v>#N/A</v>
      </c>
      <c r="L195" s="306" t="e">
        <f t="shared" ref="L195:L258" si="50">+I195*K195</f>
        <v>#N/A</v>
      </c>
      <c r="M195" s="305">
        <f>IF(G195=0,0,HLOOKUP(YEAR(G195)+(MONTH(G195)/100),TC!$5:$37,DAY(G195)+2,FALSE))</f>
        <v>0</v>
      </c>
      <c r="N195" s="306" t="e">
        <f t="shared" ref="N195:N258" si="51">+L195*M195</f>
        <v>#N/A</v>
      </c>
      <c r="O195" s="308">
        <f>IF(G195=0,0,VLOOKUP(YEAR(G195),INPC!$B$4:$P$30,MONTH(G195)+2))</f>
        <v>0</v>
      </c>
      <c r="P195" s="308">
        <f>IF(W195=0,0,IF(OR(C195=$AQ$5,C195=AQ199),VLOOKUP(YEAR(W195),INPC!$B$4:$P$30,MONTH(W195)+1),VLOOKUP(YEAR(W195),INPC!$B$4:$P$30,MONTH(W195)+2)))</f>
        <v>0</v>
      </c>
      <c r="Q195" s="309">
        <f t="shared" ref="Q195:Q258" si="52">IF(W195=0,0,IF(TRUNC(P195/O195,4)&gt;=1,TRUNC(P195/O195,4),1))</f>
        <v>0</v>
      </c>
      <c r="R195" s="310" t="e">
        <f t="shared" ref="R195:R258" si="53">+Q195*N195</f>
        <v>#N/A</v>
      </c>
      <c r="S195" s="310">
        <f t="shared" ref="S195:S258" si="54">IF(U195=0,0,R195/U195)</f>
        <v>0</v>
      </c>
      <c r="T195" s="559" t="str">
        <f t="shared" ref="T195:T258" si="55">+IF(W195=0,"NO","SI")</f>
        <v>NO</v>
      </c>
      <c r="U195" s="323"/>
      <c r="V195" s="299"/>
      <c r="W195" s="300"/>
      <c r="X195" s="299"/>
      <c r="Y195" s="303"/>
      <c r="Z195" s="305">
        <f>IF(Y195=0,0,IF(X195="MXN",1/HLOOKUP(YEAR(W195)+(MONTH(W195)/100),TC!$5:$37,DAY(W195)+2,FALSE),VLOOKUP(X195,Equivalencia!$1:$23,((MAX(Equivalencia!$3:$3)-YEAR(W195))*14)+MONTH(W195)+2,FALSE)))</f>
        <v>0</v>
      </c>
      <c r="AA195" s="306">
        <f t="shared" ref="AA195:AA258" si="56">+Z195*Y195</f>
        <v>0</v>
      </c>
      <c r="AB195" s="305">
        <f>+IF(W195=0,0,HLOOKUP(YEAR(W195)+(MONTH(W195)/100),TC!$5:$37,DAY(W195)+2,FALSE))</f>
        <v>0</v>
      </c>
      <c r="AC195" s="306">
        <f t="shared" ref="AC195:AC258" si="57">+AB195*AA195</f>
        <v>0</v>
      </c>
      <c r="AD195" s="314">
        <f t="shared" si="48"/>
        <v>0</v>
      </c>
      <c r="AE195" s="315">
        <f t="shared" ref="AE195:AE258" si="58">AC195+AD195</f>
        <v>0</v>
      </c>
      <c r="AF195" s="316">
        <f t="shared" si="49"/>
        <v>0</v>
      </c>
      <c r="AG195" s="314">
        <v>1</v>
      </c>
      <c r="AH195" s="314">
        <f t="shared" ref="AH195:AH258" si="59">(AE195/AG195)</f>
        <v>0</v>
      </c>
      <c r="AI195" s="314">
        <f t="shared" ref="AI195:AI258" si="60">+AE195-AH195</f>
        <v>0</v>
      </c>
      <c r="AJ195" s="317"/>
      <c r="AK195" s="315" t="e">
        <f t="shared" ref="AK195:AK258" si="61">+AA195+L195</f>
        <v>#N/A</v>
      </c>
      <c r="AM195" s="553"/>
      <c r="AN195" s="553"/>
      <c r="AO195" s="553"/>
    </row>
    <row r="196" spans="2:41">
      <c r="B196" s="296"/>
      <c r="C196" s="299"/>
      <c r="D196" s="296"/>
      <c r="E196" s="298"/>
      <c r="F196" s="299"/>
      <c r="G196" s="300"/>
      <c r="H196" s="303"/>
      <c r="I196" s="303"/>
      <c r="J196" s="322">
        <f t="shared" si="47"/>
        <v>0</v>
      </c>
      <c r="K196" s="305" t="e">
        <f>IF(F196="MXN",1/HLOOKUP(YEAR(G196)+(MONTH(G196)/100),TC!$5:$37,DAY(G196)+2,FALSE),VLOOKUP(F196,Equivalencia!$5:$23,((MAX(Equivalencia!$3:$3)-YEAR(G196))*14)+MONTH(G196)+2,FALSE))</f>
        <v>#N/A</v>
      </c>
      <c r="L196" s="306" t="e">
        <f t="shared" si="50"/>
        <v>#N/A</v>
      </c>
      <c r="M196" s="305">
        <f>IF(G196=0,0,HLOOKUP(YEAR(G196)+(MONTH(G196)/100),TC!$5:$37,DAY(G196)+2,FALSE))</f>
        <v>0</v>
      </c>
      <c r="N196" s="306" t="e">
        <f t="shared" si="51"/>
        <v>#N/A</v>
      </c>
      <c r="O196" s="308">
        <f>IF(G196=0,0,VLOOKUP(YEAR(G196),INPC!$B$4:$P$30,MONTH(G196)+2))</f>
        <v>0</v>
      </c>
      <c r="P196" s="308">
        <f>IF(W196=0,0,IF(OR(C196=$AQ$5,C196=AQ200),VLOOKUP(YEAR(W196),INPC!$B$4:$P$30,MONTH(W196)+1),VLOOKUP(YEAR(W196),INPC!$B$4:$P$30,MONTH(W196)+2)))</f>
        <v>0</v>
      </c>
      <c r="Q196" s="309">
        <f t="shared" si="52"/>
        <v>0</v>
      </c>
      <c r="R196" s="310" t="e">
        <f t="shared" si="53"/>
        <v>#N/A</v>
      </c>
      <c r="S196" s="310">
        <f t="shared" si="54"/>
        <v>0</v>
      </c>
      <c r="T196" s="559" t="str">
        <f t="shared" si="55"/>
        <v>NO</v>
      </c>
      <c r="U196" s="323"/>
      <c r="V196" s="299"/>
      <c r="W196" s="300"/>
      <c r="X196" s="299"/>
      <c r="Y196" s="303"/>
      <c r="Z196" s="305">
        <f>IF(Y196=0,0,IF(X196="MXN",1/HLOOKUP(YEAR(W196)+(MONTH(W196)/100),TC!$5:$37,DAY(W196)+2,FALSE),VLOOKUP(X196,Equivalencia!$1:$23,((MAX(Equivalencia!$3:$3)-YEAR(W196))*14)+MONTH(W196)+2,FALSE)))</f>
        <v>0</v>
      </c>
      <c r="AA196" s="306">
        <f t="shared" si="56"/>
        <v>0</v>
      </c>
      <c r="AB196" s="305">
        <f>+IF(W196=0,0,HLOOKUP(YEAR(W196)+(MONTH(W196)/100),TC!$5:$37,DAY(W196)+2,FALSE))</f>
        <v>0</v>
      </c>
      <c r="AC196" s="306">
        <f t="shared" si="57"/>
        <v>0</v>
      </c>
      <c r="AD196" s="314">
        <f t="shared" si="48"/>
        <v>0</v>
      </c>
      <c r="AE196" s="315">
        <f t="shared" si="58"/>
        <v>0</v>
      </c>
      <c r="AF196" s="316">
        <f t="shared" si="49"/>
        <v>0</v>
      </c>
      <c r="AG196" s="314">
        <v>1</v>
      </c>
      <c r="AH196" s="314">
        <f t="shared" si="59"/>
        <v>0</v>
      </c>
      <c r="AI196" s="314">
        <f t="shared" si="60"/>
        <v>0</v>
      </c>
      <c r="AJ196" s="317"/>
      <c r="AK196" s="315" t="e">
        <f t="shared" si="61"/>
        <v>#N/A</v>
      </c>
      <c r="AM196" s="553"/>
      <c r="AN196" s="553"/>
      <c r="AO196" s="553"/>
    </row>
    <row r="197" spans="2:41">
      <c r="B197" s="296"/>
      <c r="C197" s="299"/>
      <c r="D197" s="296"/>
      <c r="E197" s="298"/>
      <c r="F197" s="299"/>
      <c r="G197" s="300"/>
      <c r="H197" s="303"/>
      <c r="I197" s="303"/>
      <c r="J197" s="322">
        <f t="shared" si="47"/>
        <v>0</v>
      </c>
      <c r="K197" s="305" t="e">
        <f>IF(F197="MXN",1/HLOOKUP(YEAR(G197)+(MONTH(G197)/100),TC!$5:$37,DAY(G197)+2,FALSE),VLOOKUP(F197,Equivalencia!$5:$23,((MAX(Equivalencia!$3:$3)-YEAR(G197))*14)+MONTH(G197)+2,FALSE))</f>
        <v>#N/A</v>
      </c>
      <c r="L197" s="306" t="e">
        <f t="shared" si="50"/>
        <v>#N/A</v>
      </c>
      <c r="M197" s="305">
        <f>IF(G197=0,0,HLOOKUP(YEAR(G197)+(MONTH(G197)/100),TC!$5:$37,DAY(G197)+2,FALSE))</f>
        <v>0</v>
      </c>
      <c r="N197" s="306" t="e">
        <f t="shared" si="51"/>
        <v>#N/A</v>
      </c>
      <c r="O197" s="308">
        <f>IF(G197=0,0,VLOOKUP(YEAR(G197),INPC!$B$4:$P$30,MONTH(G197)+2))</f>
        <v>0</v>
      </c>
      <c r="P197" s="308">
        <f>IF(W197=0,0,IF(OR(C197=$AQ$5,C197=AQ201),VLOOKUP(YEAR(W197),INPC!$B$4:$P$30,MONTH(W197)+1),VLOOKUP(YEAR(W197),INPC!$B$4:$P$30,MONTH(W197)+2)))</f>
        <v>0</v>
      </c>
      <c r="Q197" s="309">
        <f t="shared" si="52"/>
        <v>0</v>
      </c>
      <c r="R197" s="310" t="e">
        <f t="shared" si="53"/>
        <v>#N/A</v>
      </c>
      <c r="S197" s="310">
        <f t="shared" si="54"/>
        <v>0</v>
      </c>
      <c r="T197" s="559" t="str">
        <f t="shared" si="55"/>
        <v>NO</v>
      </c>
      <c r="U197" s="323"/>
      <c r="V197" s="299"/>
      <c r="W197" s="300"/>
      <c r="X197" s="299"/>
      <c r="Y197" s="303"/>
      <c r="Z197" s="305">
        <f>IF(Y197=0,0,IF(X197="MXN",1/HLOOKUP(YEAR(W197)+(MONTH(W197)/100),TC!$5:$37,DAY(W197)+2,FALSE),VLOOKUP(X197,Equivalencia!$1:$23,((MAX(Equivalencia!$3:$3)-YEAR(W197))*14)+MONTH(W197)+2,FALSE)))</f>
        <v>0</v>
      </c>
      <c r="AA197" s="306">
        <f t="shared" si="56"/>
        <v>0</v>
      </c>
      <c r="AB197" s="305">
        <f>+IF(W197=0,0,HLOOKUP(YEAR(W197)+(MONTH(W197)/100),TC!$5:$37,DAY(W197)+2,FALSE))</f>
        <v>0</v>
      </c>
      <c r="AC197" s="306">
        <f t="shared" si="57"/>
        <v>0</v>
      </c>
      <c r="AD197" s="314">
        <f t="shared" si="48"/>
        <v>0</v>
      </c>
      <c r="AE197" s="315">
        <f t="shared" si="58"/>
        <v>0</v>
      </c>
      <c r="AF197" s="316">
        <f t="shared" si="49"/>
        <v>0</v>
      </c>
      <c r="AG197" s="314">
        <v>1</v>
      </c>
      <c r="AH197" s="314">
        <f t="shared" si="59"/>
        <v>0</v>
      </c>
      <c r="AI197" s="314">
        <f t="shared" si="60"/>
        <v>0</v>
      </c>
      <c r="AJ197" s="317"/>
      <c r="AK197" s="315" t="e">
        <f t="shared" si="61"/>
        <v>#N/A</v>
      </c>
      <c r="AM197" s="553"/>
      <c r="AN197" s="553"/>
      <c r="AO197" s="553"/>
    </row>
    <row r="198" spans="2:41">
      <c r="B198" s="296"/>
      <c r="C198" s="299"/>
      <c r="D198" s="296"/>
      <c r="E198" s="298"/>
      <c r="F198" s="299"/>
      <c r="G198" s="300"/>
      <c r="H198" s="303"/>
      <c r="I198" s="303"/>
      <c r="J198" s="322">
        <f t="shared" si="47"/>
        <v>0</v>
      </c>
      <c r="K198" s="305" t="e">
        <f>IF(F198="MXN",1/HLOOKUP(YEAR(G198)+(MONTH(G198)/100),TC!$5:$37,DAY(G198)+2,FALSE),VLOOKUP(F198,Equivalencia!$5:$23,((MAX(Equivalencia!$3:$3)-YEAR(G198))*14)+MONTH(G198)+2,FALSE))</f>
        <v>#N/A</v>
      </c>
      <c r="L198" s="306" t="e">
        <f t="shared" si="50"/>
        <v>#N/A</v>
      </c>
      <c r="M198" s="305">
        <f>IF(G198=0,0,HLOOKUP(YEAR(G198)+(MONTH(G198)/100),TC!$5:$37,DAY(G198)+2,FALSE))</f>
        <v>0</v>
      </c>
      <c r="N198" s="306" t="e">
        <f t="shared" si="51"/>
        <v>#N/A</v>
      </c>
      <c r="O198" s="308">
        <f>IF(G198=0,0,VLOOKUP(YEAR(G198),INPC!$B$4:$P$30,MONTH(G198)+2))</f>
        <v>0</v>
      </c>
      <c r="P198" s="308">
        <f>IF(W198=0,0,IF(OR(C198=$AQ$5,C198=AQ202),VLOOKUP(YEAR(W198),INPC!$B$4:$P$30,MONTH(W198)+1),VLOOKUP(YEAR(W198),INPC!$B$4:$P$30,MONTH(W198)+2)))</f>
        <v>0</v>
      </c>
      <c r="Q198" s="309">
        <f t="shared" si="52"/>
        <v>0</v>
      </c>
      <c r="R198" s="310" t="e">
        <f t="shared" si="53"/>
        <v>#N/A</v>
      </c>
      <c r="S198" s="310">
        <f t="shared" si="54"/>
        <v>0</v>
      </c>
      <c r="T198" s="559" t="str">
        <f t="shared" si="55"/>
        <v>NO</v>
      </c>
      <c r="U198" s="323"/>
      <c r="V198" s="299"/>
      <c r="W198" s="300"/>
      <c r="X198" s="299"/>
      <c r="Y198" s="303"/>
      <c r="Z198" s="305">
        <f>IF(Y198=0,0,IF(X198="MXN",1/HLOOKUP(YEAR(W198)+(MONTH(W198)/100),TC!$5:$37,DAY(W198)+2,FALSE),VLOOKUP(X198,Equivalencia!$1:$23,((MAX(Equivalencia!$3:$3)-YEAR(W198))*14)+MONTH(W198)+2,FALSE)))</f>
        <v>0</v>
      </c>
      <c r="AA198" s="306">
        <f t="shared" si="56"/>
        <v>0</v>
      </c>
      <c r="AB198" s="305">
        <f>+IF(W198=0,0,HLOOKUP(YEAR(W198)+(MONTH(W198)/100),TC!$5:$37,DAY(W198)+2,FALSE))</f>
        <v>0</v>
      </c>
      <c r="AC198" s="306">
        <f t="shared" si="57"/>
        <v>0</v>
      </c>
      <c r="AD198" s="314">
        <f t="shared" si="48"/>
        <v>0</v>
      </c>
      <c r="AE198" s="315">
        <f t="shared" si="58"/>
        <v>0</v>
      </c>
      <c r="AF198" s="316">
        <f t="shared" si="49"/>
        <v>0</v>
      </c>
      <c r="AG198" s="314">
        <v>1</v>
      </c>
      <c r="AH198" s="314">
        <f t="shared" si="59"/>
        <v>0</v>
      </c>
      <c r="AI198" s="314">
        <f t="shared" si="60"/>
        <v>0</v>
      </c>
      <c r="AJ198" s="317"/>
      <c r="AK198" s="315" t="e">
        <f t="shared" si="61"/>
        <v>#N/A</v>
      </c>
      <c r="AM198" s="553"/>
      <c r="AN198" s="553"/>
      <c r="AO198" s="553"/>
    </row>
    <row r="199" spans="2:41">
      <c r="B199" s="296"/>
      <c r="C199" s="299"/>
      <c r="D199" s="296"/>
      <c r="E199" s="298"/>
      <c r="F199" s="299"/>
      <c r="G199" s="300"/>
      <c r="H199" s="303"/>
      <c r="I199" s="303"/>
      <c r="J199" s="322">
        <f t="shared" si="47"/>
        <v>0</v>
      </c>
      <c r="K199" s="305" t="e">
        <f>IF(F199="MXN",1/HLOOKUP(YEAR(G199)+(MONTH(G199)/100),TC!$5:$37,DAY(G199)+2,FALSE),VLOOKUP(F199,Equivalencia!$5:$23,((MAX(Equivalencia!$3:$3)-YEAR(G199))*14)+MONTH(G199)+2,FALSE))</f>
        <v>#N/A</v>
      </c>
      <c r="L199" s="306" t="e">
        <f t="shared" si="50"/>
        <v>#N/A</v>
      </c>
      <c r="M199" s="305">
        <f>IF(G199=0,0,HLOOKUP(YEAR(G199)+(MONTH(G199)/100),TC!$5:$37,DAY(G199)+2,FALSE))</f>
        <v>0</v>
      </c>
      <c r="N199" s="306" t="e">
        <f t="shared" si="51"/>
        <v>#N/A</v>
      </c>
      <c r="O199" s="308">
        <f>IF(G199=0,0,VLOOKUP(YEAR(G199),INPC!$B$4:$P$30,MONTH(G199)+2))</f>
        <v>0</v>
      </c>
      <c r="P199" s="308">
        <f>IF(W199=0,0,IF(OR(C199=$AQ$5,C199=AQ203),VLOOKUP(YEAR(W199),INPC!$B$4:$P$30,MONTH(W199)+1),VLOOKUP(YEAR(W199),INPC!$B$4:$P$30,MONTH(W199)+2)))</f>
        <v>0</v>
      </c>
      <c r="Q199" s="309">
        <f t="shared" si="52"/>
        <v>0</v>
      </c>
      <c r="R199" s="310" t="e">
        <f t="shared" si="53"/>
        <v>#N/A</v>
      </c>
      <c r="S199" s="310">
        <f t="shared" si="54"/>
        <v>0</v>
      </c>
      <c r="T199" s="559" t="str">
        <f t="shared" si="55"/>
        <v>NO</v>
      </c>
      <c r="U199" s="323"/>
      <c r="V199" s="299"/>
      <c r="W199" s="300"/>
      <c r="X199" s="299"/>
      <c r="Y199" s="303"/>
      <c r="Z199" s="305">
        <f>IF(Y199=0,0,IF(X199="MXN",1/HLOOKUP(YEAR(W199)+(MONTH(W199)/100),TC!$5:$37,DAY(W199)+2,FALSE),VLOOKUP(X199,Equivalencia!$1:$23,((MAX(Equivalencia!$3:$3)-YEAR(W199))*14)+MONTH(W199)+2,FALSE)))</f>
        <v>0</v>
      </c>
      <c r="AA199" s="306">
        <f t="shared" si="56"/>
        <v>0</v>
      </c>
      <c r="AB199" s="305">
        <f>+IF(W199=0,0,HLOOKUP(YEAR(W199)+(MONTH(W199)/100),TC!$5:$37,DAY(W199)+2,FALSE))</f>
        <v>0</v>
      </c>
      <c r="AC199" s="306">
        <f t="shared" si="57"/>
        <v>0</v>
      </c>
      <c r="AD199" s="314">
        <f t="shared" si="48"/>
        <v>0</v>
      </c>
      <c r="AE199" s="315">
        <f t="shared" si="58"/>
        <v>0</v>
      </c>
      <c r="AF199" s="316">
        <f t="shared" si="49"/>
        <v>0</v>
      </c>
      <c r="AG199" s="314">
        <v>1</v>
      </c>
      <c r="AH199" s="314">
        <f t="shared" si="59"/>
        <v>0</v>
      </c>
      <c r="AI199" s="314">
        <f t="shared" si="60"/>
        <v>0</v>
      </c>
      <c r="AJ199" s="317"/>
      <c r="AK199" s="315" t="e">
        <f t="shared" si="61"/>
        <v>#N/A</v>
      </c>
      <c r="AM199" s="553"/>
      <c r="AN199" s="553"/>
      <c r="AO199" s="553"/>
    </row>
    <row r="200" spans="2:41">
      <c r="B200" s="296"/>
      <c r="C200" s="299"/>
      <c r="D200" s="296"/>
      <c r="E200" s="298"/>
      <c r="F200" s="299"/>
      <c r="G200" s="300"/>
      <c r="H200" s="303"/>
      <c r="I200" s="303"/>
      <c r="J200" s="322">
        <f t="shared" si="47"/>
        <v>0</v>
      </c>
      <c r="K200" s="305" t="e">
        <f>IF(F200="MXN",1/HLOOKUP(YEAR(G200)+(MONTH(G200)/100),TC!$5:$37,DAY(G200)+2,FALSE),VLOOKUP(F200,Equivalencia!$5:$23,((MAX(Equivalencia!$3:$3)-YEAR(G200))*14)+MONTH(G200)+2,FALSE))</f>
        <v>#N/A</v>
      </c>
      <c r="L200" s="306" t="e">
        <f t="shared" si="50"/>
        <v>#N/A</v>
      </c>
      <c r="M200" s="305">
        <f>IF(G200=0,0,HLOOKUP(YEAR(G200)+(MONTH(G200)/100),TC!$5:$37,DAY(G200)+2,FALSE))</f>
        <v>0</v>
      </c>
      <c r="N200" s="306" t="e">
        <f t="shared" si="51"/>
        <v>#N/A</v>
      </c>
      <c r="O200" s="308">
        <f>IF(G200=0,0,VLOOKUP(YEAR(G200),INPC!$B$4:$P$30,MONTH(G200)+2))</f>
        <v>0</v>
      </c>
      <c r="P200" s="308">
        <f>IF(W200=0,0,IF(OR(C200=$AQ$5,C200=AQ204),VLOOKUP(YEAR(W200),INPC!$B$4:$P$30,MONTH(W200)+1),VLOOKUP(YEAR(W200),INPC!$B$4:$P$30,MONTH(W200)+2)))</f>
        <v>0</v>
      </c>
      <c r="Q200" s="309">
        <f t="shared" si="52"/>
        <v>0</v>
      </c>
      <c r="R200" s="310" t="e">
        <f t="shared" si="53"/>
        <v>#N/A</v>
      </c>
      <c r="S200" s="310">
        <f t="shared" si="54"/>
        <v>0</v>
      </c>
      <c r="T200" s="559" t="str">
        <f t="shared" si="55"/>
        <v>NO</v>
      </c>
      <c r="U200" s="323"/>
      <c r="V200" s="299"/>
      <c r="W200" s="300"/>
      <c r="X200" s="299"/>
      <c r="Y200" s="303"/>
      <c r="Z200" s="305">
        <f>IF(Y200=0,0,IF(X200="MXN",1/HLOOKUP(YEAR(W200)+(MONTH(W200)/100),TC!$5:$37,DAY(W200)+2,FALSE),VLOOKUP(X200,Equivalencia!$1:$23,((MAX(Equivalencia!$3:$3)-YEAR(W200))*14)+MONTH(W200)+2,FALSE)))</f>
        <v>0</v>
      </c>
      <c r="AA200" s="306">
        <f t="shared" si="56"/>
        <v>0</v>
      </c>
      <c r="AB200" s="305">
        <f>+IF(W200=0,0,HLOOKUP(YEAR(W200)+(MONTH(W200)/100),TC!$5:$37,DAY(W200)+2,FALSE))</f>
        <v>0</v>
      </c>
      <c r="AC200" s="306">
        <f t="shared" si="57"/>
        <v>0</v>
      </c>
      <c r="AD200" s="314">
        <f t="shared" si="48"/>
        <v>0</v>
      </c>
      <c r="AE200" s="315">
        <f t="shared" si="58"/>
        <v>0</v>
      </c>
      <c r="AF200" s="316">
        <f t="shared" si="49"/>
        <v>0</v>
      </c>
      <c r="AG200" s="314">
        <v>1</v>
      </c>
      <c r="AH200" s="314">
        <f t="shared" si="59"/>
        <v>0</v>
      </c>
      <c r="AI200" s="314">
        <f t="shared" si="60"/>
        <v>0</v>
      </c>
      <c r="AJ200" s="317"/>
      <c r="AK200" s="315" t="e">
        <f t="shared" si="61"/>
        <v>#N/A</v>
      </c>
      <c r="AM200" s="553"/>
      <c r="AN200" s="553"/>
      <c r="AO200" s="553"/>
    </row>
    <row r="201" spans="2:41">
      <c r="B201" s="296"/>
      <c r="C201" s="299"/>
      <c r="D201" s="296"/>
      <c r="E201" s="298"/>
      <c r="F201" s="299"/>
      <c r="G201" s="300"/>
      <c r="H201" s="303"/>
      <c r="I201" s="303"/>
      <c r="J201" s="322">
        <f t="shared" si="47"/>
        <v>0</v>
      </c>
      <c r="K201" s="305" t="e">
        <f>IF(F201="MXN",1/HLOOKUP(YEAR(G201)+(MONTH(G201)/100),TC!$5:$37,DAY(G201)+2,FALSE),VLOOKUP(F201,Equivalencia!$5:$23,((MAX(Equivalencia!$3:$3)-YEAR(G201))*14)+MONTH(G201)+2,FALSE))</f>
        <v>#N/A</v>
      </c>
      <c r="L201" s="306" t="e">
        <f t="shared" si="50"/>
        <v>#N/A</v>
      </c>
      <c r="M201" s="305">
        <f>IF(G201=0,0,HLOOKUP(YEAR(G201)+(MONTH(G201)/100),TC!$5:$37,DAY(G201)+2,FALSE))</f>
        <v>0</v>
      </c>
      <c r="N201" s="306" t="e">
        <f t="shared" si="51"/>
        <v>#N/A</v>
      </c>
      <c r="O201" s="308">
        <f>IF(G201=0,0,VLOOKUP(YEAR(G201),INPC!$B$4:$P$30,MONTH(G201)+2))</f>
        <v>0</v>
      </c>
      <c r="P201" s="308">
        <f>IF(W201=0,0,IF(OR(C201=$AQ$5,C201=AQ205),VLOOKUP(YEAR(W201),INPC!$B$4:$P$30,MONTH(W201)+1),VLOOKUP(YEAR(W201),INPC!$B$4:$P$30,MONTH(W201)+2)))</f>
        <v>0</v>
      </c>
      <c r="Q201" s="309">
        <f t="shared" si="52"/>
        <v>0</v>
      </c>
      <c r="R201" s="310" t="e">
        <f t="shared" si="53"/>
        <v>#N/A</v>
      </c>
      <c r="S201" s="310">
        <f t="shared" si="54"/>
        <v>0</v>
      </c>
      <c r="T201" s="559" t="str">
        <f t="shared" si="55"/>
        <v>NO</v>
      </c>
      <c r="U201" s="323"/>
      <c r="V201" s="299"/>
      <c r="W201" s="300"/>
      <c r="X201" s="299"/>
      <c r="Y201" s="303"/>
      <c r="Z201" s="305">
        <f>IF(Y201=0,0,IF(X201="MXN",1/HLOOKUP(YEAR(W201)+(MONTH(W201)/100),TC!$5:$37,DAY(W201)+2,FALSE),VLOOKUP(X201,Equivalencia!$1:$23,((MAX(Equivalencia!$3:$3)-YEAR(W201))*14)+MONTH(W201)+2,FALSE)))</f>
        <v>0</v>
      </c>
      <c r="AA201" s="306">
        <f t="shared" si="56"/>
        <v>0</v>
      </c>
      <c r="AB201" s="305">
        <f>+IF(W201=0,0,HLOOKUP(YEAR(W201)+(MONTH(W201)/100),TC!$5:$37,DAY(W201)+2,FALSE))</f>
        <v>0</v>
      </c>
      <c r="AC201" s="306">
        <f t="shared" si="57"/>
        <v>0</v>
      </c>
      <c r="AD201" s="314">
        <f t="shared" si="48"/>
        <v>0</v>
      </c>
      <c r="AE201" s="315">
        <f t="shared" si="58"/>
        <v>0</v>
      </c>
      <c r="AF201" s="316">
        <f t="shared" si="49"/>
        <v>0</v>
      </c>
      <c r="AG201" s="314">
        <v>1</v>
      </c>
      <c r="AH201" s="314">
        <f t="shared" si="59"/>
        <v>0</v>
      </c>
      <c r="AI201" s="314">
        <f t="shared" si="60"/>
        <v>0</v>
      </c>
      <c r="AJ201" s="317"/>
      <c r="AK201" s="315" t="e">
        <f t="shared" si="61"/>
        <v>#N/A</v>
      </c>
      <c r="AM201" s="553"/>
      <c r="AN201" s="553"/>
      <c r="AO201" s="553"/>
    </row>
    <row r="202" spans="2:41">
      <c r="B202" s="296"/>
      <c r="C202" s="299"/>
      <c r="D202" s="296"/>
      <c r="E202" s="298"/>
      <c r="F202" s="299"/>
      <c r="G202" s="300"/>
      <c r="H202" s="303"/>
      <c r="I202" s="303"/>
      <c r="J202" s="322">
        <f t="shared" si="47"/>
        <v>0</v>
      </c>
      <c r="K202" s="305" t="e">
        <f>IF(F202="MXN",1/HLOOKUP(YEAR(G202)+(MONTH(G202)/100),TC!$5:$37,DAY(G202)+2,FALSE),VLOOKUP(F202,Equivalencia!$5:$23,((MAX(Equivalencia!$3:$3)-YEAR(G202))*14)+MONTH(G202)+2,FALSE))</f>
        <v>#N/A</v>
      </c>
      <c r="L202" s="306" t="e">
        <f t="shared" si="50"/>
        <v>#N/A</v>
      </c>
      <c r="M202" s="305">
        <f>IF(G202=0,0,HLOOKUP(YEAR(G202)+(MONTH(G202)/100),TC!$5:$37,DAY(G202)+2,FALSE))</f>
        <v>0</v>
      </c>
      <c r="N202" s="306" t="e">
        <f t="shared" si="51"/>
        <v>#N/A</v>
      </c>
      <c r="O202" s="308">
        <f>IF(G202=0,0,VLOOKUP(YEAR(G202),INPC!$B$4:$P$30,MONTH(G202)+2))</f>
        <v>0</v>
      </c>
      <c r="P202" s="308">
        <f>IF(W202=0,0,IF(OR(C202=$AQ$5,C202=AQ206),VLOOKUP(YEAR(W202),INPC!$B$4:$P$30,MONTH(W202)+1),VLOOKUP(YEAR(W202),INPC!$B$4:$P$30,MONTH(W202)+2)))</f>
        <v>0</v>
      </c>
      <c r="Q202" s="309">
        <f t="shared" si="52"/>
        <v>0</v>
      </c>
      <c r="R202" s="310" t="e">
        <f t="shared" si="53"/>
        <v>#N/A</v>
      </c>
      <c r="S202" s="310">
        <f t="shared" si="54"/>
        <v>0</v>
      </c>
      <c r="T202" s="559" t="str">
        <f t="shared" si="55"/>
        <v>NO</v>
      </c>
      <c r="U202" s="323"/>
      <c r="V202" s="299"/>
      <c r="W202" s="300"/>
      <c r="X202" s="299"/>
      <c r="Y202" s="303"/>
      <c r="Z202" s="305">
        <f>IF(Y202=0,0,IF(X202="MXN",1/HLOOKUP(YEAR(W202)+(MONTH(W202)/100),TC!$5:$37,DAY(W202)+2,FALSE),VLOOKUP(X202,Equivalencia!$1:$23,((MAX(Equivalencia!$3:$3)-YEAR(W202))*14)+MONTH(W202)+2,FALSE)))</f>
        <v>0</v>
      </c>
      <c r="AA202" s="306">
        <f t="shared" si="56"/>
        <v>0</v>
      </c>
      <c r="AB202" s="305">
        <f>+IF(W202=0,0,HLOOKUP(YEAR(W202)+(MONTH(W202)/100),TC!$5:$37,DAY(W202)+2,FALSE))</f>
        <v>0</v>
      </c>
      <c r="AC202" s="306">
        <f t="shared" si="57"/>
        <v>0</v>
      </c>
      <c r="AD202" s="314">
        <f t="shared" si="48"/>
        <v>0</v>
      </c>
      <c r="AE202" s="315">
        <f t="shared" si="58"/>
        <v>0</v>
      </c>
      <c r="AF202" s="316">
        <f t="shared" si="49"/>
        <v>0</v>
      </c>
      <c r="AG202" s="314">
        <v>1</v>
      </c>
      <c r="AH202" s="314">
        <f t="shared" si="59"/>
        <v>0</v>
      </c>
      <c r="AI202" s="314">
        <f t="shared" si="60"/>
        <v>0</v>
      </c>
      <c r="AJ202" s="317"/>
      <c r="AK202" s="315" t="e">
        <f t="shared" si="61"/>
        <v>#N/A</v>
      </c>
      <c r="AM202" s="553"/>
      <c r="AN202" s="553"/>
      <c r="AO202" s="553"/>
    </row>
    <row r="203" spans="2:41">
      <c r="B203" s="296"/>
      <c r="C203" s="299"/>
      <c r="D203" s="296"/>
      <c r="E203" s="298"/>
      <c r="F203" s="299"/>
      <c r="G203" s="300"/>
      <c r="H203" s="303"/>
      <c r="I203" s="303"/>
      <c r="J203" s="322">
        <f t="shared" si="47"/>
        <v>0</v>
      </c>
      <c r="K203" s="305" t="e">
        <f>IF(F203="MXN",1/HLOOKUP(YEAR(G203)+(MONTH(G203)/100),TC!$5:$37,DAY(G203)+2,FALSE),VLOOKUP(F203,Equivalencia!$5:$23,((MAX(Equivalencia!$3:$3)-YEAR(G203))*14)+MONTH(G203)+2,FALSE))</f>
        <v>#N/A</v>
      </c>
      <c r="L203" s="306" t="e">
        <f t="shared" si="50"/>
        <v>#N/A</v>
      </c>
      <c r="M203" s="305">
        <f>IF(G203=0,0,HLOOKUP(YEAR(G203)+(MONTH(G203)/100),TC!$5:$37,DAY(G203)+2,FALSE))</f>
        <v>0</v>
      </c>
      <c r="N203" s="306" t="e">
        <f t="shared" si="51"/>
        <v>#N/A</v>
      </c>
      <c r="O203" s="308">
        <f>IF(G203=0,0,VLOOKUP(YEAR(G203),INPC!$B$4:$P$30,MONTH(G203)+2))</f>
        <v>0</v>
      </c>
      <c r="P203" s="308">
        <f>IF(W203=0,0,IF(OR(C203=$AQ$5,C203=AQ207),VLOOKUP(YEAR(W203),INPC!$B$4:$P$30,MONTH(W203)+1),VLOOKUP(YEAR(W203),INPC!$B$4:$P$30,MONTH(W203)+2)))</f>
        <v>0</v>
      </c>
      <c r="Q203" s="309">
        <f t="shared" si="52"/>
        <v>0</v>
      </c>
      <c r="R203" s="310" t="e">
        <f t="shared" si="53"/>
        <v>#N/A</v>
      </c>
      <c r="S203" s="310">
        <f t="shared" si="54"/>
        <v>0</v>
      </c>
      <c r="T203" s="559" t="str">
        <f t="shared" si="55"/>
        <v>NO</v>
      </c>
      <c r="U203" s="323"/>
      <c r="V203" s="299"/>
      <c r="W203" s="300"/>
      <c r="X203" s="299"/>
      <c r="Y203" s="303"/>
      <c r="Z203" s="305">
        <f>IF(Y203=0,0,IF(X203="MXN",1/HLOOKUP(YEAR(W203)+(MONTH(W203)/100),TC!$5:$37,DAY(W203)+2,FALSE),VLOOKUP(X203,Equivalencia!$1:$23,((MAX(Equivalencia!$3:$3)-YEAR(W203))*14)+MONTH(W203)+2,FALSE)))</f>
        <v>0</v>
      </c>
      <c r="AA203" s="306">
        <f t="shared" si="56"/>
        <v>0</v>
      </c>
      <c r="AB203" s="305">
        <f>+IF(W203=0,0,HLOOKUP(YEAR(W203)+(MONTH(W203)/100),TC!$5:$37,DAY(W203)+2,FALSE))</f>
        <v>0</v>
      </c>
      <c r="AC203" s="306">
        <f t="shared" si="57"/>
        <v>0</v>
      </c>
      <c r="AD203" s="314">
        <f t="shared" si="48"/>
        <v>0</v>
      </c>
      <c r="AE203" s="315">
        <f t="shared" si="58"/>
        <v>0</v>
      </c>
      <c r="AF203" s="316">
        <f t="shared" si="49"/>
        <v>0</v>
      </c>
      <c r="AG203" s="314">
        <v>1</v>
      </c>
      <c r="AH203" s="314">
        <f t="shared" si="59"/>
        <v>0</v>
      </c>
      <c r="AI203" s="314">
        <f t="shared" si="60"/>
        <v>0</v>
      </c>
      <c r="AJ203" s="317"/>
      <c r="AK203" s="315" t="e">
        <f t="shared" si="61"/>
        <v>#N/A</v>
      </c>
      <c r="AM203" s="553"/>
      <c r="AN203" s="553"/>
      <c r="AO203" s="553"/>
    </row>
    <row r="204" spans="2:41">
      <c r="B204" s="296"/>
      <c r="C204" s="299"/>
      <c r="D204" s="296"/>
      <c r="E204" s="298"/>
      <c r="F204" s="299"/>
      <c r="G204" s="300"/>
      <c r="H204" s="303"/>
      <c r="I204" s="303"/>
      <c r="J204" s="322">
        <f t="shared" si="47"/>
        <v>0</v>
      </c>
      <c r="K204" s="305" t="e">
        <f>IF(F204="MXN",1/HLOOKUP(YEAR(G204)+(MONTH(G204)/100),TC!$5:$37,DAY(G204)+2,FALSE),VLOOKUP(F204,Equivalencia!$5:$23,((MAX(Equivalencia!$3:$3)-YEAR(G204))*14)+MONTH(G204)+2,FALSE))</f>
        <v>#N/A</v>
      </c>
      <c r="L204" s="306" t="e">
        <f t="shared" si="50"/>
        <v>#N/A</v>
      </c>
      <c r="M204" s="305">
        <f>IF(G204=0,0,HLOOKUP(YEAR(G204)+(MONTH(G204)/100),TC!$5:$37,DAY(G204)+2,FALSE))</f>
        <v>0</v>
      </c>
      <c r="N204" s="306" t="e">
        <f t="shared" si="51"/>
        <v>#N/A</v>
      </c>
      <c r="O204" s="308">
        <f>IF(G204=0,0,VLOOKUP(YEAR(G204),INPC!$B$4:$P$30,MONTH(G204)+2))</f>
        <v>0</v>
      </c>
      <c r="P204" s="308">
        <f>IF(W204=0,0,IF(OR(C204=$AQ$5,C204=AQ208),VLOOKUP(YEAR(W204),INPC!$B$4:$P$30,MONTH(W204)+1),VLOOKUP(YEAR(W204),INPC!$B$4:$P$30,MONTH(W204)+2)))</f>
        <v>0</v>
      </c>
      <c r="Q204" s="309">
        <f t="shared" si="52"/>
        <v>0</v>
      </c>
      <c r="R204" s="310" t="e">
        <f t="shared" si="53"/>
        <v>#N/A</v>
      </c>
      <c r="S204" s="310">
        <f t="shared" si="54"/>
        <v>0</v>
      </c>
      <c r="T204" s="559" t="str">
        <f t="shared" si="55"/>
        <v>NO</v>
      </c>
      <c r="U204" s="323"/>
      <c r="V204" s="299"/>
      <c r="W204" s="300"/>
      <c r="X204" s="299"/>
      <c r="Y204" s="303"/>
      <c r="Z204" s="305">
        <f>IF(Y204=0,0,IF(X204="MXN",1/HLOOKUP(YEAR(W204)+(MONTH(W204)/100),TC!$5:$37,DAY(W204)+2,FALSE),VLOOKUP(X204,Equivalencia!$1:$23,((MAX(Equivalencia!$3:$3)-YEAR(W204))*14)+MONTH(W204)+2,FALSE)))</f>
        <v>0</v>
      </c>
      <c r="AA204" s="306">
        <f t="shared" si="56"/>
        <v>0</v>
      </c>
      <c r="AB204" s="305">
        <f>+IF(W204=0,0,HLOOKUP(YEAR(W204)+(MONTH(W204)/100),TC!$5:$37,DAY(W204)+2,FALSE))</f>
        <v>0</v>
      </c>
      <c r="AC204" s="306">
        <f t="shared" si="57"/>
        <v>0</v>
      </c>
      <c r="AD204" s="314">
        <f t="shared" si="48"/>
        <v>0</v>
      </c>
      <c r="AE204" s="315">
        <f t="shared" si="58"/>
        <v>0</v>
      </c>
      <c r="AF204" s="316">
        <f t="shared" si="49"/>
        <v>0</v>
      </c>
      <c r="AG204" s="314">
        <v>1</v>
      </c>
      <c r="AH204" s="314">
        <f t="shared" si="59"/>
        <v>0</v>
      </c>
      <c r="AI204" s="314">
        <f t="shared" si="60"/>
        <v>0</v>
      </c>
      <c r="AJ204" s="317"/>
      <c r="AK204" s="315" t="e">
        <f t="shared" si="61"/>
        <v>#N/A</v>
      </c>
      <c r="AM204" s="553"/>
      <c r="AN204" s="553"/>
      <c r="AO204" s="553"/>
    </row>
    <row r="205" spans="2:41">
      <c r="B205" s="296"/>
      <c r="C205" s="299"/>
      <c r="D205" s="296"/>
      <c r="E205" s="298"/>
      <c r="F205" s="299"/>
      <c r="G205" s="300"/>
      <c r="H205" s="303"/>
      <c r="I205" s="303"/>
      <c r="J205" s="322">
        <f t="shared" si="47"/>
        <v>0</v>
      </c>
      <c r="K205" s="305" t="e">
        <f>IF(F205="MXN",1/HLOOKUP(YEAR(G205)+(MONTH(G205)/100),TC!$5:$37,DAY(G205)+2,FALSE),VLOOKUP(F205,Equivalencia!$5:$23,((MAX(Equivalencia!$3:$3)-YEAR(G205))*14)+MONTH(G205)+2,FALSE))</f>
        <v>#N/A</v>
      </c>
      <c r="L205" s="306" t="e">
        <f t="shared" si="50"/>
        <v>#N/A</v>
      </c>
      <c r="M205" s="305">
        <f>IF(G205=0,0,HLOOKUP(YEAR(G205)+(MONTH(G205)/100),TC!$5:$37,DAY(G205)+2,FALSE))</f>
        <v>0</v>
      </c>
      <c r="N205" s="306" t="e">
        <f t="shared" si="51"/>
        <v>#N/A</v>
      </c>
      <c r="O205" s="308">
        <f>IF(G205=0,0,VLOOKUP(YEAR(G205),INPC!$B$4:$P$30,MONTH(G205)+2))</f>
        <v>0</v>
      </c>
      <c r="P205" s="308">
        <f>IF(W205=0,0,IF(OR(C205=$AQ$5,C205=AQ209),VLOOKUP(YEAR(W205),INPC!$B$4:$P$30,MONTH(W205)+1),VLOOKUP(YEAR(W205),INPC!$B$4:$P$30,MONTH(W205)+2)))</f>
        <v>0</v>
      </c>
      <c r="Q205" s="309">
        <f t="shared" si="52"/>
        <v>0</v>
      </c>
      <c r="R205" s="310" t="e">
        <f t="shared" si="53"/>
        <v>#N/A</v>
      </c>
      <c r="S205" s="310">
        <f t="shared" si="54"/>
        <v>0</v>
      </c>
      <c r="T205" s="559" t="str">
        <f t="shared" si="55"/>
        <v>NO</v>
      </c>
      <c r="U205" s="323"/>
      <c r="V205" s="299"/>
      <c r="W205" s="300"/>
      <c r="X205" s="299"/>
      <c r="Y205" s="303"/>
      <c r="Z205" s="305">
        <f>IF(Y205=0,0,IF(X205="MXN",1/HLOOKUP(YEAR(W205)+(MONTH(W205)/100),TC!$5:$37,DAY(W205)+2,FALSE),VLOOKUP(X205,Equivalencia!$1:$23,((MAX(Equivalencia!$3:$3)-YEAR(W205))*14)+MONTH(W205)+2,FALSE)))</f>
        <v>0</v>
      </c>
      <c r="AA205" s="306">
        <f t="shared" si="56"/>
        <v>0</v>
      </c>
      <c r="AB205" s="305">
        <f>+IF(W205=0,0,HLOOKUP(YEAR(W205)+(MONTH(W205)/100),TC!$5:$37,DAY(W205)+2,FALSE))</f>
        <v>0</v>
      </c>
      <c r="AC205" s="306">
        <f t="shared" si="57"/>
        <v>0</v>
      </c>
      <c r="AD205" s="314">
        <f t="shared" si="48"/>
        <v>0</v>
      </c>
      <c r="AE205" s="315">
        <f t="shared" si="58"/>
        <v>0</v>
      </c>
      <c r="AF205" s="316">
        <f t="shared" si="49"/>
        <v>0</v>
      </c>
      <c r="AG205" s="314">
        <v>1</v>
      </c>
      <c r="AH205" s="314">
        <f t="shared" si="59"/>
        <v>0</v>
      </c>
      <c r="AI205" s="314">
        <f t="shared" si="60"/>
        <v>0</v>
      </c>
      <c r="AJ205" s="317"/>
      <c r="AK205" s="315" t="e">
        <f t="shared" si="61"/>
        <v>#N/A</v>
      </c>
      <c r="AM205" s="553"/>
      <c r="AN205" s="553"/>
      <c r="AO205" s="553"/>
    </row>
    <row r="206" spans="2:41">
      <c r="B206" s="296"/>
      <c r="C206" s="299"/>
      <c r="D206" s="296"/>
      <c r="E206" s="298"/>
      <c r="F206" s="299"/>
      <c r="G206" s="300"/>
      <c r="H206" s="303"/>
      <c r="I206" s="303"/>
      <c r="J206" s="322">
        <f t="shared" si="47"/>
        <v>0</v>
      </c>
      <c r="K206" s="305" t="e">
        <f>IF(F206="MXN",1/HLOOKUP(YEAR(G206)+(MONTH(G206)/100),TC!$5:$37,DAY(G206)+2,FALSE),VLOOKUP(F206,Equivalencia!$5:$23,((MAX(Equivalencia!$3:$3)-YEAR(G206))*14)+MONTH(G206)+2,FALSE))</f>
        <v>#N/A</v>
      </c>
      <c r="L206" s="306" t="e">
        <f t="shared" si="50"/>
        <v>#N/A</v>
      </c>
      <c r="M206" s="305">
        <f>IF(G206=0,0,HLOOKUP(YEAR(G206)+(MONTH(G206)/100),TC!$5:$37,DAY(G206)+2,FALSE))</f>
        <v>0</v>
      </c>
      <c r="N206" s="306" t="e">
        <f t="shared" si="51"/>
        <v>#N/A</v>
      </c>
      <c r="O206" s="308">
        <f>IF(G206=0,0,VLOOKUP(YEAR(G206),INPC!$B$4:$P$30,MONTH(G206)+2))</f>
        <v>0</v>
      </c>
      <c r="P206" s="308">
        <f>IF(W206=0,0,IF(OR(C206=$AQ$5,C206=AQ210),VLOOKUP(YEAR(W206),INPC!$B$4:$P$30,MONTH(W206)+1),VLOOKUP(YEAR(W206),INPC!$B$4:$P$30,MONTH(W206)+2)))</f>
        <v>0</v>
      </c>
      <c r="Q206" s="309">
        <f t="shared" si="52"/>
        <v>0</v>
      </c>
      <c r="R206" s="310" t="e">
        <f t="shared" si="53"/>
        <v>#N/A</v>
      </c>
      <c r="S206" s="310">
        <f t="shared" si="54"/>
        <v>0</v>
      </c>
      <c r="T206" s="559" t="str">
        <f t="shared" si="55"/>
        <v>NO</v>
      </c>
      <c r="U206" s="323"/>
      <c r="V206" s="299"/>
      <c r="W206" s="300"/>
      <c r="X206" s="299"/>
      <c r="Y206" s="303"/>
      <c r="Z206" s="305">
        <f>IF(Y206=0,0,IF(X206="MXN",1/HLOOKUP(YEAR(W206)+(MONTH(W206)/100),TC!$5:$37,DAY(W206)+2,FALSE),VLOOKUP(X206,Equivalencia!$1:$23,((MAX(Equivalencia!$3:$3)-YEAR(W206))*14)+MONTH(W206)+2,FALSE)))</f>
        <v>0</v>
      </c>
      <c r="AA206" s="306">
        <f t="shared" si="56"/>
        <v>0</v>
      </c>
      <c r="AB206" s="305">
        <f>+IF(W206=0,0,HLOOKUP(YEAR(W206)+(MONTH(W206)/100),TC!$5:$37,DAY(W206)+2,FALSE))</f>
        <v>0</v>
      </c>
      <c r="AC206" s="306">
        <f t="shared" si="57"/>
        <v>0</v>
      </c>
      <c r="AD206" s="314">
        <f t="shared" si="48"/>
        <v>0</v>
      </c>
      <c r="AE206" s="315">
        <f t="shared" si="58"/>
        <v>0</v>
      </c>
      <c r="AF206" s="316">
        <f t="shared" si="49"/>
        <v>0</v>
      </c>
      <c r="AG206" s="314">
        <v>1</v>
      </c>
      <c r="AH206" s="314">
        <f t="shared" si="59"/>
        <v>0</v>
      </c>
      <c r="AI206" s="314">
        <f t="shared" si="60"/>
        <v>0</v>
      </c>
      <c r="AJ206" s="317"/>
      <c r="AK206" s="315" t="e">
        <f t="shared" si="61"/>
        <v>#N/A</v>
      </c>
      <c r="AM206" s="553"/>
      <c r="AN206" s="553"/>
      <c r="AO206" s="553"/>
    </row>
    <row r="207" spans="2:41">
      <c r="B207" s="296"/>
      <c r="C207" s="299"/>
      <c r="D207" s="296"/>
      <c r="E207" s="298"/>
      <c r="F207" s="299"/>
      <c r="G207" s="300"/>
      <c r="H207" s="303"/>
      <c r="I207" s="303"/>
      <c r="J207" s="322">
        <f t="shared" si="47"/>
        <v>0</v>
      </c>
      <c r="K207" s="305" t="e">
        <f>IF(F207="MXN",1/HLOOKUP(YEAR(G207)+(MONTH(G207)/100),TC!$5:$37,DAY(G207)+2,FALSE),VLOOKUP(F207,Equivalencia!$5:$23,((MAX(Equivalencia!$3:$3)-YEAR(G207))*14)+MONTH(G207)+2,FALSE))</f>
        <v>#N/A</v>
      </c>
      <c r="L207" s="306" t="e">
        <f t="shared" si="50"/>
        <v>#N/A</v>
      </c>
      <c r="M207" s="305">
        <f>IF(G207=0,0,HLOOKUP(YEAR(G207)+(MONTH(G207)/100),TC!$5:$37,DAY(G207)+2,FALSE))</f>
        <v>0</v>
      </c>
      <c r="N207" s="306" t="e">
        <f t="shared" si="51"/>
        <v>#N/A</v>
      </c>
      <c r="O207" s="308">
        <f>IF(G207=0,0,VLOOKUP(YEAR(G207),INPC!$B$4:$P$30,MONTH(G207)+2))</f>
        <v>0</v>
      </c>
      <c r="P207" s="308">
        <f>IF(W207=0,0,IF(OR(C207=$AQ$5,C207=AQ211),VLOOKUP(YEAR(W207),INPC!$B$4:$P$30,MONTH(W207)+1),VLOOKUP(YEAR(W207),INPC!$B$4:$P$30,MONTH(W207)+2)))</f>
        <v>0</v>
      </c>
      <c r="Q207" s="309">
        <f t="shared" si="52"/>
        <v>0</v>
      </c>
      <c r="R207" s="310" t="e">
        <f t="shared" si="53"/>
        <v>#N/A</v>
      </c>
      <c r="S207" s="310">
        <f t="shared" si="54"/>
        <v>0</v>
      </c>
      <c r="T207" s="559" t="str">
        <f t="shared" si="55"/>
        <v>NO</v>
      </c>
      <c r="U207" s="323"/>
      <c r="V207" s="299"/>
      <c r="W207" s="300"/>
      <c r="X207" s="299"/>
      <c r="Y207" s="303"/>
      <c r="Z207" s="305">
        <f>IF(Y207=0,0,IF(X207="MXN",1/HLOOKUP(YEAR(W207)+(MONTH(W207)/100),TC!$5:$37,DAY(W207)+2,FALSE),VLOOKUP(X207,Equivalencia!$1:$23,((MAX(Equivalencia!$3:$3)-YEAR(W207))*14)+MONTH(W207)+2,FALSE)))</f>
        <v>0</v>
      </c>
      <c r="AA207" s="306">
        <f t="shared" si="56"/>
        <v>0</v>
      </c>
      <c r="AB207" s="305">
        <f>+IF(W207=0,0,HLOOKUP(YEAR(W207)+(MONTH(W207)/100),TC!$5:$37,DAY(W207)+2,FALSE))</f>
        <v>0</v>
      </c>
      <c r="AC207" s="306">
        <f t="shared" si="57"/>
        <v>0</v>
      </c>
      <c r="AD207" s="314">
        <f t="shared" si="48"/>
        <v>0</v>
      </c>
      <c r="AE207" s="315">
        <f t="shared" si="58"/>
        <v>0</v>
      </c>
      <c r="AF207" s="316">
        <f t="shared" si="49"/>
        <v>0</v>
      </c>
      <c r="AG207" s="314">
        <v>1</v>
      </c>
      <c r="AH207" s="314">
        <f t="shared" si="59"/>
        <v>0</v>
      </c>
      <c r="AI207" s="314">
        <f t="shared" si="60"/>
        <v>0</v>
      </c>
      <c r="AJ207" s="317"/>
      <c r="AK207" s="315" t="e">
        <f t="shared" si="61"/>
        <v>#N/A</v>
      </c>
      <c r="AM207" s="553"/>
      <c r="AN207" s="553"/>
      <c r="AO207" s="553"/>
    </row>
    <row r="208" spans="2:41">
      <c r="B208" s="296"/>
      <c r="C208" s="299"/>
      <c r="D208" s="296"/>
      <c r="E208" s="298"/>
      <c r="F208" s="299"/>
      <c r="G208" s="300"/>
      <c r="H208" s="303"/>
      <c r="I208" s="303"/>
      <c r="J208" s="322">
        <f t="shared" si="47"/>
        <v>0</v>
      </c>
      <c r="K208" s="305" t="e">
        <f>IF(F208="MXN",1/HLOOKUP(YEAR(G208)+(MONTH(G208)/100),TC!$5:$37,DAY(G208)+2,FALSE),VLOOKUP(F208,Equivalencia!$5:$23,((MAX(Equivalencia!$3:$3)-YEAR(G208))*14)+MONTH(G208)+2,FALSE))</f>
        <v>#N/A</v>
      </c>
      <c r="L208" s="306" t="e">
        <f t="shared" si="50"/>
        <v>#N/A</v>
      </c>
      <c r="M208" s="305">
        <f>IF(G208=0,0,HLOOKUP(YEAR(G208)+(MONTH(G208)/100),TC!$5:$37,DAY(G208)+2,FALSE))</f>
        <v>0</v>
      </c>
      <c r="N208" s="306" t="e">
        <f t="shared" si="51"/>
        <v>#N/A</v>
      </c>
      <c r="O208" s="308">
        <f>IF(G208=0,0,VLOOKUP(YEAR(G208),INPC!$B$4:$P$30,MONTH(G208)+2))</f>
        <v>0</v>
      </c>
      <c r="P208" s="308">
        <f>IF(W208=0,0,IF(OR(C208=$AQ$5,C208=AQ212),VLOOKUP(YEAR(W208),INPC!$B$4:$P$30,MONTH(W208)+1),VLOOKUP(YEAR(W208),INPC!$B$4:$P$30,MONTH(W208)+2)))</f>
        <v>0</v>
      </c>
      <c r="Q208" s="309">
        <f t="shared" si="52"/>
        <v>0</v>
      </c>
      <c r="R208" s="310" t="e">
        <f t="shared" si="53"/>
        <v>#N/A</v>
      </c>
      <c r="S208" s="310">
        <f t="shared" si="54"/>
        <v>0</v>
      </c>
      <c r="T208" s="559" t="str">
        <f t="shared" si="55"/>
        <v>NO</v>
      </c>
      <c r="U208" s="323"/>
      <c r="V208" s="299"/>
      <c r="W208" s="300"/>
      <c r="X208" s="299"/>
      <c r="Y208" s="303"/>
      <c r="Z208" s="305">
        <f>IF(Y208=0,0,IF(X208="MXN",1/HLOOKUP(YEAR(W208)+(MONTH(W208)/100),TC!$5:$37,DAY(W208)+2,FALSE),VLOOKUP(X208,Equivalencia!$1:$23,((MAX(Equivalencia!$3:$3)-YEAR(W208))*14)+MONTH(W208)+2,FALSE)))</f>
        <v>0</v>
      </c>
      <c r="AA208" s="306">
        <f t="shared" si="56"/>
        <v>0</v>
      </c>
      <c r="AB208" s="305">
        <f>+IF(W208=0,0,HLOOKUP(YEAR(W208)+(MONTH(W208)/100),TC!$5:$37,DAY(W208)+2,FALSE))</f>
        <v>0</v>
      </c>
      <c r="AC208" s="306">
        <f t="shared" si="57"/>
        <v>0</v>
      </c>
      <c r="AD208" s="314">
        <f t="shared" si="48"/>
        <v>0</v>
      </c>
      <c r="AE208" s="315">
        <f t="shared" si="58"/>
        <v>0</v>
      </c>
      <c r="AF208" s="316">
        <f t="shared" si="49"/>
        <v>0</v>
      </c>
      <c r="AG208" s="314">
        <v>1</v>
      </c>
      <c r="AH208" s="314">
        <f t="shared" si="59"/>
        <v>0</v>
      </c>
      <c r="AI208" s="314">
        <f t="shared" si="60"/>
        <v>0</v>
      </c>
      <c r="AJ208" s="317"/>
      <c r="AK208" s="315" t="e">
        <f t="shared" si="61"/>
        <v>#N/A</v>
      </c>
      <c r="AM208" s="553"/>
      <c r="AN208" s="553"/>
      <c r="AO208" s="553"/>
    </row>
    <row r="209" spans="2:41">
      <c r="B209" s="296"/>
      <c r="C209" s="299"/>
      <c r="D209" s="296"/>
      <c r="E209" s="298"/>
      <c r="F209" s="299"/>
      <c r="G209" s="300"/>
      <c r="H209" s="303"/>
      <c r="I209" s="303"/>
      <c r="J209" s="322">
        <f t="shared" si="47"/>
        <v>0</v>
      </c>
      <c r="K209" s="305" t="e">
        <f>IF(F209="MXN",1/HLOOKUP(YEAR(G209)+(MONTH(G209)/100),TC!$5:$37,DAY(G209)+2,FALSE),VLOOKUP(F209,Equivalencia!$5:$23,((MAX(Equivalencia!$3:$3)-YEAR(G209))*14)+MONTH(G209)+2,FALSE))</f>
        <v>#N/A</v>
      </c>
      <c r="L209" s="306" t="e">
        <f t="shared" si="50"/>
        <v>#N/A</v>
      </c>
      <c r="M209" s="305">
        <f>IF(G209=0,0,HLOOKUP(YEAR(G209)+(MONTH(G209)/100),TC!$5:$37,DAY(G209)+2,FALSE))</f>
        <v>0</v>
      </c>
      <c r="N209" s="306" t="e">
        <f t="shared" si="51"/>
        <v>#N/A</v>
      </c>
      <c r="O209" s="308">
        <f>IF(G209=0,0,VLOOKUP(YEAR(G209),INPC!$B$4:$P$30,MONTH(G209)+2))</f>
        <v>0</v>
      </c>
      <c r="P209" s="308">
        <f>IF(W209=0,0,IF(OR(C209=$AQ$5,C209=AQ213),VLOOKUP(YEAR(W209),INPC!$B$4:$P$30,MONTH(W209)+1),VLOOKUP(YEAR(W209),INPC!$B$4:$P$30,MONTH(W209)+2)))</f>
        <v>0</v>
      </c>
      <c r="Q209" s="309">
        <f t="shared" si="52"/>
        <v>0</v>
      </c>
      <c r="R209" s="310" t="e">
        <f t="shared" si="53"/>
        <v>#N/A</v>
      </c>
      <c r="S209" s="310">
        <f t="shared" si="54"/>
        <v>0</v>
      </c>
      <c r="T209" s="559" t="str">
        <f t="shared" si="55"/>
        <v>NO</v>
      </c>
      <c r="U209" s="323"/>
      <c r="V209" s="299"/>
      <c r="W209" s="300"/>
      <c r="X209" s="299"/>
      <c r="Y209" s="303"/>
      <c r="Z209" s="305">
        <f>IF(Y209=0,0,IF(X209="MXN",1/HLOOKUP(YEAR(W209)+(MONTH(W209)/100),TC!$5:$37,DAY(W209)+2,FALSE),VLOOKUP(X209,Equivalencia!$1:$23,((MAX(Equivalencia!$3:$3)-YEAR(W209))*14)+MONTH(W209)+2,FALSE)))</f>
        <v>0</v>
      </c>
      <c r="AA209" s="306">
        <f t="shared" si="56"/>
        <v>0</v>
      </c>
      <c r="AB209" s="305">
        <f>+IF(W209=0,0,HLOOKUP(YEAR(W209)+(MONTH(W209)/100),TC!$5:$37,DAY(W209)+2,FALSE))</f>
        <v>0</v>
      </c>
      <c r="AC209" s="306">
        <f t="shared" si="57"/>
        <v>0</v>
      </c>
      <c r="AD209" s="314">
        <f t="shared" si="48"/>
        <v>0</v>
      </c>
      <c r="AE209" s="315">
        <f t="shared" si="58"/>
        <v>0</v>
      </c>
      <c r="AF209" s="316">
        <f t="shared" si="49"/>
        <v>0</v>
      </c>
      <c r="AG209" s="314">
        <v>1</v>
      </c>
      <c r="AH209" s="314">
        <f t="shared" si="59"/>
        <v>0</v>
      </c>
      <c r="AI209" s="314">
        <f t="shared" si="60"/>
        <v>0</v>
      </c>
      <c r="AJ209" s="317"/>
      <c r="AK209" s="315" t="e">
        <f t="shared" si="61"/>
        <v>#N/A</v>
      </c>
      <c r="AM209" s="553"/>
      <c r="AN209" s="553"/>
      <c r="AO209" s="553"/>
    </row>
    <row r="210" spans="2:41">
      <c r="B210" s="296"/>
      <c r="C210" s="299"/>
      <c r="D210" s="296"/>
      <c r="E210" s="298"/>
      <c r="F210" s="299"/>
      <c r="G210" s="300"/>
      <c r="H210" s="303"/>
      <c r="I210" s="303"/>
      <c r="J210" s="322">
        <f t="shared" si="47"/>
        <v>0</v>
      </c>
      <c r="K210" s="305" t="e">
        <f>IF(F210="MXN",1/HLOOKUP(YEAR(G210)+(MONTH(G210)/100),TC!$5:$37,DAY(G210)+2,FALSE),VLOOKUP(F210,Equivalencia!$5:$23,((MAX(Equivalencia!$3:$3)-YEAR(G210))*14)+MONTH(G210)+2,FALSE))</f>
        <v>#N/A</v>
      </c>
      <c r="L210" s="306" t="e">
        <f t="shared" si="50"/>
        <v>#N/A</v>
      </c>
      <c r="M210" s="305">
        <f>IF(G210=0,0,HLOOKUP(YEAR(G210)+(MONTH(G210)/100),TC!$5:$37,DAY(G210)+2,FALSE))</f>
        <v>0</v>
      </c>
      <c r="N210" s="306" t="e">
        <f t="shared" si="51"/>
        <v>#N/A</v>
      </c>
      <c r="O210" s="308">
        <f>IF(G210=0,0,VLOOKUP(YEAR(G210),INPC!$B$4:$P$30,MONTH(G210)+2))</f>
        <v>0</v>
      </c>
      <c r="P210" s="308">
        <f>IF(W210=0,0,IF(OR(C210=$AQ$5,C210=AQ214),VLOOKUP(YEAR(W210),INPC!$B$4:$P$30,MONTH(W210)+1),VLOOKUP(YEAR(W210),INPC!$B$4:$P$30,MONTH(W210)+2)))</f>
        <v>0</v>
      </c>
      <c r="Q210" s="309">
        <f t="shared" si="52"/>
        <v>0</v>
      </c>
      <c r="R210" s="310" t="e">
        <f t="shared" si="53"/>
        <v>#N/A</v>
      </c>
      <c r="S210" s="310">
        <f t="shared" si="54"/>
        <v>0</v>
      </c>
      <c r="T210" s="559" t="str">
        <f t="shared" si="55"/>
        <v>NO</v>
      </c>
      <c r="U210" s="323"/>
      <c r="V210" s="299"/>
      <c r="W210" s="300"/>
      <c r="X210" s="299"/>
      <c r="Y210" s="303"/>
      <c r="Z210" s="305">
        <f>IF(Y210=0,0,IF(X210="MXN",1/HLOOKUP(YEAR(W210)+(MONTH(W210)/100),TC!$5:$37,DAY(W210)+2,FALSE),VLOOKUP(X210,Equivalencia!$1:$23,((MAX(Equivalencia!$3:$3)-YEAR(W210))*14)+MONTH(W210)+2,FALSE)))</f>
        <v>0</v>
      </c>
      <c r="AA210" s="306">
        <f t="shared" si="56"/>
        <v>0</v>
      </c>
      <c r="AB210" s="305">
        <f>+IF(W210=0,0,HLOOKUP(YEAR(W210)+(MONTH(W210)/100),TC!$5:$37,DAY(W210)+2,FALSE))</f>
        <v>0</v>
      </c>
      <c r="AC210" s="306">
        <f t="shared" si="57"/>
        <v>0</v>
      </c>
      <c r="AD210" s="314">
        <f t="shared" si="48"/>
        <v>0</v>
      </c>
      <c r="AE210" s="315">
        <f t="shared" si="58"/>
        <v>0</v>
      </c>
      <c r="AF210" s="316">
        <f t="shared" si="49"/>
        <v>0</v>
      </c>
      <c r="AG210" s="314">
        <v>1</v>
      </c>
      <c r="AH210" s="314">
        <f t="shared" si="59"/>
        <v>0</v>
      </c>
      <c r="AI210" s="314">
        <f t="shared" si="60"/>
        <v>0</v>
      </c>
      <c r="AJ210" s="317"/>
      <c r="AK210" s="315" t="e">
        <f t="shared" si="61"/>
        <v>#N/A</v>
      </c>
      <c r="AM210" s="553"/>
      <c r="AN210" s="553"/>
      <c r="AO210" s="553"/>
    </row>
    <row r="211" spans="2:41">
      <c r="B211" s="296"/>
      <c r="C211" s="299"/>
      <c r="D211" s="296"/>
      <c r="E211" s="298"/>
      <c r="F211" s="299"/>
      <c r="G211" s="300"/>
      <c r="H211" s="303"/>
      <c r="I211" s="303"/>
      <c r="J211" s="322">
        <f t="shared" si="47"/>
        <v>0</v>
      </c>
      <c r="K211" s="305" t="e">
        <f>IF(F211="MXN",1/HLOOKUP(YEAR(G211)+(MONTH(G211)/100),TC!$5:$37,DAY(G211)+2,FALSE),VLOOKUP(F211,Equivalencia!$5:$23,((MAX(Equivalencia!$3:$3)-YEAR(G211))*14)+MONTH(G211)+2,FALSE))</f>
        <v>#N/A</v>
      </c>
      <c r="L211" s="306" t="e">
        <f t="shared" si="50"/>
        <v>#N/A</v>
      </c>
      <c r="M211" s="305">
        <f>IF(G211=0,0,HLOOKUP(YEAR(G211)+(MONTH(G211)/100),TC!$5:$37,DAY(G211)+2,FALSE))</f>
        <v>0</v>
      </c>
      <c r="N211" s="306" t="e">
        <f t="shared" si="51"/>
        <v>#N/A</v>
      </c>
      <c r="O211" s="308">
        <f>IF(G211=0,0,VLOOKUP(YEAR(G211),INPC!$B$4:$P$30,MONTH(G211)+2))</f>
        <v>0</v>
      </c>
      <c r="P211" s="308">
        <f>IF(W211=0,0,IF(OR(C211=$AQ$5,C211=AQ215),VLOOKUP(YEAR(W211),INPC!$B$4:$P$30,MONTH(W211)+1),VLOOKUP(YEAR(W211),INPC!$B$4:$P$30,MONTH(W211)+2)))</f>
        <v>0</v>
      </c>
      <c r="Q211" s="309">
        <f t="shared" si="52"/>
        <v>0</v>
      </c>
      <c r="R211" s="310" t="e">
        <f t="shared" si="53"/>
        <v>#N/A</v>
      </c>
      <c r="S211" s="310">
        <f t="shared" si="54"/>
        <v>0</v>
      </c>
      <c r="T211" s="559" t="str">
        <f t="shared" si="55"/>
        <v>NO</v>
      </c>
      <c r="U211" s="323"/>
      <c r="V211" s="299"/>
      <c r="W211" s="300"/>
      <c r="X211" s="299"/>
      <c r="Y211" s="303"/>
      <c r="Z211" s="305">
        <f>IF(Y211=0,0,IF(X211="MXN",1/HLOOKUP(YEAR(W211)+(MONTH(W211)/100),TC!$5:$37,DAY(W211)+2,FALSE),VLOOKUP(X211,Equivalencia!$1:$23,((MAX(Equivalencia!$3:$3)-YEAR(W211))*14)+MONTH(W211)+2,FALSE)))</f>
        <v>0</v>
      </c>
      <c r="AA211" s="306">
        <f t="shared" si="56"/>
        <v>0</v>
      </c>
      <c r="AB211" s="305">
        <f>+IF(W211=0,0,HLOOKUP(YEAR(W211)+(MONTH(W211)/100),TC!$5:$37,DAY(W211)+2,FALSE))</f>
        <v>0</v>
      </c>
      <c r="AC211" s="306">
        <f t="shared" si="57"/>
        <v>0</v>
      </c>
      <c r="AD211" s="314">
        <f t="shared" si="48"/>
        <v>0</v>
      </c>
      <c r="AE211" s="315">
        <f t="shared" si="58"/>
        <v>0</v>
      </c>
      <c r="AF211" s="316">
        <f t="shared" si="49"/>
        <v>0</v>
      </c>
      <c r="AG211" s="314">
        <v>1</v>
      </c>
      <c r="AH211" s="314">
        <f t="shared" si="59"/>
        <v>0</v>
      </c>
      <c r="AI211" s="314">
        <f t="shared" si="60"/>
        <v>0</v>
      </c>
      <c r="AJ211" s="317"/>
      <c r="AK211" s="315" t="e">
        <f t="shared" si="61"/>
        <v>#N/A</v>
      </c>
      <c r="AM211" s="553"/>
      <c r="AN211" s="553"/>
      <c r="AO211" s="553"/>
    </row>
    <row r="212" spans="2:41">
      <c r="B212" s="296"/>
      <c r="C212" s="299"/>
      <c r="D212" s="296"/>
      <c r="E212" s="298"/>
      <c r="F212" s="299"/>
      <c r="G212" s="300"/>
      <c r="H212" s="303"/>
      <c r="I212" s="303"/>
      <c r="J212" s="322">
        <f t="shared" si="47"/>
        <v>0</v>
      </c>
      <c r="K212" s="305" t="e">
        <f>IF(F212="MXN",1/HLOOKUP(YEAR(G212)+(MONTH(G212)/100),TC!$5:$37,DAY(G212)+2,FALSE),VLOOKUP(F212,Equivalencia!$5:$23,((MAX(Equivalencia!$3:$3)-YEAR(G212))*14)+MONTH(G212)+2,FALSE))</f>
        <v>#N/A</v>
      </c>
      <c r="L212" s="306" t="e">
        <f t="shared" si="50"/>
        <v>#N/A</v>
      </c>
      <c r="M212" s="305">
        <f>IF(G212=0,0,HLOOKUP(YEAR(G212)+(MONTH(G212)/100),TC!$5:$37,DAY(G212)+2,FALSE))</f>
        <v>0</v>
      </c>
      <c r="N212" s="306" t="e">
        <f t="shared" si="51"/>
        <v>#N/A</v>
      </c>
      <c r="O212" s="308">
        <f>IF(G212=0,0,VLOOKUP(YEAR(G212),INPC!$B$4:$P$30,MONTH(G212)+2))</f>
        <v>0</v>
      </c>
      <c r="P212" s="308">
        <f>IF(W212=0,0,IF(OR(C212=$AQ$5,C212=AQ216),VLOOKUP(YEAR(W212),INPC!$B$4:$P$30,MONTH(W212)+1),VLOOKUP(YEAR(W212),INPC!$B$4:$P$30,MONTH(W212)+2)))</f>
        <v>0</v>
      </c>
      <c r="Q212" s="309">
        <f t="shared" si="52"/>
        <v>0</v>
      </c>
      <c r="R212" s="310" t="e">
        <f t="shared" si="53"/>
        <v>#N/A</v>
      </c>
      <c r="S212" s="310">
        <f t="shared" si="54"/>
        <v>0</v>
      </c>
      <c r="T212" s="559" t="str">
        <f t="shared" si="55"/>
        <v>NO</v>
      </c>
      <c r="U212" s="323"/>
      <c r="V212" s="299"/>
      <c r="W212" s="300"/>
      <c r="X212" s="299"/>
      <c r="Y212" s="303"/>
      <c r="Z212" s="305">
        <f>IF(Y212=0,0,IF(X212="MXN",1/HLOOKUP(YEAR(W212)+(MONTH(W212)/100),TC!$5:$37,DAY(W212)+2,FALSE),VLOOKUP(X212,Equivalencia!$1:$23,((MAX(Equivalencia!$3:$3)-YEAR(W212))*14)+MONTH(W212)+2,FALSE)))</f>
        <v>0</v>
      </c>
      <c r="AA212" s="306">
        <f t="shared" si="56"/>
        <v>0</v>
      </c>
      <c r="AB212" s="305">
        <f>+IF(W212=0,0,HLOOKUP(YEAR(W212)+(MONTH(W212)/100),TC!$5:$37,DAY(W212)+2,FALSE))</f>
        <v>0</v>
      </c>
      <c r="AC212" s="306">
        <f t="shared" si="57"/>
        <v>0</v>
      </c>
      <c r="AD212" s="314">
        <f t="shared" si="48"/>
        <v>0</v>
      </c>
      <c r="AE212" s="315">
        <f t="shared" si="58"/>
        <v>0</v>
      </c>
      <c r="AF212" s="316">
        <f t="shared" si="49"/>
        <v>0</v>
      </c>
      <c r="AG212" s="314">
        <v>1</v>
      </c>
      <c r="AH212" s="314">
        <f t="shared" si="59"/>
        <v>0</v>
      </c>
      <c r="AI212" s="314">
        <f t="shared" si="60"/>
        <v>0</v>
      </c>
      <c r="AJ212" s="317"/>
      <c r="AK212" s="315" t="e">
        <f t="shared" si="61"/>
        <v>#N/A</v>
      </c>
      <c r="AM212" s="553"/>
      <c r="AN212" s="553"/>
      <c r="AO212" s="553"/>
    </row>
    <row r="213" spans="2:41">
      <c r="B213" s="296"/>
      <c r="C213" s="299"/>
      <c r="D213" s="296"/>
      <c r="E213" s="298"/>
      <c r="F213" s="299"/>
      <c r="G213" s="300"/>
      <c r="H213" s="303"/>
      <c r="I213" s="303"/>
      <c r="J213" s="322">
        <f t="shared" si="47"/>
        <v>0</v>
      </c>
      <c r="K213" s="305" t="e">
        <f>IF(F213="MXN",1/HLOOKUP(YEAR(G213)+(MONTH(G213)/100),TC!$5:$37,DAY(G213)+2,FALSE),VLOOKUP(F213,Equivalencia!$5:$23,((MAX(Equivalencia!$3:$3)-YEAR(G213))*14)+MONTH(G213)+2,FALSE))</f>
        <v>#N/A</v>
      </c>
      <c r="L213" s="306" t="e">
        <f t="shared" si="50"/>
        <v>#N/A</v>
      </c>
      <c r="M213" s="305">
        <f>IF(G213=0,0,HLOOKUP(YEAR(G213)+(MONTH(G213)/100),TC!$5:$37,DAY(G213)+2,FALSE))</f>
        <v>0</v>
      </c>
      <c r="N213" s="306" t="e">
        <f t="shared" si="51"/>
        <v>#N/A</v>
      </c>
      <c r="O213" s="308">
        <f>IF(G213=0,0,VLOOKUP(YEAR(G213),INPC!$B$4:$P$30,MONTH(G213)+2))</f>
        <v>0</v>
      </c>
      <c r="P213" s="308">
        <f>IF(W213=0,0,IF(OR(C213=$AQ$5,C213=AQ217),VLOOKUP(YEAR(W213),INPC!$B$4:$P$30,MONTH(W213)+1),VLOOKUP(YEAR(W213),INPC!$B$4:$P$30,MONTH(W213)+2)))</f>
        <v>0</v>
      </c>
      <c r="Q213" s="309">
        <f t="shared" si="52"/>
        <v>0</v>
      </c>
      <c r="R213" s="310" t="e">
        <f t="shared" si="53"/>
        <v>#N/A</v>
      </c>
      <c r="S213" s="310">
        <f t="shared" si="54"/>
        <v>0</v>
      </c>
      <c r="T213" s="559" t="str">
        <f t="shared" si="55"/>
        <v>NO</v>
      </c>
      <c r="U213" s="323"/>
      <c r="V213" s="299"/>
      <c r="W213" s="300"/>
      <c r="X213" s="299"/>
      <c r="Y213" s="303"/>
      <c r="Z213" s="305">
        <f>IF(Y213=0,0,IF(X213="MXN",1/HLOOKUP(YEAR(W213)+(MONTH(W213)/100),TC!$5:$37,DAY(W213)+2,FALSE),VLOOKUP(X213,Equivalencia!$1:$23,((MAX(Equivalencia!$3:$3)-YEAR(W213))*14)+MONTH(W213)+2,FALSE)))</f>
        <v>0</v>
      </c>
      <c r="AA213" s="306">
        <f t="shared" si="56"/>
        <v>0</v>
      </c>
      <c r="AB213" s="305">
        <f>+IF(W213=0,0,HLOOKUP(YEAR(W213)+(MONTH(W213)/100),TC!$5:$37,DAY(W213)+2,FALSE))</f>
        <v>0</v>
      </c>
      <c r="AC213" s="306">
        <f t="shared" si="57"/>
        <v>0</v>
      </c>
      <c r="AD213" s="314">
        <f t="shared" si="48"/>
        <v>0</v>
      </c>
      <c r="AE213" s="315">
        <f t="shared" si="58"/>
        <v>0</v>
      </c>
      <c r="AF213" s="316">
        <f t="shared" si="49"/>
        <v>0</v>
      </c>
      <c r="AG213" s="314">
        <v>1</v>
      </c>
      <c r="AH213" s="314">
        <f t="shared" si="59"/>
        <v>0</v>
      </c>
      <c r="AI213" s="314">
        <f t="shared" si="60"/>
        <v>0</v>
      </c>
      <c r="AJ213" s="317"/>
      <c r="AK213" s="315" t="e">
        <f t="shared" si="61"/>
        <v>#N/A</v>
      </c>
      <c r="AM213" s="553"/>
      <c r="AN213" s="553"/>
      <c r="AO213" s="553"/>
    </row>
    <row r="214" spans="2:41">
      <c r="B214" s="296"/>
      <c r="C214" s="299"/>
      <c r="D214" s="296"/>
      <c r="E214" s="298"/>
      <c r="F214" s="299"/>
      <c r="G214" s="300"/>
      <c r="H214" s="303"/>
      <c r="I214" s="303"/>
      <c r="J214" s="322">
        <f t="shared" si="47"/>
        <v>0</v>
      </c>
      <c r="K214" s="305" t="e">
        <f>IF(F214="MXN",1/HLOOKUP(YEAR(G214)+(MONTH(G214)/100),TC!$5:$37,DAY(G214)+2,FALSE),VLOOKUP(F214,Equivalencia!$5:$23,((MAX(Equivalencia!$3:$3)-YEAR(G214))*14)+MONTH(G214)+2,FALSE))</f>
        <v>#N/A</v>
      </c>
      <c r="L214" s="306" t="e">
        <f t="shared" si="50"/>
        <v>#N/A</v>
      </c>
      <c r="M214" s="305">
        <f>IF(G214=0,0,HLOOKUP(YEAR(G214)+(MONTH(G214)/100),TC!$5:$37,DAY(G214)+2,FALSE))</f>
        <v>0</v>
      </c>
      <c r="N214" s="306" t="e">
        <f t="shared" si="51"/>
        <v>#N/A</v>
      </c>
      <c r="O214" s="308">
        <f>IF(G214=0,0,VLOOKUP(YEAR(G214),INPC!$B$4:$P$30,MONTH(G214)+2))</f>
        <v>0</v>
      </c>
      <c r="P214" s="308">
        <f>IF(W214=0,0,IF(OR(C214=$AQ$5,C214=AQ218),VLOOKUP(YEAR(W214),INPC!$B$4:$P$30,MONTH(W214)+1),VLOOKUP(YEAR(W214),INPC!$B$4:$P$30,MONTH(W214)+2)))</f>
        <v>0</v>
      </c>
      <c r="Q214" s="309">
        <f t="shared" si="52"/>
        <v>0</v>
      </c>
      <c r="R214" s="310" t="e">
        <f t="shared" si="53"/>
        <v>#N/A</v>
      </c>
      <c r="S214" s="310">
        <f t="shared" si="54"/>
        <v>0</v>
      </c>
      <c r="T214" s="559" t="str">
        <f t="shared" si="55"/>
        <v>NO</v>
      </c>
      <c r="U214" s="323"/>
      <c r="V214" s="299"/>
      <c r="W214" s="300"/>
      <c r="X214" s="299"/>
      <c r="Y214" s="303"/>
      <c r="Z214" s="305">
        <f>IF(Y214=0,0,IF(X214="MXN",1/HLOOKUP(YEAR(W214)+(MONTH(W214)/100),TC!$5:$37,DAY(W214)+2,FALSE),VLOOKUP(X214,Equivalencia!$1:$23,((MAX(Equivalencia!$3:$3)-YEAR(W214))*14)+MONTH(W214)+2,FALSE)))</f>
        <v>0</v>
      </c>
      <c r="AA214" s="306">
        <f t="shared" si="56"/>
        <v>0</v>
      </c>
      <c r="AB214" s="305">
        <f>+IF(W214=0,0,HLOOKUP(YEAR(W214)+(MONTH(W214)/100),TC!$5:$37,DAY(W214)+2,FALSE))</f>
        <v>0</v>
      </c>
      <c r="AC214" s="306">
        <f t="shared" si="57"/>
        <v>0</v>
      </c>
      <c r="AD214" s="314">
        <f t="shared" si="48"/>
        <v>0</v>
      </c>
      <c r="AE214" s="315">
        <f t="shared" si="58"/>
        <v>0</v>
      </c>
      <c r="AF214" s="316">
        <f t="shared" si="49"/>
        <v>0</v>
      </c>
      <c r="AG214" s="314">
        <v>1</v>
      </c>
      <c r="AH214" s="314">
        <f t="shared" si="59"/>
        <v>0</v>
      </c>
      <c r="AI214" s="314">
        <f t="shared" si="60"/>
        <v>0</v>
      </c>
      <c r="AJ214" s="317"/>
      <c r="AK214" s="315" t="e">
        <f t="shared" si="61"/>
        <v>#N/A</v>
      </c>
      <c r="AM214" s="553"/>
      <c r="AN214" s="553"/>
      <c r="AO214" s="553"/>
    </row>
    <row r="215" spans="2:41">
      <c r="B215" s="296"/>
      <c r="C215" s="299"/>
      <c r="D215" s="296"/>
      <c r="E215" s="298"/>
      <c r="F215" s="299"/>
      <c r="G215" s="300"/>
      <c r="H215" s="303"/>
      <c r="I215" s="303"/>
      <c r="J215" s="322">
        <f t="shared" si="47"/>
        <v>0</v>
      </c>
      <c r="K215" s="305" t="e">
        <f>IF(F215="MXN",1/HLOOKUP(YEAR(G215)+(MONTH(G215)/100),TC!$5:$37,DAY(G215)+2,FALSE),VLOOKUP(F215,Equivalencia!$5:$23,((MAX(Equivalencia!$3:$3)-YEAR(G215))*14)+MONTH(G215)+2,FALSE))</f>
        <v>#N/A</v>
      </c>
      <c r="L215" s="306" t="e">
        <f t="shared" si="50"/>
        <v>#N/A</v>
      </c>
      <c r="M215" s="305">
        <f>IF(G215=0,0,HLOOKUP(YEAR(G215)+(MONTH(G215)/100),TC!$5:$37,DAY(G215)+2,FALSE))</f>
        <v>0</v>
      </c>
      <c r="N215" s="306" t="e">
        <f t="shared" si="51"/>
        <v>#N/A</v>
      </c>
      <c r="O215" s="308">
        <f>IF(G215=0,0,VLOOKUP(YEAR(G215),INPC!$B$4:$P$30,MONTH(G215)+2))</f>
        <v>0</v>
      </c>
      <c r="P215" s="308">
        <f>IF(W215=0,0,IF(OR(C215=$AQ$5,C215=AQ219),VLOOKUP(YEAR(W215),INPC!$B$4:$P$30,MONTH(W215)+1),VLOOKUP(YEAR(W215),INPC!$B$4:$P$30,MONTH(W215)+2)))</f>
        <v>0</v>
      </c>
      <c r="Q215" s="309">
        <f t="shared" si="52"/>
        <v>0</v>
      </c>
      <c r="R215" s="310" t="e">
        <f t="shared" si="53"/>
        <v>#N/A</v>
      </c>
      <c r="S215" s="310">
        <f t="shared" si="54"/>
        <v>0</v>
      </c>
      <c r="T215" s="559" t="str">
        <f t="shared" si="55"/>
        <v>NO</v>
      </c>
      <c r="U215" s="323"/>
      <c r="V215" s="299"/>
      <c r="W215" s="300"/>
      <c r="X215" s="299"/>
      <c r="Y215" s="303"/>
      <c r="Z215" s="305">
        <f>IF(Y215=0,0,IF(X215="MXN",1/HLOOKUP(YEAR(W215)+(MONTH(W215)/100),TC!$5:$37,DAY(W215)+2,FALSE),VLOOKUP(X215,Equivalencia!$1:$23,((MAX(Equivalencia!$3:$3)-YEAR(W215))*14)+MONTH(W215)+2,FALSE)))</f>
        <v>0</v>
      </c>
      <c r="AA215" s="306">
        <f t="shared" si="56"/>
        <v>0</v>
      </c>
      <c r="AB215" s="305">
        <f>+IF(W215=0,0,HLOOKUP(YEAR(W215)+(MONTH(W215)/100),TC!$5:$37,DAY(W215)+2,FALSE))</f>
        <v>0</v>
      </c>
      <c r="AC215" s="306">
        <f t="shared" si="57"/>
        <v>0</v>
      </c>
      <c r="AD215" s="314">
        <f t="shared" si="48"/>
        <v>0</v>
      </c>
      <c r="AE215" s="315">
        <f t="shared" si="58"/>
        <v>0</v>
      </c>
      <c r="AF215" s="316">
        <f t="shared" si="49"/>
        <v>0</v>
      </c>
      <c r="AG215" s="314">
        <v>1</v>
      </c>
      <c r="AH215" s="314">
        <f t="shared" si="59"/>
        <v>0</v>
      </c>
      <c r="AI215" s="314">
        <f t="shared" si="60"/>
        <v>0</v>
      </c>
      <c r="AJ215" s="317"/>
      <c r="AK215" s="315" t="e">
        <f t="shared" si="61"/>
        <v>#N/A</v>
      </c>
      <c r="AM215" s="553"/>
      <c r="AN215" s="553"/>
      <c r="AO215" s="553"/>
    </row>
    <row r="216" spans="2:41">
      <c r="B216" s="296"/>
      <c r="C216" s="299"/>
      <c r="D216" s="296"/>
      <c r="E216" s="298"/>
      <c r="F216" s="299"/>
      <c r="G216" s="300"/>
      <c r="H216" s="303"/>
      <c r="I216" s="303"/>
      <c r="J216" s="322">
        <f t="shared" si="47"/>
        <v>0</v>
      </c>
      <c r="K216" s="305" t="e">
        <f>IF(F216="MXN",1/HLOOKUP(YEAR(G216)+(MONTH(G216)/100),TC!$5:$37,DAY(G216)+2,FALSE),VLOOKUP(F216,Equivalencia!$5:$23,((MAX(Equivalencia!$3:$3)-YEAR(G216))*14)+MONTH(G216)+2,FALSE))</f>
        <v>#N/A</v>
      </c>
      <c r="L216" s="306" t="e">
        <f t="shared" si="50"/>
        <v>#N/A</v>
      </c>
      <c r="M216" s="305">
        <f>IF(G216=0,0,HLOOKUP(YEAR(G216)+(MONTH(G216)/100),TC!$5:$37,DAY(G216)+2,FALSE))</f>
        <v>0</v>
      </c>
      <c r="N216" s="306" t="e">
        <f t="shared" si="51"/>
        <v>#N/A</v>
      </c>
      <c r="O216" s="308">
        <f>IF(G216=0,0,VLOOKUP(YEAR(G216),INPC!$B$4:$P$30,MONTH(G216)+2))</f>
        <v>0</v>
      </c>
      <c r="P216" s="308">
        <f>IF(W216=0,0,IF(OR(C216=$AQ$5,C216=AQ220),VLOOKUP(YEAR(W216),INPC!$B$4:$P$30,MONTH(W216)+1),VLOOKUP(YEAR(W216),INPC!$B$4:$P$30,MONTH(W216)+2)))</f>
        <v>0</v>
      </c>
      <c r="Q216" s="309">
        <f t="shared" si="52"/>
        <v>0</v>
      </c>
      <c r="R216" s="310" t="e">
        <f t="shared" si="53"/>
        <v>#N/A</v>
      </c>
      <c r="S216" s="310">
        <f t="shared" si="54"/>
        <v>0</v>
      </c>
      <c r="T216" s="559" t="str">
        <f t="shared" si="55"/>
        <v>NO</v>
      </c>
      <c r="U216" s="323"/>
      <c r="V216" s="299"/>
      <c r="W216" s="300"/>
      <c r="X216" s="299"/>
      <c r="Y216" s="303"/>
      <c r="Z216" s="305">
        <f>IF(Y216=0,0,IF(X216="MXN",1/HLOOKUP(YEAR(W216)+(MONTH(W216)/100),TC!$5:$37,DAY(W216)+2,FALSE),VLOOKUP(X216,Equivalencia!$1:$23,((MAX(Equivalencia!$3:$3)-YEAR(W216))*14)+MONTH(W216)+2,FALSE)))</f>
        <v>0</v>
      </c>
      <c r="AA216" s="306">
        <f t="shared" si="56"/>
        <v>0</v>
      </c>
      <c r="AB216" s="305">
        <f>+IF(W216=0,0,HLOOKUP(YEAR(W216)+(MONTH(W216)/100),TC!$5:$37,DAY(W216)+2,FALSE))</f>
        <v>0</v>
      </c>
      <c r="AC216" s="306">
        <f t="shared" si="57"/>
        <v>0</v>
      </c>
      <c r="AD216" s="314">
        <f t="shared" si="48"/>
        <v>0</v>
      </c>
      <c r="AE216" s="315">
        <f t="shared" si="58"/>
        <v>0</v>
      </c>
      <c r="AF216" s="316">
        <f t="shared" si="49"/>
        <v>0</v>
      </c>
      <c r="AG216" s="314">
        <v>1</v>
      </c>
      <c r="AH216" s="314">
        <f t="shared" si="59"/>
        <v>0</v>
      </c>
      <c r="AI216" s="314">
        <f t="shared" si="60"/>
        <v>0</v>
      </c>
      <c r="AJ216" s="317"/>
      <c r="AK216" s="315" t="e">
        <f t="shared" si="61"/>
        <v>#N/A</v>
      </c>
      <c r="AM216" s="553"/>
      <c r="AN216" s="553"/>
      <c r="AO216" s="553"/>
    </row>
    <row r="217" spans="2:41">
      <c r="B217" s="296"/>
      <c r="C217" s="299"/>
      <c r="D217" s="296"/>
      <c r="E217" s="298"/>
      <c r="F217" s="299"/>
      <c r="G217" s="300"/>
      <c r="H217" s="303"/>
      <c r="I217" s="303"/>
      <c r="J217" s="322">
        <f t="shared" si="47"/>
        <v>0</v>
      </c>
      <c r="K217" s="305" t="e">
        <f>IF(F217="MXN",1/HLOOKUP(YEAR(G217)+(MONTH(G217)/100),TC!$5:$37,DAY(G217)+2,FALSE),VLOOKUP(F217,Equivalencia!$5:$23,((MAX(Equivalencia!$3:$3)-YEAR(G217))*14)+MONTH(G217)+2,FALSE))</f>
        <v>#N/A</v>
      </c>
      <c r="L217" s="306" t="e">
        <f t="shared" si="50"/>
        <v>#N/A</v>
      </c>
      <c r="M217" s="305">
        <f>IF(G217=0,0,HLOOKUP(YEAR(G217)+(MONTH(G217)/100),TC!$5:$37,DAY(G217)+2,FALSE))</f>
        <v>0</v>
      </c>
      <c r="N217" s="306" t="e">
        <f t="shared" si="51"/>
        <v>#N/A</v>
      </c>
      <c r="O217" s="308">
        <f>IF(G217=0,0,VLOOKUP(YEAR(G217),INPC!$B$4:$P$30,MONTH(G217)+2))</f>
        <v>0</v>
      </c>
      <c r="P217" s="308">
        <f>IF(W217=0,0,IF(OR(C217=$AQ$5,C217=AQ221),VLOOKUP(YEAR(W217),INPC!$B$4:$P$30,MONTH(W217)+1),VLOOKUP(YEAR(W217),INPC!$B$4:$P$30,MONTH(W217)+2)))</f>
        <v>0</v>
      </c>
      <c r="Q217" s="309">
        <f t="shared" si="52"/>
        <v>0</v>
      </c>
      <c r="R217" s="310" t="e">
        <f t="shared" si="53"/>
        <v>#N/A</v>
      </c>
      <c r="S217" s="310">
        <f t="shared" si="54"/>
        <v>0</v>
      </c>
      <c r="T217" s="559" t="str">
        <f t="shared" si="55"/>
        <v>NO</v>
      </c>
      <c r="U217" s="323"/>
      <c r="V217" s="299"/>
      <c r="W217" s="300"/>
      <c r="X217" s="299"/>
      <c r="Y217" s="303"/>
      <c r="Z217" s="305">
        <f>IF(Y217=0,0,IF(X217="MXN",1/HLOOKUP(YEAR(W217)+(MONTH(W217)/100),TC!$5:$37,DAY(W217)+2,FALSE),VLOOKUP(X217,Equivalencia!$1:$23,((MAX(Equivalencia!$3:$3)-YEAR(W217))*14)+MONTH(W217)+2,FALSE)))</f>
        <v>0</v>
      </c>
      <c r="AA217" s="306">
        <f t="shared" si="56"/>
        <v>0</v>
      </c>
      <c r="AB217" s="305">
        <f>+IF(W217=0,0,HLOOKUP(YEAR(W217)+(MONTH(W217)/100),TC!$5:$37,DAY(W217)+2,FALSE))</f>
        <v>0</v>
      </c>
      <c r="AC217" s="306">
        <f t="shared" si="57"/>
        <v>0</v>
      </c>
      <c r="AD217" s="314">
        <f t="shared" si="48"/>
        <v>0</v>
      </c>
      <c r="AE217" s="315">
        <f t="shared" si="58"/>
        <v>0</v>
      </c>
      <c r="AF217" s="316">
        <f t="shared" si="49"/>
        <v>0</v>
      </c>
      <c r="AG217" s="314">
        <v>1</v>
      </c>
      <c r="AH217" s="314">
        <f t="shared" si="59"/>
        <v>0</v>
      </c>
      <c r="AI217" s="314">
        <f t="shared" si="60"/>
        <v>0</v>
      </c>
      <c r="AJ217" s="317"/>
      <c r="AK217" s="315" t="e">
        <f t="shared" si="61"/>
        <v>#N/A</v>
      </c>
      <c r="AM217" s="553"/>
      <c r="AN217" s="553"/>
      <c r="AO217" s="553"/>
    </row>
    <row r="218" spans="2:41">
      <c r="B218" s="296"/>
      <c r="C218" s="299"/>
      <c r="D218" s="296"/>
      <c r="E218" s="298"/>
      <c r="F218" s="299"/>
      <c r="G218" s="300"/>
      <c r="H218" s="303"/>
      <c r="I218" s="303"/>
      <c r="J218" s="322">
        <f t="shared" si="47"/>
        <v>0</v>
      </c>
      <c r="K218" s="305" t="e">
        <f>IF(F218="MXN",1/HLOOKUP(YEAR(G218)+(MONTH(G218)/100),TC!$5:$37,DAY(G218)+2,FALSE),VLOOKUP(F218,Equivalencia!$5:$23,((MAX(Equivalencia!$3:$3)-YEAR(G218))*14)+MONTH(G218)+2,FALSE))</f>
        <v>#N/A</v>
      </c>
      <c r="L218" s="306" t="e">
        <f t="shared" si="50"/>
        <v>#N/A</v>
      </c>
      <c r="M218" s="305">
        <f>IF(G218=0,0,HLOOKUP(YEAR(G218)+(MONTH(G218)/100),TC!$5:$37,DAY(G218)+2,FALSE))</f>
        <v>0</v>
      </c>
      <c r="N218" s="306" t="e">
        <f t="shared" si="51"/>
        <v>#N/A</v>
      </c>
      <c r="O218" s="308">
        <f>IF(G218=0,0,VLOOKUP(YEAR(G218),INPC!$B$4:$P$30,MONTH(G218)+2))</f>
        <v>0</v>
      </c>
      <c r="P218" s="308">
        <f>IF(W218=0,0,IF(OR(C218=$AQ$5,C218=AQ222),VLOOKUP(YEAR(W218),INPC!$B$4:$P$30,MONTH(W218)+1),VLOOKUP(YEAR(W218),INPC!$B$4:$P$30,MONTH(W218)+2)))</f>
        <v>0</v>
      </c>
      <c r="Q218" s="309">
        <f t="shared" si="52"/>
        <v>0</v>
      </c>
      <c r="R218" s="310" t="e">
        <f t="shared" si="53"/>
        <v>#N/A</v>
      </c>
      <c r="S218" s="310">
        <f t="shared" si="54"/>
        <v>0</v>
      </c>
      <c r="T218" s="559" t="str">
        <f t="shared" si="55"/>
        <v>NO</v>
      </c>
      <c r="U218" s="323"/>
      <c r="V218" s="299"/>
      <c r="W218" s="300"/>
      <c r="X218" s="299"/>
      <c r="Y218" s="303"/>
      <c r="Z218" s="305">
        <f>IF(Y218=0,0,IF(X218="MXN",1/HLOOKUP(YEAR(W218)+(MONTH(W218)/100),TC!$5:$37,DAY(W218)+2,FALSE),VLOOKUP(X218,Equivalencia!$1:$23,((MAX(Equivalencia!$3:$3)-YEAR(W218))*14)+MONTH(W218)+2,FALSE)))</f>
        <v>0</v>
      </c>
      <c r="AA218" s="306">
        <f t="shared" si="56"/>
        <v>0</v>
      </c>
      <c r="AB218" s="305">
        <f>+IF(W218=0,0,HLOOKUP(YEAR(W218)+(MONTH(W218)/100),TC!$5:$37,DAY(W218)+2,FALSE))</f>
        <v>0</v>
      </c>
      <c r="AC218" s="306">
        <f t="shared" si="57"/>
        <v>0</v>
      </c>
      <c r="AD218" s="314">
        <f t="shared" si="48"/>
        <v>0</v>
      </c>
      <c r="AE218" s="315">
        <f t="shared" si="58"/>
        <v>0</v>
      </c>
      <c r="AF218" s="316">
        <f t="shared" si="49"/>
        <v>0</v>
      </c>
      <c r="AG218" s="314">
        <v>1</v>
      </c>
      <c r="AH218" s="314">
        <f t="shared" si="59"/>
        <v>0</v>
      </c>
      <c r="AI218" s="314">
        <f t="shared" si="60"/>
        <v>0</v>
      </c>
      <c r="AJ218" s="317"/>
      <c r="AK218" s="315" t="e">
        <f t="shared" si="61"/>
        <v>#N/A</v>
      </c>
      <c r="AM218" s="553"/>
      <c r="AN218" s="553"/>
      <c r="AO218" s="553"/>
    </row>
    <row r="219" spans="2:41">
      <c r="B219" s="296"/>
      <c r="C219" s="299"/>
      <c r="D219" s="296"/>
      <c r="E219" s="298"/>
      <c r="F219" s="299"/>
      <c r="G219" s="300"/>
      <c r="H219" s="303"/>
      <c r="I219" s="303"/>
      <c r="J219" s="322">
        <f t="shared" si="47"/>
        <v>0</v>
      </c>
      <c r="K219" s="305" t="e">
        <f>IF(F219="MXN",1/HLOOKUP(YEAR(G219)+(MONTH(G219)/100),TC!$5:$37,DAY(G219)+2,FALSE),VLOOKUP(F219,Equivalencia!$5:$23,((MAX(Equivalencia!$3:$3)-YEAR(G219))*14)+MONTH(G219)+2,FALSE))</f>
        <v>#N/A</v>
      </c>
      <c r="L219" s="306" t="e">
        <f t="shared" si="50"/>
        <v>#N/A</v>
      </c>
      <c r="M219" s="305">
        <f>IF(G219=0,0,HLOOKUP(YEAR(G219)+(MONTH(G219)/100),TC!$5:$37,DAY(G219)+2,FALSE))</f>
        <v>0</v>
      </c>
      <c r="N219" s="306" t="e">
        <f t="shared" si="51"/>
        <v>#N/A</v>
      </c>
      <c r="O219" s="308">
        <f>IF(G219=0,0,VLOOKUP(YEAR(G219),INPC!$B$4:$P$30,MONTH(G219)+2))</f>
        <v>0</v>
      </c>
      <c r="P219" s="308">
        <f>IF(W219=0,0,IF(OR(C219=$AQ$5,C219=AQ223),VLOOKUP(YEAR(W219),INPC!$B$4:$P$30,MONTH(W219)+1),VLOOKUP(YEAR(W219),INPC!$B$4:$P$30,MONTH(W219)+2)))</f>
        <v>0</v>
      </c>
      <c r="Q219" s="309">
        <f t="shared" si="52"/>
        <v>0</v>
      </c>
      <c r="R219" s="310" t="e">
        <f t="shared" si="53"/>
        <v>#N/A</v>
      </c>
      <c r="S219" s="310">
        <f t="shared" si="54"/>
        <v>0</v>
      </c>
      <c r="T219" s="559" t="str">
        <f t="shared" si="55"/>
        <v>NO</v>
      </c>
      <c r="U219" s="323"/>
      <c r="V219" s="299"/>
      <c r="W219" s="300"/>
      <c r="X219" s="299"/>
      <c r="Y219" s="303"/>
      <c r="Z219" s="305">
        <f>IF(Y219=0,0,IF(X219="MXN",1/HLOOKUP(YEAR(W219)+(MONTH(W219)/100),TC!$5:$37,DAY(W219)+2,FALSE),VLOOKUP(X219,Equivalencia!$1:$23,((MAX(Equivalencia!$3:$3)-YEAR(W219))*14)+MONTH(W219)+2,FALSE)))</f>
        <v>0</v>
      </c>
      <c r="AA219" s="306">
        <f t="shared" si="56"/>
        <v>0</v>
      </c>
      <c r="AB219" s="305">
        <f>+IF(W219=0,0,HLOOKUP(YEAR(W219)+(MONTH(W219)/100),TC!$5:$37,DAY(W219)+2,FALSE))</f>
        <v>0</v>
      </c>
      <c r="AC219" s="306">
        <f t="shared" si="57"/>
        <v>0</v>
      </c>
      <c r="AD219" s="314">
        <f t="shared" si="48"/>
        <v>0</v>
      </c>
      <c r="AE219" s="315">
        <f t="shared" si="58"/>
        <v>0</v>
      </c>
      <c r="AF219" s="316">
        <f t="shared" si="49"/>
        <v>0</v>
      </c>
      <c r="AG219" s="314">
        <v>1</v>
      </c>
      <c r="AH219" s="314">
        <f t="shared" si="59"/>
        <v>0</v>
      </c>
      <c r="AI219" s="314">
        <f t="shared" si="60"/>
        <v>0</v>
      </c>
      <c r="AJ219" s="317"/>
      <c r="AK219" s="315" t="e">
        <f t="shared" si="61"/>
        <v>#N/A</v>
      </c>
      <c r="AM219" s="553"/>
      <c r="AN219" s="553"/>
      <c r="AO219" s="553"/>
    </row>
    <row r="220" spans="2:41">
      <c r="B220" s="296"/>
      <c r="C220" s="299"/>
      <c r="D220" s="296"/>
      <c r="E220" s="298"/>
      <c r="F220" s="299"/>
      <c r="G220" s="300"/>
      <c r="H220" s="303"/>
      <c r="I220" s="303"/>
      <c r="J220" s="322">
        <f t="shared" si="47"/>
        <v>0</v>
      </c>
      <c r="K220" s="305" t="e">
        <f>IF(F220="MXN",1/HLOOKUP(YEAR(G220)+(MONTH(G220)/100),TC!$5:$37,DAY(G220)+2,FALSE),VLOOKUP(F220,Equivalencia!$5:$23,((MAX(Equivalencia!$3:$3)-YEAR(G220))*14)+MONTH(G220)+2,FALSE))</f>
        <v>#N/A</v>
      </c>
      <c r="L220" s="306" t="e">
        <f t="shared" si="50"/>
        <v>#N/A</v>
      </c>
      <c r="M220" s="305">
        <f>IF(G220=0,0,HLOOKUP(YEAR(G220)+(MONTH(G220)/100),TC!$5:$37,DAY(G220)+2,FALSE))</f>
        <v>0</v>
      </c>
      <c r="N220" s="306" t="e">
        <f t="shared" si="51"/>
        <v>#N/A</v>
      </c>
      <c r="O220" s="308">
        <f>IF(G220=0,0,VLOOKUP(YEAR(G220),INPC!$B$4:$P$30,MONTH(G220)+2))</f>
        <v>0</v>
      </c>
      <c r="P220" s="308">
        <f>IF(W220=0,0,IF(OR(C220=$AQ$5,C220=AQ224),VLOOKUP(YEAR(W220),INPC!$B$4:$P$30,MONTH(W220)+1),VLOOKUP(YEAR(W220),INPC!$B$4:$P$30,MONTH(W220)+2)))</f>
        <v>0</v>
      </c>
      <c r="Q220" s="309">
        <f t="shared" si="52"/>
        <v>0</v>
      </c>
      <c r="R220" s="310" t="e">
        <f t="shared" si="53"/>
        <v>#N/A</v>
      </c>
      <c r="S220" s="310">
        <f t="shared" si="54"/>
        <v>0</v>
      </c>
      <c r="T220" s="559" t="str">
        <f t="shared" si="55"/>
        <v>NO</v>
      </c>
      <c r="U220" s="323"/>
      <c r="V220" s="299"/>
      <c r="W220" s="300"/>
      <c r="X220" s="299"/>
      <c r="Y220" s="303"/>
      <c r="Z220" s="305">
        <f>IF(Y220=0,0,IF(X220="MXN",1/HLOOKUP(YEAR(W220)+(MONTH(W220)/100),TC!$5:$37,DAY(W220)+2,FALSE),VLOOKUP(X220,Equivalencia!$1:$23,((MAX(Equivalencia!$3:$3)-YEAR(W220))*14)+MONTH(W220)+2,FALSE)))</f>
        <v>0</v>
      </c>
      <c r="AA220" s="306">
        <f t="shared" si="56"/>
        <v>0</v>
      </c>
      <c r="AB220" s="305">
        <f>+IF(W220=0,0,HLOOKUP(YEAR(W220)+(MONTH(W220)/100),TC!$5:$37,DAY(W220)+2,FALSE))</f>
        <v>0</v>
      </c>
      <c r="AC220" s="306">
        <f t="shared" si="57"/>
        <v>0</v>
      </c>
      <c r="AD220" s="314">
        <f t="shared" si="48"/>
        <v>0</v>
      </c>
      <c r="AE220" s="315">
        <f t="shared" si="58"/>
        <v>0</v>
      </c>
      <c r="AF220" s="316">
        <f t="shared" si="49"/>
        <v>0</v>
      </c>
      <c r="AG220" s="314">
        <v>1</v>
      </c>
      <c r="AH220" s="314">
        <f t="shared" si="59"/>
        <v>0</v>
      </c>
      <c r="AI220" s="314">
        <f t="shared" si="60"/>
        <v>0</v>
      </c>
      <c r="AJ220" s="317"/>
      <c r="AK220" s="315" t="e">
        <f t="shared" si="61"/>
        <v>#N/A</v>
      </c>
      <c r="AM220" s="553"/>
      <c r="AN220" s="553"/>
      <c r="AO220" s="553"/>
    </row>
    <row r="221" spans="2:41">
      <c r="B221" s="296"/>
      <c r="C221" s="299"/>
      <c r="D221" s="296"/>
      <c r="E221" s="298"/>
      <c r="F221" s="299"/>
      <c r="G221" s="300"/>
      <c r="H221" s="303"/>
      <c r="I221" s="303"/>
      <c r="J221" s="322">
        <f t="shared" si="47"/>
        <v>0</v>
      </c>
      <c r="K221" s="305" t="e">
        <f>IF(F221="MXN",1/HLOOKUP(YEAR(G221)+(MONTH(G221)/100),TC!$5:$37,DAY(G221)+2,FALSE),VLOOKUP(F221,Equivalencia!$5:$23,((MAX(Equivalencia!$3:$3)-YEAR(G221))*14)+MONTH(G221)+2,FALSE))</f>
        <v>#N/A</v>
      </c>
      <c r="L221" s="306" t="e">
        <f t="shared" si="50"/>
        <v>#N/A</v>
      </c>
      <c r="M221" s="305">
        <f>IF(G221=0,0,HLOOKUP(YEAR(G221)+(MONTH(G221)/100),TC!$5:$37,DAY(G221)+2,FALSE))</f>
        <v>0</v>
      </c>
      <c r="N221" s="306" t="e">
        <f t="shared" si="51"/>
        <v>#N/A</v>
      </c>
      <c r="O221" s="308">
        <f>IF(G221=0,0,VLOOKUP(YEAR(G221),INPC!$B$4:$P$30,MONTH(G221)+2))</f>
        <v>0</v>
      </c>
      <c r="P221" s="308">
        <f>IF(W221=0,0,IF(OR(C221=$AQ$5,C221=AQ225),VLOOKUP(YEAR(W221),INPC!$B$4:$P$30,MONTH(W221)+1),VLOOKUP(YEAR(W221),INPC!$B$4:$P$30,MONTH(W221)+2)))</f>
        <v>0</v>
      </c>
      <c r="Q221" s="309">
        <f t="shared" si="52"/>
        <v>0</v>
      </c>
      <c r="R221" s="310" t="e">
        <f t="shared" si="53"/>
        <v>#N/A</v>
      </c>
      <c r="S221" s="310">
        <f t="shared" si="54"/>
        <v>0</v>
      </c>
      <c r="T221" s="559" t="str">
        <f t="shared" si="55"/>
        <v>NO</v>
      </c>
      <c r="U221" s="323"/>
      <c r="V221" s="299"/>
      <c r="W221" s="300"/>
      <c r="X221" s="299"/>
      <c r="Y221" s="303"/>
      <c r="Z221" s="305">
        <f>IF(Y221=0,0,IF(X221="MXN",1/HLOOKUP(YEAR(W221)+(MONTH(W221)/100),TC!$5:$37,DAY(W221)+2,FALSE),VLOOKUP(X221,Equivalencia!$1:$23,((MAX(Equivalencia!$3:$3)-YEAR(W221))*14)+MONTH(W221)+2,FALSE)))</f>
        <v>0</v>
      </c>
      <c r="AA221" s="306">
        <f t="shared" si="56"/>
        <v>0</v>
      </c>
      <c r="AB221" s="305">
        <f>+IF(W221=0,0,HLOOKUP(YEAR(W221)+(MONTH(W221)/100),TC!$5:$37,DAY(W221)+2,FALSE))</f>
        <v>0</v>
      </c>
      <c r="AC221" s="306">
        <f t="shared" si="57"/>
        <v>0</v>
      </c>
      <c r="AD221" s="314">
        <f t="shared" si="48"/>
        <v>0</v>
      </c>
      <c r="AE221" s="315">
        <f t="shared" si="58"/>
        <v>0</v>
      </c>
      <c r="AF221" s="316">
        <f t="shared" si="49"/>
        <v>0</v>
      </c>
      <c r="AG221" s="314">
        <v>1</v>
      </c>
      <c r="AH221" s="314">
        <f t="shared" si="59"/>
        <v>0</v>
      </c>
      <c r="AI221" s="314">
        <f t="shared" si="60"/>
        <v>0</v>
      </c>
      <c r="AJ221" s="317"/>
      <c r="AK221" s="315" t="e">
        <f t="shared" si="61"/>
        <v>#N/A</v>
      </c>
      <c r="AM221" s="553"/>
      <c r="AN221" s="553"/>
      <c r="AO221" s="553"/>
    </row>
    <row r="222" spans="2:41">
      <c r="B222" s="296"/>
      <c r="C222" s="299"/>
      <c r="D222" s="296"/>
      <c r="E222" s="298"/>
      <c r="F222" s="299"/>
      <c r="G222" s="300"/>
      <c r="H222" s="303"/>
      <c r="I222" s="303"/>
      <c r="J222" s="322">
        <f t="shared" si="47"/>
        <v>0</v>
      </c>
      <c r="K222" s="305" t="e">
        <f>IF(F222="MXN",1/HLOOKUP(YEAR(G222)+(MONTH(G222)/100),TC!$5:$37,DAY(G222)+2,FALSE),VLOOKUP(F222,Equivalencia!$5:$23,((MAX(Equivalencia!$3:$3)-YEAR(G222))*14)+MONTH(G222)+2,FALSE))</f>
        <v>#N/A</v>
      </c>
      <c r="L222" s="306" t="e">
        <f t="shared" si="50"/>
        <v>#N/A</v>
      </c>
      <c r="M222" s="305">
        <f>IF(G222=0,0,HLOOKUP(YEAR(G222)+(MONTH(G222)/100),TC!$5:$37,DAY(G222)+2,FALSE))</f>
        <v>0</v>
      </c>
      <c r="N222" s="306" t="e">
        <f t="shared" si="51"/>
        <v>#N/A</v>
      </c>
      <c r="O222" s="308">
        <f>IF(G222=0,0,VLOOKUP(YEAR(G222),INPC!$B$4:$P$30,MONTH(G222)+2))</f>
        <v>0</v>
      </c>
      <c r="P222" s="308">
        <f>IF(W222=0,0,IF(OR(C222=$AQ$5,C222=AQ226),VLOOKUP(YEAR(W222),INPC!$B$4:$P$30,MONTH(W222)+1),VLOOKUP(YEAR(W222),INPC!$B$4:$P$30,MONTH(W222)+2)))</f>
        <v>0</v>
      </c>
      <c r="Q222" s="309">
        <f t="shared" si="52"/>
        <v>0</v>
      </c>
      <c r="R222" s="310" t="e">
        <f t="shared" si="53"/>
        <v>#N/A</v>
      </c>
      <c r="S222" s="310">
        <f t="shared" si="54"/>
        <v>0</v>
      </c>
      <c r="T222" s="559" t="str">
        <f t="shared" si="55"/>
        <v>NO</v>
      </c>
      <c r="U222" s="323"/>
      <c r="V222" s="299"/>
      <c r="W222" s="300"/>
      <c r="X222" s="299"/>
      <c r="Y222" s="303"/>
      <c r="Z222" s="305">
        <f>IF(Y222=0,0,IF(X222="MXN",1/HLOOKUP(YEAR(W222)+(MONTH(W222)/100),TC!$5:$37,DAY(W222)+2,FALSE),VLOOKUP(X222,Equivalencia!$1:$23,((MAX(Equivalencia!$3:$3)-YEAR(W222))*14)+MONTH(W222)+2,FALSE)))</f>
        <v>0</v>
      </c>
      <c r="AA222" s="306">
        <f t="shared" si="56"/>
        <v>0</v>
      </c>
      <c r="AB222" s="305">
        <f>+IF(W222=0,0,HLOOKUP(YEAR(W222)+(MONTH(W222)/100),TC!$5:$37,DAY(W222)+2,FALSE))</f>
        <v>0</v>
      </c>
      <c r="AC222" s="306">
        <f t="shared" si="57"/>
        <v>0</v>
      </c>
      <c r="AD222" s="314">
        <f t="shared" si="48"/>
        <v>0</v>
      </c>
      <c r="AE222" s="315">
        <f t="shared" si="58"/>
        <v>0</v>
      </c>
      <c r="AF222" s="316">
        <f t="shared" si="49"/>
        <v>0</v>
      </c>
      <c r="AG222" s="314">
        <v>1</v>
      </c>
      <c r="AH222" s="314">
        <f t="shared" si="59"/>
        <v>0</v>
      </c>
      <c r="AI222" s="314">
        <f t="shared" si="60"/>
        <v>0</v>
      </c>
      <c r="AJ222" s="317"/>
      <c r="AK222" s="315" t="e">
        <f t="shared" si="61"/>
        <v>#N/A</v>
      </c>
      <c r="AM222" s="553"/>
      <c r="AN222" s="553"/>
      <c r="AO222" s="553"/>
    </row>
    <row r="223" spans="2:41">
      <c r="B223" s="296"/>
      <c r="C223" s="299"/>
      <c r="D223" s="296"/>
      <c r="E223" s="298"/>
      <c r="F223" s="299"/>
      <c r="G223" s="300"/>
      <c r="H223" s="303"/>
      <c r="I223" s="303"/>
      <c r="J223" s="322">
        <f t="shared" si="47"/>
        <v>0</v>
      </c>
      <c r="K223" s="305" t="e">
        <f>IF(F223="MXN",1/HLOOKUP(YEAR(G223)+(MONTH(G223)/100),TC!$5:$37,DAY(G223)+2,FALSE),VLOOKUP(F223,Equivalencia!$5:$23,((MAX(Equivalencia!$3:$3)-YEAR(G223))*14)+MONTH(G223)+2,FALSE))</f>
        <v>#N/A</v>
      </c>
      <c r="L223" s="306" t="e">
        <f t="shared" si="50"/>
        <v>#N/A</v>
      </c>
      <c r="M223" s="305">
        <f>IF(G223=0,0,HLOOKUP(YEAR(G223)+(MONTH(G223)/100),TC!$5:$37,DAY(G223)+2,FALSE))</f>
        <v>0</v>
      </c>
      <c r="N223" s="306" t="e">
        <f t="shared" si="51"/>
        <v>#N/A</v>
      </c>
      <c r="O223" s="308">
        <f>IF(G223=0,0,VLOOKUP(YEAR(G223),INPC!$B$4:$P$30,MONTH(G223)+2))</f>
        <v>0</v>
      </c>
      <c r="P223" s="308">
        <f>IF(W223=0,0,IF(OR(C223=$AQ$5,C223=AQ227),VLOOKUP(YEAR(W223),INPC!$B$4:$P$30,MONTH(W223)+1),VLOOKUP(YEAR(W223),INPC!$B$4:$P$30,MONTH(W223)+2)))</f>
        <v>0</v>
      </c>
      <c r="Q223" s="309">
        <f t="shared" si="52"/>
        <v>0</v>
      </c>
      <c r="R223" s="310" t="e">
        <f t="shared" si="53"/>
        <v>#N/A</v>
      </c>
      <c r="S223" s="310">
        <f t="shared" si="54"/>
        <v>0</v>
      </c>
      <c r="T223" s="559" t="str">
        <f t="shared" si="55"/>
        <v>NO</v>
      </c>
      <c r="U223" s="323"/>
      <c r="V223" s="299"/>
      <c r="W223" s="300"/>
      <c r="X223" s="299"/>
      <c r="Y223" s="303"/>
      <c r="Z223" s="305">
        <f>IF(Y223=0,0,IF(X223="MXN",1/HLOOKUP(YEAR(W223)+(MONTH(W223)/100),TC!$5:$37,DAY(W223)+2,FALSE),VLOOKUP(X223,Equivalencia!$1:$23,((MAX(Equivalencia!$3:$3)-YEAR(W223))*14)+MONTH(W223)+2,FALSE)))</f>
        <v>0</v>
      </c>
      <c r="AA223" s="306">
        <f t="shared" si="56"/>
        <v>0</v>
      </c>
      <c r="AB223" s="305">
        <f>+IF(W223=0,0,HLOOKUP(YEAR(W223)+(MONTH(W223)/100),TC!$5:$37,DAY(W223)+2,FALSE))</f>
        <v>0</v>
      </c>
      <c r="AC223" s="306">
        <f t="shared" si="57"/>
        <v>0</v>
      </c>
      <c r="AD223" s="314">
        <f t="shared" si="48"/>
        <v>0</v>
      </c>
      <c r="AE223" s="315">
        <f t="shared" si="58"/>
        <v>0</v>
      </c>
      <c r="AF223" s="316">
        <f t="shared" si="49"/>
        <v>0</v>
      </c>
      <c r="AG223" s="314">
        <v>1</v>
      </c>
      <c r="AH223" s="314">
        <f t="shared" si="59"/>
        <v>0</v>
      </c>
      <c r="AI223" s="314">
        <f t="shared" si="60"/>
        <v>0</v>
      </c>
      <c r="AJ223" s="317"/>
      <c r="AK223" s="315" t="e">
        <f t="shared" si="61"/>
        <v>#N/A</v>
      </c>
      <c r="AM223" s="553"/>
      <c r="AN223" s="553"/>
      <c r="AO223" s="553"/>
    </row>
    <row r="224" spans="2:41">
      <c r="B224" s="296"/>
      <c r="C224" s="299"/>
      <c r="D224" s="296"/>
      <c r="E224" s="298"/>
      <c r="F224" s="299"/>
      <c r="G224" s="300"/>
      <c r="H224" s="303"/>
      <c r="I224" s="303"/>
      <c r="J224" s="322">
        <f t="shared" si="47"/>
        <v>0</v>
      </c>
      <c r="K224" s="305" t="e">
        <f>IF(F224="MXN",1/HLOOKUP(YEAR(G224)+(MONTH(G224)/100),TC!$5:$37,DAY(G224)+2,FALSE),VLOOKUP(F224,Equivalencia!$5:$23,((MAX(Equivalencia!$3:$3)-YEAR(G224))*14)+MONTH(G224)+2,FALSE))</f>
        <v>#N/A</v>
      </c>
      <c r="L224" s="306" t="e">
        <f t="shared" si="50"/>
        <v>#N/A</v>
      </c>
      <c r="M224" s="305">
        <f>IF(G224=0,0,HLOOKUP(YEAR(G224)+(MONTH(G224)/100),TC!$5:$37,DAY(G224)+2,FALSE))</f>
        <v>0</v>
      </c>
      <c r="N224" s="306" t="e">
        <f t="shared" si="51"/>
        <v>#N/A</v>
      </c>
      <c r="O224" s="308">
        <f>IF(G224=0,0,VLOOKUP(YEAR(G224),INPC!$B$4:$P$30,MONTH(G224)+2))</f>
        <v>0</v>
      </c>
      <c r="P224" s="308">
        <f>IF(W224=0,0,IF(OR(C224=$AQ$5,C224=AQ228),VLOOKUP(YEAR(W224),INPC!$B$4:$P$30,MONTH(W224)+1),VLOOKUP(YEAR(W224),INPC!$B$4:$P$30,MONTH(W224)+2)))</f>
        <v>0</v>
      </c>
      <c r="Q224" s="309">
        <f t="shared" si="52"/>
        <v>0</v>
      </c>
      <c r="R224" s="310" t="e">
        <f t="shared" si="53"/>
        <v>#N/A</v>
      </c>
      <c r="S224" s="310">
        <f t="shared" si="54"/>
        <v>0</v>
      </c>
      <c r="T224" s="559" t="str">
        <f t="shared" si="55"/>
        <v>NO</v>
      </c>
      <c r="U224" s="323"/>
      <c r="V224" s="299"/>
      <c r="W224" s="300"/>
      <c r="X224" s="299"/>
      <c r="Y224" s="303"/>
      <c r="Z224" s="305">
        <f>IF(Y224=0,0,IF(X224="MXN",1/HLOOKUP(YEAR(W224)+(MONTH(W224)/100),TC!$5:$37,DAY(W224)+2,FALSE),VLOOKUP(X224,Equivalencia!$1:$23,((MAX(Equivalencia!$3:$3)-YEAR(W224))*14)+MONTH(W224)+2,FALSE)))</f>
        <v>0</v>
      </c>
      <c r="AA224" s="306">
        <f t="shared" si="56"/>
        <v>0</v>
      </c>
      <c r="AB224" s="305">
        <f>+IF(W224=0,0,HLOOKUP(YEAR(W224)+(MONTH(W224)/100),TC!$5:$37,DAY(W224)+2,FALSE))</f>
        <v>0</v>
      </c>
      <c r="AC224" s="306">
        <f t="shared" si="57"/>
        <v>0</v>
      </c>
      <c r="AD224" s="314">
        <f t="shared" si="48"/>
        <v>0</v>
      </c>
      <c r="AE224" s="315">
        <f t="shared" si="58"/>
        <v>0</v>
      </c>
      <c r="AF224" s="316">
        <f t="shared" si="49"/>
        <v>0</v>
      </c>
      <c r="AG224" s="314">
        <v>1</v>
      </c>
      <c r="AH224" s="314">
        <f t="shared" si="59"/>
        <v>0</v>
      </c>
      <c r="AI224" s="314">
        <f t="shared" si="60"/>
        <v>0</v>
      </c>
      <c r="AJ224" s="317"/>
      <c r="AK224" s="315" t="e">
        <f t="shared" si="61"/>
        <v>#N/A</v>
      </c>
      <c r="AM224" s="553"/>
      <c r="AN224" s="553"/>
      <c r="AO224" s="553"/>
    </row>
    <row r="225" spans="2:41">
      <c r="B225" s="296"/>
      <c r="C225" s="299"/>
      <c r="D225" s="296"/>
      <c r="E225" s="298"/>
      <c r="F225" s="299"/>
      <c r="G225" s="300"/>
      <c r="H225" s="303"/>
      <c r="I225" s="303"/>
      <c r="J225" s="322">
        <f t="shared" si="47"/>
        <v>0</v>
      </c>
      <c r="K225" s="305" t="e">
        <f>IF(F225="MXN",1/HLOOKUP(YEAR(G225)+(MONTH(G225)/100),TC!$5:$37,DAY(G225)+2,FALSE),VLOOKUP(F225,Equivalencia!$5:$23,((MAX(Equivalencia!$3:$3)-YEAR(G225))*14)+MONTH(G225)+2,FALSE))</f>
        <v>#N/A</v>
      </c>
      <c r="L225" s="306" t="e">
        <f t="shared" si="50"/>
        <v>#N/A</v>
      </c>
      <c r="M225" s="305">
        <f>IF(G225=0,0,HLOOKUP(YEAR(G225)+(MONTH(G225)/100),TC!$5:$37,DAY(G225)+2,FALSE))</f>
        <v>0</v>
      </c>
      <c r="N225" s="306" t="e">
        <f t="shared" si="51"/>
        <v>#N/A</v>
      </c>
      <c r="O225" s="308">
        <f>IF(G225=0,0,VLOOKUP(YEAR(G225),INPC!$B$4:$P$30,MONTH(G225)+2))</f>
        <v>0</v>
      </c>
      <c r="P225" s="308">
        <f>IF(W225=0,0,IF(OR(C225=$AQ$5,C225=AQ229),VLOOKUP(YEAR(W225),INPC!$B$4:$P$30,MONTH(W225)+1),VLOOKUP(YEAR(W225),INPC!$B$4:$P$30,MONTH(W225)+2)))</f>
        <v>0</v>
      </c>
      <c r="Q225" s="309">
        <f t="shared" si="52"/>
        <v>0</v>
      </c>
      <c r="R225" s="310" t="e">
        <f t="shared" si="53"/>
        <v>#N/A</v>
      </c>
      <c r="S225" s="310">
        <f t="shared" si="54"/>
        <v>0</v>
      </c>
      <c r="T225" s="559" t="str">
        <f t="shared" si="55"/>
        <v>NO</v>
      </c>
      <c r="U225" s="323"/>
      <c r="V225" s="299"/>
      <c r="W225" s="300"/>
      <c r="X225" s="299"/>
      <c r="Y225" s="303"/>
      <c r="Z225" s="305">
        <f>IF(Y225=0,0,IF(X225="MXN",1/HLOOKUP(YEAR(W225)+(MONTH(W225)/100),TC!$5:$37,DAY(W225)+2,FALSE),VLOOKUP(X225,Equivalencia!$1:$23,((MAX(Equivalencia!$3:$3)-YEAR(W225))*14)+MONTH(W225)+2,FALSE)))</f>
        <v>0</v>
      </c>
      <c r="AA225" s="306">
        <f t="shared" si="56"/>
        <v>0</v>
      </c>
      <c r="AB225" s="305">
        <f>+IF(W225=0,0,HLOOKUP(YEAR(W225)+(MONTH(W225)/100),TC!$5:$37,DAY(W225)+2,FALSE))</f>
        <v>0</v>
      </c>
      <c r="AC225" s="306">
        <f t="shared" si="57"/>
        <v>0</v>
      </c>
      <c r="AD225" s="314">
        <f t="shared" si="48"/>
        <v>0</v>
      </c>
      <c r="AE225" s="315">
        <f t="shared" si="58"/>
        <v>0</v>
      </c>
      <c r="AF225" s="316">
        <f t="shared" si="49"/>
        <v>0</v>
      </c>
      <c r="AG225" s="314">
        <v>1</v>
      </c>
      <c r="AH225" s="314">
        <f t="shared" si="59"/>
        <v>0</v>
      </c>
      <c r="AI225" s="314">
        <f t="shared" si="60"/>
        <v>0</v>
      </c>
      <c r="AJ225" s="317"/>
      <c r="AK225" s="315" t="e">
        <f t="shared" si="61"/>
        <v>#N/A</v>
      </c>
      <c r="AM225" s="553"/>
      <c r="AN225" s="553"/>
      <c r="AO225" s="553"/>
    </row>
    <row r="226" spans="2:41">
      <c r="B226" s="296"/>
      <c r="C226" s="299"/>
      <c r="D226" s="296"/>
      <c r="E226" s="298"/>
      <c r="F226" s="299"/>
      <c r="G226" s="300"/>
      <c r="H226" s="303"/>
      <c r="I226" s="303"/>
      <c r="J226" s="322">
        <f t="shared" si="47"/>
        <v>0</v>
      </c>
      <c r="K226" s="305" t="e">
        <f>IF(F226="MXN",1/HLOOKUP(YEAR(G226)+(MONTH(G226)/100),TC!$5:$37,DAY(G226)+2,FALSE),VLOOKUP(F226,Equivalencia!$5:$23,((MAX(Equivalencia!$3:$3)-YEAR(G226))*14)+MONTH(G226)+2,FALSE))</f>
        <v>#N/A</v>
      </c>
      <c r="L226" s="306" t="e">
        <f t="shared" si="50"/>
        <v>#N/A</v>
      </c>
      <c r="M226" s="305">
        <f>IF(G226=0,0,HLOOKUP(YEAR(G226)+(MONTH(G226)/100),TC!$5:$37,DAY(G226)+2,FALSE))</f>
        <v>0</v>
      </c>
      <c r="N226" s="306" t="e">
        <f t="shared" si="51"/>
        <v>#N/A</v>
      </c>
      <c r="O226" s="308">
        <f>IF(G226=0,0,VLOOKUP(YEAR(G226),INPC!$B$4:$P$30,MONTH(G226)+2))</f>
        <v>0</v>
      </c>
      <c r="P226" s="308">
        <f>IF(W226=0,0,IF(OR(C226=$AQ$5,C226=AQ230),VLOOKUP(YEAR(W226),INPC!$B$4:$P$30,MONTH(W226)+1),VLOOKUP(YEAR(W226),INPC!$B$4:$P$30,MONTH(W226)+2)))</f>
        <v>0</v>
      </c>
      <c r="Q226" s="309">
        <f t="shared" si="52"/>
        <v>0</v>
      </c>
      <c r="R226" s="310" t="e">
        <f t="shared" si="53"/>
        <v>#N/A</v>
      </c>
      <c r="S226" s="310">
        <f t="shared" si="54"/>
        <v>0</v>
      </c>
      <c r="T226" s="559" t="str">
        <f t="shared" si="55"/>
        <v>NO</v>
      </c>
      <c r="U226" s="323"/>
      <c r="V226" s="299"/>
      <c r="W226" s="300"/>
      <c r="X226" s="299"/>
      <c r="Y226" s="303"/>
      <c r="Z226" s="305">
        <f>IF(Y226=0,0,IF(X226="MXN",1/HLOOKUP(YEAR(W226)+(MONTH(W226)/100),TC!$5:$37,DAY(W226)+2,FALSE),VLOOKUP(X226,Equivalencia!$1:$23,((MAX(Equivalencia!$3:$3)-YEAR(W226))*14)+MONTH(W226)+2,FALSE)))</f>
        <v>0</v>
      </c>
      <c r="AA226" s="306">
        <f t="shared" si="56"/>
        <v>0</v>
      </c>
      <c r="AB226" s="305">
        <f>+IF(W226=0,0,HLOOKUP(YEAR(W226)+(MONTH(W226)/100),TC!$5:$37,DAY(W226)+2,FALSE))</f>
        <v>0</v>
      </c>
      <c r="AC226" s="306">
        <f t="shared" si="57"/>
        <v>0</v>
      </c>
      <c r="AD226" s="314">
        <f t="shared" si="48"/>
        <v>0</v>
      </c>
      <c r="AE226" s="315">
        <f t="shared" si="58"/>
        <v>0</v>
      </c>
      <c r="AF226" s="316">
        <f t="shared" si="49"/>
        <v>0</v>
      </c>
      <c r="AG226" s="314">
        <v>1</v>
      </c>
      <c r="AH226" s="314">
        <f t="shared" si="59"/>
        <v>0</v>
      </c>
      <c r="AI226" s="314">
        <f t="shared" si="60"/>
        <v>0</v>
      </c>
      <c r="AJ226" s="317"/>
      <c r="AK226" s="315" t="e">
        <f t="shared" si="61"/>
        <v>#N/A</v>
      </c>
      <c r="AM226" s="553"/>
      <c r="AN226" s="553"/>
      <c r="AO226" s="553"/>
    </row>
    <row r="227" spans="2:41">
      <c r="B227" s="296"/>
      <c r="C227" s="299"/>
      <c r="D227" s="296"/>
      <c r="E227" s="298"/>
      <c r="F227" s="299"/>
      <c r="G227" s="300"/>
      <c r="H227" s="303"/>
      <c r="I227" s="303"/>
      <c r="J227" s="322">
        <f t="shared" si="47"/>
        <v>0</v>
      </c>
      <c r="K227" s="305" t="e">
        <f>IF(F227="MXN",1/HLOOKUP(YEAR(G227)+(MONTH(G227)/100),TC!$5:$37,DAY(G227)+2,FALSE),VLOOKUP(F227,Equivalencia!$5:$23,((MAX(Equivalencia!$3:$3)-YEAR(G227))*14)+MONTH(G227)+2,FALSE))</f>
        <v>#N/A</v>
      </c>
      <c r="L227" s="306" t="e">
        <f t="shared" si="50"/>
        <v>#N/A</v>
      </c>
      <c r="M227" s="305">
        <f>IF(G227=0,0,HLOOKUP(YEAR(G227)+(MONTH(G227)/100),TC!$5:$37,DAY(G227)+2,FALSE))</f>
        <v>0</v>
      </c>
      <c r="N227" s="306" t="e">
        <f t="shared" si="51"/>
        <v>#N/A</v>
      </c>
      <c r="O227" s="308">
        <f>IF(G227=0,0,VLOOKUP(YEAR(G227),INPC!$B$4:$P$30,MONTH(G227)+2))</f>
        <v>0</v>
      </c>
      <c r="P227" s="308">
        <f>IF(W227=0,0,IF(OR(C227=$AQ$5,C227=AQ231),VLOOKUP(YEAR(W227),INPC!$B$4:$P$30,MONTH(W227)+1),VLOOKUP(YEAR(W227),INPC!$B$4:$P$30,MONTH(W227)+2)))</f>
        <v>0</v>
      </c>
      <c r="Q227" s="309">
        <f t="shared" si="52"/>
        <v>0</v>
      </c>
      <c r="R227" s="310" t="e">
        <f t="shared" si="53"/>
        <v>#N/A</v>
      </c>
      <c r="S227" s="310">
        <f t="shared" si="54"/>
        <v>0</v>
      </c>
      <c r="T227" s="559" t="str">
        <f t="shared" si="55"/>
        <v>NO</v>
      </c>
      <c r="U227" s="323"/>
      <c r="V227" s="299"/>
      <c r="W227" s="300"/>
      <c r="X227" s="299"/>
      <c r="Y227" s="303"/>
      <c r="Z227" s="305">
        <f>IF(Y227=0,0,IF(X227="MXN",1/HLOOKUP(YEAR(W227)+(MONTH(W227)/100),TC!$5:$37,DAY(W227)+2,FALSE),VLOOKUP(X227,Equivalencia!$1:$23,((MAX(Equivalencia!$3:$3)-YEAR(W227))*14)+MONTH(W227)+2,FALSE)))</f>
        <v>0</v>
      </c>
      <c r="AA227" s="306">
        <f t="shared" si="56"/>
        <v>0</v>
      </c>
      <c r="AB227" s="305">
        <f>+IF(W227=0,0,HLOOKUP(YEAR(W227)+(MONTH(W227)/100),TC!$5:$37,DAY(W227)+2,FALSE))</f>
        <v>0</v>
      </c>
      <c r="AC227" s="306">
        <f t="shared" si="57"/>
        <v>0</v>
      </c>
      <c r="AD227" s="314">
        <f t="shared" si="48"/>
        <v>0</v>
      </c>
      <c r="AE227" s="315">
        <f t="shared" si="58"/>
        <v>0</v>
      </c>
      <c r="AF227" s="316">
        <f t="shared" si="49"/>
        <v>0</v>
      </c>
      <c r="AG227" s="314">
        <v>1</v>
      </c>
      <c r="AH227" s="314">
        <f t="shared" si="59"/>
        <v>0</v>
      </c>
      <c r="AI227" s="314">
        <f t="shared" si="60"/>
        <v>0</v>
      </c>
      <c r="AJ227" s="317"/>
      <c r="AK227" s="315" t="e">
        <f t="shared" si="61"/>
        <v>#N/A</v>
      </c>
      <c r="AM227" s="553"/>
      <c r="AN227" s="553"/>
      <c r="AO227" s="553"/>
    </row>
    <row r="228" spans="2:41">
      <c r="B228" s="296"/>
      <c r="C228" s="299"/>
      <c r="D228" s="296"/>
      <c r="E228" s="298"/>
      <c r="F228" s="299"/>
      <c r="G228" s="300"/>
      <c r="H228" s="303"/>
      <c r="I228" s="303"/>
      <c r="J228" s="322">
        <f t="shared" si="47"/>
        <v>0</v>
      </c>
      <c r="K228" s="305" t="e">
        <f>IF(F228="MXN",1/HLOOKUP(YEAR(G228)+(MONTH(G228)/100),TC!$5:$37,DAY(G228)+2,FALSE),VLOOKUP(F228,Equivalencia!$5:$23,((MAX(Equivalencia!$3:$3)-YEAR(G228))*14)+MONTH(G228)+2,FALSE))</f>
        <v>#N/A</v>
      </c>
      <c r="L228" s="306" t="e">
        <f t="shared" si="50"/>
        <v>#N/A</v>
      </c>
      <c r="M228" s="305">
        <f>IF(G228=0,0,HLOOKUP(YEAR(G228)+(MONTH(G228)/100),TC!$5:$37,DAY(G228)+2,FALSE))</f>
        <v>0</v>
      </c>
      <c r="N228" s="306" t="e">
        <f t="shared" si="51"/>
        <v>#N/A</v>
      </c>
      <c r="O228" s="308">
        <f>IF(G228=0,0,VLOOKUP(YEAR(G228),INPC!$B$4:$P$30,MONTH(G228)+2))</f>
        <v>0</v>
      </c>
      <c r="P228" s="308">
        <f>IF(W228=0,0,IF(OR(C228=$AQ$5,C228=AQ232),VLOOKUP(YEAR(W228),INPC!$B$4:$P$30,MONTH(W228)+1),VLOOKUP(YEAR(W228),INPC!$B$4:$P$30,MONTH(W228)+2)))</f>
        <v>0</v>
      </c>
      <c r="Q228" s="309">
        <f t="shared" si="52"/>
        <v>0</v>
      </c>
      <c r="R228" s="310" t="e">
        <f t="shared" si="53"/>
        <v>#N/A</v>
      </c>
      <c r="S228" s="310">
        <f t="shared" si="54"/>
        <v>0</v>
      </c>
      <c r="T228" s="559" t="str">
        <f t="shared" si="55"/>
        <v>NO</v>
      </c>
      <c r="U228" s="323"/>
      <c r="V228" s="299"/>
      <c r="W228" s="300"/>
      <c r="X228" s="299"/>
      <c r="Y228" s="303"/>
      <c r="Z228" s="305">
        <f>IF(Y228=0,0,IF(X228="MXN",1/HLOOKUP(YEAR(W228)+(MONTH(W228)/100),TC!$5:$37,DAY(W228)+2,FALSE),VLOOKUP(X228,Equivalencia!$1:$23,((MAX(Equivalencia!$3:$3)-YEAR(W228))*14)+MONTH(W228)+2,FALSE)))</f>
        <v>0</v>
      </c>
      <c r="AA228" s="306">
        <f t="shared" si="56"/>
        <v>0</v>
      </c>
      <c r="AB228" s="305">
        <f>+IF(W228=0,0,HLOOKUP(YEAR(W228)+(MONTH(W228)/100),TC!$5:$37,DAY(W228)+2,FALSE))</f>
        <v>0</v>
      </c>
      <c r="AC228" s="306">
        <f t="shared" si="57"/>
        <v>0</v>
      </c>
      <c r="AD228" s="314">
        <f t="shared" si="48"/>
        <v>0</v>
      </c>
      <c r="AE228" s="315">
        <f t="shared" si="58"/>
        <v>0</v>
      </c>
      <c r="AF228" s="316">
        <f t="shared" si="49"/>
        <v>0</v>
      </c>
      <c r="AG228" s="314">
        <v>1</v>
      </c>
      <c r="AH228" s="314">
        <f t="shared" si="59"/>
        <v>0</v>
      </c>
      <c r="AI228" s="314">
        <f t="shared" si="60"/>
        <v>0</v>
      </c>
      <c r="AJ228" s="317"/>
      <c r="AK228" s="315" t="e">
        <f t="shared" si="61"/>
        <v>#N/A</v>
      </c>
      <c r="AM228" s="553"/>
      <c r="AN228" s="553"/>
      <c r="AO228" s="553"/>
    </row>
    <row r="229" spans="2:41">
      <c r="B229" s="296"/>
      <c r="C229" s="299"/>
      <c r="D229" s="296"/>
      <c r="E229" s="298"/>
      <c r="F229" s="299"/>
      <c r="G229" s="300"/>
      <c r="H229" s="303"/>
      <c r="I229" s="303"/>
      <c r="J229" s="322">
        <f t="shared" si="47"/>
        <v>0</v>
      </c>
      <c r="K229" s="305" t="e">
        <f>IF(F229="MXN",1/HLOOKUP(YEAR(G229)+(MONTH(G229)/100),TC!$5:$37,DAY(G229)+2,FALSE),VLOOKUP(F229,Equivalencia!$5:$23,((MAX(Equivalencia!$3:$3)-YEAR(G229))*14)+MONTH(G229)+2,FALSE))</f>
        <v>#N/A</v>
      </c>
      <c r="L229" s="306" t="e">
        <f t="shared" si="50"/>
        <v>#N/A</v>
      </c>
      <c r="M229" s="305">
        <f>IF(G229=0,0,HLOOKUP(YEAR(G229)+(MONTH(G229)/100),TC!$5:$37,DAY(G229)+2,FALSE))</f>
        <v>0</v>
      </c>
      <c r="N229" s="306" t="e">
        <f t="shared" si="51"/>
        <v>#N/A</v>
      </c>
      <c r="O229" s="308">
        <f>IF(G229=0,0,VLOOKUP(YEAR(G229),INPC!$B$4:$P$30,MONTH(G229)+2))</f>
        <v>0</v>
      </c>
      <c r="P229" s="308">
        <f>IF(W229=0,0,IF(OR(C229=$AQ$5,C229=AQ233),VLOOKUP(YEAR(W229),INPC!$B$4:$P$30,MONTH(W229)+1),VLOOKUP(YEAR(W229),INPC!$B$4:$P$30,MONTH(W229)+2)))</f>
        <v>0</v>
      </c>
      <c r="Q229" s="309">
        <f t="shared" si="52"/>
        <v>0</v>
      </c>
      <c r="R229" s="310" t="e">
        <f t="shared" si="53"/>
        <v>#N/A</v>
      </c>
      <c r="S229" s="310">
        <f t="shared" si="54"/>
        <v>0</v>
      </c>
      <c r="T229" s="559" t="str">
        <f t="shared" si="55"/>
        <v>NO</v>
      </c>
      <c r="U229" s="323"/>
      <c r="V229" s="299"/>
      <c r="W229" s="300"/>
      <c r="X229" s="299"/>
      <c r="Y229" s="303"/>
      <c r="Z229" s="305">
        <f>IF(Y229=0,0,IF(X229="MXN",1/HLOOKUP(YEAR(W229)+(MONTH(W229)/100),TC!$5:$37,DAY(W229)+2,FALSE),VLOOKUP(X229,Equivalencia!$1:$23,((MAX(Equivalencia!$3:$3)-YEAR(W229))*14)+MONTH(W229)+2,FALSE)))</f>
        <v>0</v>
      </c>
      <c r="AA229" s="306">
        <f t="shared" si="56"/>
        <v>0</v>
      </c>
      <c r="AB229" s="305">
        <f>+IF(W229=0,0,HLOOKUP(YEAR(W229)+(MONTH(W229)/100),TC!$5:$37,DAY(W229)+2,FALSE))</f>
        <v>0</v>
      </c>
      <c r="AC229" s="306">
        <f t="shared" si="57"/>
        <v>0</v>
      </c>
      <c r="AD229" s="314">
        <f t="shared" si="48"/>
        <v>0</v>
      </c>
      <c r="AE229" s="315">
        <f t="shared" si="58"/>
        <v>0</v>
      </c>
      <c r="AF229" s="316">
        <f t="shared" si="49"/>
        <v>0</v>
      </c>
      <c r="AG229" s="314">
        <v>1</v>
      </c>
      <c r="AH229" s="314">
        <f t="shared" si="59"/>
        <v>0</v>
      </c>
      <c r="AI229" s="314">
        <f t="shared" si="60"/>
        <v>0</v>
      </c>
      <c r="AJ229" s="317"/>
      <c r="AK229" s="315" t="e">
        <f t="shared" si="61"/>
        <v>#N/A</v>
      </c>
      <c r="AM229" s="553"/>
      <c r="AN229" s="553"/>
      <c r="AO229" s="553"/>
    </row>
    <row r="230" spans="2:41">
      <c r="B230" s="296"/>
      <c r="C230" s="299"/>
      <c r="D230" s="296"/>
      <c r="E230" s="298"/>
      <c r="F230" s="299"/>
      <c r="G230" s="300"/>
      <c r="H230" s="303"/>
      <c r="I230" s="303"/>
      <c r="J230" s="322">
        <f t="shared" si="47"/>
        <v>0</v>
      </c>
      <c r="K230" s="305" t="e">
        <f>IF(F230="MXN",1/HLOOKUP(YEAR(G230)+(MONTH(G230)/100),TC!$5:$37,DAY(G230)+2,FALSE),VLOOKUP(F230,Equivalencia!$5:$23,((MAX(Equivalencia!$3:$3)-YEAR(G230))*14)+MONTH(G230)+2,FALSE))</f>
        <v>#N/A</v>
      </c>
      <c r="L230" s="306" t="e">
        <f t="shared" si="50"/>
        <v>#N/A</v>
      </c>
      <c r="M230" s="305">
        <f>IF(G230=0,0,HLOOKUP(YEAR(G230)+(MONTH(G230)/100),TC!$5:$37,DAY(G230)+2,FALSE))</f>
        <v>0</v>
      </c>
      <c r="N230" s="306" t="e">
        <f t="shared" si="51"/>
        <v>#N/A</v>
      </c>
      <c r="O230" s="308">
        <f>IF(G230=0,0,VLOOKUP(YEAR(G230),INPC!$B$4:$P$30,MONTH(G230)+2))</f>
        <v>0</v>
      </c>
      <c r="P230" s="308">
        <f>IF(W230=0,0,IF(OR(C230=$AQ$5,C230=AQ234),VLOOKUP(YEAR(W230),INPC!$B$4:$P$30,MONTH(W230)+1),VLOOKUP(YEAR(W230),INPC!$B$4:$P$30,MONTH(W230)+2)))</f>
        <v>0</v>
      </c>
      <c r="Q230" s="309">
        <f t="shared" si="52"/>
        <v>0</v>
      </c>
      <c r="R230" s="310" t="e">
        <f t="shared" si="53"/>
        <v>#N/A</v>
      </c>
      <c r="S230" s="310">
        <f t="shared" si="54"/>
        <v>0</v>
      </c>
      <c r="T230" s="559" t="str">
        <f t="shared" si="55"/>
        <v>NO</v>
      </c>
      <c r="U230" s="323"/>
      <c r="V230" s="299"/>
      <c r="W230" s="300"/>
      <c r="X230" s="299"/>
      <c r="Y230" s="303"/>
      <c r="Z230" s="305">
        <f>IF(Y230=0,0,IF(X230="MXN",1/HLOOKUP(YEAR(W230)+(MONTH(W230)/100),TC!$5:$37,DAY(W230)+2,FALSE),VLOOKUP(X230,Equivalencia!$1:$23,((MAX(Equivalencia!$3:$3)-YEAR(W230))*14)+MONTH(W230)+2,FALSE)))</f>
        <v>0</v>
      </c>
      <c r="AA230" s="306">
        <f t="shared" si="56"/>
        <v>0</v>
      </c>
      <c r="AB230" s="305">
        <f>+IF(W230=0,0,HLOOKUP(YEAR(W230)+(MONTH(W230)/100),TC!$5:$37,DAY(W230)+2,FALSE))</f>
        <v>0</v>
      </c>
      <c r="AC230" s="306">
        <f t="shared" si="57"/>
        <v>0</v>
      </c>
      <c r="AD230" s="314">
        <f t="shared" si="48"/>
        <v>0</v>
      </c>
      <c r="AE230" s="315">
        <f t="shared" si="58"/>
        <v>0</v>
      </c>
      <c r="AF230" s="316">
        <f t="shared" si="49"/>
        <v>0</v>
      </c>
      <c r="AG230" s="314">
        <v>1</v>
      </c>
      <c r="AH230" s="314">
        <f t="shared" si="59"/>
        <v>0</v>
      </c>
      <c r="AI230" s="314">
        <f t="shared" si="60"/>
        <v>0</v>
      </c>
      <c r="AJ230" s="317"/>
      <c r="AK230" s="315" t="e">
        <f t="shared" si="61"/>
        <v>#N/A</v>
      </c>
      <c r="AM230" s="553"/>
      <c r="AN230" s="553"/>
      <c r="AO230" s="553"/>
    </row>
    <row r="231" spans="2:41">
      <c r="B231" s="296"/>
      <c r="C231" s="299"/>
      <c r="D231" s="296"/>
      <c r="E231" s="298"/>
      <c r="F231" s="299"/>
      <c r="G231" s="300"/>
      <c r="H231" s="303"/>
      <c r="I231" s="303"/>
      <c r="J231" s="322">
        <f t="shared" si="47"/>
        <v>0</v>
      </c>
      <c r="K231" s="305" t="e">
        <f>IF(F231="MXN",1/HLOOKUP(YEAR(G231)+(MONTH(G231)/100),TC!$5:$37,DAY(G231)+2,FALSE),VLOOKUP(F231,Equivalencia!$5:$23,((MAX(Equivalencia!$3:$3)-YEAR(G231))*14)+MONTH(G231)+2,FALSE))</f>
        <v>#N/A</v>
      </c>
      <c r="L231" s="306" t="e">
        <f t="shared" si="50"/>
        <v>#N/A</v>
      </c>
      <c r="M231" s="305">
        <f>IF(G231=0,0,HLOOKUP(YEAR(G231)+(MONTH(G231)/100),TC!$5:$37,DAY(G231)+2,FALSE))</f>
        <v>0</v>
      </c>
      <c r="N231" s="306" t="e">
        <f t="shared" si="51"/>
        <v>#N/A</v>
      </c>
      <c r="O231" s="308">
        <f>IF(G231=0,0,VLOOKUP(YEAR(G231),INPC!$B$4:$P$30,MONTH(G231)+2))</f>
        <v>0</v>
      </c>
      <c r="P231" s="308">
        <f>IF(W231=0,0,IF(OR(C231=$AQ$5,C231=AQ235),VLOOKUP(YEAR(W231),INPC!$B$4:$P$30,MONTH(W231)+1),VLOOKUP(YEAR(W231),INPC!$B$4:$P$30,MONTH(W231)+2)))</f>
        <v>0</v>
      </c>
      <c r="Q231" s="309">
        <f t="shared" si="52"/>
        <v>0</v>
      </c>
      <c r="R231" s="310" t="e">
        <f t="shared" si="53"/>
        <v>#N/A</v>
      </c>
      <c r="S231" s="310">
        <f t="shared" si="54"/>
        <v>0</v>
      </c>
      <c r="T231" s="559" t="str">
        <f t="shared" si="55"/>
        <v>NO</v>
      </c>
      <c r="U231" s="323"/>
      <c r="V231" s="299"/>
      <c r="W231" s="300"/>
      <c r="X231" s="299"/>
      <c r="Y231" s="303"/>
      <c r="Z231" s="305">
        <f>IF(Y231=0,0,IF(X231="MXN",1/HLOOKUP(YEAR(W231)+(MONTH(W231)/100),TC!$5:$37,DAY(W231)+2,FALSE),VLOOKUP(X231,Equivalencia!$1:$23,((MAX(Equivalencia!$3:$3)-YEAR(W231))*14)+MONTH(W231)+2,FALSE)))</f>
        <v>0</v>
      </c>
      <c r="AA231" s="306">
        <f t="shared" si="56"/>
        <v>0</v>
      </c>
      <c r="AB231" s="305">
        <f>+IF(W231=0,0,HLOOKUP(YEAR(W231)+(MONTH(W231)/100),TC!$5:$37,DAY(W231)+2,FALSE))</f>
        <v>0</v>
      </c>
      <c r="AC231" s="306">
        <f t="shared" si="57"/>
        <v>0</v>
      </c>
      <c r="AD231" s="314">
        <f t="shared" si="48"/>
        <v>0</v>
      </c>
      <c r="AE231" s="315">
        <f t="shared" si="58"/>
        <v>0</v>
      </c>
      <c r="AF231" s="316">
        <f t="shared" si="49"/>
        <v>0</v>
      </c>
      <c r="AG231" s="314">
        <v>1</v>
      </c>
      <c r="AH231" s="314">
        <f t="shared" si="59"/>
        <v>0</v>
      </c>
      <c r="AI231" s="314">
        <f t="shared" si="60"/>
        <v>0</v>
      </c>
      <c r="AJ231" s="317"/>
      <c r="AK231" s="315" t="e">
        <f t="shared" si="61"/>
        <v>#N/A</v>
      </c>
      <c r="AM231" s="553"/>
      <c r="AN231" s="553"/>
      <c r="AO231" s="553"/>
    </row>
    <row r="232" spans="2:41">
      <c r="B232" s="296"/>
      <c r="C232" s="299"/>
      <c r="D232" s="296"/>
      <c r="E232" s="298"/>
      <c r="F232" s="299"/>
      <c r="G232" s="300"/>
      <c r="H232" s="303"/>
      <c r="I232" s="303"/>
      <c r="J232" s="322">
        <f t="shared" si="47"/>
        <v>0</v>
      </c>
      <c r="K232" s="305" t="e">
        <f>IF(F232="MXN",1/HLOOKUP(YEAR(G232)+(MONTH(G232)/100),TC!$5:$37,DAY(G232)+2,FALSE),VLOOKUP(F232,Equivalencia!$5:$23,((MAX(Equivalencia!$3:$3)-YEAR(G232))*14)+MONTH(G232)+2,FALSE))</f>
        <v>#N/A</v>
      </c>
      <c r="L232" s="306" t="e">
        <f t="shared" si="50"/>
        <v>#N/A</v>
      </c>
      <c r="M232" s="305">
        <f>IF(G232=0,0,HLOOKUP(YEAR(G232)+(MONTH(G232)/100),TC!$5:$37,DAY(G232)+2,FALSE))</f>
        <v>0</v>
      </c>
      <c r="N232" s="306" t="e">
        <f t="shared" si="51"/>
        <v>#N/A</v>
      </c>
      <c r="O232" s="308">
        <f>IF(G232=0,0,VLOOKUP(YEAR(G232),INPC!$B$4:$P$30,MONTH(G232)+2))</f>
        <v>0</v>
      </c>
      <c r="P232" s="308">
        <f>IF(W232=0,0,IF(OR(C232=$AQ$5,C232=AQ236),VLOOKUP(YEAR(W232),INPC!$B$4:$P$30,MONTH(W232)+1),VLOOKUP(YEAR(W232),INPC!$B$4:$P$30,MONTH(W232)+2)))</f>
        <v>0</v>
      </c>
      <c r="Q232" s="309">
        <f t="shared" si="52"/>
        <v>0</v>
      </c>
      <c r="R232" s="310" t="e">
        <f t="shared" si="53"/>
        <v>#N/A</v>
      </c>
      <c r="S232" s="310">
        <f t="shared" si="54"/>
        <v>0</v>
      </c>
      <c r="T232" s="559" t="str">
        <f t="shared" si="55"/>
        <v>NO</v>
      </c>
      <c r="U232" s="323"/>
      <c r="V232" s="299"/>
      <c r="W232" s="300"/>
      <c r="X232" s="299"/>
      <c r="Y232" s="303"/>
      <c r="Z232" s="305">
        <f>IF(Y232=0,0,IF(X232="MXN",1/HLOOKUP(YEAR(W232)+(MONTH(W232)/100),TC!$5:$37,DAY(W232)+2,FALSE),VLOOKUP(X232,Equivalencia!$1:$23,((MAX(Equivalencia!$3:$3)-YEAR(W232))*14)+MONTH(W232)+2,FALSE)))</f>
        <v>0</v>
      </c>
      <c r="AA232" s="306">
        <f t="shared" si="56"/>
        <v>0</v>
      </c>
      <c r="AB232" s="305">
        <f>+IF(W232=0,0,HLOOKUP(YEAR(W232)+(MONTH(W232)/100),TC!$5:$37,DAY(W232)+2,FALSE))</f>
        <v>0</v>
      </c>
      <c r="AC232" s="306">
        <f t="shared" si="57"/>
        <v>0</v>
      </c>
      <c r="AD232" s="314">
        <f t="shared" si="48"/>
        <v>0</v>
      </c>
      <c r="AE232" s="315">
        <f t="shared" si="58"/>
        <v>0</v>
      </c>
      <c r="AF232" s="316">
        <f t="shared" si="49"/>
        <v>0</v>
      </c>
      <c r="AG232" s="314">
        <v>1</v>
      </c>
      <c r="AH232" s="314">
        <f t="shared" si="59"/>
        <v>0</v>
      </c>
      <c r="AI232" s="314">
        <f t="shared" si="60"/>
        <v>0</v>
      </c>
      <c r="AJ232" s="317"/>
      <c r="AK232" s="315" t="e">
        <f t="shared" si="61"/>
        <v>#N/A</v>
      </c>
      <c r="AM232" s="553"/>
      <c r="AN232" s="553"/>
      <c r="AO232" s="553"/>
    </row>
    <row r="233" spans="2:41">
      <c r="B233" s="296"/>
      <c r="C233" s="299"/>
      <c r="D233" s="296"/>
      <c r="E233" s="298"/>
      <c r="F233" s="299"/>
      <c r="G233" s="300"/>
      <c r="H233" s="303"/>
      <c r="I233" s="303"/>
      <c r="J233" s="322">
        <f t="shared" si="47"/>
        <v>0</v>
      </c>
      <c r="K233" s="305" t="e">
        <f>IF(F233="MXN",1/HLOOKUP(YEAR(G233)+(MONTH(G233)/100),TC!$5:$37,DAY(G233)+2,FALSE),VLOOKUP(F233,Equivalencia!$5:$23,((MAX(Equivalencia!$3:$3)-YEAR(G233))*14)+MONTH(G233)+2,FALSE))</f>
        <v>#N/A</v>
      </c>
      <c r="L233" s="306" t="e">
        <f t="shared" si="50"/>
        <v>#N/A</v>
      </c>
      <c r="M233" s="305">
        <f>IF(G233=0,0,HLOOKUP(YEAR(G233)+(MONTH(G233)/100),TC!$5:$37,DAY(G233)+2,FALSE))</f>
        <v>0</v>
      </c>
      <c r="N233" s="306" t="e">
        <f t="shared" si="51"/>
        <v>#N/A</v>
      </c>
      <c r="O233" s="308">
        <f>IF(G233=0,0,VLOOKUP(YEAR(G233),INPC!$B$4:$P$30,MONTH(G233)+2))</f>
        <v>0</v>
      </c>
      <c r="P233" s="308">
        <f>IF(W233=0,0,IF(OR(C233=$AQ$5,C233=AQ237),VLOOKUP(YEAR(W233),INPC!$B$4:$P$30,MONTH(W233)+1),VLOOKUP(YEAR(W233),INPC!$B$4:$P$30,MONTH(W233)+2)))</f>
        <v>0</v>
      </c>
      <c r="Q233" s="309">
        <f t="shared" si="52"/>
        <v>0</v>
      </c>
      <c r="R233" s="310" t="e">
        <f t="shared" si="53"/>
        <v>#N/A</v>
      </c>
      <c r="S233" s="310">
        <f t="shared" si="54"/>
        <v>0</v>
      </c>
      <c r="T233" s="559" t="str">
        <f t="shared" si="55"/>
        <v>NO</v>
      </c>
      <c r="U233" s="323"/>
      <c r="V233" s="299"/>
      <c r="W233" s="300"/>
      <c r="X233" s="299"/>
      <c r="Y233" s="303"/>
      <c r="Z233" s="305">
        <f>IF(Y233=0,0,IF(X233="MXN",1/HLOOKUP(YEAR(W233)+(MONTH(W233)/100),TC!$5:$37,DAY(W233)+2,FALSE),VLOOKUP(X233,Equivalencia!$1:$23,((MAX(Equivalencia!$3:$3)-YEAR(W233))*14)+MONTH(W233)+2,FALSE)))</f>
        <v>0</v>
      </c>
      <c r="AA233" s="306">
        <f t="shared" si="56"/>
        <v>0</v>
      </c>
      <c r="AB233" s="305">
        <f>+IF(W233=0,0,HLOOKUP(YEAR(W233)+(MONTH(W233)/100),TC!$5:$37,DAY(W233)+2,FALSE))</f>
        <v>0</v>
      </c>
      <c r="AC233" s="306">
        <f t="shared" si="57"/>
        <v>0</v>
      </c>
      <c r="AD233" s="314">
        <f t="shared" si="48"/>
        <v>0</v>
      </c>
      <c r="AE233" s="315">
        <f t="shared" si="58"/>
        <v>0</v>
      </c>
      <c r="AF233" s="316">
        <f t="shared" si="49"/>
        <v>0</v>
      </c>
      <c r="AG233" s="314">
        <v>1</v>
      </c>
      <c r="AH233" s="314">
        <f t="shared" si="59"/>
        <v>0</v>
      </c>
      <c r="AI233" s="314">
        <f t="shared" si="60"/>
        <v>0</v>
      </c>
      <c r="AJ233" s="317"/>
      <c r="AK233" s="315" t="e">
        <f t="shared" si="61"/>
        <v>#N/A</v>
      </c>
      <c r="AM233" s="553"/>
      <c r="AN233" s="553"/>
      <c r="AO233" s="553"/>
    </row>
    <row r="234" spans="2:41">
      <c r="B234" s="296"/>
      <c r="C234" s="299"/>
      <c r="D234" s="296"/>
      <c r="E234" s="298"/>
      <c r="F234" s="299"/>
      <c r="G234" s="300"/>
      <c r="H234" s="303"/>
      <c r="I234" s="303"/>
      <c r="J234" s="322">
        <f t="shared" si="47"/>
        <v>0</v>
      </c>
      <c r="K234" s="305" t="e">
        <f>IF(F234="MXN",1/HLOOKUP(YEAR(G234)+(MONTH(G234)/100),TC!$5:$37,DAY(G234)+2,FALSE),VLOOKUP(F234,Equivalencia!$5:$23,((MAX(Equivalencia!$3:$3)-YEAR(G234))*14)+MONTH(G234)+2,FALSE))</f>
        <v>#N/A</v>
      </c>
      <c r="L234" s="306" t="e">
        <f t="shared" si="50"/>
        <v>#N/A</v>
      </c>
      <c r="M234" s="305">
        <f>IF(G234=0,0,HLOOKUP(YEAR(G234)+(MONTH(G234)/100),TC!$5:$37,DAY(G234)+2,FALSE))</f>
        <v>0</v>
      </c>
      <c r="N234" s="306" t="e">
        <f t="shared" si="51"/>
        <v>#N/A</v>
      </c>
      <c r="O234" s="308">
        <f>IF(G234=0,0,VLOOKUP(YEAR(G234),INPC!$B$4:$P$30,MONTH(G234)+2))</f>
        <v>0</v>
      </c>
      <c r="P234" s="308">
        <f>IF(W234=0,0,IF(OR(C234=$AQ$5,C234=AQ238),VLOOKUP(YEAR(W234),INPC!$B$4:$P$30,MONTH(W234)+1),VLOOKUP(YEAR(W234),INPC!$B$4:$P$30,MONTH(W234)+2)))</f>
        <v>0</v>
      </c>
      <c r="Q234" s="309">
        <f t="shared" si="52"/>
        <v>0</v>
      </c>
      <c r="R234" s="310" t="e">
        <f t="shared" si="53"/>
        <v>#N/A</v>
      </c>
      <c r="S234" s="310">
        <f t="shared" si="54"/>
        <v>0</v>
      </c>
      <c r="T234" s="559" t="str">
        <f t="shared" si="55"/>
        <v>NO</v>
      </c>
      <c r="U234" s="323"/>
      <c r="V234" s="299"/>
      <c r="W234" s="300"/>
      <c r="X234" s="299"/>
      <c r="Y234" s="303"/>
      <c r="Z234" s="305">
        <f>IF(Y234=0,0,IF(X234="MXN",1/HLOOKUP(YEAR(W234)+(MONTH(W234)/100),TC!$5:$37,DAY(W234)+2,FALSE),VLOOKUP(X234,Equivalencia!$1:$23,((MAX(Equivalencia!$3:$3)-YEAR(W234))*14)+MONTH(W234)+2,FALSE)))</f>
        <v>0</v>
      </c>
      <c r="AA234" s="306">
        <f t="shared" si="56"/>
        <v>0</v>
      </c>
      <c r="AB234" s="305">
        <f>+IF(W234=0,0,HLOOKUP(YEAR(W234)+(MONTH(W234)/100),TC!$5:$37,DAY(W234)+2,FALSE))</f>
        <v>0</v>
      </c>
      <c r="AC234" s="306">
        <f t="shared" si="57"/>
        <v>0</v>
      </c>
      <c r="AD234" s="314">
        <f t="shared" si="48"/>
        <v>0</v>
      </c>
      <c r="AE234" s="315">
        <f t="shared" si="58"/>
        <v>0</v>
      </c>
      <c r="AF234" s="316">
        <f t="shared" si="49"/>
        <v>0</v>
      </c>
      <c r="AG234" s="314">
        <v>1</v>
      </c>
      <c r="AH234" s="314">
        <f t="shared" si="59"/>
        <v>0</v>
      </c>
      <c r="AI234" s="314">
        <f t="shared" si="60"/>
        <v>0</v>
      </c>
      <c r="AJ234" s="317"/>
      <c r="AK234" s="315" t="e">
        <f t="shared" si="61"/>
        <v>#N/A</v>
      </c>
      <c r="AM234" s="553"/>
      <c r="AN234" s="553"/>
      <c r="AO234" s="553"/>
    </row>
    <row r="235" spans="2:41">
      <c r="B235" s="296"/>
      <c r="C235" s="299"/>
      <c r="D235" s="296"/>
      <c r="E235" s="298"/>
      <c r="F235" s="299"/>
      <c r="G235" s="300"/>
      <c r="H235" s="303"/>
      <c r="I235" s="303"/>
      <c r="J235" s="322">
        <f t="shared" si="47"/>
        <v>0</v>
      </c>
      <c r="K235" s="305" t="e">
        <f>IF(F235="MXN",1/HLOOKUP(YEAR(G235)+(MONTH(G235)/100),TC!$5:$37,DAY(G235)+2,FALSE),VLOOKUP(F235,Equivalencia!$5:$23,((MAX(Equivalencia!$3:$3)-YEAR(G235))*14)+MONTH(G235)+2,FALSE))</f>
        <v>#N/A</v>
      </c>
      <c r="L235" s="306" t="e">
        <f t="shared" si="50"/>
        <v>#N/A</v>
      </c>
      <c r="M235" s="305">
        <f>IF(G235=0,0,HLOOKUP(YEAR(G235)+(MONTH(G235)/100),TC!$5:$37,DAY(G235)+2,FALSE))</f>
        <v>0</v>
      </c>
      <c r="N235" s="306" t="e">
        <f t="shared" si="51"/>
        <v>#N/A</v>
      </c>
      <c r="O235" s="308">
        <f>IF(G235=0,0,VLOOKUP(YEAR(G235),INPC!$B$4:$P$30,MONTH(G235)+2))</f>
        <v>0</v>
      </c>
      <c r="P235" s="308">
        <f>IF(W235=0,0,IF(OR(C235=$AQ$5,C235=AQ239),VLOOKUP(YEAR(W235),INPC!$B$4:$P$30,MONTH(W235)+1),VLOOKUP(YEAR(W235),INPC!$B$4:$P$30,MONTH(W235)+2)))</f>
        <v>0</v>
      </c>
      <c r="Q235" s="309">
        <f t="shared" si="52"/>
        <v>0</v>
      </c>
      <c r="R235" s="310" t="e">
        <f t="shared" si="53"/>
        <v>#N/A</v>
      </c>
      <c r="S235" s="310">
        <f t="shared" si="54"/>
        <v>0</v>
      </c>
      <c r="T235" s="559" t="str">
        <f t="shared" si="55"/>
        <v>NO</v>
      </c>
      <c r="U235" s="323"/>
      <c r="V235" s="299"/>
      <c r="W235" s="300"/>
      <c r="X235" s="299"/>
      <c r="Y235" s="303"/>
      <c r="Z235" s="305">
        <f>IF(Y235=0,0,IF(X235="MXN",1/HLOOKUP(YEAR(W235)+(MONTH(W235)/100),TC!$5:$37,DAY(W235)+2,FALSE),VLOOKUP(X235,Equivalencia!$1:$23,((MAX(Equivalencia!$3:$3)-YEAR(W235))*14)+MONTH(W235)+2,FALSE)))</f>
        <v>0</v>
      </c>
      <c r="AA235" s="306">
        <f t="shared" si="56"/>
        <v>0</v>
      </c>
      <c r="AB235" s="305">
        <f>+IF(W235=0,0,HLOOKUP(YEAR(W235)+(MONTH(W235)/100),TC!$5:$37,DAY(W235)+2,FALSE))</f>
        <v>0</v>
      </c>
      <c r="AC235" s="306">
        <f t="shared" si="57"/>
        <v>0</v>
      </c>
      <c r="AD235" s="314">
        <f t="shared" si="48"/>
        <v>0</v>
      </c>
      <c r="AE235" s="315">
        <f t="shared" si="58"/>
        <v>0</v>
      </c>
      <c r="AF235" s="316">
        <f t="shared" si="49"/>
        <v>0</v>
      </c>
      <c r="AG235" s="314">
        <v>1</v>
      </c>
      <c r="AH235" s="314">
        <f t="shared" si="59"/>
        <v>0</v>
      </c>
      <c r="AI235" s="314">
        <f t="shared" si="60"/>
        <v>0</v>
      </c>
      <c r="AJ235" s="317"/>
      <c r="AK235" s="315" t="e">
        <f t="shared" si="61"/>
        <v>#N/A</v>
      </c>
      <c r="AM235" s="553"/>
      <c r="AN235" s="553"/>
      <c r="AO235" s="553"/>
    </row>
    <row r="236" spans="2:41">
      <c r="B236" s="296"/>
      <c r="C236" s="299"/>
      <c r="D236" s="296"/>
      <c r="E236" s="298"/>
      <c r="F236" s="299"/>
      <c r="G236" s="300"/>
      <c r="H236" s="303"/>
      <c r="I236" s="303"/>
      <c r="J236" s="322">
        <f t="shared" si="47"/>
        <v>0</v>
      </c>
      <c r="K236" s="305" t="e">
        <f>IF(F236="MXN",1/HLOOKUP(YEAR(G236)+(MONTH(G236)/100),TC!$5:$37,DAY(G236)+2,FALSE),VLOOKUP(F236,Equivalencia!$5:$23,((MAX(Equivalencia!$3:$3)-YEAR(G236))*14)+MONTH(G236)+2,FALSE))</f>
        <v>#N/A</v>
      </c>
      <c r="L236" s="306" t="e">
        <f t="shared" si="50"/>
        <v>#N/A</v>
      </c>
      <c r="M236" s="305">
        <f>IF(G236=0,0,HLOOKUP(YEAR(G236)+(MONTH(G236)/100),TC!$5:$37,DAY(G236)+2,FALSE))</f>
        <v>0</v>
      </c>
      <c r="N236" s="306" t="e">
        <f t="shared" si="51"/>
        <v>#N/A</v>
      </c>
      <c r="O236" s="308">
        <f>IF(G236=0,0,VLOOKUP(YEAR(G236),INPC!$B$4:$P$30,MONTH(G236)+2))</f>
        <v>0</v>
      </c>
      <c r="P236" s="308">
        <f>IF(W236=0,0,IF(OR(C236=$AQ$5,C236=AQ240),VLOOKUP(YEAR(W236),INPC!$B$4:$P$30,MONTH(W236)+1),VLOOKUP(YEAR(W236),INPC!$B$4:$P$30,MONTH(W236)+2)))</f>
        <v>0</v>
      </c>
      <c r="Q236" s="309">
        <f t="shared" si="52"/>
        <v>0</v>
      </c>
      <c r="R236" s="310" t="e">
        <f t="shared" si="53"/>
        <v>#N/A</v>
      </c>
      <c r="S236" s="310">
        <f t="shared" si="54"/>
        <v>0</v>
      </c>
      <c r="T236" s="559" t="str">
        <f t="shared" si="55"/>
        <v>NO</v>
      </c>
      <c r="U236" s="323"/>
      <c r="V236" s="299"/>
      <c r="W236" s="300"/>
      <c r="X236" s="299"/>
      <c r="Y236" s="303"/>
      <c r="Z236" s="305">
        <f>IF(Y236=0,0,IF(X236="MXN",1/HLOOKUP(YEAR(W236)+(MONTH(W236)/100),TC!$5:$37,DAY(W236)+2,FALSE),VLOOKUP(X236,Equivalencia!$1:$23,((MAX(Equivalencia!$3:$3)-YEAR(W236))*14)+MONTH(W236)+2,FALSE)))</f>
        <v>0</v>
      </c>
      <c r="AA236" s="306">
        <f t="shared" si="56"/>
        <v>0</v>
      </c>
      <c r="AB236" s="305">
        <f>+IF(W236=0,0,HLOOKUP(YEAR(W236)+(MONTH(W236)/100),TC!$5:$37,DAY(W236)+2,FALSE))</f>
        <v>0</v>
      </c>
      <c r="AC236" s="306">
        <f t="shared" si="57"/>
        <v>0</v>
      </c>
      <c r="AD236" s="314">
        <f t="shared" si="48"/>
        <v>0</v>
      </c>
      <c r="AE236" s="315">
        <f t="shared" si="58"/>
        <v>0</v>
      </c>
      <c r="AF236" s="316">
        <f t="shared" si="49"/>
        <v>0</v>
      </c>
      <c r="AG236" s="314">
        <v>1</v>
      </c>
      <c r="AH236" s="314">
        <f t="shared" si="59"/>
        <v>0</v>
      </c>
      <c r="AI236" s="314">
        <f t="shared" si="60"/>
        <v>0</v>
      </c>
      <c r="AJ236" s="317"/>
      <c r="AK236" s="315" t="e">
        <f t="shared" si="61"/>
        <v>#N/A</v>
      </c>
      <c r="AM236" s="553"/>
      <c r="AN236" s="553"/>
      <c r="AO236" s="553"/>
    </row>
    <row r="237" spans="2:41">
      <c r="B237" s="296"/>
      <c r="C237" s="299"/>
      <c r="D237" s="296"/>
      <c r="E237" s="298"/>
      <c r="F237" s="299"/>
      <c r="G237" s="300"/>
      <c r="H237" s="303"/>
      <c r="I237" s="303"/>
      <c r="J237" s="322">
        <f t="shared" si="47"/>
        <v>0</v>
      </c>
      <c r="K237" s="305" t="e">
        <f>IF(F237="MXN",1/HLOOKUP(YEAR(G237)+(MONTH(G237)/100),TC!$5:$37,DAY(G237)+2,FALSE),VLOOKUP(F237,Equivalencia!$5:$23,((MAX(Equivalencia!$3:$3)-YEAR(G237))*14)+MONTH(G237)+2,FALSE))</f>
        <v>#N/A</v>
      </c>
      <c r="L237" s="306" t="e">
        <f t="shared" si="50"/>
        <v>#N/A</v>
      </c>
      <c r="M237" s="305">
        <f>IF(G237=0,0,HLOOKUP(YEAR(G237)+(MONTH(G237)/100),TC!$5:$37,DAY(G237)+2,FALSE))</f>
        <v>0</v>
      </c>
      <c r="N237" s="306" t="e">
        <f t="shared" si="51"/>
        <v>#N/A</v>
      </c>
      <c r="O237" s="308">
        <f>IF(G237=0,0,VLOOKUP(YEAR(G237),INPC!$B$4:$P$30,MONTH(G237)+2))</f>
        <v>0</v>
      </c>
      <c r="P237" s="308">
        <f>IF(W237=0,0,IF(OR(C237=$AQ$5,C237=AQ241),VLOOKUP(YEAR(W237),INPC!$B$4:$P$30,MONTH(W237)+1),VLOOKUP(YEAR(W237),INPC!$B$4:$P$30,MONTH(W237)+2)))</f>
        <v>0</v>
      </c>
      <c r="Q237" s="309">
        <f t="shared" si="52"/>
        <v>0</v>
      </c>
      <c r="R237" s="310" t="e">
        <f t="shared" si="53"/>
        <v>#N/A</v>
      </c>
      <c r="S237" s="310">
        <f t="shared" si="54"/>
        <v>0</v>
      </c>
      <c r="T237" s="559" t="str">
        <f t="shared" si="55"/>
        <v>NO</v>
      </c>
      <c r="U237" s="323"/>
      <c r="V237" s="299"/>
      <c r="W237" s="300"/>
      <c r="X237" s="299"/>
      <c r="Y237" s="303"/>
      <c r="Z237" s="305">
        <f>IF(Y237=0,0,IF(X237="MXN",1/HLOOKUP(YEAR(W237)+(MONTH(W237)/100),TC!$5:$37,DAY(W237)+2,FALSE),VLOOKUP(X237,Equivalencia!$1:$23,((MAX(Equivalencia!$3:$3)-YEAR(W237))*14)+MONTH(W237)+2,FALSE)))</f>
        <v>0</v>
      </c>
      <c r="AA237" s="306">
        <f t="shared" si="56"/>
        <v>0</v>
      </c>
      <c r="AB237" s="305">
        <f>+IF(W237=0,0,HLOOKUP(YEAR(W237)+(MONTH(W237)/100),TC!$5:$37,DAY(W237)+2,FALSE))</f>
        <v>0</v>
      </c>
      <c r="AC237" s="306">
        <f t="shared" si="57"/>
        <v>0</v>
      </c>
      <c r="AD237" s="314">
        <f t="shared" si="48"/>
        <v>0</v>
      </c>
      <c r="AE237" s="315">
        <f t="shared" si="58"/>
        <v>0</v>
      </c>
      <c r="AF237" s="316">
        <f t="shared" si="49"/>
        <v>0</v>
      </c>
      <c r="AG237" s="314">
        <v>1</v>
      </c>
      <c r="AH237" s="314">
        <f t="shared" si="59"/>
        <v>0</v>
      </c>
      <c r="AI237" s="314">
        <f t="shared" si="60"/>
        <v>0</v>
      </c>
      <c r="AJ237" s="317"/>
      <c r="AK237" s="315" t="e">
        <f t="shared" si="61"/>
        <v>#N/A</v>
      </c>
      <c r="AM237" s="553"/>
      <c r="AN237" s="553"/>
      <c r="AO237" s="553"/>
    </row>
    <row r="238" spans="2:41">
      <c r="B238" s="296"/>
      <c r="C238" s="299"/>
      <c r="D238" s="296"/>
      <c r="E238" s="298"/>
      <c r="F238" s="299"/>
      <c r="G238" s="300"/>
      <c r="H238" s="303"/>
      <c r="I238" s="303"/>
      <c r="J238" s="322">
        <f t="shared" si="47"/>
        <v>0</v>
      </c>
      <c r="K238" s="305" t="e">
        <f>IF(F238="MXN",1/HLOOKUP(YEAR(G238)+(MONTH(G238)/100),TC!$5:$37,DAY(G238)+2,FALSE),VLOOKUP(F238,Equivalencia!$5:$23,((MAX(Equivalencia!$3:$3)-YEAR(G238))*14)+MONTH(G238)+2,FALSE))</f>
        <v>#N/A</v>
      </c>
      <c r="L238" s="306" t="e">
        <f t="shared" si="50"/>
        <v>#N/A</v>
      </c>
      <c r="M238" s="305">
        <f>IF(G238=0,0,HLOOKUP(YEAR(G238)+(MONTH(G238)/100),TC!$5:$37,DAY(G238)+2,FALSE))</f>
        <v>0</v>
      </c>
      <c r="N238" s="306" t="e">
        <f t="shared" si="51"/>
        <v>#N/A</v>
      </c>
      <c r="O238" s="308">
        <f>IF(G238=0,0,VLOOKUP(YEAR(G238),INPC!$B$4:$P$30,MONTH(G238)+2))</f>
        <v>0</v>
      </c>
      <c r="P238" s="308">
        <f>IF(W238=0,0,IF(OR(C238=$AQ$5,C238=AQ242),VLOOKUP(YEAR(W238),INPC!$B$4:$P$30,MONTH(W238)+1),VLOOKUP(YEAR(W238),INPC!$B$4:$P$30,MONTH(W238)+2)))</f>
        <v>0</v>
      </c>
      <c r="Q238" s="309">
        <f t="shared" si="52"/>
        <v>0</v>
      </c>
      <c r="R238" s="310" t="e">
        <f t="shared" si="53"/>
        <v>#N/A</v>
      </c>
      <c r="S238" s="310">
        <f t="shared" si="54"/>
        <v>0</v>
      </c>
      <c r="T238" s="559" t="str">
        <f t="shared" si="55"/>
        <v>NO</v>
      </c>
      <c r="U238" s="323"/>
      <c r="V238" s="299"/>
      <c r="W238" s="300"/>
      <c r="X238" s="299"/>
      <c r="Y238" s="303"/>
      <c r="Z238" s="305">
        <f>IF(Y238=0,0,IF(X238="MXN",1/HLOOKUP(YEAR(W238)+(MONTH(W238)/100),TC!$5:$37,DAY(W238)+2,FALSE),VLOOKUP(X238,Equivalencia!$1:$23,((MAX(Equivalencia!$3:$3)-YEAR(W238))*14)+MONTH(W238)+2,FALSE)))</f>
        <v>0</v>
      </c>
      <c r="AA238" s="306">
        <f t="shared" si="56"/>
        <v>0</v>
      </c>
      <c r="AB238" s="305">
        <f>+IF(W238=0,0,HLOOKUP(YEAR(W238)+(MONTH(W238)/100),TC!$5:$37,DAY(W238)+2,FALSE))</f>
        <v>0</v>
      </c>
      <c r="AC238" s="306">
        <f t="shared" si="57"/>
        <v>0</v>
      </c>
      <c r="AD238" s="314">
        <f t="shared" si="48"/>
        <v>0</v>
      </c>
      <c r="AE238" s="315">
        <f t="shared" si="58"/>
        <v>0</v>
      </c>
      <c r="AF238" s="316">
        <f t="shared" si="49"/>
        <v>0</v>
      </c>
      <c r="AG238" s="314">
        <v>1</v>
      </c>
      <c r="AH238" s="314">
        <f t="shared" si="59"/>
        <v>0</v>
      </c>
      <c r="AI238" s="314">
        <f t="shared" si="60"/>
        <v>0</v>
      </c>
      <c r="AJ238" s="317"/>
      <c r="AK238" s="315" t="e">
        <f t="shared" si="61"/>
        <v>#N/A</v>
      </c>
      <c r="AM238" s="553"/>
      <c r="AN238" s="553"/>
      <c r="AO238" s="553"/>
    </row>
    <row r="239" spans="2:41">
      <c r="B239" s="296"/>
      <c r="C239" s="299"/>
      <c r="D239" s="296"/>
      <c r="E239" s="298"/>
      <c r="F239" s="299"/>
      <c r="G239" s="300"/>
      <c r="H239" s="303"/>
      <c r="I239" s="303"/>
      <c r="J239" s="322">
        <f t="shared" si="47"/>
        <v>0</v>
      </c>
      <c r="K239" s="305" t="e">
        <f>IF(F239="MXN",1/HLOOKUP(YEAR(G239)+(MONTH(G239)/100),TC!$5:$37,DAY(G239)+2,FALSE),VLOOKUP(F239,Equivalencia!$5:$23,((MAX(Equivalencia!$3:$3)-YEAR(G239))*14)+MONTH(G239)+2,FALSE))</f>
        <v>#N/A</v>
      </c>
      <c r="L239" s="306" t="e">
        <f t="shared" si="50"/>
        <v>#N/A</v>
      </c>
      <c r="M239" s="305">
        <f>IF(G239=0,0,HLOOKUP(YEAR(G239)+(MONTH(G239)/100),TC!$5:$37,DAY(G239)+2,FALSE))</f>
        <v>0</v>
      </c>
      <c r="N239" s="306" t="e">
        <f t="shared" si="51"/>
        <v>#N/A</v>
      </c>
      <c r="O239" s="308">
        <f>IF(G239=0,0,VLOOKUP(YEAR(G239),INPC!$B$4:$P$30,MONTH(G239)+2))</f>
        <v>0</v>
      </c>
      <c r="P239" s="308">
        <f>IF(W239=0,0,IF(OR(C239=$AQ$5,C239=AQ243),VLOOKUP(YEAR(W239),INPC!$B$4:$P$30,MONTH(W239)+1),VLOOKUP(YEAR(W239),INPC!$B$4:$P$30,MONTH(W239)+2)))</f>
        <v>0</v>
      </c>
      <c r="Q239" s="309">
        <f t="shared" si="52"/>
        <v>0</v>
      </c>
      <c r="R239" s="310" t="e">
        <f t="shared" si="53"/>
        <v>#N/A</v>
      </c>
      <c r="S239" s="310">
        <f t="shared" si="54"/>
        <v>0</v>
      </c>
      <c r="T239" s="559" t="str">
        <f t="shared" si="55"/>
        <v>NO</v>
      </c>
      <c r="U239" s="323"/>
      <c r="V239" s="299"/>
      <c r="W239" s="300"/>
      <c r="X239" s="299"/>
      <c r="Y239" s="303"/>
      <c r="Z239" s="305">
        <f>IF(Y239=0,0,IF(X239="MXN",1/HLOOKUP(YEAR(W239)+(MONTH(W239)/100),TC!$5:$37,DAY(W239)+2,FALSE),VLOOKUP(X239,Equivalencia!$1:$23,((MAX(Equivalencia!$3:$3)-YEAR(W239))*14)+MONTH(W239)+2,FALSE)))</f>
        <v>0</v>
      </c>
      <c r="AA239" s="306">
        <f t="shared" si="56"/>
        <v>0</v>
      </c>
      <c r="AB239" s="305">
        <f>+IF(W239=0,0,HLOOKUP(YEAR(W239)+(MONTH(W239)/100),TC!$5:$37,DAY(W239)+2,FALSE))</f>
        <v>0</v>
      </c>
      <c r="AC239" s="306">
        <f t="shared" si="57"/>
        <v>0</v>
      </c>
      <c r="AD239" s="314">
        <f t="shared" si="48"/>
        <v>0</v>
      </c>
      <c r="AE239" s="315">
        <f t="shared" si="58"/>
        <v>0</v>
      </c>
      <c r="AF239" s="316">
        <f t="shared" si="49"/>
        <v>0</v>
      </c>
      <c r="AG239" s="314">
        <v>1</v>
      </c>
      <c r="AH239" s="314">
        <f t="shared" si="59"/>
        <v>0</v>
      </c>
      <c r="AI239" s="314">
        <f t="shared" si="60"/>
        <v>0</v>
      </c>
      <c r="AJ239" s="317"/>
      <c r="AK239" s="315" t="e">
        <f t="shared" si="61"/>
        <v>#N/A</v>
      </c>
      <c r="AM239" s="553"/>
      <c r="AN239" s="553"/>
      <c r="AO239" s="553"/>
    </row>
    <row r="240" spans="2:41">
      <c r="B240" s="296"/>
      <c r="C240" s="299"/>
      <c r="D240" s="296"/>
      <c r="E240" s="298"/>
      <c r="F240" s="299"/>
      <c r="G240" s="300"/>
      <c r="H240" s="303"/>
      <c r="I240" s="303"/>
      <c r="J240" s="322">
        <f t="shared" si="47"/>
        <v>0</v>
      </c>
      <c r="K240" s="305" t="e">
        <f>IF(F240="MXN",1/HLOOKUP(YEAR(G240)+(MONTH(G240)/100),TC!$5:$37,DAY(G240)+2,FALSE),VLOOKUP(F240,Equivalencia!$5:$23,((MAX(Equivalencia!$3:$3)-YEAR(G240))*14)+MONTH(G240)+2,FALSE))</f>
        <v>#N/A</v>
      </c>
      <c r="L240" s="306" t="e">
        <f t="shared" si="50"/>
        <v>#N/A</v>
      </c>
      <c r="M240" s="305">
        <f>IF(G240=0,0,HLOOKUP(YEAR(G240)+(MONTH(G240)/100),TC!$5:$37,DAY(G240)+2,FALSE))</f>
        <v>0</v>
      </c>
      <c r="N240" s="306" t="e">
        <f t="shared" si="51"/>
        <v>#N/A</v>
      </c>
      <c r="O240" s="308">
        <f>IF(G240=0,0,VLOOKUP(YEAR(G240),INPC!$B$4:$P$30,MONTH(G240)+2))</f>
        <v>0</v>
      </c>
      <c r="P240" s="308">
        <f>IF(W240=0,0,IF(OR(C240=$AQ$5,C240=AQ244),VLOOKUP(YEAR(W240),INPC!$B$4:$P$30,MONTH(W240)+1),VLOOKUP(YEAR(W240),INPC!$B$4:$P$30,MONTH(W240)+2)))</f>
        <v>0</v>
      </c>
      <c r="Q240" s="309">
        <f t="shared" si="52"/>
        <v>0</v>
      </c>
      <c r="R240" s="310" t="e">
        <f t="shared" si="53"/>
        <v>#N/A</v>
      </c>
      <c r="S240" s="310">
        <f t="shared" si="54"/>
        <v>0</v>
      </c>
      <c r="T240" s="559" t="str">
        <f t="shared" si="55"/>
        <v>NO</v>
      </c>
      <c r="U240" s="323"/>
      <c r="V240" s="299"/>
      <c r="W240" s="300"/>
      <c r="X240" s="299"/>
      <c r="Y240" s="303"/>
      <c r="Z240" s="305">
        <f>IF(Y240=0,0,IF(X240="MXN",1/HLOOKUP(YEAR(W240)+(MONTH(W240)/100),TC!$5:$37,DAY(W240)+2,FALSE),VLOOKUP(X240,Equivalencia!$1:$23,((MAX(Equivalencia!$3:$3)-YEAR(W240))*14)+MONTH(W240)+2,FALSE)))</f>
        <v>0</v>
      </c>
      <c r="AA240" s="306">
        <f t="shared" si="56"/>
        <v>0</v>
      </c>
      <c r="AB240" s="305">
        <f>+IF(W240=0,0,HLOOKUP(YEAR(W240)+(MONTH(W240)/100),TC!$5:$37,DAY(W240)+2,FALSE))</f>
        <v>0</v>
      </c>
      <c r="AC240" s="306">
        <f t="shared" si="57"/>
        <v>0</v>
      </c>
      <c r="AD240" s="314">
        <f t="shared" si="48"/>
        <v>0</v>
      </c>
      <c r="AE240" s="315">
        <f t="shared" si="58"/>
        <v>0</v>
      </c>
      <c r="AF240" s="316">
        <f t="shared" si="49"/>
        <v>0</v>
      </c>
      <c r="AG240" s="314">
        <v>1</v>
      </c>
      <c r="AH240" s="314">
        <f t="shared" si="59"/>
        <v>0</v>
      </c>
      <c r="AI240" s="314">
        <f t="shared" si="60"/>
        <v>0</v>
      </c>
      <c r="AJ240" s="317"/>
      <c r="AK240" s="315" t="e">
        <f t="shared" si="61"/>
        <v>#N/A</v>
      </c>
      <c r="AM240" s="553"/>
      <c r="AN240" s="553"/>
      <c r="AO240" s="553"/>
    </row>
    <row r="241" spans="2:41">
      <c r="B241" s="296"/>
      <c r="C241" s="299"/>
      <c r="D241" s="296"/>
      <c r="E241" s="298"/>
      <c r="F241" s="299"/>
      <c r="G241" s="300"/>
      <c r="H241" s="303"/>
      <c r="I241" s="303"/>
      <c r="J241" s="322">
        <f t="shared" si="47"/>
        <v>0</v>
      </c>
      <c r="K241" s="305" t="e">
        <f>IF(F241="MXN",1/HLOOKUP(YEAR(G241)+(MONTH(G241)/100),TC!$5:$37,DAY(G241)+2,FALSE),VLOOKUP(F241,Equivalencia!$5:$23,((MAX(Equivalencia!$3:$3)-YEAR(G241))*14)+MONTH(G241)+2,FALSE))</f>
        <v>#N/A</v>
      </c>
      <c r="L241" s="306" t="e">
        <f t="shared" si="50"/>
        <v>#N/A</v>
      </c>
      <c r="M241" s="305">
        <f>IF(G241=0,0,HLOOKUP(YEAR(G241)+(MONTH(G241)/100),TC!$5:$37,DAY(G241)+2,FALSE))</f>
        <v>0</v>
      </c>
      <c r="N241" s="306" t="e">
        <f t="shared" si="51"/>
        <v>#N/A</v>
      </c>
      <c r="O241" s="308">
        <f>IF(G241=0,0,VLOOKUP(YEAR(G241),INPC!$B$4:$P$30,MONTH(G241)+2))</f>
        <v>0</v>
      </c>
      <c r="P241" s="308">
        <f>IF(W241=0,0,IF(OR(C241=$AQ$5,C241=AQ245),VLOOKUP(YEAR(W241),INPC!$B$4:$P$30,MONTH(W241)+1),VLOOKUP(YEAR(W241),INPC!$B$4:$P$30,MONTH(W241)+2)))</f>
        <v>0</v>
      </c>
      <c r="Q241" s="309">
        <f t="shared" si="52"/>
        <v>0</v>
      </c>
      <c r="R241" s="310" t="e">
        <f t="shared" si="53"/>
        <v>#N/A</v>
      </c>
      <c r="S241" s="310">
        <f t="shared" si="54"/>
        <v>0</v>
      </c>
      <c r="T241" s="559" t="str">
        <f t="shared" si="55"/>
        <v>NO</v>
      </c>
      <c r="U241" s="323"/>
      <c r="V241" s="299"/>
      <c r="W241" s="300"/>
      <c r="X241" s="299"/>
      <c r="Y241" s="303"/>
      <c r="Z241" s="305">
        <f>IF(Y241=0,0,IF(X241="MXN",1/HLOOKUP(YEAR(W241)+(MONTH(W241)/100),TC!$5:$37,DAY(W241)+2,FALSE),VLOOKUP(X241,Equivalencia!$1:$23,((MAX(Equivalencia!$3:$3)-YEAR(W241))*14)+MONTH(W241)+2,FALSE)))</f>
        <v>0</v>
      </c>
      <c r="AA241" s="306">
        <f t="shared" si="56"/>
        <v>0</v>
      </c>
      <c r="AB241" s="305">
        <f>+IF(W241=0,0,HLOOKUP(YEAR(W241)+(MONTH(W241)/100),TC!$5:$37,DAY(W241)+2,FALSE))</f>
        <v>0</v>
      </c>
      <c r="AC241" s="306">
        <f t="shared" si="57"/>
        <v>0</v>
      </c>
      <c r="AD241" s="314">
        <f t="shared" si="48"/>
        <v>0</v>
      </c>
      <c r="AE241" s="315">
        <f t="shared" si="58"/>
        <v>0</v>
      </c>
      <c r="AF241" s="316">
        <f t="shared" si="49"/>
        <v>0</v>
      </c>
      <c r="AG241" s="314">
        <v>1</v>
      </c>
      <c r="AH241" s="314">
        <f t="shared" si="59"/>
        <v>0</v>
      </c>
      <c r="AI241" s="314">
        <f t="shared" si="60"/>
        <v>0</v>
      </c>
      <c r="AJ241" s="317"/>
      <c r="AK241" s="315" t="e">
        <f t="shared" si="61"/>
        <v>#N/A</v>
      </c>
      <c r="AM241" s="553"/>
      <c r="AN241" s="553"/>
      <c r="AO241" s="553"/>
    </row>
    <row r="242" spans="2:41">
      <c r="B242" s="296"/>
      <c r="C242" s="299"/>
      <c r="D242" s="296"/>
      <c r="E242" s="298"/>
      <c r="F242" s="299"/>
      <c r="G242" s="300"/>
      <c r="H242" s="303"/>
      <c r="I242" s="303"/>
      <c r="J242" s="322">
        <f t="shared" si="47"/>
        <v>0</v>
      </c>
      <c r="K242" s="305" t="e">
        <f>IF(F242="MXN",1/HLOOKUP(YEAR(G242)+(MONTH(G242)/100),TC!$5:$37,DAY(G242)+2,FALSE),VLOOKUP(F242,Equivalencia!$5:$23,((MAX(Equivalencia!$3:$3)-YEAR(G242))*14)+MONTH(G242)+2,FALSE))</f>
        <v>#N/A</v>
      </c>
      <c r="L242" s="306" t="e">
        <f t="shared" si="50"/>
        <v>#N/A</v>
      </c>
      <c r="M242" s="305">
        <f>IF(G242=0,0,HLOOKUP(YEAR(G242)+(MONTH(G242)/100),TC!$5:$37,DAY(G242)+2,FALSE))</f>
        <v>0</v>
      </c>
      <c r="N242" s="306" t="e">
        <f t="shared" si="51"/>
        <v>#N/A</v>
      </c>
      <c r="O242" s="308">
        <f>IF(G242=0,0,VLOOKUP(YEAR(G242),INPC!$B$4:$P$30,MONTH(G242)+2))</f>
        <v>0</v>
      </c>
      <c r="P242" s="308">
        <f>IF(W242=0,0,IF(OR(C242=$AQ$5,C242=AQ246),VLOOKUP(YEAR(W242),INPC!$B$4:$P$30,MONTH(W242)+1),VLOOKUP(YEAR(W242),INPC!$B$4:$P$30,MONTH(W242)+2)))</f>
        <v>0</v>
      </c>
      <c r="Q242" s="309">
        <f t="shared" si="52"/>
        <v>0</v>
      </c>
      <c r="R242" s="310" t="e">
        <f t="shared" si="53"/>
        <v>#N/A</v>
      </c>
      <c r="S242" s="310">
        <f t="shared" si="54"/>
        <v>0</v>
      </c>
      <c r="T242" s="559" t="str">
        <f t="shared" si="55"/>
        <v>NO</v>
      </c>
      <c r="U242" s="323"/>
      <c r="V242" s="299"/>
      <c r="W242" s="300"/>
      <c r="X242" s="299"/>
      <c r="Y242" s="303"/>
      <c r="Z242" s="305">
        <f>IF(Y242=0,0,IF(X242="MXN",1/HLOOKUP(YEAR(W242)+(MONTH(W242)/100),TC!$5:$37,DAY(W242)+2,FALSE),VLOOKUP(X242,Equivalencia!$1:$23,((MAX(Equivalencia!$3:$3)-YEAR(W242))*14)+MONTH(W242)+2,FALSE)))</f>
        <v>0</v>
      </c>
      <c r="AA242" s="306">
        <f t="shared" si="56"/>
        <v>0</v>
      </c>
      <c r="AB242" s="305">
        <f>+IF(W242=0,0,HLOOKUP(YEAR(W242)+(MONTH(W242)/100),TC!$5:$37,DAY(W242)+2,FALSE))</f>
        <v>0</v>
      </c>
      <c r="AC242" s="306">
        <f t="shared" si="57"/>
        <v>0</v>
      </c>
      <c r="AD242" s="314">
        <f t="shared" si="48"/>
        <v>0</v>
      </c>
      <c r="AE242" s="315">
        <f t="shared" si="58"/>
        <v>0</v>
      </c>
      <c r="AF242" s="316">
        <f t="shared" si="49"/>
        <v>0</v>
      </c>
      <c r="AG242" s="314">
        <v>1</v>
      </c>
      <c r="AH242" s="314">
        <f t="shared" si="59"/>
        <v>0</v>
      </c>
      <c r="AI242" s="314">
        <f t="shared" si="60"/>
        <v>0</v>
      </c>
      <c r="AJ242" s="317"/>
      <c r="AK242" s="315" t="e">
        <f t="shared" si="61"/>
        <v>#N/A</v>
      </c>
      <c r="AM242" s="553"/>
      <c r="AN242" s="553"/>
      <c r="AO242" s="553"/>
    </row>
    <row r="243" spans="2:41">
      <c r="B243" s="296"/>
      <c r="C243" s="299"/>
      <c r="D243" s="296"/>
      <c r="E243" s="298"/>
      <c r="F243" s="299"/>
      <c r="G243" s="300"/>
      <c r="H243" s="303"/>
      <c r="I243" s="303"/>
      <c r="J243" s="322">
        <f t="shared" si="47"/>
        <v>0</v>
      </c>
      <c r="K243" s="305" t="e">
        <f>IF(F243="MXN",1/HLOOKUP(YEAR(G243)+(MONTH(G243)/100),TC!$5:$37,DAY(G243)+2,FALSE),VLOOKUP(F243,Equivalencia!$5:$23,((MAX(Equivalencia!$3:$3)-YEAR(G243))*14)+MONTH(G243)+2,FALSE))</f>
        <v>#N/A</v>
      </c>
      <c r="L243" s="306" t="e">
        <f t="shared" si="50"/>
        <v>#N/A</v>
      </c>
      <c r="M243" s="305">
        <f>IF(G243=0,0,HLOOKUP(YEAR(G243)+(MONTH(G243)/100),TC!$5:$37,DAY(G243)+2,FALSE))</f>
        <v>0</v>
      </c>
      <c r="N243" s="306" t="e">
        <f t="shared" si="51"/>
        <v>#N/A</v>
      </c>
      <c r="O243" s="308">
        <f>IF(G243=0,0,VLOOKUP(YEAR(G243),INPC!$B$4:$P$30,MONTH(G243)+2))</f>
        <v>0</v>
      </c>
      <c r="P243" s="308">
        <f>IF(W243=0,0,IF(OR(C243=$AQ$5,C243=AQ247),VLOOKUP(YEAR(W243),INPC!$B$4:$P$30,MONTH(W243)+1),VLOOKUP(YEAR(W243),INPC!$B$4:$P$30,MONTH(W243)+2)))</f>
        <v>0</v>
      </c>
      <c r="Q243" s="309">
        <f t="shared" si="52"/>
        <v>0</v>
      </c>
      <c r="R243" s="310" t="e">
        <f t="shared" si="53"/>
        <v>#N/A</v>
      </c>
      <c r="S243" s="310">
        <f t="shared" si="54"/>
        <v>0</v>
      </c>
      <c r="T243" s="559" t="str">
        <f t="shared" si="55"/>
        <v>NO</v>
      </c>
      <c r="U243" s="323"/>
      <c r="V243" s="299"/>
      <c r="W243" s="300"/>
      <c r="X243" s="299"/>
      <c r="Y243" s="303"/>
      <c r="Z243" s="305">
        <f>IF(Y243=0,0,IF(X243="MXN",1/HLOOKUP(YEAR(W243)+(MONTH(W243)/100),TC!$5:$37,DAY(W243)+2,FALSE),VLOOKUP(X243,Equivalencia!$1:$23,((MAX(Equivalencia!$3:$3)-YEAR(W243))*14)+MONTH(W243)+2,FALSE)))</f>
        <v>0</v>
      </c>
      <c r="AA243" s="306">
        <f t="shared" si="56"/>
        <v>0</v>
      </c>
      <c r="AB243" s="305">
        <f>+IF(W243=0,0,HLOOKUP(YEAR(W243)+(MONTH(W243)/100),TC!$5:$37,DAY(W243)+2,FALSE))</f>
        <v>0</v>
      </c>
      <c r="AC243" s="306">
        <f t="shared" si="57"/>
        <v>0</v>
      </c>
      <c r="AD243" s="314">
        <f t="shared" si="48"/>
        <v>0</v>
      </c>
      <c r="AE243" s="315">
        <f t="shared" si="58"/>
        <v>0</v>
      </c>
      <c r="AF243" s="316">
        <f t="shared" si="49"/>
        <v>0</v>
      </c>
      <c r="AG243" s="314">
        <v>1</v>
      </c>
      <c r="AH243" s="314">
        <f t="shared" si="59"/>
        <v>0</v>
      </c>
      <c r="AI243" s="314">
        <f t="shared" si="60"/>
        <v>0</v>
      </c>
      <c r="AJ243" s="317"/>
      <c r="AK243" s="315" t="e">
        <f t="shared" si="61"/>
        <v>#N/A</v>
      </c>
      <c r="AM243" s="553"/>
      <c r="AN243" s="553"/>
      <c r="AO243" s="553"/>
    </row>
    <row r="244" spans="2:41">
      <c r="B244" s="296"/>
      <c r="C244" s="299"/>
      <c r="D244" s="296"/>
      <c r="E244" s="298"/>
      <c r="F244" s="299"/>
      <c r="G244" s="300"/>
      <c r="H244" s="303"/>
      <c r="I244" s="303"/>
      <c r="J244" s="322">
        <f t="shared" si="47"/>
        <v>0</v>
      </c>
      <c r="K244" s="305" t="e">
        <f>IF(F244="MXN",1/HLOOKUP(YEAR(G244)+(MONTH(G244)/100),TC!$5:$37,DAY(G244)+2,FALSE),VLOOKUP(F244,Equivalencia!$5:$23,((MAX(Equivalencia!$3:$3)-YEAR(G244))*14)+MONTH(G244)+2,FALSE))</f>
        <v>#N/A</v>
      </c>
      <c r="L244" s="306" t="e">
        <f t="shared" si="50"/>
        <v>#N/A</v>
      </c>
      <c r="M244" s="305">
        <f>IF(G244=0,0,HLOOKUP(YEAR(G244)+(MONTH(G244)/100),TC!$5:$37,DAY(G244)+2,FALSE))</f>
        <v>0</v>
      </c>
      <c r="N244" s="306" t="e">
        <f t="shared" si="51"/>
        <v>#N/A</v>
      </c>
      <c r="O244" s="308">
        <f>IF(G244=0,0,VLOOKUP(YEAR(G244),INPC!$B$4:$P$30,MONTH(G244)+2))</f>
        <v>0</v>
      </c>
      <c r="P244" s="308">
        <f>IF(W244=0,0,IF(OR(C244=$AQ$5,C244=AQ248),VLOOKUP(YEAR(W244),INPC!$B$4:$P$30,MONTH(W244)+1),VLOOKUP(YEAR(W244),INPC!$B$4:$P$30,MONTH(W244)+2)))</f>
        <v>0</v>
      </c>
      <c r="Q244" s="309">
        <f t="shared" si="52"/>
        <v>0</v>
      </c>
      <c r="R244" s="310" t="e">
        <f t="shared" si="53"/>
        <v>#N/A</v>
      </c>
      <c r="S244" s="310">
        <f t="shared" si="54"/>
        <v>0</v>
      </c>
      <c r="T244" s="559" t="str">
        <f t="shared" si="55"/>
        <v>NO</v>
      </c>
      <c r="U244" s="323"/>
      <c r="V244" s="299"/>
      <c r="W244" s="300"/>
      <c r="X244" s="299"/>
      <c r="Y244" s="303"/>
      <c r="Z244" s="305">
        <f>IF(Y244=0,0,IF(X244="MXN",1/HLOOKUP(YEAR(W244)+(MONTH(W244)/100),TC!$5:$37,DAY(W244)+2,FALSE),VLOOKUP(X244,Equivalencia!$1:$23,((MAX(Equivalencia!$3:$3)-YEAR(W244))*14)+MONTH(W244)+2,FALSE)))</f>
        <v>0</v>
      </c>
      <c r="AA244" s="306">
        <f t="shared" si="56"/>
        <v>0</v>
      </c>
      <c r="AB244" s="305">
        <f>+IF(W244=0,0,HLOOKUP(YEAR(W244)+(MONTH(W244)/100),TC!$5:$37,DAY(W244)+2,FALSE))</f>
        <v>0</v>
      </c>
      <c r="AC244" s="306">
        <f t="shared" si="57"/>
        <v>0</v>
      </c>
      <c r="AD244" s="314">
        <f t="shared" si="48"/>
        <v>0</v>
      </c>
      <c r="AE244" s="315">
        <f t="shared" si="58"/>
        <v>0</v>
      </c>
      <c r="AF244" s="316">
        <f t="shared" si="49"/>
        <v>0</v>
      </c>
      <c r="AG244" s="314">
        <v>1</v>
      </c>
      <c r="AH244" s="314">
        <f t="shared" si="59"/>
        <v>0</v>
      </c>
      <c r="AI244" s="314">
        <f t="shared" si="60"/>
        <v>0</v>
      </c>
      <c r="AJ244" s="317"/>
      <c r="AK244" s="315" t="e">
        <f t="shared" si="61"/>
        <v>#N/A</v>
      </c>
      <c r="AM244" s="553"/>
      <c r="AN244" s="553"/>
      <c r="AO244" s="553"/>
    </row>
    <row r="245" spans="2:41">
      <c r="B245" s="296"/>
      <c r="C245" s="299"/>
      <c r="D245" s="296"/>
      <c r="E245" s="298"/>
      <c r="F245" s="299"/>
      <c r="G245" s="300"/>
      <c r="H245" s="303"/>
      <c r="I245" s="303"/>
      <c r="J245" s="322">
        <f t="shared" si="47"/>
        <v>0</v>
      </c>
      <c r="K245" s="305" t="e">
        <f>IF(F245="MXN",1/HLOOKUP(YEAR(G245)+(MONTH(G245)/100),TC!$5:$37,DAY(G245)+2,FALSE),VLOOKUP(F245,Equivalencia!$5:$23,((MAX(Equivalencia!$3:$3)-YEAR(G245))*14)+MONTH(G245)+2,FALSE))</f>
        <v>#N/A</v>
      </c>
      <c r="L245" s="306" t="e">
        <f t="shared" si="50"/>
        <v>#N/A</v>
      </c>
      <c r="M245" s="305">
        <f>IF(G245=0,0,HLOOKUP(YEAR(G245)+(MONTH(G245)/100),TC!$5:$37,DAY(G245)+2,FALSE))</f>
        <v>0</v>
      </c>
      <c r="N245" s="306" t="e">
        <f t="shared" si="51"/>
        <v>#N/A</v>
      </c>
      <c r="O245" s="308">
        <f>IF(G245=0,0,VLOOKUP(YEAR(G245),INPC!$B$4:$P$30,MONTH(G245)+2))</f>
        <v>0</v>
      </c>
      <c r="P245" s="308">
        <f>IF(W245=0,0,IF(OR(C245=$AQ$5,C245=AQ249),VLOOKUP(YEAR(W245),INPC!$B$4:$P$30,MONTH(W245)+1),VLOOKUP(YEAR(W245),INPC!$B$4:$P$30,MONTH(W245)+2)))</f>
        <v>0</v>
      </c>
      <c r="Q245" s="309">
        <f t="shared" si="52"/>
        <v>0</v>
      </c>
      <c r="R245" s="310" t="e">
        <f t="shared" si="53"/>
        <v>#N/A</v>
      </c>
      <c r="S245" s="310">
        <f t="shared" si="54"/>
        <v>0</v>
      </c>
      <c r="T245" s="559" t="str">
        <f t="shared" si="55"/>
        <v>NO</v>
      </c>
      <c r="U245" s="323"/>
      <c r="V245" s="299"/>
      <c r="W245" s="300"/>
      <c r="X245" s="299"/>
      <c r="Y245" s="303"/>
      <c r="Z245" s="305">
        <f>IF(Y245=0,0,IF(X245="MXN",1/HLOOKUP(YEAR(W245)+(MONTH(W245)/100),TC!$5:$37,DAY(W245)+2,FALSE),VLOOKUP(X245,Equivalencia!$1:$23,((MAX(Equivalencia!$3:$3)-YEAR(W245))*14)+MONTH(W245)+2,FALSE)))</f>
        <v>0</v>
      </c>
      <c r="AA245" s="306">
        <f t="shared" si="56"/>
        <v>0</v>
      </c>
      <c r="AB245" s="305">
        <f>+IF(W245=0,0,HLOOKUP(YEAR(W245)+(MONTH(W245)/100),TC!$5:$37,DAY(W245)+2,FALSE))</f>
        <v>0</v>
      </c>
      <c r="AC245" s="306">
        <f t="shared" si="57"/>
        <v>0</v>
      </c>
      <c r="AD245" s="314">
        <f t="shared" si="48"/>
        <v>0</v>
      </c>
      <c r="AE245" s="315">
        <f t="shared" si="58"/>
        <v>0</v>
      </c>
      <c r="AF245" s="316">
        <f t="shared" si="49"/>
        <v>0</v>
      </c>
      <c r="AG245" s="314">
        <v>1</v>
      </c>
      <c r="AH245" s="314">
        <f t="shared" si="59"/>
        <v>0</v>
      </c>
      <c r="AI245" s="314">
        <f t="shared" si="60"/>
        <v>0</v>
      </c>
      <c r="AJ245" s="317"/>
      <c r="AK245" s="315" t="e">
        <f t="shared" si="61"/>
        <v>#N/A</v>
      </c>
      <c r="AM245" s="553"/>
      <c r="AN245" s="553"/>
      <c r="AO245" s="553"/>
    </row>
    <row r="246" spans="2:41">
      <c r="B246" s="296"/>
      <c r="C246" s="299"/>
      <c r="D246" s="296"/>
      <c r="E246" s="298"/>
      <c r="F246" s="299"/>
      <c r="G246" s="300"/>
      <c r="H246" s="303"/>
      <c r="I246" s="303"/>
      <c r="J246" s="322">
        <f t="shared" si="47"/>
        <v>0</v>
      </c>
      <c r="K246" s="305" t="e">
        <f>IF(F246="MXN",1/HLOOKUP(YEAR(G246)+(MONTH(G246)/100),TC!$5:$37,DAY(G246)+2,FALSE),VLOOKUP(F246,Equivalencia!$5:$23,((MAX(Equivalencia!$3:$3)-YEAR(G246))*14)+MONTH(G246)+2,FALSE))</f>
        <v>#N/A</v>
      </c>
      <c r="L246" s="306" t="e">
        <f t="shared" si="50"/>
        <v>#N/A</v>
      </c>
      <c r="M246" s="305">
        <f>IF(G246=0,0,HLOOKUP(YEAR(G246)+(MONTH(G246)/100),TC!$5:$37,DAY(G246)+2,FALSE))</f>
        <v>0</v>
      </c>
      <c r="N246" s="306" t="e">
        <f t="shared" si="51"/>
        <v>#N/A</v>
      </c>
      <c r="O246" s="308">
        <f>IF(G246=0,0,VLOOKUP(YEAR(G246),INPC!$B$4:$P$30,MONTH(G246)+2))</f>
        <v>0</v>
      </c>
      <c r="P246" s="308">
        <f>IF(W246=0,0,IF(OR(C246=$AQ$5,C246=AQ250),VLOOKUP(YEAR(W246),INPC!$B$4:$P$30,MONTH(W246)+1),VLOOKUP(YEAR(W246),INPC!$B$4:$P$30,MONTH(W246)+2)))</f>
        <v>0</v>
      </c>
      <c r="Q246" s="309">
        <f t="shared" si="52"/>
        <v>0</v>
      </c>
      <c r="R246" s="310" t="e">
        <f t="shared" si="53"/>
        <v>#N/A</v>
      </c>
      <c r="S246" s="310">
        <f t="shared" si="54"/>
        <v>0</v>
      </c>
      <c r="T246" s="559" t="str">
        <f t="shared" si="55"/>
        <v>NO</v>
      </c>
      <c r="U246" s="323"/>
      <c r="V246" s="299"/>
      <c r="W246" s="300"/>
      <c r="X246" s="299"/>
      <c r="Y246" s="303"/>
      <c r="Z246" s="305">
        <f>IF(Y246=0,0,IF(X246="MXN",1/HLOOKUP(YEAR(W246)+(MONTH(W246)/100),TC!$5:$37,DAY(W246)+2,FALSE),VLOOKUP(X246,Equivalencia!$1:$23,((MAX(Equivalencia!$3:$3)-YEAR(W246))*14)+MONTH(W246)+2,FALSE)))</f>
        <v>0</v>
      </c>
      <c r="AA246" s="306">
        <f t="shared" si="56"/>
        <v>0</v>
      </c>
      <c r="AB246" s="305">
        <f>+IF(W246=0,0,HLOOKUP(YEAR(W246)+(MONTH(W246)/100),TC!$5:$37,DAY(W246)+2,FALSE))</f>
        <v>0</v>
      </c>
      <c r="AC246" s="306">
        <f t="shared" si="57"/>
        <v>0</v>
      </c>
      <c r="AD246" s="314">
        <f t="shared" si="48"/>
        <v>0</v>
      </c>
      <c r="AE246" s="315">
        <f t="shared" si="58"/>
        <v>0</v>
      </c>
      <c r="AF246" s="316">
        <f t="shared" si="49"/>
        <v>0</v>
      </c>
      <c r="AG246" s="314">
        <v>1</v>
      </c>
      <c r="AH246" s="314">
        <f t="shared" si="59"/>
        <v>0</v>
      </c>
      <c r="AI246" s="314">
        <f t="shared" si="60"/>
        <v>0</v>
      </c>
      <c r="AJ246" s="317"/>
      <c r="AK246" s="315" t="e">
        <f t="shared" si="61"/>
        <v>#N/A</v>
      </c>
      <c r="AM246" s="553"/>
      <c r="AN246" s="553"/>
      <c r="AO246" s="553"/>
    </row>
    <row r="247" spans="2:41">
      <c r="B247" s="296"/>
      <c r="C247" s="299"/>
      <c r="D247" s="296"/>
      <c r="E247" s="298"/>
      <c r="F247" s="299"/>
      <c r="G247" s="300"/>
      <c r="H247" s="303"/>
      <c r="I247" s="303"/>
      <c r="J247" s="322">
        <f t="shared" si="47"/>
        <v>0</v>
      </c>
      <c r="K247" s="305" t="e">
        <f>IF(F247="MXN",1/HLOOKUP(YEAR(G247)+(MONTH(G247)/100),TC!$5:$37,DAY(G247)+2,FALSE),VLOOKUP(F247,Equivalencia!$5:$23,((MAX(Equivalencia!$3:$3)-YEAR(G247))*14)+MONTH(G247)+2,FALSE))</f>
        <v>#N/A</v>
      </c>
      <c r="L247" s="306" t="e">
        <f t="shared" si="50"/>
        <v>#N/A</v>
      </c>
      <c r="M247" s="305">
        <f>IF(G247=0,0,HLOOKUP(YEAR(G247)+(MONTH(G247)/100),TC!$5:$37,DAY(G247)+2,FALSE))</f>
        <v>0</v>
      </c>
      <c r="N247" s="306" t="e">
        <f t="shared" si="51"/>
        <v>#N/A</v>
      </c>
      <c r="O247" s="308">
        <f>IF(G247=0,0,VLOOKUP(YEAR(G247),INPC!$B$4:$P$30,MONTH(G247)+2))</f>
        <v>0</v>
      </c>
      <c r="P247" s="308">
        <f>IF(W247=0,0,IF(OR(C247=$AQ$5,C247=AQ251),VLOOKUP(YEAR(W247),INPC!$B$4:$P$30,MONTH(W247)+1),VLOOKUP(YEAR(W247),INPC!$B$4:$P$30,MONTH(W247)+2)))</f>
        <v>0</v>
      </c>
      <c r="Q247" s="309">
        <f t="shared" si="52"/>
        <v>0</v>
      </c>
      <c r="R247" s="310" t="e">
        <f t="shared" si="53"/>
        <v>#N/A</v>
      </c>
      <c r="S247" s="310">
        <f t="shared" si="54"/>
        <v>0</v>
      </c>
      <c r="T247" s="559" t="str">
        <f t="shared" si="55"/>
        <v>NO</v>
      </c>
      <c r="U247" s="323"/>
      <c r="V247" s="299"/>
      <c r="W247" s="300"/>
      <c r="X247" s="299"/>
      <c r="Y247" s="303"/>
      <c r="Z247" s="305">
        <f>IF(Y247=0,0,IF(X247="MXN",1/HLOOKUP(YEAR(W247)+(MONTH(W247)/100),TC!$5:$37,DAY(W247)+2,FALSE),VLOOKUP(X247,Equivalencia!$1:$23,((MAX(Equivalencia!$3:$3)-YEAR(W247))*14)+MONTH(W247)+2,FALSE)))</f>
        <v>0</v>
      </c>
      <c r="AA247" s="306">
        <f t="shared" si="56"/>
        <v>0</v>
      </c>
      <c r="AB247" s="305">
        <f>+IF(W247=0,0,HLOOKUP(YEAR(W247)+(MONTH(W247)/100),TC!$5:$37,DAY(W247)+2,FALSE))</f>
        <v>0</v>
      </c>
      <c r="AC247" s="306">
        <f t="shared" si="57"/>
        <v>0</v>
      </c>
      <c r="AD247" s="314">
        <f t="shared" si="48"/>
        <v>0</v>
      </c>
      <c r="AE247" s="315">
        <f t="shared" si="58"/>
        <v>0</v>
      </c>
      <c r="AF247" s="316">
        <f t="shared" si="49"/>
        <v>0</v>
      </c>
      <c r="AG247" s="314">
        <v>1</v>
      </c>
      <c r="AH247" s="314">
        <f t="shared" si="59"/>
        <v>0</v>
      </c>
      <c r="AI247" s="314">
        <f t="shared" si="60"/>
        <v>0</v>
      </c>
      <c r="AJ247" s="317"/>
      <c r="AK247" s="315" t="e">
        <f t="shared" si="61"/>
        <v>#N/A</v>
      </c>
      <c r="AM247" s="553"/>
      <c r="AN247" s="553"/>
      <c r="AO247" s="553"/>
    </row>
    <row r="248" spans="2:41">
      <c r="B248" s="296"/>
      <c r="C248" s="299"/>
      <c r="D248" s="296"/>
      <c r="E248" s="298"/>
      <c r="F248" s="299"/>
      <c r="G248" s="300"/>
      <c r="H248" s="303"/>
      <c r="I248" s="303"/>
      <c r="J248" s="322">
        <f t="shared" si="47"/>
        <v>0</v>
      </c>
      <c r="K248" s="305" t="e">
        <f>IF(F248="MXN",1/HLOOKUP(YEAR(G248)+(MONTH(G248)/100),TC!$5:$37,DAY(G248)+2,FALSE),VLOOKUP(F248,Equivalencia!$5:$23,((MAX(Equivalencia!$3:$3)-YEAR(G248))*14)+MONTH(G248)+2,FALSE))</f>
        <v>#N/A</v>
      </c>
      <c r="L248" s="306" t="e">
        <f t="shared" si="50"/>
        <v>#N/A</v>
      </c>
      <c r="M248" s="305">
        <f>IF(G248=0,0,HLOOKUP(YEAR(G248)+(MONTH(G248)/100),TC!$5:$37,DAY(G248)+2,FALSE))</f>
        <v>0</v>
      </c>
      <c r="N248" s="306" t="e">
        <f t="shared" si="51"/>
        <v>#N/A</v>
      </c>
      <c r="O248" s="308">
        <f>IF(G248=0,0,VLOOKUP(YEAR(G248),INPC!$B$4:$P$30,MONTH(G248)+2))</f>
        <v>0</v>
      </c>
      <c r="P248" s="308">
        <f>IF(W248=0,0,IF(OR(C248=$AQ$5,C248=AQ252),VLOOKUP(YEAR(W248),INPC!$B$4:$P$30,MONTH(W248)+1),VLOOKUP(YEAR(W248),INPC!$B$4:$P$30,MONTH(W248)+2)))</f>
        <v>0</v>
      </c>
      <c r="Q248" s="309">
        <f t="shared" si="52"/>
        <v>0</v>
      </c>
      <c r="R248" s="310" t="e">
        <f t="shared" si="53"/>
        <v>#N/A</v>
      </c>
      <c r="S248" s="310">
        <f t="shared" si="54"/>
        <v>0</v>
      </c>
      <c r="T248" s="559" t="str">
        <f t="shared" si="55"/>
        <v>NO</v>
      </c>
      <c r="U248" s="323"/>
      <c r="V248" s="299"/>
      <c r="W248" s="300"/>
      <c r="X248" s="299"/>
      <c r="Y248" s="303"/>
      <c r="Z248" s="305">
        <f>IF(Y248=0,0,IF(X248="MXN",1/HLOOKUP(YEAR(W248)+(MONTH(W248)/100),TC!$5:$37,DAY(W248)+2,FALSE),VLOOKUP(X248,Equivalencia!$1:$23,((MAX(Equivalencia!$3:$3)-YEAR(W248))*14)+MONTH(W248)+2,FALSE)))</f>
        <v>0</v>
      </c>
      <c r="AA248" s="306">
        <f t="shared" si="56"/>
        <v>0</v>
      </c>
      <c r="AB248" s="305">
        <f>+IF(W248=0,0,HLOOKUP(YEAR(W248)+(MONTH(W248)/100),TC!$5:$37,DAY(W248)+2,FALSE))</f>
        <v>0</v>
      </c>
      <c r="AC248" s="306">
        <f t="shared" si="57"/>
        <v>0</v>
      </c>
      <c r="AD248" s="314">
        <f t="shared" si="48"/>
        <v>0</v>
      </c>
      <c r="AE248" s="315">
        <f t="shared" si="58"/>
        <v>0</v>
      </c>
      <c r="AF248" s="316">
        <f t="shared" si="49"/>
        <v>0</v>
      </c>
      <c r="AG248" s="314">
        <v>1</v>
      </c>
      <c r="AH248" s="314">
        <f t="shared" si="59"/>
        <v>0</v>
      </c>
      <c r="AI248" s="314">
        <f t="shared" si="60"/>
        <v>0</v>
      </c>
      <c r="AJ248" s="317"/>
      <c r="AK248" s="315" t="e">
        <f t="shared" si="61"/>
        <v>#N/A</v>
      </c>
      <c r="AM248" s="553"/>
      <c r="AN248" s="553"/>
      <c r="AO248" s="553"/>
    </row>
    <row r="249" spans="2:41">
      <c r="B249" s="296"/>
      <c r="C249" s="299"/>
      <c r="D249" s="296"/>
      <c r="E249" s="298"/>
      <c r="F249" s="299"/>
      <c r="G249" s="300"/>
      <c r="H249" s="303"/>
      <c r="I249" s="303"/>
      <c r="J249" s="322">
        <f t="shared" si="47"/>
        <v>0</v>
      </c>
      <c r="K249" s="305" t="e">
        <f>IF(F249="MXN",1/HLOOKUP(YEAR(G249)+(MONTH(G249)/100),TC!$5:$37,DAY(G249)+2,FALSE),VLOOKUP(F249,Equivalencia!$5:$23,((MAX(Equivalencia!$3:$3)-YEAR(G249))*14)+MONTH(G249)+2,FALSE))</f>
        <v>#N/A</v>
      </c>
      <c r="L249" s="306" t="e">
        <f t="shared" si="50"/>
        <v>#N/A</v>
      </c>
      <c r="M249" s="305">
        <f>IF(G249=0,0,HLOOKUP(YEAR(G249)+(MONTH(G249)/100),TC!$5:$37,DAY(G249)+2,FALSE))</f>
        <v>0</v>
      </c>
      <c r="N249" s="306" t="e">
        <f t="shared" si="51"/>
        <v>#N/A</v>
      </c>
      <c r="O249" s="308">
        <f>IF(G249=0,0,VLOOKUP(YEAR(G249),INPC!$B$4:$P$30,MONTH(G249)+2))</f>
        <v>0</v>
      </c>
      <c r="P249" s="308">
        <f>IF(W249=0,0,IF(OR(C249=$AQ$5,C249=AQ253),VLOOKUP(YEAR(W249),INPC!$B$4:$P$30,MONTH(W249)+1),VLOOKUP(YEAR(W249),INPC!$B$4:$P$30,MONTH(W249)+2)))</f>
        <v>0</v>
      </c>
      <c r="Q249" s="309">
        <f t="shared" si="52"/>
        <v>0</v>
      </c>
      <c r="R249" s="310" t="e">
        <f t="shared" si="53"/>
        <v>#N/A</v>
      </c>
      <c r="S249" s="310">
        <f t="shared" si="54"/>
        <v>0</v>
      </c>
      <c r="T249" s="559" t="str">
        <f t="shared" si="55"/>
        <v>NO</v>
      </c>
      <c r="U249" s="323"/>
      <c r="V249" s="299"/>
      <c r="W249" s="300"/>
      <c r="X249" s="299"/>
      <c r="Y249" s="303"/>
      <c r="Z249" s="305">
        <f>IF(Y249=0,0,IF(X249="MXN",1/HLOOKUP(YEAR(W249)+(MONTH(W249)/100),TC!$5:$37,DAY(W249)+2,FALSE),VLOOKUP(X249,Equivalencia!$1:$23,((MAX(Equivalencia!$3:$3)-YEAR(W249))*14)+MONTH(W249)+2,FALSE)))</f>
        <v>0</v>
      </c>
      <c r="AA249" s="306">
        <f t="shared" si="56"/>
        <v>0</v>
      </c>
      <c r="AB249" s="305">
        <f>+IF(W249=0,0,HLOOKUP(YEAR(W249)+(MONTH(W249)/100),TC!$5:$37,DAY(W249)+2,FALSE))</f>
        <v>0</v>
      </c>
      <c r="AC249" s="306">
        <f t="shared" si="57"/>
        <v>0</v>
      </c>
      <c r="AD249" s="314">
        <f t="shared" si="48"/>
        <v>0</v>
      </c>
      <c r="AE249" s="315">
        <f t="shared" si="58"/>
        <v>0</v>
      </c>
      <c r="AF249" s="316">
        <f t="shared" si="49"/>
        <v>0</v>
      </c>
      <c r="AG249" s="314">
        <v>1</v>
      </c>
      <c r="AH249" s="314">
        <f t="shared" si="59"/>
        <v>0</v>
      </c>
      <c r="AI249" s="314">
        <f t="shared" si="60"/>
        <v>0</v>
      </c>
      <c r="AJ249" s="317"/>
      <c r="AK249" s="315" t="e">
        <f t="shared" si="61"/>
        <v>#N/A</v>
      </c>
      <c r="AM249" s="553"/>
      <c r="AN249" s="553"/>
      <c r="AO249" s="553"/>
    </row>
    <row r="250" spans="2:41">
      <c r="B250" s="296"/>
      <c r="C250" s="299"/>
      <c r="D250" s="296"/>
      <c r="E250" s="298"/>
      <c r="F250" s="299"/>
      <c r="G250" s="300"/>
      <c r="H250" s="303"/>
      <c r="I250" s="303"/>
      <c r="J250" s="322">
        <f t="shared" si="47"/>
        <v>0</v>
      </c>
      <c r="K250" s="305" t="e">
        <f>IF(F250="MXN",1/HLOOKUP(YEAR(G250)+(MONTH(G250)/100),TC!$5:$37,DAY(G250)+2,FALSE),VLOOKUP(F250,Equivalencia!$5:$23,((MAX(Equivalencia!$3:$3)-YEAR(G250))*14)+MONTH(G250)+2,FALSE))</f>
        <v>#N/A</v>
      </c>
      <c r="L250" s="306" t="e">
        <f t="shared" si="50"/>
        <v>#N/A</v>
      </c>
      <c r="M250" s="305">
        <f>IF(G250=0,0,HLOOKUP(YEAR(G250)+(MONTH(G250)/100),TC!$5:$37,DAY(G250)+2,FALSE))</f>
        <v>0</v>
      </c>
      <c r="N250" s="306" t="e">
        <f t="shared" si="51"/>
        <v>#N/A</v>
      </c>
      <c r="O250" s="308">
        <f>IF(G250=0,0,VLOOKUP(YEAR(G250),INPC!$B$4:$P$30,MONTH(G250)+2))</f>
        <v>0</v>
      </c>
      <c r="P250" s="308">
        <f>IF(W250=0,0,IF(OR(C250=$AQ$5,C250=AQ254),VLOOKUP(YEAR(W250),INPC!$B$4:$P$30,MONTH(W250)+1),VLOOKUP(YEAR(W250),INPC!$B$4:$P$30,MONTH(W250)+2)))</f>
        <v>0</v>
      </c>
      <c r="Q250" s="309">
        <f t="shared" si="52"/>
        <v>0</v>
      </c>
      <c r="R250" s="310" t="e">
        <f t="shared" si="53"/>
        <v>#N/A</v>
      </c>
      <c r="S250" s="310">
        <f t="shared" si="54"/>
        <v>0</v>
      </c>
      <c r="T250" s="559" t="str">
        <f t="shared" si="55"/>
        <v>NO</v>
      </c>
      <c r="U250" s="323"/>
      <c r="V250" s="299"/>
      <c r="W250" s="300"/>
      <c r="X250" s="299"/>
      <c r="Y250" s="303"/>
      <c r="Z250" s="305">
        <f>IF(Y250=0,0,IF(X250="MXN",1/HLOOKUP(YEAR(W250)+(MONTH(W250)/100),TC!$5:$37,DAY(W250)+2,FALSE),VLOOKUP(X250,Equivalencia!$1:$23,((MAX(Equivalencia!$3:$3)-YEAR(W250))*14)+MONTH(W250)+2,FALSE)))</f>
        <v>0</v>
      </c>
      <c r="AA250" s="306">
        <f t="shared" si="56"/>
        <v>0</v>
      </c>
      <c r="AB250" s="305">
        <f>+IF(W250=0,0,HLOOKUP(YEAR(W250)+(MONTH(W250)/100),TC!$5:$37,DAY(W250)+2,FALSE))</f>
        <v>0</v>
      </c>
      <c r="AC250" s="306">
        <f t="shared" si="57"/>
        <v>0</v>
      </c>
      <c r="AD250" s="314">
        <f t="shared" si="48"/>
        <v>0</v>
      </c>
      <c r="AE250" s="315">
        <f t="shared" si="58"/>
        <v>0</v>
      </c>
      <c r="AF250" s="316">
        <f t="shared" si="49"/>
        <v>0</v>
      </c>
      <c r="AG250" s="314">
        <v>1</v>
      </c>
      <c r="AH250" s="314">
        <f t="shared" si="59"/>
        <v>0</v>
      </c>
      <c r="AI250" s="314">
        <f t="shared" si="60"/>
        <v>0</v>
      </c>
      <c r="AJ250" s="317"/>
      <c r="AK250" s="315" t="e">
        <f t="shared" si="61"/>
        <v>#N/A</v>
      </c>
      <c r="AM250" s="553"/>
      <c r="AN250" s="553"/>
      <c r="AO250" s="553"/>
    </row>
    <row r="251" spans="2:41">
      <c r="B251" s="296"/>
      <c r="C251" s="299"/>
      <c r="D251" s="296"/>
      <c r="E251" s="298"/>
      <c r="F251" s="299"/>
      <c r="G251" s="300"/>
      <c r="H251" s="303"/>
      <c r="I251" s="303"/>
      <c r="J251" s="322">
        <f t="shared" si="47"/>
        <v>0</v>
      </c>
      <c r="K251" s="305" t="e">
        <f>IF(F251="MXN",1/HLOOKUP(YEAR(G251)+(MONTH(G251)/100),TC!$5:$37,DAY(G251)+2,FALSE),VLOOKUP(F251,Equivalencia!$5:$23,((MAX(Equivalencia!$3:$3)-YEAR(G251))*14)+MONTH(G251)+2,FALSE))</f>
        <v>#N/A</v>
      </c>
      <c r="L251" s="306" t="e">
        <f t="shared" si="50"/>
        <v>#N/A</v>
      </c>
      <c r="M251" s="305">
        <f>IF(G251=0,0,HLOOKUP(YEAR(G251)+(MONTH(G251)/100),TC!$5:$37,DAY(G251)+2,FALSE))</f>
        <v>0</v>
      </c>
      <c r="N251" s="306" t="e">
        <f t="shared" si="51"/>
        <v>#N/A</v>
      </c>
      <c r="O251" s="308">
        <f>IF(G251=0,0,VLOOKUP(YEAR(G251),INPC!$B$4:$P$30,MONTH(G251)+2))</f>
        <v>0</v>
      </c>
      <c r="P251" s="308">
        <f>IF(W251=0,0,IF(OR(C251=$AQ$5,C251=AQ255),VLOOKUP(YEAR(W251),INPC!$B$4:$P$30,MONTH(W251)+1),VLOOKUP(YEAR(W251),INPC!$B$4:$P$30,MONTH(W251)+2)))</f>
        <v>0</v>
      </c>
      <c r="Q251" s="309">
        <f t="shared" si="52"/>
        <v>0</v>
      </c>
      <c r="R251" s="310" t="e">
        <f t="shared" si="53"/>
        <v>#N/A</v>
      </c>
      <c r="S251" s="310">
        <f t="shared" si="54"/>
        <v>0</v>
      </c>
      <c r="T251" s="559" t="str">
        <f t="shared" si="55"/>
        <v>NO</v>
      </c>
      <c r="U251" s="323"/>
      <c r="V251" s="299"/>
      <c r="W251" s="300"/>
      <c r="X251" s="299"/>
      <c r="Y251" s="303"/>
      <c r="Z251" s="305">
        <f>IF(Y251=0,0,IF(X251="MXN",1/HLOOKUP(YEAR(W251)+(MONTH(W251)/100),TC!$5:$37,DAY(W251)+2,FALSE),VLOOKUP(X251,Equivalencia!$1:$23,((MAX(Equivalencia!$3:$3)-YEAR(W251))*14)+MONTH(W251)+2,FALSE)))</f>
        <v>0</v>
      </c>
      <c r="AA251" s="306">
        <f t="shared" si="56"/>
        <v>0</v>
      </c>
      <c r="AB251" s="305">
        <f>+IF(W251=0,0,HLOOKUP(YEAR(W251)+(MONTH(W251)/100),TC!$5:$37,DAY(W251)+2,FALSE))</f>
        <v>0</v>
      </c>
      <c r="AC251" s="306">
        <f t="shared" si="57"/>
        <v>0</v>
      </c>
      <c r="AD251" s="314">
        <f t="shared" si="48"/>
        <v>0</v>
      </c>
      <c r="AE251" s="315">
        <f t="shared" si="58"/>
        <v>0</v>
      </c>
      <c r="AF251" s="316">
        <f t="shared" si="49"/>
        <v>0</v>
      </c>
      <c r="AG251" s="314">
        <v>1</v>
      </c>
      <c r="AH251" s="314">
        <f t="shared" si="59"/>
        <v>0</v>
      </c>
      <c r="AI251" s="314">
        <f t="shared" si="60"/>
        <v>0</v>
      </c>
      <c r="AJ251" s="317"/>
      <c r="AK251" s="315" t="e">
        <f t="shared" si="61"/>
        <v>#N/A</v>
      </c>
      <c r="AM251" s="553"/>
      <c r="AN251" s="553"/>
      <c r="AO251" s="553"/>
    </row>
    <row r="252" spans="2:41">
      <c r="B252" s="296"/>
      <c r="C252" s="299"/>
      <c r="D252" s="296"/>
      <c r="E252" s="298"/>
      <c r="F252" s="299"/>
      <c r="G252" s="300"/>
      <c r="H252" s="303"/>
      <c r="I252" s="303"/>
      <c r="J252" s="322">
        <f t="shared" si="47"/>
        <v>0</v>
      </c>
      <c r="K252" s="305" t="e">
        <f>IF(F252="MXN",1/HLOOKUP(YEAR(G252)+(MONTH(G252)/100),TC!$5:$37,DAY(G252)+2,FALSE),VLOOKUP(F252,Equivalencia!$5:$23,((MAX(Equivalencia!$3:$3)-YEAR(G252))*14)+MONTH(G252)+2,FALSE))</f>
        <v>#N/A</v>
      </c>
      <c r="L252" s="306" t="e">
        <f t="shared" si="50"/>
        <v>#N/A</v>
      </c>
      <c r="M252" s="305">
        <f>IF(G252=0,0,HLOOKUP(YEAR(G252)+(MONTH(G252)/100),TC!$5:$37,DAY(G252)+2,FALSE))</f>
        <v>0</v>
      </c>
      <c r="N252" s="306" t="e">
        <f t="shared" si="51"/>
        <v>#N/A</v>
      </c>
      <c r="O252" s="308">
        <f>IF(G252=0,0,VLOOKUP(YEAR(G252),INPC!$B$4:$P$30,MONTH(G252)+2))</f>
        <v>0</v>
      </c>
      <c r="P252" s="308">
        <f>IF(W252=0,0,IF(OR(C252=$AQ$5,C252=AQ256),VLOOKUP(YEAR(W252),INPC!$B$4:$P$30,MONTH(W252)+1),VLOOKUP(YEAR(W252),INPC!$B$4:$P$30,MONTH(W252)+2)))</f>
        <v>0</v>
      </c>
      <c r="Q252" s="309">
        <f t="shared" si="52"/>
        <v>0</v>
      </c>
      <c r="R252" s="310" t="e">
        <f t="shared" si="53"/>
        <v>#N/A</v>
      </c>
      <c r="S252" s="310">
        <f t="shared" si="54"/>
        <v>0</v>
      </c>
      <c r="T252" s="559" t="str">
        <f t="shared" si="55"/>
        <v>NO</v>
      </c>
      <c r="U252" s="323"/>
      <c r="V252" s="299"/>
      <c r="W252" s="300"/>
      <c r="X252" s="299"/>
      <c r="Y252" s="303"/>
      <c r="Z252" s="305">
        <f>IF(Y252=0,0,IF(X252="MXN",1/HLOOKUP(YEAR(W252)+(MONTH(W252)/100),TC!$5:$37,DAY(W252)+2,FALSE),VLOOKUP(X252,Equivalencia!$1:$23,((MAX(Equivalencia!$3:$3)-YEAR(W252))*14)+MONTH(W252)+2,FALSE)))</f>
        <v>0</v>
      </c>
      <c r="AA252" s="306">
        <f t="shared" si="56"/>
        <v>0</v>
      </c>
      <c r="AB252" s="305">
        <f>+IF(W252=0,0,HLOOKUP(YEAR(W252)+(MONTH(W252)/100),TC!$5:$37,DAY(W252)+2,FALSE))</f>
        <v>0</v>
      </c>
      <c r="AC252" s="306">
        <f t="shared" si="57"/>
        <v>0</v>
      </c>
      <c r="AD252" s="314">
        <f t="shared" si="48"/>
        <v>0</v>
      </c>
      <c r="AE252" s="315">
        <f t="shared" si="58"/>
        <v>0</v>
      </c>
      <c r="AF252" s="316">
        <f t="shared" si="49"/>
        <v>0</v>
      </c>
      <c r="AG252" s="314">
        <v>1</v>
      </c>
      <c r="AH252" s="314">
        <f t="shared" si="59"/>
        <v>0</v>
      </c>
      <c r="AI252" s="314">
        <f t="shared" si="60"/>
        <v>0</v>
      </c>
      <c r="AJ252" s="317"/>
      <c r="AK252" s="315" t="e">
        <f t="shared" si="61"/>
        <v>#N/A</v>
      </c>
      <c r="AM252" s="553"/>
      <c r="AN252" s="553"/>
      <c r="AO252" s="553"/>
    </row>
    <row r="253" spans="2:41">
      <c r="B253" s="296"/>
      <c r="C253" s="299"/>
      <c r="D253" s="296"/>
      <c r="E253" s="298"/>
      <c r="F253" s="299"/>
      <c r="G253" s="300"/>
      <c r="H253" s="303"/>
      <c r="I253" s="303"/>
      <c r="J253" s="322">
        <f t="shared" si="47"/>
        <v>0</v>
      </c>
      <c r="K253" s="305" t="e">
        <f>IF(F253="MXN",1/HLOOKUP(YEAR(G253)+(MONTH(G253)/100),TC!$5:$37,DAY(G253)+2,FALSE),VLOOKUP(F253,Equivalencia!$5:$23,((MAX(Equivalencia!$3:$3)-YEAR(G253))*14)+MONTH(G253)+2,FALSE))</f>
        <v>#N/A</v>
      </c>
      <c r="L253" s="306" t="e">
        <f t="shared" si="50"/>
        <v>#N/A</v>
      </c>
      <c r="M253" s="305">
        <f>IF(G253=0,0,HLOOKUP(YEAR(G253)+(MONTH(G253)/100),TC!$5:$37,DAY(G253)+2,FALSE))</f>
        <v>0</v>
      </c>
      <c r="N253" s="306" t="e">
        <f t="shared" si="51"/>
        <v>#N/A</v>
      </c>
      <c r="O253" s="308">
        <f>IF(G253=0,0,VLOOKUP(YEAR(G253),INPC!$B$4:$P$30,MONTH(G253)+2))</f>
        <v>0</v>
      </c>
      <c r="P253" s="308">
        <f>IF(W253=0,0,IF(OR(C253=$AQ$5,C253=AQ257),VLOOKUP(YEAR(W253),INPC!$B$4:$P$30,MONTH(W253)+1),VLOOKUP(YEAR(W253),INPC!$B$4:$P$30,MONTH(W253)+2)))</f>
        <v>0</v>
      </c>
      <c r="Q253" s="309">
        <f t="shared" si="52"/>
        <v>0</v>
      </c>
      <c r="R253" s="310" t="e">
        <f t="shared" si="53"/>
        <v>#N/A</v>
      </c>
      <c r="S253" s="310">
        <f t="shared" si="54"/>
        <v>0</v>
      </c>
      <c r="T253" s="559" t="str">
        <f t="shared" si="55"/>
        <v>NO</v>
      </c>
      <c r="U253" s="323"/>
      <c r="V253" s="299"/>
      <c r="W253" s="300"/>
      <c r="X253" s="299"/>
      <c r="Y253" s="303"/>
      <c r="Z253" s="305">
        <f>IF(Y253=0,0,IF(X253="MXN",1/HLOOKUP(YEAR(W253)+(MONTH(W253)/100),TC!$5:$37,DAY(W253)+2,FALSE),VLOOKUP(X253,Equivalencia!$1:$23,((MAX(Equivalencia!$3:$3)-YEAR(W253))*14)+MONTH(W253)+2,FALSE)))</f>
        <v>0</v>
      </c>
      <c r="AA253" s="306">
        <f t="shared" si="56"/>
        <v>0</v>
      </c>
      <c r="AB253" s="305">
        <f>+IF(W253=0,0,HLOOKUP(YEAR(W253)+(MONTH(W253)/100),TC!$5:$37,DAY(W253)+2,FALSE))</f>
        <v>0</v>
      </c>
      <c r="AC253" s="306">
        <f t="shared" si="57"/>
        <v>0</v>
      </c>
      <c r="AD253" s="314">
        <f t="shared" si="48"/>
        <v>0</v>
      </c>
      <c r="AE253" s="315">
        <f t="shared" si="58"/>
        <v>0</v>
      </c>
      <c r="AF253" s="316">
        <f t="shared" si="49"/>
        <v>0</v>
      </c>
      <c r="AG253" s="314">
        <v>1</v>
      </c>
      <c r="AH253" s="314">
        <f t="shared" si="59"/>
        <v>0</v>
      </c>
      <c r="AI253" s="314">
        <f t="shared" si="60"/>
        <v>0</v>
      </c>
      <c r="AJ253" s="317"/>
      <c r="AK253" s="315" t="e">
        <f t="shared" si="61"/>
        <v>#N/A</v>
      </c>
      <c r="AM253" s="553"/>
      <c r="AN253" s="553"/>
      <c r="AO253" s="553"/>
    </row>
    <row r="254" spans="2:41">
      <c r="B254" s="296"/>
      <c r="C254" s="299"/>
      <c r="D254" s="296"/>
      <c r="E254" s="298"/>
      <c r="F254" s="299"/>
      <c r="G254" s="300"/>
      <c r="H254" s="303"/>
      <c r="I254" s="303"/>
      <c r="J254" s="322">
        <f t="shared" si="47"/>
        <v>0</v>
      </c>
      <c r="K254" s="305" t="e">
        <f>IF(F254="MXN",1/HLOOKUP(YEAR(G254)+(MONTH(G254)/100),TC!$5:$37,DAY(G254)+2,FALSE),VLOOKUP(F254,Equivalencia!$5:$23,((MAX(Equivalencia!$3:$3)-YEAR(G254))*14)+MONTH(G254)+2,FALSE))</f>
        <v>#N/A</v>
      </c>
      <c r="L254" s="306" t="e">
        <f t="shared" si="50"/>
        <v>#N/A</v>
      </c>
      <c r="M254" s="305">
        <f>IF(G254=0,0,HLOOKUP(YEAR(G254)+(MONTH(G254)/100),TC!$5:$37,DAY(G254)+2,FALSE))</f>
        <v>0</v>
      </c>
      <c r="N254" s="306" t="e">
        <f t="shared" si="51"/>
        <v>#N/A</v>
      </c>
      <c r="O254" s="308">
        <f>IF(G254=0,0,VLOOKUP(YEAR(G254),INPC!$B$4:$P$30,MONTH(G254)+2))</f>
        <v>0</v>
      </c>
      <c r="P254" s="308">
        <f>IF(W254=0,0,IF(OR(C254=$AQ$5,C254=AQ258),VLOOKUP(YEAR(W254),INPC!$B$4:$P$30,MONTH(W254)+1),VLOOKUP(YEAR(W254),INPC!$B$4:$P$30,MONTH(W254)+2)))</f>
        <v>0</v>
      </c>
      <c r="Q254" s="309">
        <f t="shared" si="52"/>
        <v>0</v>
      </c>
      <c r="R254" s="310" t="e">
        <f t="shared" si="53"/>
        <v>#N/A</v>
      </c>
      <c r="S254" s="310">
        <f t="shared" si="54"/>
        <v>0</v>
      </c>
      <c r="T254" s="559" t="str">
        <f t="shared" si="55"/>
        <v>NO</v>
      </c>
      <c r="U254" s="323"/>
      <c r="V254" s="299"/>
      <c r="W254" s="300"/>
      <c r="X254" s="299"/>
      <c r="Y254" s="303"/>
      <c r="Z254" s="305">
        <f>IF(Y254=0,0,IF(X254="MXN",1/HLOOKUP(YEAR(W254)+(MONTH(W254)/100),TC!$5:$37,DAY(W254)+2,FALSE),VLOOKUP(X254,Equivalencia!$1:$23,((MAX(Equivalencia!$3:$3)-YEAR(W254))*14)+MONTH(W254)+2,FALSE)))</f>
        <v>0</v>
      </c>
      <c r="AA254" s="306">
        <f t="shared" si="56"/>
        <v>0</v>
      </c>
      <c r="AB254" s="305">
        <f>+IF(W254=0,0,HLOOKUP(YEAR(W254)+(MONTH(W254)/100),TC!$5:$37,DAY(W254)+2,FALSE))</f>
        <v>0</v>
      </c>
      <c r="AC254" s="306">
        <f t="shared" si="57"/>
        <v>0</v>
      </c>
      <c r="AD254" s="314">
        <f t="shared" si="48"/>
        <v>0</v>
      </c>
      <c r="AE254" s="315">
        <f t="shared" si="58"/>
        <v>0</v>
      </c>
      <c r="AF254" s="316">
        <f t="shared" si="49"/>
        <v>0</v>
      </c>
      <c r="AG254" s="314">
        <v>1</v>
      </c>
      <c r="AH254" s="314">
        <f t="shared" si="59"/>
        <v>0</v>
      </c>
      <c r="AI254" s="314">
        <f t="shared" si="60"/>
        <v>0</v>
      </c>
      <c r="AJ254" s="317"/>
      <c r="AK254" s="315" t="e">
        <f t="shared" si="61"/>
        <v>#N/A</v>
      </c>
      <c r="AM254" s="553"/>
      <c r="AN254" s="553"/>
      <c r="AO254" s="553"/>
    </row>
    <row r="255" spans="2:41">
      <c r="B255" s="296"/>
      <c r="C255" s="299"/>
      <c r="D255" s="296"/>
      <c r="E255" s="298"/>
      <c r="F255" s="299"/>
      <c r="G255" s="300"/>
      <c r="H255" s="303"/>
      <c r="I255" s="303"/>
      <c r="J255" s="322">
        <f t="shared" si="47"/>
        <v>0</v>
      </c>
      <c r="K255" s="305" t="e">
        <f>IF(F255="MXN",1/HLOOKUP(YEAR(G255)+(MONTH(G255)/100),TC!$5:$37,DAY(G255)+2,FALSE),VLOOKUP(F255,Equivalencia!$5:$23,((MAX(Equivalencia!$3:$3)-YEAR(G255))*14)+MONTH(G255)+2,FALSE))</f>
        <v>#N/A</v>
      </c>
      <c r="L255" s="306" t="e">
        <f t="shared" si="50"/>
        <v>#N/A</v>
      </c>
      <c r="M255" s="305">
        <f>IF(G255=0,0,HLOOKUP(YEAR(G255)+(MONTH(G255)/100),TC!$5:$37,DAY(G255)+2,FALSE))</f>
        <v>0</v>
      </c>
      <c r="N255" s="306" t="e">
        <f t="shared" si="51"/>
        <v>#N/A</v>
      </c>
      <c r="O255" s="308">
        <f>IF(G255=0,0,VLOOKUP(YEAR(G255),INPC!$B$4:$P$30,MONTH(G255)+2))</f>
        <v>0</v>
      </c>
      <c r="P255" s="308">
        <f>IF(W255=0,0,IF(OR(C255=$AQ$5,C255=AQ259),VLOOKUP(YEAR(W255),INPC!$B$4:$P$30,MONTH(W255)+1),VLOOKUP(YEAR(W255),INPC!$B$4:$P$30,MONTH(W255)+2)))</f>
        <v>0</v>
      </c>
      <c r="Q255" s="309">
        <f t="shared" si="52"/>
        <v>0</v>
      </c>
      <c r="R255" s="310" t="e">
        <f t="shared" si="53"/>
        <v>#N/A</v>
      </c>
      <c r="S255" s="310">
        <f t="shared" si="54"/>
        <v>0</v>
      </c>
      <c r="T255" s="559" t="str">
        <f t="shared" si="55"/>
        <v>NO</v>
      </c>
      <c r="U255" s="323"/>
      <c r="V255" s="299"/>
      <c r="W255" s="300"/>
      <c r="X255" s="299"/>
      <c r="Y255" s="303"/>
      <c r="Z255" s="305">
        <f>IF(Y255=0,0,IF(X255="MXN",1/HLOOKUP(YEAR(W255)+(MONTH(W255)/100),TC!$5:$37,DAY(W255)+2,FALSE),VLOOKUP(X255,Equivalencia!$1:$23,((MAX(Equivalencia!$3:$3)-YEAR(W255))*14)+MONTH(W255)+2,FALSE)))</f>
        <v>0</v>
      </c>
      <c r="AA255" s="306">
        <f t="shared" si="56"/>
        <v>0</v>
      </c>
      <c r="AB255" s="305">
        <f>+IF(W255=0,0,HLOOKUP(YEAR(W255)+(MONTH(W255)/100),TC!$5:$37,DAY(W255)+2,FALSE))</f>
        <v>0</v>
      </c>
      <c r="AC255" s="306">
        <f t="shared" si="57"/>
        <v>0</v>
      </c>
      <c r="AD255" s="314">
        <f t="shared" si="48"/>
        <v>0</v>
      </c>
      <c r="AE255" s="315">
        <f t="shared" si="58"/>
        <v>0</v>
      </c>
      <c r="AF255" s="316">
        <f t="shared" si="49"/>
        <v>0</v>
      </c>
      <c r="AG255" s="314">
        <v>1</v>
      </c>
      <c r="AH255" s="314">
        <f t="shared" si="59"/>
        <v>0</v>
      </c>
      <c r="AI255" s="314">
        <f t="shared" si="60"/>
        <v>0</v>
      </c>
      <c r="AJ255" s="317"/>
      <c r="AK255" s="315" t="e">
        <f t="shared" si="61"/>
        <v>#N/A</v>
      </c>
      <c r="AM255" s="553"/>
      <c r="AN255" s="553"/>
      <c r="AO255" s="553"/>
    </row>
    <row r="256" spans="2:41">
      <c r="B256" s="296"/>
      <c r="C256" s="299"/>
      <c r="D256" s="296"/>
      <c r="E256" s="298"/>
      <c r="F256" s="299"/>
      <c r="G256" s="300"/>
      <c r="H256" s="303"/>
      <c r="I256" s="303"/>
      <c r="J256" s="322">
        <f t="shared" si="47"/>
        <v>0</v>
      </c>
      <c r="K256" s="305" t="e">
        <f>IF(F256="MXN",1/HLOOKUP(YEAR(G256)+(MONTH(G256)/100),TC!$5:$37,DAY(G256)+2,FALSE),VLOOKUP(F256,Equivalencia!$5:$23,((MAX(Equivalencia!$3:$3)-YEAR(G256))*14)+MONTH(G256)+2,FALSE))</f>
        <v>#N/A</v>
      </c>
      <c r="L256" s="306" t="e">
        <f t="shared" si="50"/>
        <v>#N/A</v>
      </c>
      <c r="M256" s="305">
        <f>IF(G256=0,0,HLOOKUP(YEAR(G256)+(MONTH(G256)/100),TC!$5:$37,DAY(G256)+2,FALSE))</f>
        <v>0</v>
      </c>
      <c r="N256" s="306" t="e">
        <f t="shared" si="51"/>
        <v>#N/A</v>
      </c>
      <c r="O256" s="308">
        <f>IF(G256=0,0,VLOOKUP(YEAR(G256),INPC!$B$4:$P$30,MONTH(G256)+2))</f>
        <v>0</v>
      </c>
      <c r="P256" s="308">
        <f>IF(W256=0,0,IF(OR(C256=$AQ$5,C256=AQ260),VLOOKUP(YEAR(W256),INPC!$B$4:$P$30,MONTH(W256)+1),VLOOKUP(YEAR(W256),INPC!$B$4:$P$30,MONTH(W256)+2)))</f>
        <v>0</v>
      </c>
      <c r="Q256" s="309">
        <f t="shared" si="52"/>
        <v>0</v>
      </c>
      <c r="R256" s="310" t="e">
        <f t="shared" si="53"/>
        <v>#N/A</v>
      </c>
      <c r="S256" s="310">
        <f t="shared" si="54"/>
        <v>0</v>
      </c>
      <c r="T256" s="559" t="str">
        <f t="shared" si="55"/>
        <v>NO</v>
      </c>
      <c r="U256" s="323"/>
      <c r="V256" s="299"/>
      <c r="W256" s="300"/>
      <c r="X256" s="299"/>
      <c r="Y256" s="303"/>
      <c r="Z256" s="305">
        <f>IF(Y256=0,0,IF(X256="MXN",1/HLOOKUP(YEAR(W256)+(MONTH(W256)/100),TC!$5:$37,DAY(W256)+2,FALSE),VLOOKUP(X256,Equivalencia!$1:$23,((MAX(Equivalencia!$3:$3)-YEAR(W256))*14)+MONTH(W256)+2,FALSE)))</f>
        <v>0</v>
      </c>
      <c r="AA256" s="306">
        <f t="shared" si="56"/>
        <v>0</v>
      </c>
      <c r="AB256" s="305">
        <f>+IF(W256=0,0,HLOOKUP(YEAR(W256)+(MONTH(W256)/100),TC!$5:$37,DAY(W256)+2,FALSE))</f>
        <v>0</v>
      </c>
      <c r="AC256" s="306">
        <f t="shared" si="57"/>
        <v>0</v>
      </c>
      <c r="AD256" s="314">
        <f t="shared" si="48"/>
        <v>0</v>
      </c>
      <c r="AE256" s="315">
        <f t="shared" si="58"/>
        <v>0</v>
      </c>
      <c r="AF256" s="316">
        <f t="shared" si="49"/>
        <v>0</v>
      </c>
      <c r="AG256" s="314">
        <v>1</v>
      </c>
      <c r="AH256" s="314">
        <f t="shared" si="59"/>
        <v>0</v>
      </c>
      <c r="AI256" s="314">
        <f t="shared" si="60"/>
        <v>0</v>
      </c>
      <c r="AJ256" s="317"/>
      <c r="AK256" s="315" t="e">
        <f t="shared" si="61"/>
        <v>#N/A</v>
      </c>
      <c r="AM256" s="553"/>
      <c r="AN256" s="553"/>
      <c r="AO256" s="553"/>
    </row>
    <row r="257" spans="2:41">
      <c r="B257" s="296"/>
      <c r="C257" s="299"/>
      <c r="D257" s="296"/>
      <c r="E257" s="298"/>
      <c r="F257" s="299"/>
      <c r="G257" s="300"/>
      <c r="H257" s="303"/>
      <c r="I257" s="303"/>
      <c r="J257" s="322">
        <f t="shared" si="47"/>
        <v>0</v>
      </c>
      <c r="K257" s="305" t="e">
        <f>IF(F257="MXN",1/HLOOKUP(YEAR(G257)+(MONTH(G257)/100),TC!$5:$37,DAY(G257)+2,FALSE),VLOOKUP(F257,Equivalencia!$5:$23,((MAX(Equivalencia!$3:$3)-YEAR(G257))*14)+MONTH(G257)+2,FALSE))</f>
        <v>#N/A</v>
      </c>
      <c r="L257" s="306" t="e">
        <f t="shared" si="50"/>
        <v>#N/A</v>
      </c>
      <c r="M257" s="305">
        <f>IF(G257=0,0,HLOOKUP(YEAR(G257)+(MONTH(G257)/100),TC!$5:$37,DAY(G257)+2,FALSE))</f>
        <v>0</v>
      </c>
      <c r="N257" s="306" t="e">
        <f t="shared" si="51"/>
        <v>#N/A</v>
      </c>
      <c r="O257" s="308">
        <f>IF(G257=0,0,VLOOKUP(YEAR(G257),INPC!$B$4:$P$30,MONTH(G257)+2))</f>
        <v>0</v>
      </c>
      <c r="P257" s="308">
        <f>IF(W257=0,0,IF(OR(C257=$AQ$5,C257=AQ261),VLOOKUP(YEAR(W257),INPC!$B$4:$P$30,MONTH(W257)+1),VLOOKUP(YEAR(W257),INPC!$B$4:$P$30,MONTH(W257)+2)))</f>
        <v>0</v>
      </c>
      <c r="Q257" s="309">
        <f t="shared" si="52"/>
        <v>0</v>
      </c>
      <c r="R257" s="310" t="e">
        <f t="shared" si="53"/>
        <v>#N/A</v>
      </c>
      <c r="S257" s="310">
        <f t="shared" si="54"/>
        <v>0</v>
      </c>
      <c r="T257" s="559" t="str">
        <f t="shared" si="55"/>
        <v>NO</v>
      </c>
      <c r="U257" s="323"/>
      <c r="V257" s="299"/>
      <c r="W257" s="300"/>
      <c r="X257" s="299"/>
      <c r="Y257" s="303"/>
      <c r="Z257" s="305">
        <f>IF(Y257=0,0,IF(X257="MXN",1/HLOOKUP(YEAR(W257)+(MONTH(W257)/100),TC!$5:$37,DAY(W257)+2,FALSE),VLOOKUP(X257,Equivalencia!$1:$23,((MAX(Equivalencia!$3:$3)-YEAR(W257))*14)+MONTH(W257)+2,FALSE)))</f>
        <v>0</v>
      </c>
      <c r="AA257" s="306">
        <f t="shared" si="56"/>
        <v>0</v>
      </c>
      <c r="AB257" s="305">
        <f>+IF(W257=0,0,HLOOKUP(YEAR(W257)+(MONTH(W257)/100),TC!$5:$37,DAY(W257)+2,FALSE))</f>
        <v>0</v>
      </c>
      <c r="AC257" s="306">
        <f t="shared" si="57"/>
        <v>0</v>
      </c>
      <c r="AD257" s="314">
        <f t="shared" si="48"/>
        <v>0</v>
      </c>
      <c r="AE257" s="315">
        <f t="shared" si="58"/>
        <v>0</v>
      </c>
      <c r="AF257" s="316">
        <f t="shared" si="49"/>
        <v>0</v>
      </c>
      <c r="AG257" s="314">
        <v>1</v>
      </c>
      <c r="AH257" s="314">
        <f t="shared" si="59"/>
        <v>0</v>
      </c>
      <c r="AI257" s="314">
        <f t="shared" si="60"/>
        <v>0</v>
      </c>
      <c r="AJ257" s="317"/>
      <c r="AK257" s="315" t="e">
        <f t="shared" si="61"/>
        <v>#N/A</v>
      </c>
      <c r="AM257" s="553"/>
      <c r="AN257" s="553"/>
      <c r="AO257" s="553"/>
    </row>
    <row r="258" spans="2:41">
      <c r="B258" s="296"/>
      <c r="C258" s="299"/>
      <c r="D258" s="296"/>
      <c r="E258" s="298"/>
      <c r="F258" s="299"/>
      <c r="G258" s="300"/>
      <c r="H258" s="303"/>
      <c r="I258" s="303"/>
      <c r="J258" s="322">
        <f t="shared" ref="J258:J321" si="62">IF(E258=0,0,IF(OR(C258=$AQ$5,C258=$AQ$6),"Derivados Cap IV, Sec II - SIC &amp; BMV","Derivados Cap IX - No SIC"))</f>
        <v>0</v>
      </c>
      <c r="K258" s="305" t="e">
        <f>IF(F258="MXN",1/HLOOKUP(YEAR(G258)+(MONTH(G258)/100),TC!$5:$37,DAY(G258)+2,FALSE),VLOOKUP(F258,Equivalencia!$5:$23,((MAX(Equivalencia!$3:$3)-YEAR(G258))*14)+MONTH(G258)+2,FALSE))</f>
        <v>#N/A</v>
      </c>
      <c r="L258" s="306" t="e">
        <f t="shared" si="50"/>
        <v>#N/A</v>
      </c>
      <c r="M258" s="305">
        <f>IF(G258=0,0,HLOOKUP(YEAR(G258)+(MONTH(G258)/100),TC!$5:$37,DAY(G258)+2,FALSE))</f>
        <v>0</v>
      </c>
      <c r="N258" s="306" t="e">
        <f t="shared" si="51"/>
        <v>#N/A</v>
      </c>
      <c r="O258" s="308">
        <f>IF(G258=0,0,VLOOKUP(YEAR(G258),INPC!$B$4:$P$30,MONTH(G258)+2))</f>
        <v>0</v>
      </c>
      <c r="P258" s="308">
        <f>IF(W258=0,0,IF(OR(C258=$AQ$5,C258=AQ262),VLOOKUP(YEAR(W258),INPC!$B$4:$P$30,MONTH(W258)+1),VLOOKUP(YEAR(W258),INPC!$B$4:$P$30,MONTH(W258)+2)))</f>
        <v>0</v>
      </c>
      <c r="Q258" s="309">
        <f t="shared" si="52"/>
        <v>0</v>
      </c>
      <c r="R258" s="310" t="e">
        <f t="shared" si="53"/>
        <v>#N/A</v>
      </c>
      <c r="S258" s="310">
        <f t="shared" si="54"/>
        <v>0</v>
      </c>
      <c r="T258" s="559" t="str">
        <f t="shared" si="55"/>
        <v>NO</v>
      </c>
      <c r="U258" s="323"/>
      <c r="V258" s="299"/>
      <c r="W258" s="300"/>
      <c r="X258" s="299"/>
      <c r="Y258" s="303"/>
      <c r="Z258" s="305">
        <f>IF(Y258=0,0,IF(X258="MXN",1/HLOOKUP(YEAR(W258)+(MONTH(W258)/100),TC!$5:$37,DAY(W258)+2,FALSE),VLOOKUP(X258,Equivalencia!$1:$23,((MAX(Equivalencia!$3:$3)-YEAR(W258))*14)+MONTH(W258)+2,FALSE)))</f>
        <v>0</v>
      </c>
      <c r="AA258" s="306">
        <f t="shared" si="56"/>
        <v>0</v>
      </c>
      <c r="AB258" s="305">
        <f>+IF(W258=0,0,HLOOKUP(YEAR(W258)+(MONTH(W258)/100),TC!$5:$37,DAY(W258)+2,FALSE))</f>
        <v>0</v>
      </c>
      <c r="AC258" s="306">
        <f t="shared" si="57"/>
        <v>0</v>
      </c>
      <c r="AD258" s="314">
        <f t="shared" ref="AD258:AD321" si="63">+U258*S258</f>
        <v>0</v>
      </c>
      <c r="AE258" s="315">
        <f t="shared" si="58"/>
        <v>0</v>
      </c>
      <c r="AF258" s="316">
        <f t="shared" ref="AF258:AF321" si="64">+IF(OR(C258=$AQ$5,C258=$AQ$6),1,((W258-G258)/365))</f>
        <v>0</v>
      </c>
      <c r="AG258" s="314">
        <v>1</v>
      </c>
      <c r="AH258" s="314">
        <f t="shared" si="59"/>
        <v>0</v>
      </c>
      <c r="AI258" s="314">
        <f t="shared" si="60"/>
        <v>0</v>
      </c>
      <c r="AJ258" s="317"/>
      <c r="AK258" s="315" t="e">
        <f t="shared" si="61"/>
        <v>#N/A</v>
      </c>
      <c r="AM258" s="553"/>
      <c r="AN258" s="553"/>
      <c r="AO258" s="553"/>
    </row>
    <row r="259" spans="2:41">
      <c r="B259" s="296"/>
      <c r="C259" s="299"/>
      <c r="D259" s="296"/>
      <c r="E259" s="298"/>
      <c r="F259" s="299"/>
      <c r="G259" s="300"/>
      <c r="H259" s="303"/>
      <c r="I259" s="303"/>
      <c r="J259" s="322">
        <f t="shared" si="62"/>
        <v>0</v>
      </c>
      <c r="K259" s="305" t="e">
        <f>IF(F259="MXN",1/HLOOKUP(YEAR(G259)+(MONTH(G259)/100),TC!$5:$37,DAY(G259)+2,FALSE),VLOOKUP(F259,Equivalencia!$5:$23,((MAX(Equivalencia!$3:$3)-YEAR(G259))*14)+MONTH(G259)+2,FALSE))</f>
        <v>#N/A</v>
      </c>
      <c r="L259" s="306" t="e">
        <f t="shared" ref="L259:L322" si="65">+I259*K259</f>
        <v>#N/A</v>
      </c>
      <c r="M259" s="305">
        <f>IF(G259=0,0,HLOOKUP(YEAR(G259)+(MONTH(G259)/100),TC!$5:$37,DAY(G259)+2,FALSE))</f>
        <v>0</v>
      </c>
      <c r="N259" s="306" t="e">
        <f t="shared" ref="N259:N322" si="66">+L259*M259</f>
        <v>#N/A</v>
      </c>
      <c r="O259" s="308">
        <f>IF(G259=0,0,VLOOKUP(YEAR(G259),INPC!$B$4:$P$30,MONTH(G259)+2))</f>
        <v>0</v>
      </c>
      <c r="P259" s="308">
        <f>IF(W259=0,0,IF(OR(C259=$AQ$5,C259=AQ263),VLOOKUP(YEAR(W259),INPC!$B$4:$P$30,MONTH(W259)+1),VLOOKUP(YEAR(W259),INPC!$B$4:$P$30,MONTH(W259)+2)))</f>
        <v>0</v>
      </c>
      <c r="Q259" s="309">
        <f t="shared" ref="Q259:Q322" si="67">IF(W259=0,0,IF(TRUNC(P259/O259,4)&gt;=1,TRUNC(P259/O259,4),1))</f>
        <v>0</v>
      </c>
      <c r="R259" s="310" t="e">
        <f t="shared" ref="R259:R322" si="68">+Q259*N259</f>
        <v>#N/A</v>
      </c>
      <c r="S259" s="310">
        <f t="shared" ref="S259:S322" si="69">IF(U259=0,0,R259/U259)</f>
        <v>0</v>
      </c>
      <c r="T259" s="559" t="str">
        <f t="shared" ref="T259:T322" si="70">+IF(W259=0,"NO","SI")</f>
        <v>NO</v>
      </c>
      <c r="U259" s="323"/>
      <c r="V259" s="299"/>
      <c r="W259" s="300"/>
      <c r="X259" s="299"/>
      <c r="Y259" s="303"/>
      <c r="Z259" s="305">
        <f>IF(Y259=0,0,IF(X259="MXN",1/HLOOKUP(YEAR(W259)+(MONTH(W259)/100),TC!$5:$37,DAY(W259)+2,FALSE),VLOOKUP(X259,Equivalencia!$1:$23,((MAX(Equivalencia!$3:$3)-YEAR(W259))*14)+MONTH(W259)+2,FALSE)))</f>
        <v>0</v>
      </c>
      <c r="AA259" s="306">
        <f t="shared" ref="AA259:AA322" si="71">+Z259*Y259</f>
        <v>0</v>
      </c>
      <c r="AB259" s="305">
        <f>+IF(W259=0,0,HLOOKUP(YEAR(W259)+(MONTH(W259)/100),TC!$5:$37,DAY(W259)+2,FALSE))</f>
        <v>0</v>
      </c>
      <c r="AC259" s="306">
        <f t="shared" ref="AC259:AC322" si="72">+AB259*AA259</f>
        <v>0</v>
      </c>
      <c r="AD259" s="314">
        <f t="shared" si="63"/>
        <v>0</v>
      </c>
      <c r="AE259" s="315">
        <f t="shared" ref="AE259:AE322" si="73">AC259+AD259</f>
        <v>0</v>
      </c>
      <c r="AF259" s="316">
        <f t="shared" si="64"/>
        <v>0</v>
      </c>
      <c r="AG259" s="314">
        <v>1</v>
      </c>
      <c r="AH259" s="314">
        <f t="shared" ref="AH259:AH322" si="74">(AE259/AG259)</f>
        <v>0</v>
      </c>
      <c r="AI259" s="314">
        <f t="shared" ref="AI259:AI322" si="75">+AE259-AH259</f>
        <v>0</v>
      </c>
      <c r="AJ259" s="317"/>
      <c r="AK259" s="315" t="e">
        <f t="shared" ref="AK259:AK322" si="76">+AA259+L259</f>
        <v>#N/A</v>
      </c>
      <c r="AM259" s="553"/>
      <c r="AN259" s="553"/>
      <c r="AO259" s="553"/>
    </row>
    <row r="260" spans="2:41">
      <c r="B260" s="296"/>
      <c r="C260" s="299"/>
      <c r="D260" s="296"/>
      <c r="E260" s="298"/>
      <c r="F260" s="299"/>
      <c r="G260" s="300"/>
      <c r="H260" s="303"/>
      <c r="I260" s="303"/>
      <c r="J260" s="322">
        <f t="shared" si="62"/>
        <v>0</v>
      </c>
      <c r="K260" s="305" t="e">
        <f>IF(F260="MXN",1/HLOOKUP(YEAR(G260)+(MONTH(G260)/100),TC!$5:$37,DAY(G260)+2,FALSE),VLOOKUP(F260,Equivalencia!$5:$23,((MAX(Equivalencia!$3:$3)-YEAR(G260))*14)+MONTH(G260)+2,FALSE))</f>
        <v>#N/A</v>
      </c>
      <c r="L260" s="306" t="e">
        <f t="shared" si="65"/>
        <v>#N/A</v>
      </c>
      <c r="M260" s="305">
        <f>IF(G260=0,0,HLOOKUP(YEAR(G260)+(MONTH(G260)/100),TC!$5:$37,DAY(G260)+2,FALSE))</f>
        <v>0</v>
      </c>
      <c r="N260" s="306" t="e">
        <f t="shared" si="66"/>
        <v>#N/A</v>
      </c>
      <c r="O260" s="308">
        <f>IF(G260=0,0,VLOOKUP(YEAR(G260),INPC!$B$4:$P$30,MONTH(G260)+2))</f>
        <v>0</v>
      </c>
      <c r="P260" s="308">
        <f>IF(W260=0,0,IF(OR(C260=$AQ$5,C260=AQ264),VLOOKUP(YEAR(W260),INPC!$B$4:$P$30,MONTH(W260)+1),VLOOKUP(YEAR(W260),INPC!$B$4:$P$30,MONTH(W260)+2)))</f>
        <v>0</v>
      </c>
      <c r="Q260" s="309">
        <f t="shared" si="67"/>
        <v>0</v>
      </c>
      <c r="R260" s="310" t="e">
        <f t="shared" si="68"/>
        <v>#N/A</v>
      </c>
      <c r="S260" s="310">
        <f t="shared" si="69"/>
        <v>0</v>
      </c>
      <c r="T260" s="559" t="str">
        <f t="shared" si="70"/>
        <v>NO</v>
      </c>
      <c r="U260" s="323"/>
      <c r="V260" s="299"/>
      <c r="W260" s="300"/>
      <c r="X260" s="299"/>
      <c r="Y260" s="303"/>
      <c r="Z260" s="305">
        <f>IF(Y260=0,0,IF(X260="MXN",1/HLOOKUP(YEAR(W260)+(MONTH(W260)/100),TC!$5:$37,DAY(W260)+2,FALSE),VLOOKUP(X260,Equivalencia!$1:$23,((MAX(Equivalencia!$3:$3)-YEAR(W260))*14)+MONTH(W260)+2,FALSE)))</f>
        <v>0</v>
      </c>
      <c r="AA260" s="306">
        <f t="shared" si="71"/>
        <v>0</v>
      </c>
      <c r="AB260" s="305">
        <f>+IF(W260=0,0,HLOOKUP(YEAR(W260)+(MONTH(W260)/100),TC!$5:$37,DAY(W260)+2,FALSE))</f>
        <v>0</v>
      </c>
      <c r="AC260" s="306">
        <f t="shared" si="72"/>
        <v>0</v>
      </c>
      <c r="AD260" s="314">
        <f t="shared" si="63"/>
        <v>0</v>
      </c>
      <c r="AE260" s="315">
        <f t="shared" si="73"/>
        <v>0</v>
      </c>
      <c r="AF260" s="316">
        <f t="shared" si="64"/>
        <v>0</v>
      </c>
      <c r="AG260" s="314">
        <v>1</v>
      </c>
      <c r="AH260" s="314">
        <f t="shared" si="74"/>
        <v>0</v>
      </c>
      <c r="AI260" s="314">
        <f t="shared" si="75"/>
        <v>0</v>
      </c>
      <c r="AJ260" s="317"/>
      <c r="AK260" s="315" t="e">
        <f t="shared" si="76"/>
        <v>#N/A</v>
      </c>
      <c r="AM260" s="553"/>
      <c r="AN260" s="553"/>
      <c r="AO260" s="553"/>
    </row>
    <row r="261" spans="2:41">
      <c r="B261" s="296"/>
      <c r="C261" s="299"/>
      <c r="D261" s="296"/>
      <c r="E261" s="298"/>
      <c r="F261" s="299"/>
      <c r="G261" s="300"/>
      <c r="H261" s="303"/>
      <c r="I261" s="303"/>
      <c r="J261" s="322">
        <f t="shared" si="62"/>
        <v>0</v>
      </c>
      <c r="K261" s="305" t="e">
        <f>IF(F261="MXN",1/HLOOKUP(YEAR(G261)+(MONTH(G261)/100),TC!$5:$37,DAY(G261)+2,FALSE),VLOOKUP(F261,Equivalencia!$5:$23,((MAX(Equivalencia!$3:$3)-YEAR(G261))*14)+MONTH(G261)+2,FALSE))</f>
        <v>#N/A</v>
      </c>
      <c r="L261" s="306" t="e">
        <f t="shared" si="65"/>
        <v>#N/A</v>
      </c>
      <c r="M261" s="305">
        <f>IF(G261=0,0,HLOOKUP(YEAR(G261)+(MONTH(G261)/100),TC!$5:$37,DAY(G261)+2,FALSE))</f>
        <v>0</v>
      </c>
      <c r="N261" s="306" t="e">
        <f t="shared" si="66"/>
        <v>#N/A</v>
      </c>
      <c r="O261" s="308">
        <f>IF(G261=0,0,VLOOKUP(YEAR(G261),INPC!$B$4:$P$30,MONTH(G261)+2))</f>
        <v>0</v>
      </c>
      <c r="P261" s="308">
        <f>IF(W261=0,0,IF(OR(C261=$AQ$5,C261=AQ265),VLOOKUP(YEAR(W261),INPC!$B$4:$P$30,MONTH(W261)+1),VLOOKUP(YEAR(W261),INPC!$B$4:$P$30,MONTH(W261)+2)))</f>
        <v>0</v>
      </c>
      <c r="Q261" s="309">
        <f t="shared" si="67"/>
        <v>0</v>
      </c>
      <c r="R261" s="310" t="e">
        <f t="shared" si="68"/>
        <v>#N/A</v>
      </c>
      <c r="S261" s="310">
        <f t="shared" si="69"/>
        <v>0</v>
      </c>
      <c r="T261" s="559" t="str">
        <f t="shared" si="70"/>
        <v>NO</v>
      </c>
      <c r="U261" s="323"/>
      <c r="V261" s="299"/>
      <c r="W261" s="300"/>
      <c r="X261" s="299"/>
      <c r="Y261" s="303"/>
      <c r="Z261" s="305">
        <f>IF(Y261=0,0,IF(X261="MXN",1/HLOOKUP(YEAR(W261)+(MONTH(W261)/100),TC!$5:$37,DAY(W261)+2,FALSE),VLOOKUP(X261,Equivalencia!$1:$23,((MAX(Equivalencia!$3:$3)-YEAR(W261))*14)+MONTH(W261)+2,FALSE)))</f>
        <v>0</v>
      </c>
      <c r="AA261" s="306">
        <f t="shared" si="71"/>
        <v>0</v>
      </c>
      <c r="AB261" s="305">
        <f>+IF(W261=0,0,HLOOKUP(YEAR(W261)+(MONTH(W261)/100),TC!$5:$37,DAY(W261)+2,FALSE))</f>
        <v>0</v>
      </c>
      <c r="AC261" s="306">
        <f t="shared" si="72"/>
        <v>0</v>
      </c>
      <c r="AD261" s="314">
        <f t="shared" si="63"/>
        <v>0</v>
      </c>
      <c r="AE261" s="315">
        <f t="shared" si="73"/>
        <v>0</v>
      </c>
      <c r="AF261" s="316">
        <f t="shared" si="64"/>
        <v>0</v>
      </c>
      <c r="AG261" s="314">
        <v>1</v>
      </c>
      <c r="AH261" s="314">
        <f t="shared" si="74"/>
        <v>0</v>
      </c>
      <c r="AI261" s="314">
        <f t="shared" si="75"/>
        <v>0</v>
      </c>
      <c r="AJ261" s="317"/>
      <c r="AK261" s="315" t="e">
        <f t="shared" si="76"/>
        <v>#N/A</v>
      </c>
      <c r="AM261" s="553"/>
      <c r="AN261" s="553"/>
      <c r="AO261" s="553"/>
    </row>
    <row r="262" spans="2:41">
      <c r="B262" s="296"/>
      <c r="C262" s="299"/>
      <c r="D262" s="296"/>
      <c r="E262" s="298"/>
      <c r="F262" s="299"/>
      <c r="G262" s="300"/>
      <c r="H262" s="303"/>
      <c r="I262" s="303"/>
      <c r="J262" s="322">
        <f t="shared" si="62"/>
        <v>0</v>
      </c>
      <c r="K262" s="305" t="e">
        <f>IF(F262="MXN",1/HLOOKUP(YEAR(G262)+(MONTH(G262)/100),TC!$5:$37,DAY(G262)+2,FALSE),VLOOKUP(F262,Equivalencia!$5:$23,((MAX(Equivalencia!$3:$3)-YEAR(G262))*14)+MONTH(G262)+2,FALSE))</f>
        <v>#N/A</v>
      </c>
      <c r="L262" s="306" t="e">
        <f t="shared" si="65"/>
        <v>#N/A</v>
      </c>
      <c r="M262" s="305">
        <f>IF(G262=0,0,HLOOKUP(YEAR(G262)+(MONTH(G262)/100),TC!$5:$37,DAY(G262)+2,FALSE))</f>
        <v>0</v>
      </c>
      <c r="N262" s="306" t="e">
        <f t="shared" si="66"/>
        <v>#N/A</v>
      </c>
      <c r="O262" s="308">
        <f>IF(G262=0,0,VLOOKUP(YEAR(G262),INPC!$B$4:$P$30,MONTH(G262)+2))</f>
        <v>0</v>
      </c>
      <c r="P262" s="308">
        <f>IF(W262=0,0,IF(OR(C262=$AQ$5,C262=AQ266),VLOOKUP(YEAR(W262),INPC!$B$4:$P$30,MONTH(W262)+1),VLOOKUP(YEAR(W262),INPC!$B$4:$P$30,MONTH(W262)+2)))</f>
        <v>0</v>
      </c>
      <c r="Q262" s="309">
        <f t="shared" si="67"/>
        <v>0</v>
      </c>
      <c r="R262" s="310" t="e">
        <f t="shared" si="68"/>
        <v>#N/A</v>
      </c>
      <c r="S262" s="310">
        <f t="shared" si="69"/>
        <v>0</v>
      </c>
      <c r="T262" s="559" t="str">
        <f t="shared" si="70"/>
        <v>NO</v>
      </c>
      <c r="U262" s="323"/>
      <c r="V262" s="299"/>
      <c r="W262" s="300"/>
      <c r="X262" s="299"/>
      <c r="Y262" s="303"/>
      <c r="Z262" s="305">
        <f>IF(Y262=0,0,IF(X262="MXN",1/HLOOKUP(YEAR(W262)+(MONTH(W262)/100),TC!$5:$37,DAY(W262)+2,FALSE),VLOOKUP(X262,Equivalencia!$1:$23,((MAX(Equivalencia!$3:$3)-YEAR(W262))*14)+MONTH(W262)+2,FALSE)))</f>
        <v>0</v>
      </c>
      <c r="AA262" s="306">
        <f t="shared" si="71"/>
        <v>0</v>
      </c>
      <c r="AB262" s="305">
        <f>+IF(W262=0,0,HLOOKUP(YEAR(W262)+(MONTH(W262)/100),TC!$5:$37,DAY(W262)+2,FALSE))</f>
        <v>0</v>
      </c>
      <c r="AC262" s="306">
        <f t="shared" si="72"/>
        <v>0</v>
      </c>
      <c r="AD262" s="314">
        <f t="shared" si="63"/>
        <v>0</v>
      </c>
      <c r="AE262" s="315">
        <f t="shared" si="73"/>
        <v>0</v>
      </c>
      <c r="AF262" s="316">
        <f t="shared" si="64"/>
        <v>0</v>
      </c>
      <c r="AG262" s="314">
        <v>1</v>
      </c>
      <c r="AH262" s="314">
        <f t="shared" si="74"/>
        <v>0</v>
      </c>
      <c r="AI262" s="314">
        <f t="shared" si="75"/>
        <v>0</v>
      </c>
      <c r="AJ262" s="317"/>
      <c r="AK262" s="315" t="e">
        <f t="shared" si="76"/>
        <v>#N/A</v>
      </c>
      <c r="AM262" s="553"/>
      <c r="AN262" s="553"/>
      <c r="AO262" s="553"/>
    </row>
    <row r="263" spans="2:41">
      <c r="B263" s="296"/>
      <c r="C263" s="299"/>
      <c r="D263" s="296"/>
      <c r="E263" s="298"/>
      <c r="F263" s="299"/>
      <c r="G263" s="300"/>
      <c r="H263" s="303"/>
      <c r="I263" s="303"/>
      <c r="J263" s="322">
        <f t="shared" si="62"/>
        <v>0</v>
      </c>
      <c r="K263" s="305" t="e">
        <f>IF(F263="MXN",1/HLOOKUP(YEAR(G263)+(MONTH(G263)/100),TC!$5:$37,DAY(G263)+2,FALSE),VLOOKUP(F263,Equivalencia!$5:$23,((MAX(Equivalencia!$3:$3)-YEAR(G263))*14)+MONTH(G263)+2,FALSE))</f>
        <v>#N/A</v>
      </c>
      <c r="L263" s="306" t="e">
        <f t="shared" si="65"/>
        <v>#N/A</v>
      </c>
      <c r="M263" s="305">
        <f>IF(G263=0,0,HLOOKUP(YEAR(G263)+(MONTH(G263)/100),TC!$5:$37,DAY(G263)+2,FALSE))</f>
        <v>0</v>
      </c>
      <c r="N263" s="306" t="e">
        <f t="shared" si="66"/>
        <v>#N/A</v>
      </c>
      <c r="O263" s="308">
        <f>IF(G263=0,0,VLOOKUP(YEAR(G263),INPC!$B$4:$P$30,MONTH(G263)+2))</f>
        <v>0</v>
      </c>
      <c r="P263" s="308">
        <f>IF(W263=0,0,IF(OR(C263=$AQ$5,C263=AQ267),VLOOKUP(YEAR(W263),INPC!$B$4:$P$30,MONTH(W263)+1),VLOOKUP(YEAR(W263),INPC!$B$4:$P$30,MONTH(W263)+2)))</f>
        <v>0</v>
      </c>
      <c r="Q263" s="309">
        <f t="shared" si="67"/>
        <v>0</v>
      </c>
      <c r="R263" s="310" t="e">
        <f t="shared" si="68"/>
        <v>#N/A</v>
      </c>
      <c r="S263" s="310">
        <f t="shared" si="69"/>
        <v>0</v>
      </c>
      <c r="T263" s="559" t="str">
        <f t="shared" si="70"/>
        <v>NO</v>
      </c>
      <c r="U263" s="323"/>
      <c r="V263" s="299"/>
      <c r="W263" s="300"/>
      <c r="X263" s="299"/>
      <c r="Y263" s="303"/>
      <c r="Z263" s="305">
        <f>IF(Y263=0,0,IF(X263="MXN",1/HLOOKUP(YEAR(W263)+(MONTH(W263)/100),TC!$5:$37,DAY(W263)+2,FALSE),VLOOKUP(X263,Equivalencia!$1:$23,((MAX(Equivalencia!$3:$3)-YEAR(W263))*14)+MONTH(W263)+2,FALSE)))</f>
        <v>0</v>
      </c>
      <c r="AA263" s="306">
        <f t="shared" si="71"/>
        <v>0</v>
      </c>
      <c r="AB263" s="305">
        <f>+IF(W263=0,0,HLOOKUP(YEAR(W263)+(MONTH(W263)/100),TC!$5:$37,DAY(W263)+2,FALSE))</f>
        <v>0</v>
      </c>
      <c r="AC263" s="306">
        <f t="shared" si="72"/>
        <v>0</v>
      </c>
      <c r="AD263" s="314">
        <f t="shared" si="63"/>
        <v>0</v>
      </c>
      <c r="AE263" s="315">
        <f t="shared" si="73"/>
        <v>0</v>
      </c>
      <c r="AF263" s="316">
        <f t="shared" si="64"/>
        <v>0</v>
      </c>
      <c r="AG263" s="314">
        <v>1</v>
      </c>
      <c r="AH263" s="314">
        <f t="shared" si="74"/>
        <v>0</v>
      </c>
      <c r="AI263" s="314">
        <f t="shared" si="75"/>
        <v>0</v>
      </c>
      <c r="AJ263" s="317"/>
      <c r="AK263" s="315" t="e">
        <f t="shared" si="76"/>
        <v>#N/A</v>
      </c>
      <c r="AM263" s="553"/>
      <c r="AN263" s="553"/>
      <c r="AO263" s="553"/>
    </row>
    <row r="264" spans="2:41">
      <c r="B264" s="296"/>
      <c r="C264" s="299"/>
      <c r="D264" s="296"/>
      <c r="E264" s="298"/>
      <c r="F264" s="299"/>
      <c r="G264" s="300"/>
      <c r="H264" s="303"/>
      <c r="I264" s="303"/>
      <c r="J264" s="322">
        <f t="shared" si="62"/>
        <v>0</v>
      </c>
      <c r="K264" s="305" t="e">
        <f>IF(F264="MXN",1/HLOOKUP(YEAR(G264)+(MONTH(G264)/100),TC!$5:$37,DAY(G264)+2,FALSE),VLOOKUP(F264,Equivalencia!$5:$23,((MAX(Equivalencia!$3:$3)-YEAR(G264))*14)+MONTH(G264)+2,FALSE))</f>
        <v>#N/A</v>
      </c>
      <c r="L264" s="306" t="e">
        <f t="shared" si="65"/>
        <v>#N/A</v>
      </c>
      <c r="M264" s="305">
        <f>IF(G264=0,0,HLOOKUP(YEAR(G264)+(MONTH(G264)/100),TC!$5:$37,DAY(G264)+2,FALSE))</f>
        <v>0</v>
      </c>
      <c r="N264" s="306" t="e">
        <f t="shared" si="66"/>
        <v>#N/A</v>
      </c>
      <c r="O264" s="308">
        <f>IF(G264=0,0,VLOOKUP(YEAR(G264),INPC!$B$4:$P$30,MONTH(G264)+2))</f>
        <v>0</v>
      </c>
      <c r="P264" s="308">
        <f>IF(W264=0,0,IF(OR(C264=$AQ$5,C264=AQ268),VLOOKUP(YEAR(W264),INPC!$B$4:$P$30,MONTH(W264)+1),VLOOKUP(YEAR(W264),INPC!$B$4:$P$30,MONTH(W264)+2)))</f>
        <v>0</v>
      </c>
      <c r="Q264" s="309">
        <f t="shared" si="67"/>
        <v>0</v>
      </c>
      <c r="R264" s="310" t="e">
        <f t="shared" si="68"/>
        <v>#N/A</v>
      </c>
      <c r="S264" s="310">
        <f t="shared" si="69"/>
        <v>0</v>
      </c>
      <c r="T264" s="559" t="str">
        <f t="shared" si="70"/>
        <v>NO</v>
      </c>
      <c r="U264" s="323"/>
      <c r="V264" s="299"/>
      <c r="W264" s="300"/>
      <c r="X264" s="299"/>
      <c r="Y264" s="303"/>
      <c r="Z264" s="305">
        <f>IF(Y264=0,0,IF(X264="MXN",1/HLOOKUP(YEAR(W264)+(MONTH(W264)/100),TC!$5:$37,DAY(W264)+2,FALSE),VLOOKUP(X264,Equivalencia!$1:$23,((MAX(Equivalencia!$3:$3)-YEAR(W264))*14)+MONTH(W264)+2,FALSE)))</f>
        <v>0</v>
      </c>
      <c r="AA264" s="306">
        <f t="shared" si="71"/>
        <v>0</v>
      </c>
      <c r="AB264" s="305">
        <f>+IF(W264=0,0,HLOOKUP(YEAR(W264)+(MONTH(W264)/100),TC!$5:$37,DAY(W264)+2,FALSE))</f>
        <v>0</v>
      </c>
      <c r="AC264" s="306">
        <f t="shared" si="72"/>
        <v>0</v>
      </c>
      <c r="AD264" s="314">
        <f t="shared" si="63"/>
        <v>0</v>
      </c>
      <c r="AE264" s="315">
        <f t="shared" si="73"/>
        <v>0</v>
      </c>
      <c r="AF264" s="316">
        <f t="shared" si="64"/>
        <v>0</v>
      </c>
      <c r="AG264" s="314">
        <v>1</v>
      </c>
      <c r="AH264" s="314">
        <f t="shared" si="74"/>
        <v>0</v>
      </c>
      <c r="AI264" s="314">
        <f t="shared" si="75"/>
        <v>0</v>
      </c>
      <c r="AJ264" s="317"/>
      <c r="AK264" s="315" t="e">
        <f t="shared" si="76"/>
        <v>#N/A</v>
      </c>
      <c r="AM264" s="553"/>
      <c r="AN264" s="553"/>
      <c r="AO264" s="553"/>
    </row>
    <row r="265" spans="2:41">
      <c r="B265" s="296"/>
      <c r="C265" s="299"/>
      <c r="D265" s="296"/>
      <c r="E265" s="298"/>
      <c r="F265" s="299"/>
      <c r="G265" s="300"/>
      <c r="H265" s="303"/>
      <c r="I265" s="303"/>
      <c r="J265" s="322">
        <f t="shared" si="62"/>
        <v>0</v>
      </c>
      <c r="K265" s="305" t="e">
        <f>IF(F265="MXN",1/HLOOKUP(YEAR(G265)+(MONTH(G265)/100),TC!$5:$37,DAY(G265)+2,FALSE),VLOOKUP(F265,Equivalencia!$5:$23,((MAX(Equivalencia!$3:$3)-YEAR(G265))*14)+MONTH(G265)+2,FALSE))</f>
        <v>#N/A</v>
      </c>
      <c r="L265" s="306" t="e">
        <f t="shared" si="65"/>
        <v>#N/A</v>
      </c>
      <c r="M265" s="305">
        <f>IF(G265=0,0,HLOOKUP(YEAR(G265)+(MONTH(G265)/100),TC!$5:$37,DAY(G265)+2,FALSE))</f>
        <v>0</v>
      </c>
      <c r="N265" s="306" t="e">
        <f t="shared" si="66"/>
        <v>#N/A</v>
      </c>
      <c r="O265" s="308">
        <f>IF(G265=0,0,VLOOKUP(YEAR(G265),INPC!$B$4:$P$30,MONTH(G265)+2))</f>
        <v>0</v>
      </c>
      <c r="P265" s="308">
        <f>IF(W265=0,0,IF(OR(C265=$AQ$5,C265=AQ269),VLOOKUP(YEAR(W265),INPC!$B$4:$P$30,MONTH(W265)+1),VLOOKUP(YEAR(W265),INPC!$B$4:$P$30,MONTH(W265)+2)))</f>
        <v>0</v>
      </c>
      <c r="Q265" s="309">
        <f t="shared" si="67"/>
        <v>0</v>
      </c>
      <c r="R265" s="310" t="e">
        <f t="shared" si="68"/>
        <v>#N/A</v>
      </c>
      <c r="S265" s="310">
        <f t="shared" si="69"/>
        <v>0</v>
      </c>
      <c r="T265" s="559" t="str">
        <f t="shared" si="70"/>
        <v>NO</v>
      </c>
      <c r="U265" s="323"/>
      <c r="V265" s="299"/>
      <c r="W265" s="300"/>
      <c r="X265" s="299"/>
      <c r="Y265" s="303"/>
      <c r="Z265" s="305">
        <f>IF(Y265=0,0,IF(X265="MXN",1/HLOOKUP(YEAR(W265)+(MONTH(W265)/100),TC!$5:$37,DAY(W265)+2,FALSE),VLOOKUP(X265,Equivalencia!$1:$23,((MAX(Equivalencia!$3:$3)-YEAR(W265))*14)+MONTH(W265)+2,FALSE)))</f>
        <v>0</v>
      </c>
      <c r="AA265" s="306">
        <f t="shared" si="71"/>
        <v>0</v>
      </c>
      <c r="AB265" s="305">
        <f>+IF(W265=0,0,HLOOKUP(YEAR(W265)+(MONTH(W265)/100),TC!$5:$37,DAY(W265)+2,FALSE))</f>
        <v>0</v>
      </c>
      <c r="AC265" s="306">
        <f t="shared" si="72"/>
        <v>0</v>
      </c>
      <c r="AD265" s="314">
        <f t="shared" si="63"/>
        <v>0</v>
      </c>
      <c r="AE265" s="315">
        <f t="shared" si="73"/>
        <v>0</v>
      </c>
      <c r="AF265" s="316">
        <f t="shared" si="64"/>
        <v>0</v>
      </c>
      <c r="AG265" s="314">
        <v>1</v>
      </c>
      <c r="AH265" s="314">
        <f t="shared" si="74"/>
        <v>0</v>
      </c>
      <c r="AI265" s="314">
        <f t="shared" si="75"/>
        <v>0</v>
      </c>
      <c r="AJ265" s="317"/>
      <c r="AK265" s="315" t="e">
        <f t="shared" si="76"/>
        <v>#N/A</v>
      </c>
      <c r="AM265" s="553"/>
      <c r="AN265" s="553"/>
      <c r="AO265" s="553"/>
    </row>
    <row r="266" spans="2:41">
      <c r="B266" s="296"/>
      <c r="C266" s="299"/>
      <c r="D266" s="296"/>
      <c r="E266" s="298"/>
      <c r="F266" s="299"/>
      <c r="G266" s="300"/>
      <c r="H266" s="303"/>
      <c r="I266" s="303"/>
      <c r="J266" s="322">
        <f t="shared" si="62"/>
        <v>0</v>
      </c>
      <c r="K266" s="305" t="e">
        <f>IF(F266="MXN",1/HLOOKUP(YEAR(G266)+(MONTH(G266)/100),TC!$5:$37,DAY(G266)+2,FALSE),VLOOKUP(F266,Equivalencia!$5:$23,((MAX(Equivalencia!$3:$3)-YEAR(G266))*14)+MONTH(G266)+2,FALSE))</f>
        <v>#N/A</v>
      </c>
      <c r="L266" s="306" t="e">
        <f t="shared" si="65"/>
        <v>#N/A</v>
      </c>
      <c r="M266" s="305">
        <f>IF(G266=0,0,HLOOKUP(YEAR(G266)+(MONTH(G266)/100),TC!$5:$37,DAY(G266)+2,FALSE))</f>
        <v>0</v>
      </c>
      <c r="N266" s="306" t="e">
        <f t="shared" si="66"/>
        <v>#N/A</v>
      </c>
      <c r="O266" s="308">
        <f>IF(G266=0,0,VLOOKUP(YEAR(G266),INPC!$B$4:$P$30,MONTH(G266)+2))</f>
        <v>0</v>
      </c>
      <c r="P266" s="308">
        <f>IF(W266=0,0,IF(OR(C266=$AQ$5,C266=AQ270),VLOOKUP(YEAR(W266),INPC!$B$4:$P$30,MONTH(W266)+1),VLOOKUP(YEAR(W266),INPC!$B$4:$P$30,MONTH(W266)+2)))</f>
        <v>0</v>
      </c>
      <c r="Q266" s="309">
        <f t="shared" si="67"/>
        <v>0</v>
      </c>
      <c r="R266" s="310" t="e">
        <f t="shared" si="68"/>
        <v>#N/A</v>
      </c>
      <c r="S266" s="310">
        <f t="shared" si="69"/>
        <v>0</v>
      </c>
      <c r="T266" s="559" t="str">
        <f t="shared" si="70"/>
        <v>NO</v>
      </c>
      <c r="U266" s="323"/>
      <c r="V266" s="299"/>
      <c r="W266" s="300"/>
      <c r="X266" s="299"/>
      <c r="Y266" s="303"/>
      <c r="Z266" s="305">
        <f>IF(Y266=0,0,IF(X266="MXN",1/HLOOKUP(YEAR(W266)+(MONTH(W266)/100),TC!$5:$37,DAY(W266)+2,FALSE),VLOOKUP(X266,Equivalencia!$1:$23,((MAX(Equivalencia!$3:$3)-YEAR(W266))*14)+MONTH(W266)+2,FALSE)))</f>
        <v>0</v>
      </c>
      <c r="AA266" s="306">
        <f t="shared" si="71"/>
        <v>0</v>
      </c>
      <c r="AB266" s="305">
        <f>+IF(W266=0,0,HLOOKUP(YEAR(W266)+(MONTH(W266)/100),TC!$5:$37,DAY(W266)+2,FALSE))</f>
        <v>0</v>
      </c>
      <c r="AC266" s="306">
        <f t="shared" si="72"/>
        <v>0</v>
      </c>
      <c r="AD266" s="314">
        <f t="shared" si="63"/>
        <v>0</v>
      </c>
      <c r="AE266" s="315">
        <f t="shared" si="73"/>
        <v>0</v>
      </c>
      <c r="AF266" s="316">
        <f t="shared" si="64"/>
        <v>0</v>
      </c>
      <c r="AG266" s="314">
        <v>1</v>
      </c>
      <c r="AH266" s="314">
        <f t="shared" si="74"/>
        <v>0</v>
      </c>
      <c r="AI266" s="314">
        <f t="shared" si="75"/>
        <v>0</v>
      </c>
      <c r="AJ266" s="317"/>
      <c r="AK266" s="315" t="e">
        <f t="shared" si="76"/>
        <v>#N/A</v>
      </c>
      <c r="AM266" s="553"/>
      <c r="AN266" s="553"/>
      <c r="AO266" s="553"/>
    </row>
    <row r="267" spans="2:41">
      <c r="B267" s="296"/>
      <c r="C267" s="299"/>
      <c r="D267" s="296"/>
      <c r="E267" s="298"/>
      <c r="F267" s="299"/>
      <c r="G267" s="300"/>
      <c r="H267" s="303"/>
      <c r="I267" s="303"/>
      <c r="J267" s="322">
        <f t="shared" si="62"/>
        <v>0</v>
      </c>
      <c r="K267" s="305" t="e">
        <f>IF(F267="MXN",1/HLOOKUP(YEAR(G267)+(MONTH(G267)/100),TC!$5:$37,DAY(G267)+2,FALSE),VLOOKUP(F267,Equivalencia!$5:$23,((MAX(Equivalencia!$3:$3)-YEAR(G267))*14)+MONTH(G267)+2,FALSE))</f>
        <v>#N/A</v>
      </c>
      <c r="L267" s="306" t="e">
        <f t="shared" si="65"/>
        <v>#N/A</v>
      </c>
      <c r="M267" s="305">
        <f>IF(G267=0,0,HLOOKUP(YEAR(G267)+(MONTH(G267)/100),TC!$5:$37,DAY(G267)+2,FALSE))</f>
        <v>0</v>
      </c>
      <c r="N267" s="306" t="e">
        <f t="shared" si="66"/>
        <v>#N/A</v>
      </c>
      <c r="O267" s="308">
        <f>IF(G267=0,0,VLOOKUP(YEAR(G267),INPC!$B$4:$P$30,MONTH(G267)+2))</f>
        <v>0</v>
      </c>
      <c r="P267" s="308">
        <f>IF(W267=0,0,IF(OR(C267=$AQ$5,C267=AQ271),VLOOKUP(YEAR(W267),INPC!$B$4:$P$30,MONTH(W267)+1),VLOOKUP(YEAR(W267),INPC!$B$4:$P$30,MONTH(W267)+2)))</f>
        <v>0</v>
      </c>
      <c r="Q267" s="309">
        <f t="shared" si="67"/>
        <v>0</v>
      </c>
      <c r="R267" s="310" t="e">
        <f t="shared" si="68"/>
        <v>#N/A</v>
      </c>
      <c r="S267" s="310">
        <f t="shared" si="69"/>
        <v>0</v>
      </c>
      <c r="T267" s="559" t="str">
        <f t="shared" si="70"/>
        <v>NO</v>
      </c>
      <c r="U267" s="323"/>
      <c r="V267" s="299"/>
      <c r="W267" s="300"/>
      <c r="X267" s="299"/>
      <c r="Y267" s="303"/>
      <c r="Z267" s="305">
        <f>IF(Y267=0,0,IF(X267="MXN",1/HLOOKUP(YEAR(W267)+(MONTH(W267)/100),TC!$5:$37,DAY(W267)+2,FALSE),VLOOKUP(X267,Equivalencia!$1:$23,((MAX(Equivalencia!$3:$3)-YEAR(W267))*14)+MONTH(W267)+2,FALSE)))</f>
        <v>0</v>
      </c>
      <c r="AA267" s="306">
        <f t="shared" si="71"/>
        <v>0</v>
      </c>
      <c r="AB267" s="305">
        <f>+IF(W267=0,0,HLOOKUP(YEAR(W267)+(MONTH(W267)/100),TC!$5:$37,DAY(W267)+2,FALSE))</f>
        <v>0</v>
      </c>
      <c r="AC267" s="306">
        <f t="shared" si="72"/>
        <v>0</v>
      </c>
      <c r="AD267" s="314">
        <f t="shared" si="63"/>
        <v>0</v>
      </c>
      <c r="AE267" s="315">
        <f t="shared" si="73"/>
        <v>0</v>
      </c>
      <c r="AF267" s="316">
        <f t="shared" si="64"/>
        <v>0</v>
      </c>
      <c r="AG267" s="314">
        <v>1</v>
      </c>
      <c r="AH267" s="314">
        <f t="shared" si="74"/>
        <v>0</v>
      </c>
      <c r="AI267" s="314">
        <f t="shared" si="75"/>
        <v>0</v>
      </c>
      <c r="AJ267" s="317"/>
      <c r="AK267" s="315" t="e">
        <f t="shared" si="76"/>
        <v>#N/A</v>
      </c>
      <c r="AM267" s="553"/>
      <c r="AN267" s="553"/>
      <c r="AO267" s="553"/>
    </row>
    <row r="268" spans="2:41">
      <c r="B268" s="296"/>
      <c r="C268" s="299"/>
      <c r="D268" s="296"/>
      <c r="E268" s="298"/>
      <c r="F268" s="299"/>
      <c r="G268" s="300"/>
      <c r="H268" s="303"/>
      <c r="I268" s="303"/>
      <c r="J268" s="322">
        <f t="shared" si="62"/>
        <v>0</v>
      </c>
      <c r="K268" s="305" t="e">
        <f>IF(F268="MXN",1/HLOOKUP(YEAR(G268)+(MONTH(G268)/100),TC!$5:$37,DAY(G268)+2,FALSE),VLOOKUP(F268,Equivalencia!$5:$23,((MAX(Equivalencia!$3:$3)-YEAR(G268))*14)+MONTH(G268)+2,FALSE))</f>
        <v>#N/A</v>
      </c>
      <c r="L268" s="306" t="e">
        <f t="shared" si="65"/>
        <v>#N/A</v>
      </c>
      <c r="M268" s="305">
        <f>IF(G268=0,0,HLOOKUP(YEAR(G268)+(MONTH(G268)/100),TC!$5:$37,DAY(G268)+2,FALSE))</f>
        <v>0</v>
      </c>
      <c r="N268" s="306" t="e">
        <f t="shared" si="66"/>
        <v>#N/A</v>
      </c>
      <c r="O268" s="308">
        <f>IF(G268=0,0,VLOOKUP(YEAR(G268),INPC!$B$4:$P$30,MONTH(G268)+2))</f>
        <v>0</v>
      </c>
      <c r="P268" s="308">
        <f>IF(W268=0,0,IF(OR(C268=$AQ$5,C268=AQ272),VLOOKUP(YEAR(W268),INPC!$B$4:$P$30,MONTH(W268)+1),VLOOKUP(YEAR(W268),INPC!$B$4:$P$30,MONTH(W268)+2)))</f>
        <v>0</v>
      </c>
      <c r="Q268" s="309">
        <f t="shared" si="67"/>
        <v>0</v>
      </c>
      <c r="R268" s="310" t="e">
        <f t="shared" si="68"/>
        <v>#N/A</v>
      </c>
      <c r="S268" s="310">
        <f t="shared" si="69"/>
        <v>0</v>
      </c>
      <c r="T268" s="559" t="str">
        <f t="shared" si="70"/>
        <v>NO</v>
      </c>
      <c r="U268" s="323"/>
      <c r="V268" s="299"/>
      <c r="W268" s="300"/>
      <c r="X268" s="299"/>
      <c r="Y268" s="303"/>
      <c r="Z268" s="305">
        <f>IF(Y268=0,0,IF(X268="MXN",1/HLOOKUP(YEAR(W268)+(MONTH(W268)/100),TC!$5:$37,DAY(W268)+2,FALSE),VLOOKUP(X268,Equivalencia!$1:$23,((MAX(Equivalencia!$3:$3)-YEAR(W268))*14)+MONTH(W268)+2,FALSE)))</f>
        <v>0</v>
      </c>
      <c r="AA268" s="306">
        <f t="shared" si="71"/>
        <v>0</v>
      </c>
      <c r="AB268" s="305">
        <f>+IF(W268=0,0,HLOOKUP(YEAR(W268)+(MONTH(W268)/100),TC!$5:$37,DAY(W268)+2,FALSE))</f>
        <v>0</v>
      </c>
      <c r="AC268" s="306">
        <f t="shared" si="72"/>
        <v>0</v>
      </c>
      <c r="AD268" s="314">
        <f t="shared" si="63"/>
        <v>0</v>
      </c>
      <c r="AE268" s="315">
        <f t="shared" si="73"/>
        <v>0</v>
      </c>
      <c r="AF268" s="316">
        <f t="shared" si="64"/>
        <v>0</v>
      </c>
      <c r="AG268" s="314">
        <v>1</v>
      </c>
      <c r="AH268" s="314">
        <f t="shared" si="74"/>
        <v>0</v>
      </c>
      <c r="AI268" s="314">
        <f t="shared" si="75"/>
        <v>0</v>
      </c>
      <c r="AJ268" s="317"/>
      <c r="AK268" s="315" t="e">
        <f t="shared" si="76"/>
        <v>#N/A</v>
      </c>
      <c r="AM268" s="553"/>
      <c r="AN268" s="553"/>
      <c r="AO268" s="553"/>
    </row>
    <row r="269" spans="2:41">
      <c r="B269" s="296"/>
      <c r="C269" s="299"/>
      <c r="D269" s="296"/>
      <c r="E269" s="298"/>
      <c r="F269" s="299"/>
      <c r="G269" s="300"/>
      <c r="H269" s="303"/>
      <c r="I269" s="303"/>
      <c r="J269" s="322">
        <f t="shared" si="62"/>
        <v>0</v>
      </c>
      <c r="K269" s="305" t="e">
        <f>IF(F269="MXN",1/HLOOKUP(YEAR(G269)+(MONTH(G269)/100),TC!$5:$37,DAY(G269)+2,FALSE),VLOOKUP(F269,Equivalencia!$5:$23,((MAX(Equivalencia!$3:$3)-YEAR(G269))*14)+MONTH(G269)+2,FALSE))</f>
        <v>#N/A</v>
      </c>
      <c r="L269" s="306" t="e">
        <f t="shared" si="65"/>
        <v>#N/A</v>
      </c>
      <c r="M269" s="305">
        <f>IF(G269=0,0,HLOOKUP(YEAR(G269)+(MONTH(G269)/100),TC!$5:$37,DAY(G269)+2,FALSE))</f>
        <v>0</v>
      </c>
      <c r="N269" s="306" t="e">
        <f t="shared" si="66"/>
        <v>#N/A</v>
      </c>
      <c r="O269" s="308">
        <f>IF(G269=0,0,VLOOKUP(YEAR(G269),INPC!$B$4:$P$30,MONTH(G269)+2))</f>
        <v>0</v>
      </c>
      <c r="P269" s="308">
        <f>IF(W269=0,0,IF(OR(C269=$AQ$5,C269=AQ273),VLOOKUP(YEAR(W269),INPC!$B$4:$P$30,MONTH(W269)+1),VLOOKUP(YEAR(W269),INPC!$B$4:$P$30,MONTH(W269)+2)))</f>
        <v>0</v>
      </c>
      <c r="Q269" s="309">
        <f t="shared" si="67"/>
        <v>0</v>
      </c>
      <c r="R269" s="310" t="e">
        <f t="shared" si="68"/>
        <v>#N/A</v>
      </c>
      <c r="S269" s="310">
        <f t="shared" si="69"/>
        <v>0</v>
      </c>
      <c r="T269" s="559" t="str">
        <f t="shared" si="70"/>
        <v>NO</v>
      </c>
      <c r="U269" s="323"/>
      <c r="V269" s="299"/>
      <c r="W269" s="300"/>
      <c r="X269" s="299"/>
      <c r="Y269" s="303"/>
      <c r="Z269" s="305">
        <f>IF(Y269=0,0,IF(X269="MXN",1/HLOOKUP(YEAR(W269)+(MONTH(W269)/100),TC!$5:$37,DAY(W269)+2,FALSE),VLOOKUP(X269,Equivalencia!$1:$23,((MAX(Equivalencia!$3:$3)-YEAR(W269))*14)+MONTH(W269)+2,FALSE)))</f>
        <v>0</v>
      </c>
      <c r="AA269" s="306">
        <f t="shared" si="71"/>
        <v>0</v>
      </c>
      <c r="AB269" s="305">
        <f>+IF(W269=0,0,HLOOKUP(YEAR(W269)+(MONTH(W269)/100),TC!$5:$37,DAY(W269)+2,FALSE))</f>
        <v>0</v>
      </c>
      <c r="AC269" s="306">
        <f t="shared" si="72"/>
        <v>0</v>
      </c>
      <c r="AD269" s="314">
        <f t="shared" si="63"/>
        <v>0</v>
      </c>
      <c r="AE269" s="315">
        <f t="shared" si="73"/>
        <v>0</v>
      </c>
      <c r="AF269" s="316">
        <f t="shared" si="64"/>
        <v>0</v>
      </c>
      <c r="AG269" s="314">
        <v>1</v>
      </c>
      <c r="AH269" s="314">
        <f t="shared" si="74"/>
        <v>0</v>
      </c>
      <c r="AI269" s="314">
        <f t="shared" si="75"/>
        <v>0</v>
      </c>
      <c r="AJ269" s="317"/>
      <c r="AK269" s="315" t="e">
        <f t="shared" si="76"/>
        <v>#N/A</v>
      </c>
      <c r="AM269" s="553"/>
      <c r="AN269" s="553"/>
      <c r="AO269" s="553"/>
    </row>
    <row r="270" spans="2:41">
      <c r="B270" s="296"/>
      <c r="C270" s="299"/>
      <c r="D270" s="296"/>
      <c r="E270" s="298"/>
      <c r="F270" s="299"/>
      <c r="G270" s="300"/>
      <c r="H270" s="303"/>
      <c r="I270" s="303"/>
      <c r="J270" s="322">
        <f t="shared" si="62"/>
        <v>0</v>
      </c>
      <c r="K270" s="305" t="e">
        <f>IF(F270="MXN",1/HLOOKUP(YEAR(G270)+(MONTH(G270)/100),TC!$5:$37,DAY(G270)+2,FALSE),VLOOKUP(F270,Equivalencia!$5:$23,((MAX(Equivalencia!$3:$3)-YEAR(G270))*14)+MONTH(G270)+2,FALSE))</f>
        <v>#N/A</v>
      </c>
      <c r="L270" s="306" t="e">
        <f t="shared" si="65"/>
        <v>#N/A</v>
      </c>
      <c r="M270" s="305">
        <f>IF(G270=0,0,HLOOKUP(YEAR(G270)+(MONTH(G270)/100),TC!$5:$37,DAY(G270)+2,FALSE))</f>
        <v>0</v>
      </c>
      <c r="N270" s="306" t="e">
        <f t="shared" si="66"/>
        <v>#N/A</v>
      </c>
      <c r="O270" s="308">
        <f>IF(G270=0,0,VLOOKUP(YEAR(G270),INPC!$B$4:$P$30,MONTH(G270)+2))</f>
        <v>0</v>
      </c>
      <c r="P270" s="308">
        <f>IF(W270=0,0,IF(OR(C270=$AQ$5,C270=AQ274),VLOOKUP(YEAR(W270),INPC!$B$4:$P$30,MONTH(W270)+1),VLOOKUP(YEAR(W270),INPC!$B$4:$P$30,MONTH(W270)+2)))</f>
        <v>0</v>
      </c>
      <c r="Q270" s="309">
        <f t="shared" si="67"/>
        <v>0</v>
      </c>
      <c r="R270" s="310" t="e">
        <f t="shared" si="68"/>
        <v>#N/A</v>
      </c>
      <c r="S270" s="310">
        <f t="shared" si="69"/>
        <v>0</v>
      </c>
      <c r="T270" s="559" t="str">
        <f t="shared" si="70"/>
        <v>NO</v>
      </c>
      <c r="U270" s="323"/>
      <c r="V270" s="299"/>
      <c r="W270" s="300"/>
      <c r="X270" s="299"/>
      <c r="Y270" s="303"/>
      <c r="Z270" s="305">
        <f>IF(Y270=0,0,IF(X270="MXN",1/HLOOKUP(YEAR(W270)+(MONTH(W270)/100),TC!$5:$37,DAY(W270)+2,FALSE),VLOOKUP(X270,Equivalencia!$1:$23,((MAX(Equivalencia!$3:$3)-YEAR(W270))*14)+MONTH(W270)+2,FALSE)))</f>
        <v>0</v>
      </c>
      <c r="AA270" s="306">
        <f t="shared" si="71"/>
        <v>0</v>
      </c>
      <c r="AB270" s="305">
        <f>+IF(W270=0,0,HLOOKUP(YEAR(W270)+(MONTH(W270)/100),TC!$5:$37,DAY(W270)+2,FALSE))</f>
        <v>0</v>
      </c>
      <c r="AC270" s="306">
        <f t="shared" si="72"/>
        <v>0</v>
      </c>
      <c r="AD270" s="314">
        <f t="shared" si="63"/>
        <v>0</v>
      </c>
      <c r="AE270" s="315">
        <f t="shared" si="73"/>
        <v>0</v>
      </c>
      <c r="AF270" s="316">
        <f t="shared" si="64"/>
        <v>0</v>
      </c>
      <c r="AG270" s="314">
        <v>1</v>
      </c>
      <c r="AH270" s="314">
        <f t="shared" si="74"/>
        <v>0</v>
      </c>
      <c r="AI270" s="314">
        <f t="shared" si="75"/>
        <v>0</v>
      </c>
      <c r="AJ270" s="317"/>
      <c r="AK270" s="315" t="e">
        <f t="shared" si="76"/>
        <v>#N/A</v>
      </c>
      <c r="AM270" s="553"/>
      <c r="AN270" s="553"/>
      <c r="AO270" s="553"/>
    </row>
    <row r="271" spans="2:41">
      <c r="B271" s="296"/>
      <c r="C271" s="299"/>
      <c r="D271" s="296"/>
      <c r="E271" s="298"/>
      <c r="F271" s="299"/>
      <c r="G271" s="300"/>
      <c r="H271" s="303"/>
      <c r="I271" s="303"/>
      <c r="J271" s="322">
        <f t="shared" si="62"/>
        <v>0</v>
      </c>
      <c r="K271" s="305" t="e">
        <f>IF(F271="MXN",1/HLOOKUP(YEAR(G271)+(MONTH(G271)/100),TC!$5:$37,DAY(G271)+2,FALSE),VLOOKUP(F271,Equivalencia!$5:$23,((MAX(Equivalencia!$3:$3)-YEAR(G271))*14)+MONTH(G271)+2,FALSE))</f>
        <v>#N/A</v>
      </c>
      <c r="L271" s="306" t="e">
        <f t="shared" si="65"/>
        <v>#N/A</v>
      </c>
      <c r="M271" s="305">
        <f>IF(G271=0,0,HLOOKUP(YEAR(G271)+(MONTH(G271)/100),TC!$5:$37,DAY(G271)+2,FALSE))</f>
        <v>0</v>
      </c>
      <c r="N271" s="306" t="e">
        <f t="shared" si="66"/>
        <v>#N/A</v>
      </c>
      <c r="O271" s="308">
        <f>IF(G271=0,0,VLOOKUP(YEAR(G271),INPC!$B$4:$P$30,MONTH(G271)+2))</f>
        <v>0</v>
      </c>
      <c r="P271" s="308">
        <f>IF(W271=0,0,IF(OR(C271=$AQ$5,C271=AQ275),VLOOKUP(YEAR(W271),INPC!$B$4:$P$30,MONTH(W271)+1),VLOOKUP(YEAR(W271),INPC!$B$4:$P$30,MONTH(W271)+2)))</f>
        <v>0</v>
      </c>
      <c r="Q271" s="309">
        <f t="shared" si="67"/>
        <v>0</v>
      </c>
      <c r="R271" s="310" t="e">
        <f t="shared" si="68"/>
        <v>#N/A</v>
      </c>
      <c r="S271" s="310">
        <f t="shared" si="69"/>
        <v>0</v>
      </c>
      <c r="T271" s="559" t="str">
        <f t="shared" si="70"/>
        <v>NO</v>
      </c>
      <c r="U271" s="323"/>
      <c r="V271" s="299"/>
      <c r="W271" s="300"/>
      <c r="X271" s="299"/>
      <c r="Y271" s="303"/>
      <c r="Z271" s="305">
        <f>IF(Y271=0,0,IF(X271="MXN",1/HLOOKUP(YEAR(W271)+(MONTH(W271)/100),TC!$5:$37,DAY(W271)+2,FALSE),VLOOKUP(X271,Equivalencia!$1:$23,((MAX(Equivalencia!$3:$3)-YEAR(W271))*14)+MONTH(W271)+2,FALSE)))</f>
        <v>0</v>
      </c>
      <c r="AA271" s="306">
        <f t="shared" si="71"/>
        <v>0</v>
      </c>
      <c r="AB271" s="305">
        <f>+IF(W271=0,0,HLOOKUP(YEAR(W271)+(MONTH(W271)/100),TC!$5:$37,DAY(W271)+2,FALSE))</f>
        <v>0</v>
      </c>
      <c r="AC271" s="306">
        <f t="shared" si="72"/>
        <v>0</v>
      </c>
      <c r="AD271" s="314">
        <f t="shared" si="63"/>
        <v>0</v>
      </c>
      <c r="AE271" s="315">
        <f t="shared" si="73"/>
        <v>0</v>
      </c>
      <c r="AF271" s="316">
        <f t="shared" si="64"/>
        <v>0</v>
      </c>
      <c r="AG271" s="314">
        <v>1</v>
      </c>
      <c r="AH271" s="314">
        <f t="shared" si="74"/>
        <v>0</v>
      </c>
      <c r="AI271" s="314">
        <f t="shared" si="75"/>
        <v>0</v>
      </c>
      <c r="AJ271" s="317"/>
      <c r="AK271" s="315" t="e">
        <f t="shared" si="76"/>
        <v>#N/A</v>
      </c>
      <c r="AM271" s="553"/>
      <c r="AN271" s="553"/>
      <c r="AO271" s="553"/>
    </row>
    <row r="272" spans="2:41">
      <c r="B272" s="296"/>
      <c r="C272" s="299"/>
      <c r="D272" s="296"/>
      <c r="E272" s="298"/>
      <c r="F272" s="299"/>
      <c r="G272" s="300"/>
      <c r="H272" s="303"/>
      <c r="I272" s="303"/>
      <c r="J272" s="322">
        <f t="shared" si="62"/>
        <v>0</v>
      </c>
      <c r="K272" s="305" t="e">
        <f>IF(F272="MXN",1/HLOOKUP(YEAR(G272)+(MONTH(G272)/100),TC!$5:$37,DAY(G272)+2,FALSE),VLOOKUP(F272,Equivalencia!$5:$23,((MAX(Equivalencia!$3:$3)-YEAR(G272))*14)+MONTH(G272)+2,FALSE))</f>
        <v>#N/A</v>
      </c>
      <c r="L272" s="306" t="e">
        <f t="shared" si="65"/>
        <v>#N/A</v>
      </c>
      <c r="M272" s="305">
        <f>IF(G272=0,0,HLOOKUP(YEAR(G272)+(MONTH(G272)/100),TC!$5:$37,DAY(G272)+2,FALSE))</f>
        <v>0</v>
      </c>
      <c r="N272" s="306" t="e">
        <f t="shared" si="66"/>
        <v>#N/A</v>
      </c>
      <c r="O272" s="308">
        <f>IF(G272=0,0,VLOOKUP(YEAR(G272),INPC!$B$4:$P$30,MONTH(G272)+2))</f>
        <v>0</v>
      </c>
      <c r="P272" s="308">
        <f>IF(W272=0,0,IF(OR(C272=$AQ$5,C272=AQ276),VLOOKUP(YEAR(W272),INPC!$B$4:$P$30,MONTH(W272)+1),VLOOKUP(YEAR(W272),INPC!$B$4:$P$30,MONTH(W272)+2)))</f>
        <v>0</v>
      </c>
      <c r="Q272" s="309">
        <f t="shared" si="67"/>
        <v>0</v>
      </c>
      <c r="R272" s="310" t="e">
        <f t="shared" si="68"/>
        <v>#N/A</v>
      </c>
      <c r="S272" s="310">
        <f t="shared" si="69"/>
        <v>0</v>
      </c>
      <c r="T272" s="559" t="str">
        <f t="shared" si="70"/>
        <v>NO</v>
      </c>
      <c r="U272" s="323"/>
      <c r="V272" s="299"/>
      <c r="W272" s="300"/>
      <c r="X272" s="299"/>
      <c r="Y272" s="303"/>
      <c r="Z272" s="305">
        <f>IF(Y272=0,0,IF(X272="MXN",1/HLOOKUP(YEAR(W272)+(MONTH(W272)/100),TC!$5:$37,DAY(W272)+2,FALSE),VLOOKUP(X272,Equivalencia!$1:$23,((MAX(Equivalencia!$3:$3)-YEAR(W272))*14)+MONTH(W272)+2,FALSE)))</f>
        <v>0</v>
      </c>
      <c r="AA272" s="306">
        <f t="shared" si="71"/>
        <v>0</v>
      </c>
      <c r="AB272" s="305">
        <f>+IF(W272=0,0,HLOOKUP(YEAR(W272)+(MONTH(W272)/100),TC!$5:$37,DAY(W272)+2,FALSE))</f>
        <v>0</v>
      </c>
      <c r="AC272" s="306">
        <f t="shared" si="72"/>
        <v>0</v>
      </c>
      <c r="AD272" s="314">
        <f t="shared" si="63"/>
        <v>0</v>
      </c>
      <c r="AE272" s="315">
        <f t="shared" si="73"/>
        <v>0</v>
      </c>
      <c r="AF272" s="316">
        <f t="shared" si="64"/>
        <v>0</v>
      </c>
      <c r="AG272" s="314">
        <v>1</v>
      </c>
      <c r="AH272" s="314">
        <f t="shared" si="74"/>
        <v>0</v>
      </c>
      <c r="AI272" s="314">
        <f t="shared" si="75"/>
        <v>0</v>
      </c>
      <c r="AJ272" s="317"/>
      <c r="AK272" s="315" t="e">
        <f t="shared" si="76"/>
        <v>#N/A</v>
      </c>
      <c r="AM272" s="553"/>
      <c r="AN272" s="553"/>
      <c r="AO272" s="553"/>
    </row>
    <row r="273" spans="2:41">
      <c r="B273" s="296"/>
      <c r="C273" s="299"/>
      <c r="D273" s="296"/>
      <c r="E273" s="298"/>
      <c r="F273" s="299"/>
      <c r="G273" s="300"/>
      <c r="H273" s="303"/>
      <c r="I273" s="303"/>
      <c r="J273" s="322">
        <f t="shared" si="62"/>
        <v>0</v>
      </c>
      <c r="K273" s="305" t="e">
        <f>IF(F273="MXN",1/HLOOKUP(YEAR(G273)+(MONTH(G273)/100),TC!$5:$37,DAY(G273)+2,FALSE),VLOOKUP(F273,Equivalencia!$5:$23,((MAX(Equivalencia!$3:$3)-YEAR(G273))*14)+MONTH(G273)+2,FALSE))</f>
        <v>#N/A</v>
      </c>
      <c r="L273" s="306" t="e">
        <f t="shared" si="65"/>
        <v>#N/A</v>
      </c>
      <c r="M273" s="305">
        <f>IF(G273=0,0,HLOOKUP(YEAR(G273)+(MONTH(G273)/100),TC!$5:$37,DAY(G273)+2,FALSE))</f>
        <v>0</v>
      </c>
      <c r="N273" s="306" t="e">
        <f t="shared" si="66"/>
        <v>#N/A</v>
      </c>
      <c r="O273" s="308">
        <f>IF(G273=0,0,VLOOKUP(YEAR(G273),INPC!$B$4:$P$30,MONTH(G273)+2))</f>
        <v>0</v>
      </c>
      <c r="P273" s="308">
        <f>IF(W273=0,0,IF(OR(C273=$AQ$5,C273=AQ277),VLOOKUP(YEAR(W273),INPC!$B$4:$P$30,MONTH(W273)+1),VLOOKUP(YEAR(W273),INPC!$B$4:$P$30,MONTH(W273)+2)))</f>
        <v>0</v>
      </c>
      <c r="Q273" s="309">
        <f t="shared" si="67"/>
        <v>0</v>
      </c>
      <c r="R273" s="310" t="e">
        <f t="shared" si="68"/>
        <v>#N/A</v>
      </c>
      <c r="S273" s="310">
        <f t="shared" si="69"/>
        <v>0</v>
      </c>
      <c r="T273" s="559" t="str">
        <f t="shared" si="70"/>
        <v>NO</v>
      </c>
      <c r="U273" s="323"/>
      <c r="V273" s="299"/>
      <c r="W273" s="300"/>
      <c r="X273" s="299"/>
      <c r="Y273" s="303"/>
      <c r="Z273" s="305">
        <f>IF(Y273=0,0,IF(X273="MXN",1/HLOOKUP(YEAR(W273)+(MONTH(W273)/100),TC!$5:$37,DAY(W273)+2,FALSE),VLOOKUP(X273,Equivalencia!$1:$23,((MAX(Equivalencia!$3:$3)-YEAR(W273))*14)+MONTH(W273)+2,FALSE)))</f>
        <v>0</v>
      </c>
      <c r="AA273" s="306">
        <f t="shared" si="71"/>
        <v>0</v>
      </c>
      <c r="AB273" s="305">
        <f>+IF(W273=0,0,HLOOKUP(YEAR(W273)+(MONTH(W273)/100),TC!$5:$37,DAY(W273)+2,FALSE))</f>
        <v>0</v>
      </c>
      <c r="AC273" s="306">
        <f t="shared" si="72"/>
        <v>0</v>
      </c>
      <c r="AD273" s="314">
        <f t="shared" si="63"/>
        <v>0</v>
      </c>
      <c r="AE273" s="315">
        <f t="shared" si="73"/>
        <v>0</v>
      </c>
      <c r="AF273" s="316">
        <f t="shared" si="64"/>
        <v>0</v>
      </c>
      <c r="AG273" s="314">
        <v>1</v>
      </c>
      <c r="AH273" s="314">
        <f t="shared" si="74"/>
        <v>0</v>
      </c>
      <c r="AI273" s="314">
        <f t="shared" si="75"/>
        <v>0</v>
      </c>
      <c r="AJ273" s="317"/>
      <c r="AK273" s="315" t="e">
        <f t="shared" si="76"/>
        <v>#N/A</v>
      </c>
      <c r="AM273" s="553"/>
      <c r="AN273" s="553"/>
      <c r="AO273" s="553"/>
    </row>
    <row r="274" spans="2:41">
      <c r="B274" s="296"/>
      <c r="C274" s="299"/>
      <c r="D274" s="296"/>
      <c r="E274" s="298"/>
      <c r="F274" s="299"/>
      <c r="G274" s="300"/>
      <c r="H274" s="303"/>
      <c r="I274" s="303"/>
      <c r="J274" s="322">
        <f t="shared" si="62"/>
        <v>0</v>
      </c>
      <c r="K274" s="305" t="e">
        <f>IF(F274="MXN",1/HLOOKUP(YEAR(G274)+(MONTH(G274)/100),TC!$5:$37,DAY(G274)+2,FALSE),VLOOKUP(F274,Equivalencia!$5:$23,((MAX(Equivalencia!$3:$3)-YEAR(G274))*14)+MONTH(G274)+2,FALSE))</f>
        <v>#N/A</v>
      </c>
      <c r="L274" s="306" t="e">
        <f t="shared" si="65"/>
        <v>#N/A</v>
      </c>
      <c r="M274" s="305">
        <f>IF(G274=0,0,HLOOKUP(YEAR(G274)+(MONTH(G274)/100),TC!$5:$37,DAY(G274)+2,FALSE))</f>
        <v>0</v>
      </c>
      <c r="N274" s="306" t="e">
        <f t="shared" si="66"/>
        <v>#N/A</v>
      </c>
      <c r="O274" s="308">
        <f>IF(G274=0,0,VLOOKUP(YEAR(G274),INPC!$B$4:$P$30,MONTH(G274)+2))</f>
        <v>0</v>
      </c>
      <c r="P274" s="308">
        <f>IF(W274=0,0,IF(OR(C274=$AQ$5,C274=AQ278),VLOOKUP(YEAR(W274),INPC!$B$4:$P$30,MONTH(W274)+1),VLOOKUP(YEAR(W274),INPC!$B$4:$P$30,MONTH(W274)+2)))</f>
        <v>0</v>
      </c>
      <c r="Q274" s="309">
        <f t="shared" si="67"/>
        <v>0</v>
      </c>
      <c r="R274" s="310" t="e">
        <f t="shared" si="68"/>
        <v>#N/A</v>
      </c>
      <c r="S274" s="310">
        <f t="shared" si="69"/>
        <v>0</v>
      </c>
      <c r="T274" s="559" t="str">
        <f t="shared" si="70"/>
        <v>NO</v>
      </c>
      <c r="U274" s="323"/>
      <c r="V274" s="299"/>
      <c r="W274" s="300"/>
      <c r="X274" s="299"/>
      <c r="Y274" s="303"/>
      <c r="Z274" s="305">
        <f>IF(Y274=0,0,IF(X274="MXN",1/HLOOKUP(YEAR(W274)+(MONTH(W274)/100),TC!$5:$37,DAY(W274)+2,FALSE),VLOOKUP(X274,Equivalencia!$1:$23,((MAX(Equivalencia!$3:$3)-YEAR(W274))*14)+MONTH(W274)+2,FALSE)))</f>
        <v>0</v>
      </c>
      <c r="AA274" s="306">
        <f t="shared" si="71"/>
        <v>0</v>
      </c>
      <c r="AB274" s="305">
        <f>+IF(W274=0,0,HLOOKUP(YEAR(W274)+(MONTH(W274)/100),TC!$5:$37,DAY(W274)+2,FALSE))</f>
        <v>0</v>
      </c>
      <c r="AC274" s="306">
        <f t="shared" si="72"/>
        <v>0</v>
      </c>
      <c r="AD274" s="314">
        <f t="shared" si="63"/>
        <v>0</v>
      </c>
      <c r="AE274" s="315">
        <f t="shared" si="73"/>
        <v>0</v>
      </c>
      <c r="AF274" s="316">
        <f t="shared" si="64"/>
        <v>0</v>
      </c>
      <c r="AG274" s="314">
        <v>1</v>
      </c>
      <c r="AH274" s="314">
        <f t="shared" si="74"/>
        <v>0</v>
      </c>
      <c r="AI274" s="314">
        <f t="shared" si="75"/>
        <v>0</v>
      </c>
      <c r="AJ274" s="317"/>
      <c r="AK274" s="315" t="e">
        <f t="shared" si="76"/>
        <v>#N/A</v>
      </c>
      <c r="AM274" s="553"/>
      <c r="AN274" s="553"/>
      <c r="AO274" s="553"/>
    </row>
    <row r="275" spans="2:41">
      <c r="B275" s="296"/>
      <c r="C275" s="299"/>
      <c r="D275" s="296"/>
      <c r="E275" s="298"/>
      <c r="F275" s="299"/>
      <c r="G275" s="300"/>
      <c r="H275" s="303"/>
      <c r="I275" s="303"/>
      <c r="J275" s="322">
        <f t="shared" si="62"/>
        <v>0</v>
      </c>
      <c r="K275" s="305" t="e">
        <f>IF(F275="MXN",1/HLOOKUP(YEAR(G275)+(MONTH(G275)/100),TC!$5:$37,DAY(G275)+2,FALSE),VLOOKUP(F275,Equivalencia!$5:$23,((MAX(Equivalencia!$3:$3)-YEAR(G275))*14)+MONTH(G275)+2,FALSE))</f>
        <v>#N/A</v>
      </c>
      <c r="L275" s="306" t="e">
        <f t="shared" si="65"/>
        <v>#N/A</v>
      </c>
      <c r="M275" s="305">
        <f>IF(G275=0,0,HLOOKUP(YEAR(G275)+(MONTH(G275)/100),TC!$5:$37,DAY(G275)+2,FALSE))</f>
        <v>0</v>
      </c>
      <c r="N275" s="306" t="e">
        <f t="shared" si="66"/>
        <v>#N/A</v>
      </c>
      <c r="O275" s="308">
        <f>IF(G275=0,0,VLOOKUP(YEAR(G275),INPC!$B$4:$P$30,MONTH(G275)+2))</f>
        <v>0</v>
      </c>
      <c r="P275" s="308">
        <f>IF(W275=0,0,IF(OR(C275=$AQ$5,C275=AQ279),VLOOKUP(YEAR(W275),INPC!$B$4:$P$30,MONTH(W275)+1),VLOOKUP(YEAR(W275),INPC!$B$4:$P$30,MONTH(W275)+2)))</f>
        <v>0</v>
      </c>
      <c r="Q275" s="309">
        <f t="shared" si="67"/>
        <v>0</v>
      </c>
      <c r="R275" s="310" t="e">
        <f t="shared" si="68"/>
        <v>#N/A</v>
      </c>
      <c r="S275" s="310">
        <f t="shared" si="69"/>
        <v>0</v>
      </c>
      <c r="T275" s="559" t="str">
        <f t="shared" si="70"/>
        <v>NO</v>
      </c>
      <c r="U275" s="323"/>
      <c r="V275" s="299"/>
      <c r="W275" s="300"/>
      <c r="X275" s="299"/>
      <c r="Y275" s="303"/>
      <c r="Z275" s="305">
        <f>IF(Y275=0,0,IF(X275="MXN",1/HLOOKUP(YEAR(W275)+(MONTH(W275)/100),TC!$5:$37,DAY(W275)+2,FALSE),VLOOKUP(X275,Equivalencia!$1:$23,((MAX(Equivalencia!$3:$3)-YEAR(W275))*14)+MONTH(W275)+2,FALSE)))</f>
        <v>0</v>
      </c>
      <c r="AA275" s="306">
        <f t="shared" si="71"/>
        <v>0</v>
      </c>
      <c r="AB275" s="305">
        <f>+IF(W275=0,0,HLOOKUP(YEAR(W275)+(MONTH(W275)/100),TC!$5:$37,DAY(W275)+2,FALSE))</f>
        <v>0</v>
      </c>
      <c r="AC275" s="306">
        <f t="shared" si="72"/>
        <v>0</v>
      </c>
      <c r="AD275" s="314">
        <f t="shared" si="63"/>
        <v>0</v>
      </c>
      <c r="AE275" s="315">
        <f t="shared" si="73"/>
        <v>0</v>
      </c>
      <c r="AF275" s="316">
        <f t="shared" si="64"/>
        <v>0</v>
      </c>
      <c r="AG275" s="314">
        <v>1</v>
      </c>
      <c r="AH275" s="314">
        <f t="shared" si="74"/>
        <v>0</v>
      </c>
      <c r="AI275" s="314">
        <f t="shared" si="75"/>
        <v>0</v>
      </c>
      <c r="AJ275" s="317"/>
      <c r="AK275" s="315" t="e">
        <f t="shared" si="76"/>
        <v>#N/A</v>
      </c>
      <c r="AM275" s="553"/>
      <c r="AN275" s="553"/>
      <c r="AO275" s="553"/>
    </row>
    <row r="276" spans="2:41">
      <c r="B276" s="296"/>
      <c r="C276" s="299"/>
      <c r="D276" s="296"/>
      <c r="E276" s="298"/>
      <c r="F276" s="299"/>
      <c r="G276" s="300"/>
      <c r="H276" s="303"/>
      <c r="I276" s="303"/>
      <c r="J276" s="322">
        <f t="shared" si="62"/>
        <v>0</v>
      </c>
      <c r="K276" s="305" t="e">
        <f>IF(F276="MXN",1/HLOOKUP(YEAR(G276)+(MONTH(G276)/100),TC!$5:$37,DAY(G276)+2,FALSE),VLOOKUP(F276,Equivalencia!$5:$23,((MAX(Equivalencia!$3:$3)-YEAR(G276))*14)+MONTH(G276)+2,FALSE))</f>
        <v>#N/A</v>
      </c>
      <c r="L276" s="306" t="e">
        <f t="shared" si="65"/>
        <v>#N/A</v>
      </c>
      <c r="M276" s="305">
        <f>IF(G276=0,0,HLOOKUP(YEAR(G276)+(MONTH(G276)/100),TC!$5:$37,DAY(G276)+2,FALSE))</f>
        <v>0</v>
      </c>
      <c r="N276" s="306" t="e">
        <f t="shared" si="66"/>
        <v>#N/A</v>
      </c>
      <c r="O276" s="308">
        <f>IF(G276=0,0,VLOOKUP(YEAR(G276),INPC!$B$4:$P$30,MONTH(G276)+2))</f>
        <v>0</v>
      </c>
      <c r="P276" s="308">
        <f>IF(W276=0,0,IF(OR(C276=$AQ$5,C276=AQ280),VLOOKUP(YEAR(W276),INPC!$B$4:$P$30,MONTH(W276)+1),VLOOKUP(YEAR(W276),INPC!$B$4:$P$30,MONTH(W276)+2)))</f>
        <v>0</v>
      </c>
      <c r="Q276" s="309">
        <f t="shared" si="67"/>
        <v>0</v>
      </c>
      <c r="R276" s="310" t="e">
        <f t="shared" si="68"/>
        <v>#N/A</v>
      </c>
      <c r="S276" s="310">
        <f t="shared" si="69"/>
        <v>0</v>
      </c>
      <c r="T276" s="559" t="str">
        <f t="shared" si="70"/>
        <v>NO</v>
      </c>
      <c r="U276" s="323"/>
      <c r="V276" s="299"/>
      <c r="W276" s="300"/>
      <c r="X276" s="299"/>
      <c r="Y276" s="303"/>
      <c r="Z276" s="305">
        <f>IF(Y276=0,0,IF(X276="MXN",1/HLOOKUP(YEAR(W276)+(MONTH(W276)/100),TC!$5:$37,DAY(W276)+2,FALSE),VLOOKUP(X276,Equivalencia!$1:$23,((MAX(Equivalencia!$3:$3)-YEAR(W276))*14)+MONTH(W276)+2,FALSE)))</f>
        <v>0</v>
      </c>
      <c r="AA276" s="306">
        <f t="shared" si="71"/>
        <v>0</v>
      </c>
      <c r="AB276" s="305">
        <f>+IF(W276=0,0,HLOOKUP(YEAR(W276)+(MONTH(W276)/100),TC!$5:$37,DAY(W276)+2,FALSE))</f>
        <v>0</v>
      </c>
      <c r="AC276" s="306">
        <f t="shared" si="72"/>
        <v>0</v>
      </c>
      <c r="AD276" s="314">
        <f t="shared" si="63"/>
        <v>0</v>
      </c>
      <c r="AE276" s="315">
        <f t="shared" si="73"/>
        <v>0</v>
      </c>
      <c r="AF276" s="316">
        <f t="shared" si="64"/>
        <v>0</v>
      </c>
      <c r="AG276" s="314">
        <v>1</v>
      </c>
      <c r="AH276" s="314">
        <f t="shared" si="74"/>
        <v>0</v>
      </c>
      <c r="AI276" s="314">
        <f t="shared" si="75"/>
        <v>0</v>
      </c>
      <c r="AJ276" s="317"/>
      <c r="AK276" s="315" t="e">
        <f t="shared" si="76"/>
        <v>#N/A</v>
      </c>
      <c r="AM276" s="553"/>
      <c r="AN276" s="553"/>
      <c r="AO276" s="553"/>
    </row>
    <row r="277" spans="2:41">
      <c r="B277" s="296"/>
      <c r="C277" s="299"/>
      <c r="D277" s="296"/>
      <c r="E277" s="298"/>
      <c r="F277" s="299"/>
      <c r="G277" s="300"/>
      <c r="H277" s="303"/>
      <c r="I277" s="303"/>
      <c r="J277" s="322">
        <f t="shared" si="62"/>
        <v>0</v>
      </c>
      <c r="K277" s="305" t="e">
        <f>IF(F277="MXN",1/HLOOKUP(YEAR(G277)+(MONTH(G277)/100),TC!$5:$37,DAY(G277)+2,FALSE),VLOOKUP(F277,Equivalencia!$5:$23,((MAX(Equivalencia!$3:$3)-YEAR(G277))*14)+MONTH(G277)+2,FALSE))</f>
        <v>#N/A</v>
      </c>
      <c r="L277" s="306" t="e">
        <f t="shared" si="65"/>
        <v>#N/A</v>
      </c>
      <c r="M277" s="305">
        <f>IF(G277=0,0,HLOOKUP(YEAR(G277)+(MONTH(G277)/100),TC!$5:$37,DAY(G277)+2,FALSE))</f>
        <v>0</v>
      </c>
      <c r="N277" s="306" t="e">
        <f t="shared" si="66"/>
        <v>#N/A</v>
      </c>
      <c r="O277" s="308">
        <f>IF(G277=0,0,VLOOKUP(YEAR(G277),INPC!$B$4:$P$30,MONTH(G277)+2))</f>
        <v>0</v>
      </c>
      <c r="P277" s="308">
        <f>IF(W277=0,0,IF(OR(C277=$AQ$5,C277=AQ281),VLOOKUP(YEAR(W277),INPC!$B$4:$P$30,MONTH(W277)+1),VLOOKUP(YEAR(W277),INPC!$B$4:$P$30,MONTH(W277)+2)))</f>
        <v>0</v>
      </c>
      <c r="Q277" s="309">
        <f t="shared" si="67"/>
        <v>0</v>
      </c>
      <c r="R277" s="310" t="e">
        <f t="shared" si="68"/>
        <v>#N/A</v>
      </c>
      <c r="S277" s="310">
        <f t="shared" si="69"/>
        <v>0</v>
      </c>
      <c r="T277" s="559" t="str">
        <f t="shared" si="70"/>
        <v>NO</v>
      </c>
      <c r="U277" s="323"/>
      <c r="V277" s="299"/>
      <c r="W277" s="300"/>
      <c r="X277" s="299"/>
      <c r="Y277" s="303"/>
      <c r="Z277" s="305">
        <f>IF(Y277=0,0,IF(X277="MXN",1/HLOOKUP(YEAR(W277)+(MONTH(W277)/100),TC!$5:$37,DAY(W277)+2,FALSE),VLOOKUP(X277,Equivalencia!$1:$23,((MAX(Equivalencia!$3:$3)-YEAR(W277))*14)+MONTH(W277)+2,FALSE)))</f>
        <v>0</v>
      </c>
      <c r="AA277" s="306">
        <f t="shared" si="71"/>
        <v>0</v>
      </c>
      <c r="AB277" s="305">
        <f>+IF(W277=0,0,HLOOKUP(YEAR(W277)+(MONTH(W277)/100),TC!$5:$37,DAY(W277)+2,FALSE))</f>
        <v>0</v>
      </c>
      <c r="AC277" s="306">
        <f t="shared" si="72"/>
        <v>0</v>
      </c>
      <c r="AD277" s="314">
        <f t="shared" si="63"/>
        <v>0</v>
      </c>
      <c r="AE277" s="315">
        <f t="shared" si="73"/>
        <v>0</v>
      </c>
      <c r="AF277" s="316">
        <f t="shared" si="64"/>
        <v>0</v>
      </c>
      <c r="AG277" s="314">
        <v>1</v>
      </c>
      <c r="AH277" s="314">
        <f t="shared" si="74"/>
        <v>0</v>
      </c>
      <c r="AI277" s="314">
        <f t="shared" si="75"/>
        <v>0</v>
      </c>
      <c r="AJ277" s="317"/>
      <c r="AK277" s="315" t="e">
        <f t="shared" si="76"/>
        <v>#N/A</v>
      </c>
      <c r="AM277" s="553"/>
      <c r="AN277" s="553"/>
      <c r="AO277" s="553"/>
    </row>
    <row r="278" spans="2:41">
      <c r="B278" s="296"/>
      <c r="C278" s="299"/>
      <c r="D278" s="296"/>
      <c r="E278" s="298"/>
      <c r="F278" s="299"/>
      <c r="G278" s="300"/>
      <c r="H278" s="303"/>
      <c r="I278" s="303"/>
      <c r="J278" s="322">
        <f t="shared" si="62"/>
        <v>0</v>
      </c>
      <c r="K278" s="305" t="e">
        <f>IF(F278="MXN",1/HLOOKUP(YEAR(G278)+(MONTH(G278)/100),TC!$5:$37,DAY(G278)+2,FALSE),VLOOKUP(F278,Equivalencia!$5:$23,((MAX(Equivalencia!$3:$3)-YEAR(G278))*14)+MONTH(G278)+2,FALSE))</f>
        <v>#N/A</v>
      </c>
      <c r="L278" s="306" t="e">
        <f t="shared" si="65"/>
        <v>#N/A</v>
      </c>
      <c r="M278" s="305">
        <f>IF(G278=0,0,HLOOKUP(YEAR(G278)+(MONTH(G278)/100),TC!$5:$37,DAY(G278)+2,FALSE))</f>
        <v>0</v>
      </c>
      <c r="N278" s="306" t="e">
        <f t="shared" si="66"/>
        <v>#N/A</v>
      </c>
      <c r="O278" s="308">
        <f>IF(G278=0,0,VLOOKUP(YEAR(G278),INPC!$B$4:$P$30,MONTH(G278)+2))</f>
        <v>0</v>
      </c>
      <c r="P278" s="308">
        <f>IF(W278=0,0,IF(OR(C278=$AQ$5,C278=AQ282),VLOOKUP(YEAR(W278),INPC!$B$4:$P$30,MONTH(W278)+1),VLOOKUP(YEAR(W278),INPC!$B$4:$P$30,MONTH(W278)+2)))</f>
        <v>0</v>
      </c>
      <c r="Q278" s="309">
        <f t="shared" si="67"/>
        <v>0</v>
      </c>
      <c r="R278" s="310" t="e">
        <f t="shared" si="68"/>
        <v>#N/A</v>
      </c>
      <c r="S278" s="310">
        <f t="shared" si="69"/>
        <v>0</v>
      </c>
      <c r="T278" s="559" t="str">
        <f t="shared" si="70"/>
        <v>NO</v>
      </c>
      <c r="U278" s="323"/>
      <c r="V278" s="299"/>
      <c r="W278" s="300"/>
      <c r="X278" s="299"/>
      <c r="Y278" s="303"/>
      <c r="Z278" s="305">
        <f>IF(Y278=0,0,IF(X278="MXN",1/HLOOKUP(YEAR(W278)+(MONTH(W278)/100),TC!$5:$37,DAY(W278)+2,FALSE),VLOOKUP(X278,Equivalencia!$1:$23,((MAX(Equivalencia!$3:$3)-YEAR(W278))*14)+MONTH(W278)+2,FALSE)))</f>
        <v>0</v>
      </c>
      <c r="AA278" s="306">
        <f t="shared" si="71"/>
        <v>0</v>
      </c>
      <c r="AB278" s="305">
        <f>+IF(W278=0,0,HLOOKUP(YEAR(W278)+(MONTH(W278)/100),TC!$5:$37,DAY(W278)+2,FALSE))</f>
        <v>0</v>
      </c>
      <c r="AC278" s="306">
        <f t="shared" si="72"/>
        <v>0</v>
      </c>
      <c r="AD278" s="314">
        <f t="shared" si="63"/>
        <v>0</v>
      </c>
      <c r="AE278" s="315">
        <f t="shared" si="73"/>
        <v>0</v>
      </c>
      <c r="AF278" s="316">
        <f t="shared" si="64"/>
        <v>0</v>
      </c>
      <c r="AG278" s="314">
        <v>1</v>
      </c>
      <c r="AH278" s="314">
        <f t="shared" si="74"/>
        <v>0</v>
      </c>
      <c r="AI278" s="314">
        <f t="shared" si="75"/>
        <v>0</v>
      </c>
      <c r="AJ278" s="317"/>
      <c r="AK278" s="315" t="e">
        <f t="shared" si="76"/>
        <v>#N/A</v>
      </c>
      <c r="AM278" s="553"/>
      <c r="AN278" s="553"/>
      <c r="AO278" s="553"/>
    </row>
    <row r="279" spans="2:41">
      <c r="B279" s="296"/>
      <c r="C279" s="299"/>
      <c r="D279" s="296"/>
      <c r="E279" s="298"/>
      <c r="F279" s="299"/>
      <c r="G279" s="300"/>
      <c r="H279" s="303"/>
      <c r="I279" s="303"/>
      <c r="J279" s="322">
        <f t="shared" si="62"/>
        <v>0</v>
      </c>
      <c r="K279" s="305" t="e">
        <f>IF(F279="MXN",1/HLOOKUP(YEAR(G279)+(MONTH(G279)/100),TC!$5:$37,DAY(G279)+2,FALSE),VLOOKUP(F279,Equivalencia!$5:$23,((MAX(Equivalencia!$3:$3)-YEAR(G279))*14)+MONTH(G279)+2,FALSE))</f>
        <v>#N/A</v>
      </c>
      <c r="L279" s="306" t="e">
        <f t="shared" si="65"/>
        <v>#N/A</v>
      </c>
      <c r="M279" s="305">
        <f>IF(G279=0,0,HLOOKUP(YEAR(G279)+(MONTH(G279)/100),TC!$5:$37,DAY(G279)+2,FALSE))</f>
        <v>0</v>
      </c>
      <c r="N279" s="306" t="e">
        <f t="shared" si="66"/>
        <v>#N/A</v>
      </c>
      <c r="O279" s="308">
        <f>IF(G279=0,0,VLOOKUP(YEAR(G279),INPC!$B$4:$P$30,MONTH(G279)+2))</f>
        <v>0</v>
      </c>
      <c r="P279" s="308">
        <f>IF(W279=0,0,IF(OR(C279=$AQ$5,C279=AQ283),VLOOKUP(YEAR(W279),INPC!$B$4:$P$30,MONTH(W279)+1),VLOOKUP(YEAR(W279),INPC!$B$4:$P$30,MONTH(W279)+2)))</f>
        <v>0</v>
      </c>
      <c r="Q279" s="309">
        <f t="shared" si="67"/>
        <v>0</v>
      </c>
      <c r="R279" s="310" t="e">
        <f t="shared" si="68"/>
        <v>#N/A</v>
      </c>
      <c r="S279" s="310">
        <f t="shared" si="69"/>
        <v>0</v>
      </c>
      <c r="T279" s="559" t="str">
        <f t="shared" si="70"/>
        <v>NO</v>
      </c>
      <c r="U279" s="323"/>
      <c r="V279" s="299"/>
      <c r="W279" s="300"/>
      <c r="X279" s="299"/>
      <c r="Y279" s="303"/>
      <c r="Z279" s="305">
        <f>IF(Y279=0,0,IF(X279="MXN",1/HLOOKUP(YEAR(W279)+(MONTH(W279)/100),TC!$5:$37,DAY(W279)+2,FALSE),VLOOKUP(X279,Equivalencia!$1:$23,((MAX(Equivalencia!$3:$3)-YEAR(W279))*14)+MONTH(W279)+2,FALSE)))</f>
        <v>0</v>
      </c>
      <c r="AA279" s="306">
        <f t="shared" si="71"/>
        <v>0</v>
      </c>
      <c r="AB279" s="305">
        <f>+IF(W279=0,0,HLOOKUP(YEAR(W279)+(MONTH(W279)/100),TC!$5:$37,DAY(W279)+2,FALSE))</f>
        <v>0</v>
      </c>
      <c r="AC279" s="306">
        <f t="shared" si="72"/>
        <v>0</v>
      </c>
      <c r="AD279" s="314">
        <f t="shared" si="63"/>
        <v>0</v>
      </c>
      <c r="AE279" s="315">
        <f t="shared" si="73"/>
        <v>0</v>
      </c>
      <c r="AF279" s="316">
        <f t="shared" si="64"/>
        <v>0</v>
      </c>
      <c r="AG279" s="314">
        <v>1</v>
      </c>
      <c r="AH279" s="314">
        <f t="shared" si="74"/>
        <v>0</v>
      </c>
      <c r="AI279" s="314">
        <f t="shared" si="75"/>
        <v>0</v>
      </c>
      <c r="AJ279" s="317"/>
      <c r="AK279" s="315" t="e">
        <f t="shared" si="76"/>
        <v>#N/A</v>
      </c>
      <c r="AM279" s="553"/>
      <c r="AN279" s="553"/>
      <c r="AO279" s="553"/>
    </row>
    <row r="280" spans="2:41">
      <c r="B280" s="296"/>
      <c r="C280" s="299"/>
      <c r="D280" s="296"/>
      <c r="E280" s="298"/>
      <c r="F280" s="299"/>
      <c r="G280" s="300"/>
      <c r="H280" s="303"/>
      <c r="I280" s="303"/>
      <c r="J280" s="322">
        <f t="shared" si="62"/>
        <v>0</v>
      </c>
      <c r="K280" s="305" t="e">
        <f>IF(F280="MXN",1/HLOOKUP(YEAR(G280)+(MONTH(G280)/100),TC!$5:$37,DAY(G280)+2,FALSE),VLOOKUP(F280,Equivalencia!$5:$23,((MAX(Equivalencia!$3:$3)-YEAR(G280))*14)+MONTH(G280)+2,FALSE))</f>
        <v>#N/A</v>
      </c>
      <c r="L280" s="306" t="e">
        <f t="shared" si="65"/>
        <v>#N/A</v>
      </c>
      <c r="M280" s="305">
        <f>IF(G280=0,0,HLOOKUP(YEAR(G280)+(MONTH(G280)/100),TC!$5:$37,DAY(G280)+2,FALSE))</f>
        <v>0</v>
      </c>
      <c r="N280" s="306" t="e">
        <f t="shared" si="66"/>
        <v>#N/A</v>
      </c>
      <c r="O280" s="308">
        <f>IF(G280=0,0,VLOOKUP(YEAR(G280),INPC!$B$4:$P$30,MONTH(G280)+2))</f>
        <v>0</v>
      </c>
      <c r="P280" s="308">
        <f>IF(W280=0,0,IF(OR(C280=$AQ$5,C280=AQ284),VLOOKUP(YEAR(W280),INPC!$B$4:$P$30,MONTH(W280)+1),VLOOKUP(YEAR(W280),INPC!$B$4:$P$30,MONTH(W280)+2)))</f>
        <v>0</v>
      </c>
      <c r="Q280" s="309">
        <f t="shared" si="67"/>
        <v>0</v>
      </c>
      <c r="R280" s="310" t="e">
        <f t="shared" si="68"/>
        <v>#N/A</v>
      </c>
      <c r="S280" s="310">
        <f t="shared" si="69"/>
        <v>0</v>
      </c>
      <c r="T280" s="559" t="str">
        <f t="shared" si="70"/>
        <v>NO</v>
      </c>
      <c r="U280" s="323"/>
      <c r="V280" s="299"/>
      <c r="W280" s="300"/>
      <c r="X280" s="299"/>
      <c r="Y280" s="303"/>
      <c r="Z280" s="305">
        <f>IF(Y280=0,0,IF(X280="MXN",1/HLOOKUP(YEAR(W280)+(MONTH(W280)/100),TC!$5:$37,DAY(W280)+2,FALSE),VLOOKUP(X280,Equivalencia!$1:$23,((MAX(Equivalencia!$3:$3)-YEAR(W280))*14)+MONTH(W280)+2,FALSE)))</f>
        <v>0</v>
      </c>
      <c r="AA280" s="306">
        <f t="shared" si="71"/>
        <v>0</v>
      </c>
      <c r="AB280" s="305">
        <f>+IF(W280=0,0,HLOOKUP(YEAR(W280)+(MONTH(W280)/100),TC!$5:$37,DAY(W280)+2,FALSE))</f>
        <v>0</v>
      </c>
      <c r="AC280" s="306">
        <f t="shared" si="72"/>
        <v>0</v>
      </c>
      <c r="AD280" s="314">
        <f t="shared" si="63"/>
        <v>0</v>
      </c>
      <c r="AE280" s="315">
        <f t="shared" si="73"/>
        <v>0</v>
      </c>
      <c r="AF280" s="316">
        <f t="shared" si="64"/>
        <v>0</v>
      </c>
      <c r="AG280" s="314">
        <v>1</v>
      </c>
      <c r="AH280" s="314">
        <f t="shared" si="74"/>
        <v>0</v>
      </c>
      <c r="AI280" s="314">
        <f t="shared" si="75"/>
        <v>0</v>
      </c>
      <c r="AJ280" s="317"/>
      <c r="AK280" s="315" t="e">
        <f t="shared" si="76"/>
        <v>#N/A</v>
      </c>
      <c r="AM280" s="553"/>
      <c r="AN280" s="553"/>
      <c r="AO280" s="553"/>
    </row>
    <row r="281" spans="2:41">
      <c r="B281" s="296"/>
      <c r="C281" s="299"/>
      <c r="D281" s="296"/>
      <c r="E281" s="298"/>
      <c r="F281" s="299"/>
      <c r="G281" s="300"/>
      <c r="H281" s="303"/>
      <c r="I281" s="303"/>
      <c r="J281" s="322">
        <f t="shared" si="62"/>
        <v>0</v>
      </c>
      <c r="K281" s="305" t="e">
        <f>IF(F281="MXN",1/HLOOKUP(YEAR(G281)+(MONTH(G281)/100),TC!$5:$37,DAY(G281)+2,FALSE),VLOOKUP(F281,Equivalencia!$5:$23,((MAX(Equivalencia!$3:$3)-YEAR(G281))*14)+MONTH(G281)+2,FALSE))</f>
        <v>#N/A</v>
      </c>
      <c r="L281" s="306" t="e">
        <f t="shared" si="65"/>
        <v>#N/A</v>
      </c>
      <c r="M281" s="305">
        <f>IF(G281=0,0,HLOOKUP(YEAR(G281)+(MONTH(G281)/100),TC!$5:$37,DAY(G281)+2,FALSE))</f>
        <v>0</v>
      </c>
      <c r="N281" s="306" t="e">
        <f t="shared" si="66"/>
        <v>#N/A</v>
      </c>
      <c r="O281" s="308">
        <f>IF(G281=0,0,VLOOKUP(YEAR(G281),INPC!$B$4:$P$30,MONTH(G281)+2))</f>
        <v>0</v>
      </c>
      <c r="P281" s="308">
        <f>IF(W281=0,0,IF(OR(C281=$AQ$5,C281=AQ285),VLOOKUP(YEAR(W281),INPC!$B$4:$P$30,MONTH(W281)+1),VLOOKUP(YEAR(W281),INPC!$B$4:$P$30,MONTH(W281)+2)))</f>
        <v>0</v>
      </c>
      <c r="Q281" s="309">
        <f t="shared" si="67"/>
        <v>0</v>
      </c>
      <c r="R281" s="310" t="e">
        <f t="shared" si="68"/>
        <v>#N/A</v>
      </c>
      <c r="S281" s="310">
        <f t="shared" si="69"/>
        <v>0</v>
      </c>
      <c r="T281" s="559" t="str">
        <f t="shared" si="70"/>
        <v>NO</v>
      </c>
      <c r="U281" s="323"/>
      <c r="V281" s="299"/>
      <c r="W281" s="300"/>
      <c r="X281" s="299"/>
      <c r="Y281" s="303"/>
      <c r="Z281" s="305">
        <f>IF(Y281=0,0,IF(X281="MXN",1/HLOOKUP(YEAR(W281)+(MONTH(W281)/100),TC!$5:$37,DAY(W281)+2,FALSE),VLOOKUP(X281,Equivalencia!$1:$23,((MAX(Equivalencia!$3:$3)-YEAR(W281))*14)+MONTH(W281)+2,FALSE)))</f>
        <v>0</v>
      </c>
      <c r="AA281" s="306">
        <f t="shared" si="71"/>
        <v>0</v>
      </c>
      <c r="AB281" s="305">
        <f>+IF(W281=0,0,HLOOKUP(YEAR(W281)+(MONTH(W281)/100),TC!$5:$37,DAY(W281)+2,FALSE))</f>
        <v>0</v>
      </c>
      <c r="AC281" s="306">
        <f t="shared" si="72"/>
        <v>0</v>
      </c>
      <c r="AD281" s="314">
        <f t="shared" si="63"/>
        <v>0</v>
      </c>
      <c r="AE281" s="315">
        <f t="shared" si="73"/>
        <v>0</v>
      </c>
      <c r="AF281" s="316">
        <f t="shared" si="64"/>
        <v>0</v>
      </c>
      <c r="AG281" s="314">
        <v>1</v>
      </c>
      <c r="AH281" s="314">
        <f t="shared" si="74"/>
        <v>0</v>
      </c>
      <c r="AI281" s="314">
        <f t="shared" si="75"/>
        <v>0</v>
      </c>
      <c r="AJ281" s="317"/>
      <c r="AK281" s="315" t="e">
        <f t="shared" si="76"/>
        <v>#N/A</v>
      </c>
      <c r="AM281" s="553"/>
      <c r="AN281" s="553"/>
      <c r="AO281" s="553"/>
    </row>
    <row r="282" spans="2:41">
      <c r="B282" s="296"/>
      <c r="C282" s="299"/>
      <c r="D282" s="296"/>
      <c r="E282" s="298"/>
      <c r="F282" s="299"/>
      <c r="G282" s="300"/>
      <c r="H282" s="303"/>
      <c r="I282" s="303"/>
      <c r="J282" s="322">
        <f t="shared" si="62"/>
        <v>0</v>
      </c>
      <c r="K282" s="305" t="e">
        <f>IF(F282="MXN",1/HLOOKUP(YEAR(G282)+(MONTH(G282)/100),TC!$5:$37,DAY(G282)+2,FALSE),VLOOKUP(F282,Equivalencia!$5:$23,((MAX(Equivalencia!$3:$3)-YEAR(G282))*14)+MONTH(G282)+2,FALSE))</f>
        <v>#N/A</v>
      </c>
      <c r="L282" s="306" t="e">
        <f t="shared" si="65"/>
        <v>#N/A</v>
      </c>
      <c r="M282" s="305">
        <f>IF(G282=0,0,HLOOKUP(YEAR(G282)+(MONTH(G282)/100),TC!$5:$37,DAY(G282)+2,FALSE))</f>
        <v>0</v>
      </c>
      <c r="N282" s="306" t="e">
        <f t="shared" si="66"/>
        <v>#N/A</v>
      </c>
      <c r="O282" s="308">
        <f>IF(G282=0,0,VLOOKUP(YEAR(G282),INPC!$B$4:$P$30,MONTH(G282)+2))</f>
        <v>0</v>
      </c>
      <c r="P282" s="308">
        <f>IF(W282=0,0,IF(OR(C282=$AQ$5,C282=AQ286),VLOOKUP(YEAR(W282),INPC!$B$4:$P$30,MONTH(W282)+1),VLOOKUP(YEAR(W282),INPC!$B$4:$P$30,MONTH(W282)+2)))</f>
        <v>0</v>
      </c>
      <c r="Q282" s="309">
        <f t="shared" si="67"/>
        <v>0</v>
      </c>
      <c r="R282" s="310" t="e">
        <f t="shared" si="68"/>
        <v>#N/A</v>
      </c>
      <c r="S282" s="310">
        <f t="shared" si="69"/>
        <v>0</v>
      </c>
      <c r="T282" s="559" t="str">
        <f t="shared" si="70"/>
        <v>NO</v>
      </c>
      <c r="U282" s="323"/>
      <c r="V282" s="299"/>
      <c r="W282" s="300"/>
      <c r="X282" s="299"/>
      <c r="Y282" s="303"/>
      <c r="Z282" s="305">
        <f>IF(Y282=0,0,IF(X282="MXN",1/HLOOKUP(YEAR(W282)+(MONTH(W282)/100),TC!$5:$37,DAY(W282)+2,FALSE),VLOOKUP(X282,Equivalencia!$1:$23,((MAX(Equivalencia!$3:$3)-YEAR(W282))*14)+MONTH(W282)+2,FALSE)))</f>
        <v>0</v>
      </c>
      <c r="AA282" s="306">
        <f t="shared" si="71"/>
        <v>0</v>
      </c>
      <c r="AB282" s="305">
        <f>+IF(W282=0,0,HLOOKUP(YEAR(W282)+(MONTH(W282)/100),TC!$5:$37,DAY(W282)+2,FALSE))</f>
        <v>0</v>
      </c>
      <c r="AC282" s="306">
        <f t="shared" si="72"/>
        <v>0</v>
      </c>
      <c r="AD282" s="314">
        <f t="shared" si="63"/>
        <v>0</v>
      </c>
      <c r="AE282" s="315">
        <f t="shared" si="73"/>
        <v>0</v>
      </c>
      <c r="AF282" s="316">
        <f t="shared" si="64"/>
        <v>0</v>
      </c>
      <c r="AG282" s="314">
        <v>1</v>
      </c>
      <c r="AH282" s="314">
        <f t="shared" si="74"/>
        <v>0</v>
      </c>
      <c r="AI282" s="314">
        <f t="shared" si="75"/>
        <v>0</v>
      </c>
      <c r="AJ282" s="317"/>
      <c r="AK282" s="315" t="e">
        <f t="shared" si="76"/>
        <v>#N/A</v>
      </c>
      <c r="AM282" s="553"/>
      <c r="AN282" s="553"/>
      <c r="AO282" s="553"/>
    </row>
    <row r="283" spans="2:41">
      <c r="B283" s="296"/>
      <c r="C283" s="299"/>
      <c r="D283" s="296"/>
      <c r="E283" s="298"/>
      <c r="F283" s="299"/>
      <c r="G283" s="300"/>
      <c r="H283" s="303"/>
      <c r="I283" s="303"/>
      <c r="J283" s="322">
        <f t="shared" si="62"/>
        <v>0</v>
      </c>
      <c r="K283" s="305" t="e">
        <f>IF(F283="MXN",1/HLOOKUP(YEAR(G283)+(MONTH(G283)/100),TC!$5:$37,DAY(G283)+2,FALSE),VLOOKUP(F283,Equivalencia!$5:$23,((MAX(Equivalencia!$3:$3)-YEAR(G283))*14)+MONTH(G283)+2,FALSE))</f>
        <v>#N/A</v>
      </c>
      <c r="L283" s="306" t="e">
        <f t="shared" si="65"/>
        <v>#N/A</v>
      </c>
      <c r="M283" s="305">
        <f>IF(G283=0,0,HLOOKUP(YEAR(G283)+(MONTH(G283)/100),TC!$5:$37,DAY(G283)+2,FALSE))</f>
        <v>0</v>
      </c>
      <c r="N283" s="306" t="e">
        <f t="shared" si="66"/>
        <v>#N/A</v>
      </c>
      <c r="O283" s="308">
        <f>IF(G283=0,0,VLOOKUP(YEAR(G283),INPC!$B$4:$P$30,MONTH(G283)+2))</f>
        <v>0</v>
      </c>
      <c r="P283" s="308">
        <f>IF(W283=0,0,IF(OR(C283=$AQ$5,C283=AQ287),VLOOKUP(YEAR(W283),INPC!$B$4:$P$30,MONTH(W283)+1),VLOOKUP(YEAR(W283),INPC!$B$4:$P$30,MONTH(W283)+2)))</f>
        <v>0</v>
      </c>
      <c r="Q283" s="309">
        <f t="shared" si="67"/>
        <v>0</v>
      </c>
      <c r="R283" s="310" t="e">
        <f t="shared" si="68"/>
        <v>#N/A</v>
      </c>
      <c r="S283" s="310">
        <f t="shared" si="69"/>
        <v>0</v>
      </c>
      <c r="T283" s="559" t="str">
        <f t="shared" si="70"/>
        <v>NO</v>
      </c>
      <c r="U283" s="323"/>
      <c r="V283" s="299"/>
      <c r="W283" s="300"/>
      <c r="X283" s="299"/>
      <c r="Y283" s="303"/>
      <c r="Z283" s="305">
        <f>IF(Y283=0,0,IF(X283="MXN",1/HLOOKUP(YEAR(W283)+(MONTH(W283)/100),TC!$5:$37,DAY(W283)+2,FALSE),VLOOKUP(X283,Equivalencia!$1:$23,((MAX(Equivalencia!$3:$3)-YEAR(W283))*14)+MONTH(W283)+2,FALSE)))</f>
        <v>0</v>
      </c>
      <c r="AA283" s="306">
        <f t="shared" si="71"/>
        <v>0</v>
      </c>
      <c r="AB283" s="305">
        <f>+IF(W283=0,0,HLOOKUP(YEAR(W283)+(MONTH(W283)/100),TC!$5:$37,DAY(W283)+2,FALSE))</f>
        <v>0</v>
      </c>
      <c r="AC283" s="306">
        <f t="shared" si="72"/>
        <v>0</v>
      </c>
      <c r="AD283" s="314">
        <f t="shared" si="63"/>
        <v>0</v>
      </c>
      <c r="AE283" s="315">
        <f t="shared" si="73"/>
        <v>0</v>
      </c>
      <c r="AF283" s="316">
        <f t="shared" si="64"/>
        <v>0</v>
      </c>
      <c r="AG283" s="314">
        <v>1</v>
      </c>
      <c r="AH283" s="314">
        <f t="shared" si="74"/>
        <v>0</v>
      </c>
      <c r="AI283" s="314">
        <f t="shared" si="75"/>
        <v>0</v>
      </c>
      <c r="AJ283" s="317"/>
      <c r="AK283" s="315" t="e">
        <f t="shared" si="76"/>
        <v>#N/A</v>
      </c>
      <c r="AM283" s="553"/>
      <c r="AN283" s="553"/>
      <c r="AO283" s="553"/>
    </row>
    <row r="284" spans="2:41">
      <c r="B284" s="296"/>
      <c r="C284" s="299"/>
      <c r="D284" s="296"/>
      <c r="E284" s="298"/>
      <c r="F284" s="299"/>
      <c r="G284" s="300"/>
      <c r="H284" s="303"/>
      <c r="I284" s="303"/>
      <c r="J284" s="322">
        <f t="shared" si="62"/>
        <v>0</v>
      </c>
      <c r="K284" s="305" t="e">
        <f>IF(F284="MXN",1/HLOOKUP(YEAR(G284)+(MONTH(G284)/100),TC!$5:$37,DAY(G284)+2,FALSE),VLOOKUP(F284,Equivalencia!$5:$23,((MAX(Equivalencia!$3:$3)-YEAR(G284))*14)+MONTH(G284)+2,FALSE))</f>
        <v>#N/A</v>
      </c>
      <c r="L284" s="306" t="e">
        <f t="shared" si="65"/>
        <v>#N/A</v>
      </c>
      <c r="M284" s="305">
        <f>IF(G284=0,0,HLOOKUP(YEAR(G284)+(MONTH(G284)/100),TC!$5:$37,DAY(G284)+2,FALSE))</f>
        <v>0</v>
      </c>
      <c r="N284" s="306" t="e">
        <f t="shared" si="66"/>
        <v>#N/A</v>
      </c>
      <c r="O284" s="308">
        <f>IF(G284=0,0,VLOOKUP(YEAR(G284),INPC!$B$4:$P$30,MONTH(G284)+2))</f>
        <v>0</v>
      </c>
      <c r="P284" s="308">
        <f>IF(W284=0,0,IF(OR(C284=$AQ$5,C284=AQ288),VLOOKUP(YEAR(W284),INPC!$B$4:$P$30,MONTH(W284)+1),VLOOKUP(YEAR(W284),INPC!$B$4:$P$30,MONTH(W284)+2)))</f>
        <v>0</v>
      </c>
      <c r="Q284" s="309">
        <f t="shared" si="67"/>
        <v>0</v>
      </c>
      <c r="R284" s="310" t="e">
        <f t="shared" si="68"/>
        <v>#N/A</v>
      </c>
      <c r="S284" s="310">
        <f t="shared" si="69"/>
        <v>0</v>
      </c>
      <c r="T284" s="559" t="str">
        <f t="shared" si="70"/>
        <v>NO</v>
      </c>
      <c r="U284" s="323"/>
      <c r="V284" s="299"/>
      <c r="W284" s="300"/>
      <c r="X284" s="299"/>
      <c r="Y284" s="303"/>
      <c r="Z284" s="305">
        <f>IF(Y284=0,0,IF(X284="MXN",1/HLOOKUP(YEAR(W284)+(MONTH(W284)/100),TC!$5:$37,DAY(W284)+2,FALSE),VLOOKUP(X284,Equivalencia!$1:$23,((MAX(Equivalencia!$3:$3)-YEAR(W284))*14)+MONTH(W284)+2,FALSE)))</f>
        <v>0</v>
      </c>
      <c r="AA284" s="306">
        <f t="shared" si="71"/>
        <v>0</v>
      </c>
      <c r="AB284" s="305">
        <f>+IF(W284=0,0,HLOOKUP(YEAR(W284)+(MONTH(W284)/100),TC!$5:$37,DAY(W284)+2,FALSE))</f>
        <v>0</v>
      </c>
      <c r="AC284" s="306">
        <f t="shared" si="72"/>
        <v>0</v>
      </c>
      <c r="AD284" s="314">
        <f t="shared" si="63"/>
        <v>0</v>
      </c>
      <c r="AE284" s="315">
        <f t="shared" si="73"/>
        <v>0</v>
      </c>
      <c r="AF284" s="316">
        <f t="shared" si="64"/>
        <v>0</v>
      </c>
      <c r="AG284" s="314">
        <v>1</v>
      </c>
      <c r="AH284" s="314">
        <f t="shared" si="74"/>
        <v>0</v>
      </c>
      <c r="AI284" s="314">
        <f t="shared" si="75"/>
        <v>0</v>
      </c>
      <c r="AJ284" s="317"/>
      <c r="AK284" s="315" t="e">
        <f t="shared" si="76"/>
        <v>#N/A</v>
      </c>
      <c r="AM284" s="553"/>
      <c r="AN284" s="553"/>
      <c r="AO284" s="553"/>
    </row>
    <row r="285" spans="2:41">
      <c r="B285" s="296"/>
      <c r="C285" s="299"/>
      <c r="D285" s="296"/>
      <c r="E285" s="298"/>
      <c r="F285" s="299"/>
      <c r="G285" s="300"/>
      <c r="H285" s="303"/>
      <c r="I285" s="303"/>
      <c r="J285" s="322">
        <f t="shared" si="62"/>
        <v>0</v>
      </c>
      <c r="K285" s="305" t="e">
        <f>IF(F285="MXN",1/HLOOKUP(YEAR(G285)+(MONTH(G285)/100),TC!$5:$37,DAY(G285)+2,FALSE),VLOOKUP(F285,Equivalencia!$5:$23,((MAX(Equivalencia!$3:$3)-YEAR(G285))*14)+MONTH(G285)+2,FALSE))</f>
        <v>#N/A</v>
      </c>
      <c r="L285" s="306" t="e">
        <f t="shared" si="65"/>
        <v>#N/A</v>
      </c>
      <c r="M285" s="305">
        <f>IF(G285=0,0,HLOOKUP(YEAR(G285)+(MONTH(G285)/100),TC!$5:$37,DAY(G285)+2,FALSE))</f>
        <v>0</v>
      </c>
      <c r="N285" s="306" t="e">
        <f t="shared" si="66"/>
        <v>#N/A</v>
      </c>
      <c r="O285" s="308">
        <f>IF(G285=0,0,VLOOKUP(YEAR(G285),INPC!$B$4:$P$30,MONTH(G285)+2))</f>
        <v>0</v>
      </c>
      <c r="P285" s="308">
        <f>IF(W285=0,0,IF(OR(C285=$AQ$5,C285=AQ289),VLOOKUP(YEAR(W285),INPC!$B$4:$P$30,MONTH(W285)+1),VLOOKUP(YEAR(W285),INPC!$B$4:$P$30,MONTH(W285)+2)))</f>
        <v>0</v>
      </c>
      <c r="Q285" s="309">
        <f t="shared" si="67"/>
        <v>0</v>
      </c>
      <c r="R285" s="310" t="e">
        <f t="shared" si="68"/>
        <v>#N/A</v>
      </c>
      <c r="S285" s="310">
        <f t="shared" si="69"/>
        <v>0</v>
      </c>
      <c r="T285" s="559" t="str">
        <f t="shared" si="70"/>
        <v>NO</v>
      </c>
      <c r="U285" s="323"/>
      <c r="V285" s="299"/>
      <c r="W285" s="300"/>
      <c r="X285" s="299"/>
      <c r="Y285" s="303"/>
      <c r="Z285" s="305">
        <f>IF(Y285=0,0,IF(X285="MXN",1/HLOOKUP(YEAR(W285)+(MONTH(W285)/100),TC!$5:$37,DAY(W285)+2,FALSE),VLOOKUP(X285,Equivalencia!$1:$23,((MAX(Equivalencia!$3:$3)-YEAR(W285))*14)+MONTH(W285)+2,FALSE)))</f>
        <v>0</v>
      </c>
      <c r="AA285" s="306">
        <f t="shared" si="71"/>
        <v>0</v>
      </c>
      <c r="AB285" s="305">
        <f>+IF(W285=0,0,HLOOKUP(YEAR(W285)+(MONTH(W285)/100),TC!$5:$37,DAY(W285)+2,FALSE))</f>
        <v>0</v>
      </c>
      <c r="AC285" s="306">
        <f t="shared" si="72"/>
        <v>0</v>
      </c>
      <c r="AD285" s="314">
        <f t="shared" si="63"/>
        <v>0</v>
      </c>
      <c r="AE285" s="315">
        <f t="shared" si="73"/>
        <v>0</v>
      </c>
      <c r="AF285" s="316">
        <f t="shared" si="64"/>
        <v>0</v>
      </c>
      <c r="AG285" s="314">
        <v>1</v>
      </c>
      <c r="AH285" s="314">
        <f t="shared" si="74"/>
        <v>0</v>
      </c>
      <c r="AI285" s="314">
        <f t="shared" si="75"/>
        <v>0</v>
      </c>
      <c r="AJ285" s="317"/>
      <c r="AK285" s="315" t="e">
        <f t="shared" si="76"/>
        <v>#N/A</v>
      </c>
      <c r="AM285" s="553"/>
      <c r="AN285" s="553"/>
      <c r="AO285" s="553"/>
    </row>
    <row r="286" spans="2:41">
      <c r="B286" s="296"/>
      <c r="C286" s="299"/>
      <c r="D286" s="296"/>
      <c r="E286" s="298"/>
      <c r="F286" s="299"/>
      <c r="G286" s="300"/>
      <c r="H286" s="303"/>
      <c r="I286" s="303"/>
      <c r="J286" s="322">
        <f t="shared" si="62"/>
        <v>0</v>
      </c>
      <c r="K286" s="305" t="e">
        <f>IF(F286="MXN",1/HLOOKUP(YEAR(G286)+(MONTH(G286)/100),TC!$5:$37,DAY(G286)+2,FALSE),VLOOKUP(F286,Equivalencia!$5:$23,((MAX(Equivalencia!$3:$3)-YEAR(G286))*14)+MONTH(G286)+2,FALSE))</f>
        <v>#N/A</v>
      </c>
      <c r="L286" s="306" t="e">
        <f t="shared" si="65"/>
        <v>#N/A</v>
      </c>
      <c r="M286" s="305">
        <f>IF(G286=0,0,HLOOKUP(YEAR(G286)+(MONTH(G286)/100),TC!$5:$37,DAY(G286)+2,FALSE))</f>
        <v>0</v>
      </c>
      <c r="N286" s="306" t="e">
        <f t="shared" si="66"/>
        <v>#N/A</v>
      </c>
      <c r="O286" s="308">
        <f>IF(G286=0,0,VLOOKUP(YEAR(G286),INPC!$B$4:$P$30,MONTH(G286)+2))</f>
        <v>0</v>
      </c>
      <c r="P286" s="308">
        <f>IF(W286=0,0,IF(OR(C286=$AQ$5,C286=AQ290),VLOOKUP(YEAR(W286),INPC!$B$4:$P$30,MONTH(W286)+1),VLOOKUP(YEAR(W286),INPC!$B$4:$P$30,MONTH(W286)+2)))</f>
        <v>0</v>
      </c>
      <c r="Q286" s="309">
        <f t="shared" si="67"/>
        <v>0</v>
      </c>
      <c r="R286" s="310" t="e">
        <f t="shared" si="68"/>
        <v>#N/A</v>
      </c>
      <c r="S286" s="310">
        <f t="shared" si="69"/>
        <v>0</v>
      </c>
      <c r="T286" s="559" t="str">
        <f t="shared" si="70"/>
        <v>NO</v>
      </c>
      <c r="U286" s="323"/>
      <c r="V286" s="299"/>
      <c r="W286" s="300"/>
      <c r="X286" s="299"/>
      <c r="Y286" s="303"/>
      <c r="Z286" s="305">
        <f>IF(Y286=0,0,IF(X286="MXN",1/HLOOKUP(YEAR(W286)+(MONTH(W286)/100),TC!$5:$37,DAY(W286)+2,FALSE),VLOOKUP(X286,Equivalencia!$1:$23,((MAX(Equivalencia!$3:$3)-YEAR(W286))*14)+MONTH(W286)+2,FALSE)))</f>
        <v>0</v>
      </c>
      <c r="AA286" s="306">
        <f t="shared" si="71"/>
        <v>0</v>
      </c>
      <c r="AB286" s="305">
        <f>+IF(W286=0,0,HLOOKUP(YEAR(W286)+(MONTH(W286)/100),TC!$5:$37,DAY(W286)+2,FALSE))</f>
        <v>0</v>
      </c>
      <c r="AC286" s="306">
        <f t="shared" si="72"/>
        <v>0</v>
      </c>
      <c r="AD286" s="314">
        <f t="shared" si="63"/>
        <v>0</v>
      </c>
      <c r="AE286" s="315">
        <f t="shared" si="73"/>
        <v>0</v>
      </c>
      <c r="AF286" s="316">
        <f t="shared" si="64"/>
        <v>0</v>
      </c>
      <c r="AG286" s="314">
        <v>1</v>
      </c>
      <c r="AH286" s="314">
        <f t="shared" si="74"/>
        <v>0</v>
      </c>
      <c r="AI286" s="314">
        <f t="shared" si="75"/>
        <v>0</v>
      </c>
      <c r="AJ286" s="317"/>
      <c r="AK286" s="315" t="e">
        <f t="shared" si="76"/>
        <v>#N/A</v>
      </c>
      <c r="AM286" s="553"/>
      <c r="AN286" s="553"/>
      <c r="AO286" s="553"/>
    </row>
    <row r="287" spans="2:41">
      <c r="B287" s="296"/>
      <c r="C287" s="299"/>
      <c r="D287" s="296"/>
      <c r="E287" s="298"/>
      <c r="F287" s="299"/>
      <c r="G287" s="300"/>
      <c r="H287" s="303"/>
      <c r="I287" s="303"/>
      <c r="J287" s="322">
        <f t="shared" si="62"/>
        <v>0</v>
      </c>
      <c r="K287" s="305" t="e">
        <f>IF(F287="MXN",1/HLOOKUP(YEAR(G287)+(MONTH(G287)/100),TC!$5:$37,DAY(G287)+2,FALSE),VLOOKUP(F287,Equivalencia!$5:$23,((MAX(Equivalencia!$3:$3)-YEAR(G287))*14)+MONTH(G287)+2,FALSE))</f>
        <v>#N/A</v>
      </c>
      <c r="L287" s="306" t="e">
        <f t="shared" si="65"/>
        <v>#N/A</v>
      </c>
      <c r="M287" s="305">
        <f>IF(G287=0,0,HLOOKUP(YEAR(G287)+(MONTH(G287)/100),TC!$5:$37,DAY(G287)+2,FALSE))</f>
        <v>0</v>
      </c>
      <c r="N287" s="306" t="e">
        <f t="shared" si="66"/>
        <v>#N/A</v>
      </c>
      <c r="O287" s="308">
        <f>IF(G287=0,0,VLOOKUP(YEAR(G287),INPC!$B$4:$P$30,MONTH(G287)+2))</f>
        <v>0</v>
      </c>
      <c r="P287" s="308">
        <f>IF(W287=0,0,IF(OR(C287=$AQ$5,C287=AQ291),VLOOKUP(YEAR(W287),INPC!$B$4:$P$30,MONTH(W287)+1),VLOOKUP(YEAR(W287),INPC!$B$4:$P$30,MONTH(W287)+2)))</f>
        <v>0</v>
      </c>
      <c r="Q287" s="309">
        <f t="shared" si="67"/>
        <v>0</v>
      </c>
      <c r="R287" s="310" t="e">
        <f t="shared" si="68"/>
        <v>#N/A</v>
      </c>
      <c r="S287" s="310">
        <f t="shared" si="69"/>
        <v>0</v>
      </c>
      <c r="T287" s="559" t="str">
        <f t="shared" si="70"/>
        <v>NO</v>
      </c>
      <c r="U287" s="323"/>
      <c r="V287" s="299"/>
      <c r="W287" s="300"/>
      <c r="X287" s="299"/>
      <c r="Y287" s="303"/>
      <c r="Z287" s="305">
        <f>IF(Y287=0,0,IF(X287="MXN",1/HLOOKUP(YEAR(W287)+(MONTH(W287)/100),TC!$5:$37,DAY(W287)+2,FALSE),VLOOKUP(X287,Equivalencia!$1:$23,((MAX(Equivalencia!$3:$3)-YEAR(W287))*14)+MONTH(W287)+2,FALSE)))</f>
        <v>0</v>
      </c>
      <c r="AA287" s="306">
        <f t="shared" si="71"/>
        <v>0</v>
      </c>
      <c r="AB287" s="305">
        <f>+IF(W287=0,0,HLOOKUP(YEAR(W287)+(MONTH(W287)/100),TC!$5:$37,DAY(W287)+2,FALSE))</f>
        <v>0</v>
      </c>
      <c r="AC287" s="306">
        <f t="shared" si="72"/>
        <v>0</v>
      </c>
      <c r="AD287" s="314">
        <f t="shared" si="63"/>
        <v>0</v>
      </c>
      <c r="AE287" s="315">
        <f t="shared" si="73"/>
        <v>0</v>
      </c>
      <c r="AF287" s="316">
        <f t="shared" si="64"/>
        <v>0</v>
      </c>
      <c r="AG287" s="314">
        <v>1</v>
      </c>
      <c r="AH287" s="314">
        <f t="shared" si="74"/>
        <v>0</v>
      </c>
      <c r="AI287" s="314">
        <f t="shared" si="75"/>
        <v>0</v>
      </c>
      <c r="AJ287" s="317"/>
      <c r="AK287" s="315" t="e">
        <f t="shared" si="76"/>
        <v>#N/A</v>
      </c>
      <c r="AM287" s="553"/>
      <c r="AN287" s="553"/>
      <c r="AO287" s="553"/>
    </row>
    <row r="288" spans="2:41">
      <c r="B288" s="296"/>
      <c r="C288" s="299"/>
      <c r="D288" s="296"/>
      <c r="E288" s="298"/>
      <c r="F288" s="299"/>
      <c r="G288" s="300"/>
      <c r="H288" s="303"/>
      <c r="I288" s="303"/>
      <c r="J288" s="322">
        <f t="shared" si="62"/>
        <v>0</v>
      </c>
      <c r="K288" s="305" t="e">
        <f>IF(F288="MXN",1/HLOOKUP(YEAR(G288)+(MONTH(G288)/100),TC!$5:$37,DAY(G288)+2,FALSE),VLOOKUP(F288,Equivalencia!$5:$23,((MAX(Equivalencia!$3:$3)-YEAR(G288))*14)+MONTH(G288)+2,FALSE))</f>
        <v>#N/A</v>
      </c>
      <c r="L288" s="306" t="e">
        <f t="shared" si="65"/>
        <v>#N/A</v>
      </c>
      <c r="M288" s="305">
        <f>IF(G288=0,0,HLOOKUP(YEAR(G288)+(MONTH(G288)/100),TC!$5:$37,DAY(G288)+2,FALSE))</f>
        <v>0</v>
      </c>
      <c r="N288" s="306" t="e">
        <f t="shared" si="66"/>
        <v>#N/A</v>
      </c>
      <c r="O288" s="308">
        <f>IF(G288=0,0,VLOOKUP(YEAR(G288),INPC!$B$4:$P$30,MONTH(G288)+2))</f>
        <v>0</v>
      </c>
      <c r="P288" s="308">
        <f>IF(W288=0,0,IF(OR(C288=$AQ$5,C288=AQ292),VLOOKUP(YEAR(W288),INPC!$B$4:$P$30,MONTH(W288)+1),VLOOKUP(YEAR(W288),INPC!$B$4:$P$30,MONTH(W288)+2)))</f>
        <v>0</v>
      </c>
      <c r="Q288" s="309">
        <f t="shared" si="67"/>
        <v>0</v>
      </c>
      <c r="R288" s="310" t="e">
        <f t="shared" si="68"/>
        <v>#N/A</v>
      </c>
      <c r="S288" s="310">
        <f t="shared" si="69"/>
        <v>0</v>
      </c>
      <c r="T288" s="559" t="str">
        <f t="shared" si="70"/>
        <v>NO</v>
      </c>
      <c r="U288" s="323"/>
      <c r="V288" s="299"/>
      <c r="W288" s="300"/>
      <c r="X288" s="299"/>
      <c r="Y288" s="303"/>
      <c r="Z288" s="305">
        <f>IF(Y288=0,0,IF(X288="MXN",1/HLOOKUP(YEAR(W288)+(MONTH(W288)/100),TC!$5:$37,DAY(W288)+2,FALSE),VLOOKUP(X288,Equivalencia!$1:$23,((MAX(Equivalencia!$3:$3)-YEAR(W288))*14)+MONTH(W288)+2,FALSE)))</f>
        <v>0</v>
      </c>
      <c r="AA288" s="306">
        <f t="shared" si="71"/>
        <v>0</v>
      </c>
      <c r="AB288" s="305">
        <f>+IF(W288=0,0,HLOOKUP(YEAR(W288)+(MONTH(W288)/100),TC!$5:$37,DAY(W288)+2,FALSE))</f>
        <v>0</v>
      </c>
      <c r="AC288" s="306">
        <f t="shared" si="72"/>
        <v>0</v>
      </c>
      <c r="AD288" s="314">
        <f t="shared" si="63"/>
        <v>0</v>
      </c>
      <c r="AE288" s="315">
        <f t="shared" si="73"/>
        <v>0</v>
      </c>
      <c r="AF288" s="316">
        <f t="shared" si="64"/>
        <v>0</v>
      </c>
      <c r="AG288" s="314">
        <v>1</v>
      </c>
      <c r="AH288" s="314">
        <f t="shared" si="74"/>
        <v>0</v>
      </c>
      <c r="AI288" s="314">
        <f t="shared" si="75"/>
        <v>0</v>
      </c>
      <c r="AJ288" s="317"/>
      <c r="AK288" s="315" t="e">
        <f t="shared" si="76"/>
        <v>#N/A</v>
      </c>
      <c r="AM288" s="553"/>
      <c r="AN288" s="553"/>
      <c r="AO288" s="553"/>
    </row>
    <row r="289" spans="2:41">
      <c r="B289" s="296"/>
      <c r="C289" s="299"/>
      <c r="D289" s="296"/>
      <c r="E289" s="298"/>
      <c r="F289" s="299"/>
      <c r="G289" s="300"/>
      <c r="H289" s="303"/>
      <c r="I289" s="303"/>
      <c r="J289" s="322">
        <f t="shared" si="62"/>
        <v>0</v>
      </c>
      <c r="K289" s="305" t="e">
        <f>IF(F289="MXN",1/HLOOKUP(YEAR(G289)+(MONTH(G289)/100),TC!$5:$37,DAY(G289)+2,FALSE),VLOOKUP(F289,Equivalencia!$5:$23,((MAX(Equivalencia!$3:$3)-YEAR(G289))*14)+MONTH(G289)+2,FALSE))</f>
        <v>#N/A</v>
      </c>
      <c r="L289" s="306" t="e">
        <f t="shared" si="65"/>
        <v>#N/A</v>
      </c>
      <c r="M289" s="305">
        <f>IF(G289=0,0,HLOOKUP(YEAR(G289)+(MONTH(G289)/100),TC!$5:$37,DAY(G289)+2,FALSE))</f>
        <v>0</v>
      </c>
      <c r="N289" s="306" t="e">
        <f t="shared" si="66"/>
        <v>#N/A</v>
      </c>
      <c r="O289" s="308">
        <f>IF(G289=0,0,VLOOKUP(YEAR(G289),INPC!$B$4:$P$30,MONTH(G289)+2))</f>
        <v>0</v>
      </c>
      <c r="P289" s="308">
        <f>IF(W289=0,0,IF(OR(C289=$AQ$5,C289=AQ293),VLOOKUP(YEAR(W289),INPC!$B$4:$P$30,MONTH(W289)+1),VLOOKUP(YEAR(W289),INPC!$B$4:$P$30,MONTH(W289)+2)))</f>
        <v>0</v>
      </c>
      <c r="Q289" s="309">
        <f t="shared" si="67"/>
        <v>0</v>
      </c>
      <c r="R289" s="310" t="e">
        <f t="shared" si="68"/>
        <v>#N/A</v>
      </c>
      <c r="S289" s="310">
        <f t="shared" si="69"/>
        <v>0</v>
      </c>
      <c r="T289" s="559" t="str">
        <f t="shared" si="70"/>
        <v>NO</v>
      </c>
      <c r="U289" s="323"/>
      <c r="V289" s="299"/>
      <c r="W289" s="300"/>
      <c r="X289" s="299"/>
      <c r="Y289" s="303"/>
      <c r="Z289" s="305">
        <f>IF(Y289=0,0,IF(X289="MXN",1/HLOOKUP(YEAR(W289)+(MONTH(W289)/100),TC!$5:$37,DAY(W289)+2,FALSE),VLOOKUP(X289,Equivalencia!$1:$23,((MAX(Equivalencia!$3:$3)-YEAR(W289))*14)+MONTH(W289)+2,FALSE)))</f>
        <v>0</v>
      </c>
      <c r="AA289" s="306">
        <f t="shared" si="71"/>
        <v>0</v>
      </c>
      <c r="AB289" s="305">
        <f>+IF(W289=0,0,HLOOKUP(YEAR(W289)+(MONTH(W289)/100),TC!$5:$37,DAY(W289)+2,FALSE))</f>
        <v>0</v>
      </c>
      <c r="AC289" s="306">
        <f t="shared" si="72"/>
        <v>0</v>
      </c>
      <c r="AD289" s="314">
        <f t="shared" si="63"/>
        <v>0</v>
      </c>
      <c r="AE289" s="315">
        <f t="shared" si="73"/>
        <v>0</v>
      </c>
      <c r="AF289" s="316">
        <f t="shared" si="64"/>
        <v>0</v>
      </c>
      <c r="AG289" s="314">
        <v>1</v>
      </c>
      <c r="AH289" s="314">
        <f t="shared" si="74"/>
        <v>0</v>
      </c>
      <c r="AI289" s="314">
        <f t="shared" si="75"/>
        <v>0</v>
      </c>
      <c r="AJ289" s="317"/>
      <c r="AK289" s="315" t="e">
        <f t="shared" si="76"/>
        <v>#N/A</v>
      </c>
      <c r="AM289" s="553"/>
      <c r="AN289" s="553"/>
      <c r="AO289" s="553"/>
    </row>
    <row r="290" spans="2:41">
      <c r="B290" s="296"/>
      <c r="C290" s="299"/>
      <c r="D290" s="296"/>
      <c r="E290" s="298"/>
      <c r="F290" s="299"/>
      <c r="G290" s="300"/>
      <c r="H290" s="303"/>
      <c r="I290" s="303"/>
      <c r="J290" s="322">
        <f t="shared" si="62"/>
        <v>0</v>
      </c>
      <c r="K290" s="305" t="e">
        <f>IF(F290="MXN",1/HLOOKUP(YEAR(G290)+(MONTH(G290)/100),TC!$5:$37,DAY(G290)+2,FALSE),VLOOKUP(F290,Equivalencia!$5:$23,((MAX(Equivalencia!$3:$3)-YEAR(G290))*14)+MONTH(G290)+2,FALSE))</f>
        <v>#N/A</v>
      </c>
      <c r="L290" s="306" t="e">
        <f t="shared" si="65"/>
        <v>#N/A</v>
      </c>
      <c r="M290" s="305">
        <f>IF(G290=0,0,HLOOKUP(YEAR(G290)+(MONTH(G290)/100),TC!$5:$37,DAY(G290)+2,FALSE))</f>
        <v>0</v>
      </c>
      <c r="N290" s="306" t="e">
        <f t="shared" si="66"/>
        <v>#N/A</v>
      </c>
      <c r="O290" s="308">
        <f>IF(G290=0,0,VLOOKUP(YEAR(G290),INPC!$B$4:$P$30,MONTH(G290)+2))</f>
        <v>0</v>
      </c>
      <c r="P290" s="308">
        <f>IF(W290=0,0,IF(OR(C290=$AQ$5,C290=AQ294),VLOOKUP(YEAR(W290),INPC!$B$4:$P$30,MONTH(W290)+1),VLOOKUP(YEAR(W290),INPC!$B$4:$P$30,MONTH(W290)+2)))</f>
        <v>0</v>
      </c>
      <c r="Q290" s="309">
        <f t="shared" si="67"/>
        <v>0</v>
      </c>
      <c r="R290" s="310" t="e">
        <f t="shared" si="68"/>
        <v>#N/A</v>
      </c>
      <c r="S290" s="310">
        <f t="shared" si="69"/>
        <v>0</v>
      </c>
      <c r="T290" s="559" t="str">
        <f t="shared" si="70"/>
        <v>NO</v>
      </c>
      <c r="U290" s="323"/>
      <c r="V290" s="299"/>
      <c r="W290" s="300"/>
      <c r="X290" s="299"/>
      <c r="Y290" s="303"/>
      <c r="Z290" s="305">
        <f>IF(Y290=0,0,IF(X290="MXN",1/HLOOKUP(YEAR(W290)+(MONTH(W290)/100),TC!$5:$37,DAY(W290)+2,FALSE),VLOOKUP(X290,Equivalencia!$1:$23,((MAX(Equivalencia!$3:$3)-YEAR(W290))*14)+MONTH(W290)+2,FALSE)))</f>
        <v>0</v>
      </c>
      <c r="AA290" s="306">
        <f t="shared" si="71"/>
        <v>0</v>
      </c>
      <c r="AB290" s="305">
        <f>+IF(W290=0,0,HLOOKUP(YEAR(W290)+(MONTH(W290)/100),TC!$5:$37,DAY(W290)+2,FALSE))</f>
        <v>0</v>
      </c>
      <c r="AC290" s="306">
        <f t="shared" si="72"/>
        <v>0</v>
      </c>
      <c r="AD290" s="314">
        <f t="shared" si="63"/>
        <v>0</v>
      </c>
      <c r="AE290" s="315">
        <f t="shared" si="73"/>
        <v>0</v>
      </c>
      <c r="AF290" s="316">
        <f t="shared" si="64"/>
        <v>0</v>
      </c>
      <c r="AG290" s="314">
        <v>1</v>
      </c>
      <c r="AH290" s="314">
        <f t="shared" si="74"/>
        <v>0</v>
      </c>
      <c r="AI290" s="314">
        <f t="shared" si="75"/>
        <v>0</v>
      </c>
      <c r="AJ290" s="317"/>
      <c r="AK290" s="315" t="e">
        <f t="shared" si="76"/>
        <v>#N/A</v>
      </c>
      <c r="AM290" s="553"/>
      <c r="AN290" s="553"/>
      <c r="AO290" s="553"/>
    </row>
    <row r="291" spans="2:41">
      <c r="B291" s="296"/>
      <c r="C291" s="299"/>
      <c r="D291" s="296"/>
      <c r="E291" s="298"/>
      <c r="F291" s="299"/>
      <c r="G291" s="300"/>
      <c r="H291" s="303"/>
      <c r="I291" s="303"/>
      <c r="J291" s="322">
        <f t="shared" si="62"/>
        <v>0</v>
      </c>
      <c r="K291" s="305" t="e">
        <f>IF(F291="MXN",1/HLOOKUP(YEAR(G291)+(MONTH(G291)/100),TC!$5:$37,DAY(G291)+2,FALSE),VLOOKUP(F291,Equivalencia!$5:$23,((MAX(Equivalencia!$3:$3)-YEAR(G291))*14)+MONTH(G291)+2,FALSE))</f>
        <v>#N/A</v>
      </c>
      <c r="L291" s="306" t="e">
        <f t="shared" si="65"/>
        <v>#N/A</v>
      </c>
      <c r="M291" s="305">
        <f>IF(G291=0,0,HLOOKUP(YEAR(G291)+(MONTH(G291)/100),TC!$5:$37,DAY(G291)+2,FALSE))</f>
        <v>0</v>
      </c>
      <c r="N291" s="306" t="e">
        <f t="shared" si="66"/>
        <v>#N/A</v>
      </c>
      <c r="O291" s="308">
        <f>IF(G291=0,0,VLOOKUP(YEAR(G291),INPC!$B$4:$P$30,MONTH(G291)+2))</f>
        <v>0</v>
      </c>
      <c r="P291" s="308">
        <f>IF(W291=0,0,IF(OR(C291=$AQ$5,C291=AQ295),VLOOKUP(YEAR(W291),INPC!$B$4:$P$30,MONTH(W291)+1),VLOOKUP(YEAR(W291),INPC!$B$4:$P$30,MONTH(W291)+2)))</f>
        <v>0</v>
      </c>
      <c r="Q291" s="309">
        <f t="shared" si="67"/>
        <v>0</v>
      </c>
      <c r="R291" s="310" t="e">
        <f t="shared" si="68"/>
        <v>#N/A</v>
      </c>
      <c r="S291" s="310">
        <f t="shared" si="69"/>
        <v>0</v>
      </c>
      <c r="T291" s="559" t="str">
        <f t="shared" si="70"/>
        <v>NO</v>
      </c>
      <c r="U291" s="323"/>
      <c r="V291" s="299"/>
      <c r="W291" s="300"/>
      <c r="X291" s="299"/>
      <c r="Y291" s="303"/>
      <c r="Z291" s="305">
        <f>IF(Y291=0,0,IF(X291="MXN",1/HLOOKUP(YEAR(W291)+(MONTH(W291)/100),TC!$5:$37,DAY(W291)+2,FALSE),VLOOKUP(X291,Equivalencia!$1:$23,((MAX(Equivalencia!$3:$3)-YEAR(W291))*14)+MONTH(W291)+2,FALSE)))</f>
        <v>0</v>
      </c>
      <c r="AA291" s="306">
        <f t="shared" si="71"/>
        <v>0</v>
      </c>
      <c r="AB291" s="305">
        <f>+IF(W291=0,0,HLOOKUP(YEAR(W291)+(MONTH(W291)/100),TC!$5:$37,DAY(W291)+2,FALSE))</f>
        <v>0</v>
      </c>
      <c r="AC291" s="306">
        <f t="shared" si="72"/>
        <v>0</v>
      </c>
      <c r="AD291" s="314">
        <f t="shared" si="63"/>
        <v>0</v>
      </c>
      <c r="AE291" s="315">
        <f t="shared" si="73"/>
        <v>0</v>
      </c>
      <c r="AF291" s="316">
        <f t="shared" si="64"/>
        <v>0</v>
      </c>
      <c r="AG291" s="314">
        <v>1</v>
      </c>
      <c r="AH291" s="314">
        <f t="shared" si="74"/>
        <v>0</v>
      </c>
      <c r="AI291" s="314">
        <f t="shared" si="75"/>
        <v>0</v>
      </c>
      <c r="AJ291" s="317"/>
      <c r="AK291" s="315" t="e">
        <f t="shared" si="76"/>
        <v>#N/A</v>
      </c>
      <c r="AM291" s="553"/>
      <c r="AN291" s="553"/>
      <c r="AO291" s="553"/>
    </row>
    <row r="292" spans="2:41">
      <c r="B292" s="296"/>
      <c r="C292" s="299"/>
      <c r="D292" s="296"/>
      <c r="E292" s="298"/>
      <c r="F292" s="299"/>
      <c r="G292" s="300"/>
      <c r="H292" s="303"/>
      <c r="I292" s="303"/>
      <c r="J292" s="322">
        <f t="shared" si="62"/>
        <v>0</v>
      </c>
      <c r="K292" s="305" t="e">
        <f>IF(F292="MXN",1/HLOOKUP(YEAR(G292)+(MONTH(G292)/100),TC!$5:$37,DAY(G292)+2,FALSE),VLOOKUP(F292,Equivalencia!$5:$23,((MAX(Equivalencia!$3:$3)-YEAR(G292))*14)+MONTH(G292)+2,FALSE))</f>
        <v>#N/A</v>
      </c>
      <c r="L292" s="306" t="e">
        <f t="shared" si="65"/>
        <v>#N/A</v>
      </c>
      <c r="M292" s="305">
        <f>IF(G292=0,0,HLOOKUP(YEAR(G292)+(MONTH(G292)/100),TC!$5:$37,DAY(G292)+2,FALSE))</f>
        <v>0</v>
      </c>
      <c r="N292" s="306" t="e">
        <f t="shared" si="66"/>
        <v>#N/A</v>
      </c>
      <c r="O292" s="308">
        <f>IF(G292=0,0,VLOOKUP(YEAR(G292),INPC!$B$4:$P$30,MONTH(G292)+2))</f>
        <v>0</v>
      </c>
      <c r="P292" s="308">
        <f>IF(W292=0,0,IF(OR(C292=$AQ$5,C292=AQ296),VLOOKUP(YEAR(W292),INPC!$B$4:$P$30,MONTH(W292)+1),VLOOKUP(YEAR(W292),INPC!$B$4:$P$30,MONTH(W292)+2)))</f>
        <v>0</v>
      </c>
      <c r="Q292" s="309">
        <f t="shared" si="67"/>
        <v>0</v>
      </c>
      <c r="R292" s="310" t="e">
        <f t="shared" si="68"/>
        <v>#N/A</v>
      </c>
      <c r="S292" s="310">
        <f t="shared" si="69"/>
        <v>0</v>
      </c>
      <c r="T292" s="559" t="str">
        <f t="shared" si="70"/>
        <v>NO</v>
      </c>
      <c r="U292" s="323"/>
      <c r="V292" s="299"/>
      <c r="W292" s="300"/>
      <c r="X292" s="299"/>
      <c r="Y292" s="303"/>
      <c r="Z292" s="305">
        <f>IF(Y292=0,0,IF(X292="MXN",1/HLOOKUP(YEAR(W292)+(MONTH(W292)/100),TC!$5:$37,DAY(W292)+2,FALSE),VLOOKUP(X292,Equivalencia!$1:$23,((MAX(Equivalencia!$3:$3)-YEAR(W292))*14)+MONTH(W292)+2,FALSE)))</f>
        <v>0</v>
      </c>
      <c r="AA292" s="306">
        <f t="shared" si="71"/>
        <v>0</v>
      </c>
      <c r="AB292" s="305">
        <f>+IF(W292=0,0,HLOOKUP(YEAR(W292)+(MONTH(W292)/100),TC!$5:$37,DAY(W292)+2,FALSE))</f>
        <v>0</v>
      </c>
      <c r="AC292" s="306">
        <f t="shared" si="72"/>
        <v>0</v>
      </c>
      <c r="AD292" s="314">
        <f t="shared" si="63"/>
        <v>0</v>
      </c>
      <c r="AE292" s="315">
        <f t="shared" si="73"/>
        <v>0</v>
      </c>
      <c r="AF292" s="316">
        <f t="shared" si="64"/>
        <v>0</v>
      </c>
      <c r="AG292" s="314">
        <v>1</v>
      </c>
      <c r="AH292" s="314">
        <f t="shared" si="74"/>
        <v>0</v>
      </c>
      <c r="AI292" s="314">
        <f t="shared" si="75"/>
        <v>0</v>
      </c>
      <c r="AJ292" s="317"/>
      <c r="AK292" s="315" t="e">
        <f t="shared" si="76"/>
        <v>#N/A</v>
      </c>
      <c r="AM292" s="553"/>
      <c r="AN292" s="553"/>
      <c r="AO292" s="553"/>
    </row>
    <row r="293" spans="2:41">
      <c r="B293" s="296"/>
      <c r="C293" s="299"/>
      <c r="D293" s="296"/>
      <c r="E293" s="298"/>
      <c r="F293" s="299"/>
      <c r="G293" s="300"/>
      <c r="H293" s="303"/>
      <c r="I293" s="303"/>
      <c r="J293" s="322">
        <f t="shared" si="62"/>
        <v>0</v>
      </c>
      <c r="K293" s="305" t="e">
        <f>IF(F293="MXN",1/HLOOKUP(YEAR(G293)+(MONTH(G293)/100),TC!$5:$37,DAY(G293)+2,FALSE),VLOOKUP(F293,Equivalencia!$5:$23,((MAX(Equivalencia!$3:$3)-YEAR(G293))*14)+MONTH(G293)+2,FALSE))</f>
        <v>#N/A</v>
      </c>
      <c r="L293" s="306" t="e">
        <f t="shared" si="65"/>
        <v>#N/A</v>
      </c>
      <c r="M293" s="305">
        <f>IF(G293=0,0,HLOOKUP(YEAR(G293)+(MONTH(G293)/100),TC!$5:$37,DAY(G293)+2,FALSE))</f>
        <v>0</v>
      </c>
      <c r="N293" s="306" t="e">
        <f t="shared" si="66"/>
        <v>#N/A</v>
      </c>
      <c r="O293" s="308">
        <f>IF(G293=0,0,VLOOKUP(YEAR(G293),INPC!$B$4:$P$30,MONTH(G293)+2))</f>
        <v>0</v>
      </c>
      <c r="P293" s="308">
        <f>IF(W293=0,0,IF(OR(C293=$AQ$5,C293=AQ297),VLOOKUP(YEAR(W293),INPC!$B$4:$P$30,MONTH(W293)+1),VLOOKUP(YEAR(W293),INPC!$B$4:$P$30,MONTH(W293)+2)))</f>
        <v>0</v>
      </c>
      <c r="Q293" s="309">
        <f t="shared" si="67"/>
        <v>0</v>
      </c>
      <c r="R293" s="310" t="e">
        <f t="shared" si="68"/>
        <v>#N/A</v>
      </c>
      <c r="S293" s="310">
        <f t="shared" si="69"/>
        <v>0</v>
      </c>
      <c r="T293" s="559" t="str">
        <f t="shared" si="70"/>
        <v>NO</v>
      </c>
      <c r="U293" s="323"/>
      <c r="V293" s="299"/>
      <c r="W293" s="300"/>
      <c r="X293" s="299"/>
      <c r="Y293" s="303"/>
      <c r="Z293" s="305">
        <f>IF(Y293=0,0,IF(X293="MXN",1/HLOOKUP(YEAR(W293)+(MONTH(W293)/100),TC!$5:$37,DAY(W293)+2,FALSE),VLOOKUP(X293,Equivalencia!$1:$23,((MAX(Equivalencia!$3:$3)-YEAR(W293))*14)+MONTH(W293)+2,FALSE)))</f>
        <v>0</v>
      </c>
      <c r="AA293" s="306">
        <f t="shared" si="71"/>
        <v>0</v>
      </c>
      <c r="AB293" s="305">
        <f>+IF(W293=0,0,HLOOKUP(YEAR(W293)+(MONTH(W293)/100),TC!$5:$37,DAY(W293)+2,FALSE))</f>
        <v>0</v>
      </c>
      <c r="AC293" s="306">
        <f t="shared" si="72"/>
        <v>0</v>
      </c>
      <c r="AD293" s="314">
        <f t="shared" si="63"/>
        <v>0</v>
      </c>
      <c r="AE293" s="315">
        <f t="shared" si="73"/>
        <v>0</v>
      </c>
      <c r="AF293" s="316">
        <f t="shared" si="64"/>
        <v>0</v>
      </c>
      <c r="AG293" s="314">
        <v>1</v>
      </c>
      <c r="AH293" s="314">
        <f t="shared" si="74"/>
        <v>0</v>
      </c>
      <c r="AI293" s="314">
        <f t="shared" si="75"/>
        <v>0</v>
      </c>
      <c r="AJ293" s="317"/>
      <c r="AK293" s="315" t="e">
        <f t="shared" si="76"/>
        <v>#N/A</v>
      </c>
      <c r="AM293" s="553"/>
      <c r="AN293" s="553"/>
      <c r="AO293" s="553"/>
    </row>
    <row r="294" spans="2:41">
      <c r="B294" s="296"/>
      <c r="C294" s="299"/>
      <c r="D294" s="296"/>
      <c r="E294" s="298"/>
      <c r="F294" s="299"/>
      <c r="G294" s="300"/>
      <c r="H294" s="303"/>
      <c r="I294" s="303"/>
      <c r="J294" s="322">
        <f t="shared" si="62"/>
        <v>0</v>
      </c>
      <c r="K294" s="305" t="e">
        <f>IF(F294="MXN",1/HLOOKUP(YEAR(G294)+(MONTH(G294)/100),TC!$5:$37,DAY(G294)+2,FALSE),VLOOKUP(F294,Equivalencia!$5:$23,((MAX(Equivalencia!$3:$3)-YEAR(G294))*14)+MONTH(G294)+2,FALSE))</f>
        <v>#N/A</v>
      </c>
      <c r="L294" s="306" t="e">
        <f t="shared" si="65"/>
        <v>#N/A</v>
      </c>
      <c r="M294" s="305">
        <f>IF(G294=0,0,HLOOKUP(YEAR(G294)+(MONTH(G294)/100),TC!$5:$37,DAY(G294)+2,FALSE))</f>
        <v>0</v>
      </c>
      <c r="N294" s="306" t="e">
        <f t="shared" si="66"/>
        <v>#N/A</v>
      </c>
      <c r="O294" s="308">
        <f>IF(G294=0,0,VLOOKUP(YEAR(G294),INPC!$B$4:$P$30,MONTH(G294)+2))</f>
        <v>0</v>
      </c>
      <c r="P294" s="308">
        <f>IF(W294=0,0,IF(OR(C294=$AQ$5,C294=AQ298),VLOOKUP(YEAR(W294),INPC!$B$4:$P$30,MONTH(W294)+1),VLOOKUP(YEAR(W294),INPC!$B$4:$P$30,MONTH(W294)+2)))</f>
        <v>0</v>
      </c>
      <c r="Q294" s="309">
        <f t="shared" si="67"/>
        <v>0</v>
      </c>
      <c r="R294" s="310" t="e">
        <f t="shared" si="68"/>
        <v>#N/A</v>
      </c>
      <c r="S294" s="310">
        <f t="shared" si="69"/>
        <v>0</v>
      </c>
      <c r="T294" s="559" t="str">
        <f t="shared" si="70"/>
        <v>NO</v>
      </c>
      <c r="U294" s="323"/>
      <c r="V294" s="299"/>
      <c r="W294" s="300"/>
      <c r="X294" s="299"/>
      <c r="Y294" s="303"/>
      <c r="Z294" s="305">
        <f>IF(Y294=0,0,IF(X294="MXN",1/HLOOKUP(YEAR(W294)+(MONTH(W294)/100),TC!$5:$37,DAY(W294)+2,FALSE),VLOOKUP(X294,Equivalencia!$1:$23,((MAX(Equivalencia!$3:$3)-YEAR(W294))*14)+MONTH(W294)+2,FALSE)))</f>
        <v>0</v>
      </c>
      <c r="AA294" s="306">
        <f t="shared" si="71"/>
        <v>0</v>
      </c>
      <c r="AB294" s="305">
        <f>+IF(W294=0,0,HLOOKUP(YEAR(W294)+(MONTH(W294)/100),TC!$5:$37,DAY(W294)+2,FALSE))</f>
        <v>0</v>
      </c>
      <c r="AC294" s="306">
        <f t="shared" si="72"/>
        <v>0</v>
      </c>
      <c r="AD294" s="314">
        <f t="shared" si="63"/>
        <v>0</v>
      </c>
      <c r="AE294" s="315">
        <f t="shared" si="73"/>
        <v>0</v>
      </c>
      <c r="AF294" s="316">
        <f t="shared" si="64"/>
        <v>0</v>
      </c>
      <c r="AG294" s="314">
        <v>1</v>
      </c>
      <c r="AH294" s="314">
        <f t="shared" si="74"/>
        <v>0</v>
      </c>
      <c r="AI294" s="314">
        <f t="shared" si="75"/>
        <v>0</v>
      </c>
      <c r="AJ294" s="317"/>
      <c r="AK294" s="315" t="e">
        <f t="shared" si="76"/>
        <v>#N/A</v>
      </c>
      <c r="AM294" s="553"/>
      <c r="AN294" s="553"/>
      <c r="AO294" s="553"/>
    </row>
    <row r="295" spans="2:41">
      <c r="B295" s="296"/>
      <c r="C295" s="299"/>
      <c r="D295" s="296"/>
      <c r="E295" s="298"/>
      <c r="F295" s="299"/>
      <c r="G295" s="300"/>
      <c r="H295" s="303"/>
      <c r="I295" s="303"/>
      <c r="J295" s="322">
        <f t="shared" si="62"/>
        <v>0</v>
      </c>
      <c r="K295" s="305" t="e">
        <f>IF(F295="MXN",1/HLOOKUP(YEAR(G295)+(MONTH(G295)/100),TC!$5:$37,DAY(G295)+2,FALSE),VLOOKUP(F295,Equivalencia!$5:$23,((MAX(Equivalencia!$3:$3)-YEAR(G295))*14)+MONTH(G295)+2,FALSE))</f>
        <v>#N/A</v>
      </c>
      <c r="L295" s="306" t="e">
        <f t="shared" si="65"/>
        <v>#N/A</v>
      </c>
      <c r="M295" s="305">
        <f>IF(G295=0,0,HLOOKUP(YEAR(G295)+(MONTH(G295)/100),TC!$5:$37,DAY(G295)+2,FALSE))</f>
        <v>0</v>
      </c>
      <c r="N295" s="306" t="e">
        <f t="shared" si="66"/>
        <v>#N/A</v>
      </c>
      <c r="O295" s="308">
        <f>IF(G295=0,0,VLOOKUP(YEAR(G295),INPC!$B$4:$P$30,MONTH(G295)+2))</f>
        <v>0</v>
      </c>
      <c r="P295" s="308">
        <f>IF(W295=0,0,IF(OR(C295=$AQ$5,C295=AQ299),VLOOKUP(YEAR(W295),INPC!$B$4:$P$30,MONTH(W295)+1),VLOOKUP(YEAR(W295),INPC!$B$4:$P$30,MONTH(W295)+2)))</f>
        <v>0</v>
      </c>
      <c r="Q295" s="309">
        <f t="shared" si="67"/>
        <v>0</v>
      </c>
      <c r="R295" s="310" t="e">
        <f t="shared" si="68"/>
        <v>#N/A</v>
      </c>
      <c r="S295" s="310">
        <f t="shared" si="69"/>
        <v>0</v>
      </c>
      <c r="T295" s="559" t="str">
        <f t="shared" si="70"/>
        <v>NO</v>
      </c>
      <c r="U295" s="323"/>
      <c r="V295" s="299"/>
      <c r="W295" s="300"/>
      <c r="X295" s="299"/>
      <c r="Y295" s="303"/>
      <c r="Z295" s="305">
        <f>IF(Y295=0,0,IF(X295="MXN",1/HLOOKUP(YEAR(W295)+(MONTH(W295)/100),TC!$5:$37,DAY(W295)+2,FALSE),VLOOKUP(X295,Equivalencia!$1:$23,((MAX(Equivalencia!$3:$3)-YEAR(W295))*14)+MONTH(W295)+2,FALSE)))</f>
        <v>0</v>
      </c>
      <c r="AA295" s="306">
        <f t="shared" si="71"/>
        <v>0</v>
      </c>
      <c r="AB295" s="305">
        <f>+IF(W295=0,0,HLOOKUP(YEAR(W295)+(MONTH(W295)/100),TC!$5:$37,DAY(W295)+2,FALSE))</f>
        <v>0</v>
      </c>
      <c r="AC295" s="306">
        <f t="shared" si="72"/>
        <v>0</v>
      </c>
      <c r="AD295" s="314">
        <f t="shared" si="63"/>
        <v>0</v>
      </c>
      <c r="AE295" s="315">
        <f t="shared" si="73"/>
        <v>0</v>
      </c>
      <c r="AF295" s="316">
        <f t="shared" si="64"/>
        <v>0</v>
      </c>
      <c r="AG295" s="314">
        <v>1</v>
      </c>
      <c r="AH295" s="314">
        <f t="shared" si="74"/>
        <v>0</v>
      </c>
      <c r="AI295" s="314">
        <f t="shared" si="75"/>
        <v>0</v>
      </c>
      <c r="AJ295" s="317"/>
      <c r="AK295" s="315" t="e">
        <f t="shared" si="76"/>
        <v>#N/A</v>
      </c>
      <c r="AM295" s="553"/>
      <c r="AN295" s="553"/>
      <c r="AO295" s="553"/>
    </row>
    <row r="296" spans="2:41">
      <c r="B296" s="296"/>
      <c r="C296" s="299"/>
      <c r="D296" s="296"/>
      <c r="E296" s="298"/>
      <c r="F296" s="299"/>
      <c r="G296" s="300"/>
      <c r="H296" s="303"/>
      <c r="I296" s="303"/>
      <c r="J296" s="322">
        <f t="shared" si="62"/>
        <v>0</v>
      </c>
      <c r="K296" s="305" t="e">
        <f>IF(F296="MXN",1/HLOOKUP(YEAR(G296)+(MONTH(G296)/100),TC!$5:$37,DAY(G296)+2,FALSE),VLOOKUP(F296,Equivalencia!$5:$23,((MAX(Equivalencia!$3:$3)-YEAR(G296))*14)+MONTH(G296)+2,FALSE))</f>
        <v>#N/A</v>
      </c>
      <c r="L296" s="306" t="e">
        <f t="shared" si="65"/>
        <v>#N/A</v>
      </c>
      <c r="M296" s="305">
        <f>IF(G296=0,0,HLOOKUP(YEAR(G296)+(MONTH(G296)/100),TC!$5:$37,DAY(G296)+2,FALSE))</f>
        <v>0</v>
      </c>
      <c r="N296" s="306" t="e">
        <f t="shared" si="66"/>
        <v>#N/A</v>
      </c>
      <c r="O296" s="308">
        <f>IF(G296=0,0,VLOOKUP(YEAR(G296),INPC!$B$4:$P$30,MONTH(G296)+2))</f>
        <v>0</v>
      </c>
      <c r="P296" s="308">
        <f>IF(W296=0,0,IF(OR(C296=$AQ$5,C296=AQ300),VLOOKUP(YEAR(W296),INPC!$B$4:$P$30,MONTH(W296)+1),VLOOKUP(YEAR(W296),INPC!$B$4:$P$30,MONTH(W296)+2)))</f>
        <v>0</v>
      </c>
      <c r="Q296" s="309">
        <f t="shared" si="67"/>
        <v>0</v>
      </c>
      <c r="R296" s="310" t="e">
        <f t="shared" si="68"/>
        <v>#N/A</v>
      </c>
      <c r="S296" s="310">
        <f t="shared" si="69"/>
        <v>0</v>
      </c>
      <c r="T296" s="559" t="str">
        <f t="shared" si="70"/>
        <v>NO</v>
      </c>
      <c r="U296" s="323"/>
      <c r="V296" s="299"/>
      <c r="W296" s="300"/>
      <c r="X296" s="299"/>
      <c r="Y296" s="303"/>
      <c r="Z296" s="305">
        <f>IF(Y296=0,0,IF(X296="MXN",1/HLOOKUP(YEAR(W296)+(MONTH(W296)/100),TC!$5:$37,DAY(W296)+2,FALSE),VLOOKUP(X296,Equivalencia!$1:$23,((MAX(Equivalencia!$3:$3)-YEAR(W296))*14)+MONTH(W296)+2,FALSE)))</f>
        <v>0</v>
      </c>
      <c r="AA296" s="306">
        <f t="shared" si="71"/>
        <v>0</v>
      </c>
      <c r="AB296" s="305">
        <f>+IF(W296=0,0,HLOOKUP(YEAR(W296)+(MONTH(W296)/100),TC!$5:$37,DAY(W296)+2,FALSE))</f>
        <v>0</v>
      </c>
      <c r="AC296" s="306">
        <f t="shared" si="72"/>
        <v>0</v>
      </c>
      <c r="AD296" s="314">
        <f t="shared" si="63"/>
        <v>0</v>
      </c>
      <c r="AE296" s="315">
        <f t="shared" si="73"/>
        <v>0</v>
      </c>
      <c r="AF296" s="316">
        <f t="shared" si="64"/>
        <v>0</v>
      </c>
      <c r="AG296" s="314">
        <v>1</v>
      </c>
      <c r="AH296" s="314">
        <f t="shared" si="74"/>
        <v>0</v>
      </c>
      <c r="AI296" s="314">
        <f t="shared" si="75"/>
        <v>0</v>
      </c>
      <c r="AJ296" s="317"/>
      <c r="AK296" s="315" t="e">
        <f t="shared" si="76"/>
        <v>#N/A</v>
      </c>
      <c r="AM296" s="553"/>
      <c r="AN296" s="553"/>
      <c r="AO296" s="553"/>
    </row>
    <row r="297" spans="2:41">
      <c r="B297" s="296"/>
      <c r="C297" s="299"/>
      <c r="D297" s="296"/>
      <c r="E297" s="298"/>
      <c r="F297" s="299"/>
      <c r="G297" s="300"/>
      <c r="H297" s="303"/>
      <c r="I297" s="303"/>
      <c r="J297" s="322">
        <f t="shared" si="62"/>
        <v>0</v>
      </c>
      <c r="K297" s="305" t="e">
        <f>IF(F297="MXN",1/HLOOKUP(YEAR(G297)+(MONTH(G297)/100),TC!$5:$37,DAY(G297)+2,FALSE),VLOOKUP(F297,Equivalencia!$5:$23,((MAX(Equivalencia!$3:$3)-YEAR(G297))*14)+MONTH(G297)+2,FALSE))</f>
        <v>#N/A</v>
      </c>
      <c r="L297" s="306" t="e">
        <f t="shared" si="65"/>
        <v>#N/A</v>
      </c>
      <c r="M297" s="305">
        <f>IF(G297=0,0,HLOOKUP(YEAR(G297)+(MONTH(G297)/100),TC!$5:$37,DAY(G297)+2,FALSE))</f>
        <v>0</v>
      </c>
      <c r="N297" s="306" t="e">
        <f t="shared" si="66"/>
        <v>#N/A</v>
      </c>
      <c r="O297" s="308">
        <f>IF(G297=0,0,VLOOKUP(YEAR(G297),INPC!$B$4:$P$30,MONTH(G297)+2))</f>
        <v>0</v>
      </c>
      <c r="P297" s="308">
        <f>IF(W297=0,0,IF(OR(C297=$AQ$5,C297=AQ301),VLOOKUP(YEAR(W297),INPC!$B$4:$P$30,MONTH(W297)+1),VLOOKUP(YEAR(W297),INPC!$B$4:$P$30,MONTH(W297)+2)))</f>
        <v>0</v>
      </c>
      <c r="Q297" s="309">
        <f t="shared" si="67"/>
        <v>0</v>
      </c>
      <c r="R297" s="310" t="e">
        <f t="shared" si="68"/>
        <v>#N/A</v>
      </c>
      <c r="S297" s="310">
        <f t="shared" si="69"/>
        <v>0</v>
      </c>
      <c r="T297" s="559" t="str">
        <f t="shared" si="70"/>
        <v>NO</v>
      </c>
      <c r="U297" s="323"/>
      <c r="V297" s="299"/>
      <c r="W297" s="300"/>
      <c r="X297" s="299"/>
      <c r="Y297" s="303"/>
      <c r="Z297" s="305">
        <f>IF(Y297=0,0,IF(X297="MXN",1/HLOOKUP(YEAR(W297)+(MONTH(W297)/100),TC!$5:$37,DAY(W297)+2,FALSE),VLOOKUP(X297,Equivalencia!$1:$23,((MAX(Equivalencia!$3:$3)-YEAR(W297))*14)+MONTH(W297)+2,FALSE)))</f>
        <v>0</v>
      </c>
      <c r="AA297" s="306">
        <f t="shared" si="71"/>
        <v>0</v>
      </c>
      <c r="AB297" s="305">
        <f>+IF(W297=0,0,HLOOKUP(YEAR(W297)+(MONTH(W297)/100),TC!$5:$37,DAY(W297)+2,FALSE))</f>
        <v>0</v>
      </c>
      <c r="AC297" s="306">
        <f t="shared" si="72"/>
        <v>0</v>
      </c>
      <c r="AD297" s="314">
        <f t="shared" si="63"/>
        <v>0</v>
      </c>
      <c r="AE297" s="315">
        <f t="shared" si="73"/>
        <v>0</v>
      </c>
      <c r="AF297" s="316">
        <f t="shared" si="64"/>
        <v>0</v>
      </c>
      <c r="AG297" s="314">
        <v>1</v>
      </c>
      <c r="AH297" s="314">
        <f t="shared" si="74"/>
        <v>0</v>
      </c>
      <c r="AI297" s="314">
        <f t="shared" si="75"/>
        <v>0</v>
      </c>
      <c r="AJ297" s="317"/>
      <c r="AK297" s="315" t="e">
        <f t="shared" si="76"/>
        <v>#N/A</v>
      </c>
      <c r="AM297" s="553"/>
      <c r="AN297" s="553"/>
      <c r="AO297" s="553"/>
    </row>
    <row r="298" spans="2:41">
      <c r="B298" s="296"/>
      <c r="C298" s="299"/>
      <c r="D298" s="296"/>
      <c r="E298" s="298"/>
      <c r="F298" s="299"/>
      <c r="G298" s="300"/>
      <c r="H298" s="303"/>
      <c r="I298" s="303"/>
      <c r="J298" s="322">
        <f t="shared" si="62"/>
        <v>0</v>
      </c>
      <c r="K298" s="305" t="e">
        <f>IF(F298="MXN",1/HLOOKUP(YEAR(G298)+(MONTH(G298)/100),TC!$5:$37,DAY(G298)+2,FALSE),VLOOKUP(F298,Equivalencia!$5:$23,((MAX(Equivalencia!$3:$3)-YEAR(G298))*14)+MONTH(G298)+2,FALSE))</f>
        <v>#N/A</v>
      </c>
      <c r="L298" s="306" t="e">
        <f t="shared" si="65"/>
        <v>#N/A</v>
      </c>
      <c r="M298" s="305">
        <f>IF(G298=0,0,HLOOKUP(YEAR(G298)+(MONTH(G298)/100),TC!$5:$37,DAY(G298)+2,FALSE))</f>
        <v>0</v>
      </c>
      <c r="N298" s="306" t="e">
        <f t="shared" si="66"/>
        <v>#N/A</v>
      </c>
      <c r="O298" s="308">
        <f>IF(G298=0,0,VLOOKUP(YEAR(G298),INPC!$B$4:$P$30,MONTH(G298)+2))</f>
        <v>0</v>
      </c>
      <c r="P298" s="308">
        <f>IF(W298=0,0,IF(OR(C298=$AQ$5,C298=AQ302),VLOOKUP(YEAR(W298),INPC!$B$4:$P$30,MONTH(W298)+1),VLOOKUP(YEAR(W298),INPC!$B$4:$P$30,MONTH(W298)+2)))</f>
        <v>0</v>
      </c>
      <c r="Q298" s="309">
        <f t="shared" si="67"/>
        <v>0</v>
      </c>
      <c r="R298" s="310" t="e">
        <f t="shared" si="68"/>
        <v>#N/A</v>
      </c>
      <c r="S298" s="310">
        <f t="shared" si="69"/>
        <v>0</v>
      </c>
      <c r="T298" s="559" t="str">
        <f t="shared" si="70"/>
        <v>NO</v>
      </c>
      <c r="U298" s="323"/>
      <c r="V298" s="299"/>
      <c r="W298" s="300"/>
      <c r="X298" s="299"/>
      <c r="Y298" s="303"/>
      <c r="Z298" s="305">
        <f>IF(Y298=0,0,IF(X298="MXN",1/HLOOKUP(YEAR(W298)+(MONTH(W298)/100),TC!$5:$37,DAY(W298)+2,FALSE),VLOOKUP(X298,Equivalencia!$1:$23,((MAX(Equivalencia!$3:$3)-YEAR(W298))*14)+MONTH(W298)+2,FALSE)))</f>
        <v>0</v>
      </c>
      <c r="AA298" s="306">
        <f t="shared" si="71"/>
        <v>0</v>
      </c>
      <c r="AB298" s="305">
        <f>+IF(W298=0,0,HLOOKUP(YEAR(W298)+(MONTH(W298)/100),TC!$5:$37,DAY(W298)+2,FALSE))</f>
        <v>0</v>
      </c>
      <c r="AC298" s="306">
        <f t="shared" si="72"/>
        <v>0</v>
      </c>
      <c r="AD298" s="314">
        <f t="shared" si="63"/>
        <v>0</v>
      </c>
      <c r="AE298" s="315">
        <f t="shared" si="73"/>
        <v>0</v>
      </c>
      <c r="AF298" s="316">
        <f t="shared" si="64"/>
        <v>0</v>
      </c>
      <c r="AG298" s="314">
        <v>1</v>
      </c>
      <c r="AH298" s="314">
        <f t="shared" si="74"/>
        <v>0</v>
      </c>
      <c r="AI298" s="314">
        <f t="shared" si="75"/>
        <v>0</v>
      </c>
      <c r="AJ298" s="317"/>
      <c r="AK298" s="315" t="e">
        <f t="shared" si="76"/>
        <v>#N/A</v>
      </c>
      <c r="AM298" s="553"/>
      <c r="AN298" s="553"/>
      <c r="AO298" s="553"/>
    </row>
    <row r="299" spans="2:41">
      <c r="B299" s="296"/>
      <c r="C299" s="299"/>
      <c r="D299" s="296"/>
      <c r="E299" s="298"/>
      <c r="F299" s="299"/>
      <c r="G299" s="300"/>
      <c r="H299" s="303"/>
      <c r="I299" s="303"/>
      <c r="J299" s="322">
        <f t="shared" si="62"/>
        <v>0</v>
      </c>
      <c r="K299" s="305" t="e">
        <f>IF(F299="MXN",1/HLOOKUP(YEAR(G299)+(MONTH(G299)/100),TC!$5:$37,DAY(G299)+2,FALSE),VLOOKUP(F299,Equivalencia!$5:$23,((MAX(Equivalencia!$3:$3)-YEAR(G299))*14)+MONTH(G299)+2,FALSE))</f>
        <v>#N/A</v>
      </c>
      <c r="L299" s="306" t="e">
        <f t="shared" si="65"/>
        <v>#N/A</v>
      </c>
      <c r="M299" s="305">
        <f>IF(G299=0,0,HLOOKUP(YEAR(G299)+(MONTH(G299)/100),TC!$5:$37,DAY(G299)+2,FALSE))</f>
        <v>0</v>
      </c>
      <c r="N299" s="306" t="e">
        <f t="shared" si="66"/>
        <v>#N/A</v>
      </c>
      <c r="O299" s="308">
        <f>IF(G299=0,0,VLOOKUP(YEAR(G299),INPC!$B$4:$P$30,MONTH(G299)+2))</f>
        <v>0</v>
      </c>
      <c r="P299" s="308">
        <f>IF(W299=0,0,IF(OR(C299=$AQ$5,C299=AQ303),VLOOKUP(YEAR(W299),INPC!$B$4:$P$30,MONTH(W299)+1),VLOOKUP(YEAR(W299),INPC!$B$4:$P$30,MONTH(W299)+2)))</f>
        <v>0</v>
      </c>
      <c r="Q299" s="309">
        <f t="shared" si="67"/>
        <v>0</v>
      </c>
      <c r="R299" s="310" t="e">
        <f t="shared" si="68"/>
        <v>#N/A</v>
      </c>
      <c r="S299" s="310">
        <f t="shared" si="69"/>
        <v>0</v>
      </c>
      <c r="T299" s="559" t="str">
        <f t="shared" si="70"/>
        <v>NO</v>
      </c>
      <c r="U299" s="323"/>
      <c r="V299" s="299"/>
      <c r="W299" s="300"/>
      <c r="X299" s="299"/>
      <c r="Y299" s="303"/>
      <c r="Z299" s="305">
        <f>IF(Y299=0,0,IF(X299="MXN",1/HLOOKUP(YEAR(W299)+(MONTH(W299)/100),TC!$5:$37,DAY(W299)+2,FALSE),VLOOKUP(X299,Equivalencia!$1:$23,((MAX(Equivalencia!$3:$3)-YEAR(W299))*14)+MONTH(W299)+2,FALSE)))</f>
        <v>0</v>
      </c>
      <c r="AA299" s="306">
        <f t="shared" si="71"/>
        <v>0</v>
      </c>
      <c r="AB299" s="305">
        <f>+IF(W299=0,0,HLOOKUP(YEAR(W299)+(MONTH(W299)/100),TC!$5:$37,DAY(W299)+2,FALSE))</f>
        <v>0</v>
      </c>
      <c r="AC299" s="306">
        <f t="shared" si="72"/>
        <v>0</v>
      </c>
      <c r="AD299" s="314">
        <f t="shared" si="63"/>
        <v>0</v>
      </c>
      <c r="AE299" s="315">
        <f t="shared" si="73"/>
        <v>0</v>
      </c>
      <c r="AF299" s="316">
        <f t="shared" si="64"/>
        <v>0</v>
      </c>
      <c r="AG299" s="314">
        <v>1</v>
      </c>
      <c r="AH299" s="314">
        <f t="shared" si="74"/>
        <v>0</v>
      </c>
      <c r="AI299" s="314">
        <f t="shared" si="75"/>
        <v>0</v>
      </c>
      <c r="AJ299" s="317"/>
      <c r="AK299" s="315" t="e">
        <f t="shared" si="76"/>
        <v>#N/A</v>
      </c>
      <c r="AM299" s="553"/>
      <c r="AN299" s="553"/>
      <c r="AO299" s="553"/>
    </row>
    <row r="300" spans="2:41">
      <c r="B300" s="296"/>
      <c r="C300" s="299"/>
      <c r="D300" s="296"/>
      <c r="E300" s="298"/>
      <c r="F300" s="299"/>
      <c r="G300" s="300"/>
      <c r="H300" s="303"/>
      <c r="I300" s="303"/>
      <c r="J300" s="322">
        <f t="shared" si="62"/>
        <v>0</v>
      </c>
      <c r="K300" s="305" t="e">
        <f>IF(F300="MXN",1/HLOOKUP(YEAR(G300)+(MONTH(G300)/100),TC!$5:$37,DAY(G300)+2,FALSE),VLOOKUP(F300,Equivalencia!$5:$23,((MAX(Equivalencia!$3:$3)-YEAR(G300))*14)+MONTH(G300)+2,FALSE))</f>
        <v>#N/A</v>
      </c>
      <c r="L300" s="306" t="e">
        <f t="shared" si="65"/>
        <v>#N/A</v>
      </c>
      <c r="M300" s="305">
        <f>IF(G300=0,0,HLOOKUP(YEAR(G300)+(MONTH(G300)/100),TC!$5:$37,DAY(G300)+2,FALSE))</f>
        <v>0</v>
      </c>
      <c r="N300" s="306" t="e">
        <f t="shared" si="66"/>
        <v>#N/A</v>
      </c>
      <c r="O300" s="308">
        <f>IF(G300=0,0,VLOOKUP(YEAR(G300),INPC!$B$4:$P$30,MONTH(G300)+2))</f>
        <v>0</v>
      </c>
      <c r="P300" s="308">
        <f>IF(W300=0,0,IF(OR(C300=$AQ$5,C300=AQ304),VLOOKUP(YEAR(W300),INPC!$B$4:$P$30,MONTH(W300)+1),VLOOKUP(YEAR(W300),INPC!$B$4:$P$30,MONTH(W300)+2)))</f>
        <v>0</v>
      </c>
      <c r="Q300" s="309">
        <f t="shared" si="67"/>
        <v>0</v>
      </c>
      <c r="R300" s="310" t="e">
        <f t="shared" si="68"/>
        <v>#N/A</v>
      </c>
      <c r="S300" s="310">
        <f t="shared" si="69"/>
        <v>0</v>
      </c>
      <c r="T300" s="559" t="str">
        <f t="shared" si="70"/>
        <v>NO</v>
      </c>
      <c r="U300" s="323"/>
      <c r="V300" s="299"/>
      <c r="W300" s="300"/>
      <c r="X300" s="299"/>
      <c r="Y300" s="303"/>
      <c r="Z300" s="305">
        <f>IF(Y300=0,0,IF(X300="MXN",1/HLOOKUP(YEAR(W300)+(MONTH(W300)/100),TC!$5:$37,DAY(W300)+2,FALSE),VLOOKUP(X300,Equivalencia!$1:$23,((MAX(Equivalencia!$3:$3)-YEAR(W300))*14)+MONTH(W300)+2,FALSE)))</f>
        <v>0</v>
      </c>
      <c r="AA300" s="306">
        <f t="shared" si="71"/>
        <v>0</v>
      </c>
      <c r="AB300" s="305">
        <f>+IF(W300=0,0,HLOOKUP(YEAR(W300)+(MONTH(W300)/100),TC!$5:$37,DAY(W300)+2,FALSE))</f>
        <v>0</v>
      </c>
      <c r="AC300" s="306">
        <f t="shared" si="72"/>
        <v>0</v>
      </c>
      <c r="AD300" s="314">
        <f t="shared" si="63"/>
        <v>0</v>
      </c>
      <c r="AE300" s="315">
        <f t="shared" si="73"/>
        <v>0</v>
      </c>
      <c r="AF300" s="316">
        <f t="shared" si="64"/>
        <v>0</v>
      </c>
      <c r="AG300" s="314">
        <v>1</v>
      </c>
      <c r="AH300" s="314">
        <f t="shared" si="74"/>
        <v>0</v>
      </c>
      <c r="AI300" s="314">
        <f t="shared" si="75"/>
        <v>0</v>
      </c>
      <c r="AJ300" s="317"/>
      <c r="AK300" s="315" t="e">
        <f t="shared" si="76"/>
        <v>#N/A</v>
      </c>
      <c r="AM300" s="553"/>
      <c r="AN300" s="553"/>
      <c r="AO300" s="553"/>
    </row>
    <row r="301" spans="2:41">
      <c r="B301" s="296"/>
      <c r="C301" s="299"/>
      <c r="D301" s="296"/>
      <c r="E301" s="298"/>
      <c r="F301" s="299"/>
      <c r="G301" s="300"/>
      <c r="H301" s="303"/>
      <c r="I301" s="303"/>
      <c r="J301" s="322">
        <f t="shared" si="62"/>
        <v>0</v>
      </c>
      <c r="K301" s="305" t="e">
        <f>IF(F301="MXN",1/HLOOKUP(YEAR(G301)+(MONTH(G301)/100),TC!$5:$37,DAY(G301)+2,FALSE),VLOOKUP(F301,Equivalencia!$5:$23,((MAX(Equivalencia!$3:$3)-YEAR(G301))*14)+MONTH(G301)+2,FALSE))</f>
        <v>#N/A</v>
      </c>
      <c r="L301" s="306" t="e">
        <f t="shared" si="65"/>
        <v>#N/A</v>
      </c>
      <c r="M301" s="305">
        <f>IF(G301=0,0,HLOOKUP(YEAR(G301)+(MONTH(G301)/100),TC!$5:$37,DAY(G301)+2,FALSE))</f>
        <v>0</v>
      </c>
      <c r="N301" s="306" t="e">
        <f t="shared" si="66"/>
        <v>#N/A</v>
      </c>
      <c r="O301" s="308">
        <f>IF(G301=0,0,VLOOKUP(YEAR(G301),INPC!$B$4:$P$30,MONTH(G301)+2))</f>
        <v>0</v>
      </c>
      <c r="P301" s="308">
        <f>IF(W301=0,0,IF(OR(C301=$AQ$5,C301=AQ305),VLOOKUP(YEAR(W301),INPC!$B$4:$P$30,MONTH(W301)+1),VLOOKUP(YEAR(W301),INPC!$B$4:$P$30,MONTH(W301)+2)))</f>
        <v>0</v>
      </c>
      <c r="Q301" s="309">
        <f t="shared" si="67"/>
        <v>0</v>
      </c>
      <c r="R301" s="310" t="e">
        <f t="shared" si="68"/>
        <v>#N/A</v>
      </c>
      <c r="S301" s="310">
        <f t="shared" si="69"/>
        <v>0</v>
      </c>
      <c r="T301" s="559" t="str">
        <f t="shared" si="70"/>
        <v>NO</v>
      </c>
      <c r="U301" s="323"/>
      <c r="V301" s="299"/>
      <c r="W301" s="300"/>
      <c r="X301" s="299"/>
      <c r="Y301" s="303"/>
      <c r="Z301" s="305">
        <f>IF(Y301=0,0,IF(X301="MXN",1/HLOOKUP(YEAR(W301)+(MONTH(W301)/100),TC!$5:$37,DAY(W301)+2,FALSE),VLOOKUP(X301,Equivalencia!$1:$23,((MAX(Equivalencia!$3:$3)-YEAR(W301))*14)+MONTH(W301)+2,FALSE)))</f>
        <v>0</v>
      </c>
      <c r="AA301" s="306">
        <f t="shared" si="71"/>
        <v>0</v>
      </c>
      <c r="AB301" s="305">
        <f>+IF(W301=0,0,HLOOKUP(YEAR(W301)+(MONTH(W301)/100),TC!$5:$37,DAY(W301)+2,FALSE))</f>
        <v>0</v>
      </c>
      <c r="AC301" s="306">
        <f t="shared" si="72"/>
        <v>0</v>
      </c>
      <c r="AD301" s="314">
        <f t="shared" si="63"/>
        <v>0</v>
      </c>
      <c r="AE301" s="315">
        <f t="shared" si="73"/>
        <v>0</v>
      </c>
      <c r="AF301" s="316">
        <f t="shared" si="64"/>
        <v>0</v>
      </c>
      <c r="AG301" s="314">
        <v>1</v>
      </c>
      <c r="AH301" s="314">
        <f t="shared" si="74"/>
        <v>0</v>
      </c>
      <c r="AI301" s="314">
        <f t="shared" si="75"/>
        <v>0</v>
      </c>
      <c r="AJ301" s="317"/>
      <c r="AK301" s="315" t="e">
        <f t="shared" si="76"/>
        <v>#N/A</v>
      </c>
      <c r="AM301" s="553"/>
      <c r="AN301" s="553"/>
      <c r="AO301" s="553"/>
    </row>
    <row r="302" spans="2:41">
      <c r="B302" s="296"/>
      <c r="C302" s="299"/>
      <c r="D302" s="296"/>
      <c r="E302" s="298"/>
      <c r="F302" s="299"/>
      <c r="G302" s="300"/>
      <c r="H302" s="303"/>
      <c r="I302" s="303"/>
      <c r="J302" s="322">
        <f t="shared" si="62"/>
        <v>0</v>
      </c>
      <c r="K302" s="305" t="e">
        <f>IF(F302="MXN",1/HLOOKUP(YEAR(G302)+(MONTH(G302)/100),TC!$5:$37,DAY(G302)+2,FALSE),VLOOKUP(F302,Equivalencia!$5:$23,((MAX(Equivalencia!$3:$3)-YEAR(G302))*14)+MONTH(G302)+2,FALSE))</f>
        <v>#N/A</v>
      </c>
      <c r="L302" s="306" t="e">
        <f t="shared" si="65"/>
        <v>#N/A</v>
      </c>
      <c r="M302" s="305">
        <f>IF(G302=0,0,HLOOKUP(YEAR(G302)+(MONTH(G302)/100),TC!$5:$37,DAY(G302)+2,FALSE))</f>
        <v>0</v>
      </c>
      <c r="N302" s="306" t="e">
        <f t="shared" si="66"/>
        <v>#N/A</v>
      </c>
      <c r="O302" s="308">
        <f>IF(G302=0,0,VLOOKUP(YEAR(G302),INPC!$B$4:$P$30,MONTH(G302)+2))</f>
        <v>0</v>
      </c>
      <c r="P302" s="308">
        <f>IF(W302=0,0,IF(OR(C302=$AQ$5,C302=AQ306),VLOOKUP(YEAR(W302),INPC!$B$4:$P$30,MONTH(W302)+1),VLOOKUP(YEAR(W302),INPC!$B$4:$P$30,MONTH(W302)+2)))</f>
        <v>0</v>
      </c>
      <c r="Q302" s="309">
        <f t="shared" si="67"/>
        <v>0</v>
      </c>
      <c r="R302" s="310" t="e">
        <f t="shared" si="68"/>
        <v>#N/A</v>
      </c>
      <c r="S302" s="310">
        <f t="shared" si="69"/>
        <v>0</v>
      </c>
      <c r="T302" s="559" t="str">
        <f t="shared" si="70"/>
        <v>NO</v>
      </c>
      <c r="U302" s="323"/>
      <c r="V302" s="299"/>
      <c r="W302" s="300"/>
      <c r="X302" s="299"/>
      <c r="Y302" s="303"/>
      <c r="Z302" s="305">
        <f>IF(Y302=0,0,IF(X302="MXN",1/HLOOKUP(YEAR(W302)+(MONTH(W302)/100),TC!$5:$37,DAY(W302)+2,FALSE),VLOOKUP(X302,Equivalencia!$1:$23,((MAX(Equivalencia!$3:$3)-YEAR(W302))*14)+MONTH(W302)+2,FALSE)))</f>
        <v>0</v>
      </c>
      <c r="AA302" s="306">
        <f t="shared" si="71"/>
        <v>0</v>
      </c>
      <c r="AB302" s="305">
        <f>+IF(W302=0,0,HLOOKUP(YEAR(W302)+(MONTH(W302)/100),TC!$5:$37,DAY(W302)+2,FALSE))</f>
        <v>0</v>
      </c>
      <c r="AC302" s="306">
        <f t="shared" si="72"/>
        <v>0</v>
      </c>
      <c r="AD302" s="314">
        <f t="shared" si="63"/>
        <v>0</v>
      </c>
      <c r="AE302" s="315">
        <f t="shared" si="73"/>
        <v>0</v>
      </c>
      <c r="AF302" s="316">
        <f t="shared" si="64"/>
        <v>0</v>
      </c>
      <c r="AG302" s="314">
        <v>1</v>
      </c>
      <c r="AH302" s="314">
        <f t="shared" si="74"/>
        <v>0</v>
      </c>
      <c r="AI302" s="314">
        <f t="shared" si="75"/>
        <v>0</v>
      </c>
      <c r="AJ302" s="317"/>
      <c r="AK302" s="315" t="e">
        <f t="shared" si="76"/>
        <v>#N/A</v>
      </c>
      <c r="AM302" s="553"/>
      <c r="AN302" s="553"/>
      <c r="AO302" s="553"/>
    </row>
    <row r="303" spans="2:41">
      <c r="B303" s="296"/>
      <c r="C303" s="299"/>
      <c r="D303" s="296"/>
      <c r="E303" s="298"/>
      <c r="F303" s="299"/>
      <c r="G303" s="300"/>
      <c r="H303" s="303"/>
      <c r="I303" s="303"/>
      <c r="J303" s="322">
        <f t="shared" si="62"/>
        <v>0</v>
      </c>
      <c r="K303" s="305" t="e">
        <f>IF(F303="MXN",1/HLOOKUP(YEAR(G303)+(MONTH(G303)/100),TC!$5:$37,DAY(G303)+2,FALSE),VLOOKUP(F303,Equivalencia!$5:$23,((MAX(Equivalencia!$3:$3)-YEAR(G303))*14)+MONTH(G303)+2,FALSE))</f>
        <v>#N/A</v>
      </c>
      <c r="L303" s="306" t="e">
        <f t="shared" si="65"/>
        <v>#N/A</v>
      </c>
      <c r="M303" s="305">
        <f>IF(G303=0,0,HLOOKUP(YEAR(G303)+(MONTH(G303)/100),TC!$5:$37,DAY(G303)+2,FALSE))</f>
        <v>0</v>
      </c>
      <c r="N303" s="306" t="e">
        <f t="shared" si="66"/>
        <v>#N/A</v>
      </c>
      <c r="O303" s="308">
        <f>IF(G303=0,0,VLOOKUP(YEAR(G303),INPC!$B$4:$P$30,MONTH(G303)+2))</f>
        <v>0</v>
      </c>
      <c r="P303" s="308">
        <f>IF(W303=0,0,IF(OR(C303=$AQ$5,C303=AQ307),VLOOKUP(YEAR(W303),INPC!$B$4:$P$30,MONTH(W303)+1),VLOOKUP(YEAR(W303),INPC!$B$4:$P$30,MONTH(W303)+2)))</f>
        <v>0</v>
      </c>
      <c r="Q303" s="309">
        <f t="shared" si="67"/>
        <v>0</v>
      </c>
      <c r="R303" s="310" t="e">
        <f t="shared" si="68"/>
        <v>#N/A</v>
      </c>
      <c r="S303" s="310">
        <f t="shared" si="69"/>
        <v>0</v>
      </c>
      <c r="T303" s="559" t="str">
        <f t="shared" si="70"/>
        <v>NO</v>
      </c>
      <c r="U303" s="323"/>
      <c r="V303" s="299"/>
      <c r="W303" s="300"/>
      <c r="X303" s="299"/>
      <c r="Y303" s="303"/>
      <c r="Z303" s="305">
        <f>IF(Y303=0,0,IF(X303="MXN",1/HLOOKUP(YEAR(W303)+(MONTH(W303)/100),TC!$5:$37,DAY(W303)+2,FALSE),VLOOKUP(X303,Equivalencia!$1:$23,((MAX(Equivalencia!$3:$3)-YEAR(W303))*14)+MONTH(W303)+2,FALSE)))</f>
        <v>0</v>
      </c>
      <c r="AA303" s="306">
        <f t="shared" si="71"/>
        <v>0</v>
      </c>
      <c r="AB303" s="305">
        <f>+IF(W303=0,0,HLOOKUP(YEAR(W303)+(MONTH(W303)/100),TC!$5:$37,DAY(W303)+2,FALSE))</f>
        <v>0</v>
      </c>
      <c r="AC303" s="306">
        <f t="shared" si="72"/>
        <v>0</v>
      </c>
      <c r="AD303" s="314">
        <f t="shared" si="63"/>
        <v>0</v>
      </c>
      <c r="AE303" s="315">
        <f t="shared" si="73"/>
        <v>0</v>
      </c>
      <c r="AF303" s="316">
        <f t="shared" si="64"/>
        <v>0</v>
      </c>
      <c r="AG303" s="314">
        <v>1</v>
      </c>
      <c r="AH303" s="314">
        <f t="shared" si="74"/>
        <v>0</v>
      </c>
      <c r="AI303" s="314">
        <f t="shared" si="75"/>
        <v>0</v>
      </c>
      <c r="AJ303" s="317"/>
      <c r="AK303" s="315" t="e">
        <f t="shared" si="76"/>
        <v>#N/A</v>
      </c>
      <c r="AM303" s="553"/>
      <c r="AN303" s="553"/>
      <c r="AO303" s="553"/>
    </row>
    <row r="304" spans="2:41">
      <c r="B304" s="296"/>
      <c r="C304" s="299"/>
      <c r="D304" s="296"/>
      <c r="E304" s="298"/>
      <c r="F304" s="299"/>
      <c r="G304" s="300"/>
      <c r="H304" s="303"/>
      <c r="I304" s="303"/>
      <c r="J304" s="322">
        <f t="shared" si="62"/>
        <v>0</v>
      </c>
      <c r="K304" s="305" t="e">
        <f>IF(F304="MXN",1/HLOOKUP(YEAR(G304)+(MONTH(G304)/100),TC!$5:$37,DAY(G304)+2,FALSE),VLOOKUP(F304,Equivalencia!$5:$23,((MAX(Equivalencia!$3:$3)-YEAR(G304))*14)+MONTH(G304)+2,FALSE))</f>
        <v>#N/A</v>
      </c>
      <c r="L304" s="306" t="e">
        <f t="shared" si="65"/>
        <v>#N/A</v>
      </c>
      <c r="M304" s="305">
        <f>IF(G304=0,0,HLOOKUP(YEAR(G304)+(MONTH(G304)/100),TC!$5:$37,DAY(G304)+2,FALSE))</f>
        <v>0</v>
      </c>
      <c r="N304" s="306" t="e">
        <f t="shared" si="66"/>
        <v>#N/A</v>
      </c>
      <c r="O304" s="308">
        <f>IF(G304=0,0,VLOOKUP(YEAR(G304),INPC!$B$4:$P$30,MONTH(G304)+2))</f>
        <v>0</v>
      </c>
      <c r="P304" s="308">
        <f>IF(W304=0,0,IF(OR(C304=$AQ$5,C304=AQ308),VLOOKUP(YEAR(W304),INPC!$B$4:$P$30,MONTH(W304)+1),VLOOKUP(YEAR(W304),INPC!$B$4:$P$30,MONTH(W304)+2)))</f>
        <v>0</v>
      </c>
      <c r="Q304" s="309">
        <f t="shared" si="67"/>
        <v>0</v>
      </c>
      <c r="R304" s="310" t="e">
        <f t="shared" si="68"/>
        <v>#N/A</v>
      </c>
      <c r="S304" s="310">
        <f t="shared" si="69"/>
        <v>0</v>
      </c>
      <c r="T304" s="559" t="str">
        <f t="shared" si="70"/>
        <v>NO</v>
      </c>
      <c r="U304" s="323"/>
      <c r="V304" s="299"/>
      <c r="W304" s="300"/>
      <c r="X304" s="299"/>
      <c r="Y304" s="303"/>
      <c r="Z304" s="305">
        <f>IF(Y304=0,0,IF(X304="MXN",1/HLOOKUP(YEAR(W304)+(MONTH(W304)/100),TC!$5:$37,DAY(W304)+2,FALSE),VLOOKUP(X304,Equivalencia!$1:$23,((MAX(Equivalencia!$3:$3)-YEAR(W304))*14)+MONTH(W304)+2,FALSE)))</f>
        <v>0</v>
      </c>
      <c r="AA304" s="306">
        <f t="shared" si="71"/>
        <v>0</v>
      </c>
      <c r="AB304" s="305">
        <f>+IF(W304=0,0,HLOOKUP(YEAR(W304)+(MONTH(W304)/100),TC!$5:$37,DAY(W304)+2,FALSE))</f>
        <v>0</v>
      </c>
      <c r="AC304" s="306">
        <f t="shared" si="72"/>
        <v>0</v>
      </c>
      <c r="AD304" s="314">
        <f t="shared" si="63"/>
        <v>0</v>
      </c>
      <c r="AE304" s="315">
        <f t="shared" si="73"/>
        <v>0</v>
      </c>
      <c r="AF304" s="316">
        <f t="shared" si="64"/>
        <v>0</v>
      </c>
      <c r="AG304" s="314">
        <v>1</v>
      </c>
      <c r="AH304" s="314">
        <f t="shared" si="74"/>
        <v>0</v>
      </c>
      <c r="AI304" s="314">
        <f t="shared" si="75"/>
        <v>0</v>
      </c>
      <c r="AJ304" s="317"/>
      <c r="AK304" s="315" t="e">
        <f t="shared" si="76"/>
        <v>#N/A</v>
      </c>
      <c r="AM304" s="553"/>
      <c r="AN304" s="553"/>
      <c r="AO304" s="553"/>
    </row>
    <row r="305" spans="2:41">
      <c r="B305" s="296"/>
      <c r="C305" s="299"/>
      <c r="D305" s="296"/>
      <c r="E305" s="298"/>
      <c r="F305" s="299"/>
      <c r="G305" s="300"/>
      <c r="H305" s="303"/>
      <c r="I305" s="303"/>
      <c r="J305" s="322">
        <f t="shared" si="62"/>
        <v>0</v>
      </c>
      <c r="K305" s="305" t="e">
        <f>IF(F305="MXN",1/HLOOKUP(YEAR(G305)+(MONTH(G305)/100),TC!$5:$37,DAY(G305)+2,FALSE),VLOOKUP(F305,Equivalencia!$5:$23,((MAX(Equivalencia!$3:$3)-YEAR(G305))*14)+MONTH(G305)+2,FALSE))</f>
        <v>#N/A</v>
      </c>
      <c r="L305" s="306" t="e">
        <f t="shared" si="65"/>
        <v>#N/A</v>
      </c>
      <c r="M305" s="305">
        <f>IF(G305=0,0,HLOOKUP(YEAR(G305)+(MONTH(G305)/100),TC!$5:$37,DAY(G305)+2,FALSE))</f>
        <v>0</v>
      </c>
      <c r="N305" s="306" t="e">
        <f t="shared" si="66"/>
        <v>#N/A</v>
      </c>
      <c r="O305" s="308">
        <f>IF(G305=0,0,VLOOKUP(YEAR(G305),INPC!$B$4:$P$30,MONTH(G305)+2))</f>
        <v>0</v>
      </c>
      <c r="P305" s="308">
        <f>IF(W305=0,0,IF(OR(C305=$AQ$5,C305=AQ309),VLOOKUP(YEAR(W305),INPC!$B$4:$P$30,MONTH(W305)+1),VLOOKUP(YEAR(W305),INPC!$B$4:$P$30,MONTH(W305)+2)))</f>
        <v>0</v>
      </c>
      <c r="Q305" s="309">
        <f t="shared" si="67"/>
        <v>0</v>
      </c>
      <c r="R305" s="310" t="e">
        <f t="shared" si="68"/>
        <v>#N/A</v>
      </c>
      <c r="S305" s="310">
        <f t="shared" si="69"/>
        <v>0</v>
      </c>
      <c r="T305" s="559" t="str">
        <f t="shared" si="70"/>
        <v>NO</v>
      </c>
      <c r="U305" s="323"/>
      <c r="V305" s="299"/>
      <c r="W305" s="300"/>
      <c r="X305" s="299"/>
      <c r="Y305" s="303"/>
      <c r="Z305" s="305">
        <f>IF(Y305=0,0,IF(X305="MXN",1/HLOOKUP(YEAR(W305)+(MONTH(W305)/100),TC!$5:$37,DAY(W305)+2,FALSE),VLOOKUP(X305,Equivalencia!$1:$23,((MAX(Equivalencia!$3:$3)-YEAR(W305))*14)+MONTH(W305)+2,FALSE)))</f>
        <v>0</v>
      </c>
      <c r="AA305" s="306">
        <f t="shared" si="71"/>
        <v>0</v>
      </c>
      <c r="AB305" s="305">
        <f>+IF(W305=0,0,HLOOKUP(YEAR(W305)+(MONTH(W305)/100),TC!$5:$37,DAY(W305)+2,FALSE))</f>
        <v>0</v>
      </c>
      <c r="AC305" s="306">
        <f t="shared" si="72"/>
        <v>0</v>
      </c>
      <c r="AD305" s="314">
        <f t="shared" si="63"/>
        <v>0</v>
      </c>
      <c r="AE305" s="315">
        <f t="shared" si="73"/>
        <v>0</v>
      </c>
      <c r="AF305" s="316">
        <f t="shared" si="64"/>
        <v>0</v>
      </c>
      <c r="AG305" s="314">
        <v>1</v>
      </c>
      <c r="AH305" s="314">
        <f t="shared" si="74"/>
        <v>0</v>
      </c>
      <c r="AI305" s="314">
        <f t="shared" si="75"/>
        <v>0</v>
      </c>
      <c r="AJ305" s="317"/>
      <c r="AK305" s="315" t="e">
        <f t="shared" si="76"/>
        <v>#N/A</v>
      </c>
      <c r="AM305" s="553"/>
      <c r="AN305" s="553"/>
      <c r="AO305" s="553"/>
    </row>
    <row r="306" spans="2:41">
      <c r="B306" s="296"/>
      <c r="C306" s="299"/>
      <c r="D306" s="296"/>
      <c r="E306" s="298"/>
      <c r="F306" s="299"/>
      <c r="G306" s="300"/>
      <c r="H306" s="303"/>
      <c r="I306" s="303"/>
      <c r="J306" s="322">
        <f t="shared" si="62"/>
        <v>0</v>
      </c>
      <c r="K306" s="305" t="e">
        <f>IF(F306="MXN",1/HLOOKUP(YEAR(G306)+(MONTH(G306)/100),TC!$5:$37,DAY(G306)+2,FALSE),VLOOKUP(F306,Equivalencia!$5:$23,((MAX(Equivalencia!$3:$3)-YEAR(G306))*14)+MONTH(G306)+2,FALSE))</f>
        <v>#N/A</v>
      </c>
      <c r="L306" s="306" t="e">
        <f t="shared" si="65"/>
        <v>#N/A</v>
      </c>
      <c r="M306" s="305">
        <f>IF(G306=0,0,HLOOKUP(YEAR(G306)+(MONTH(G306)/100),TC!$5:$37,DAY(G306)+2,FALSE))</f>
        <v>0</v>
      </c>
      <c r="N306" s="306" t="e">
        <f t="shared" si="66"/>
        <v>#N/A</v>
      </c>
      <c r="O306" s="308">
        <f>IF(G306=0,0,VLOOKUP(YEAR(G306),INPC!$B$4:$P$30,MONTH(G306)+2))</f>
        <v>0</v>
      </c>
      <c r="P306" s="308">
        <f>IF(W306=0,0,IF(OR(C306=$AQ$5,C306=AQ310),VLOOKUP(YEAR(W306),INPC!$B$4:$P$30,MONTH(W306)+1),VLOOKUP(YEAR(W306),INPC!$B$4:$P$30,MONTH(W306)+2)))</f>
        <v>0</v>
      </c>
      <c r="Q306" s="309">
        <f t="shared" si="67"/>
        <v>0</v>
      </c>
      <c r="R306" s="310" t="e">
        <f t="shared" si="68"/>
        <v>#N/A</v>
      </c>
      <c r="S306" s="310">
        <f t="shared" si="69"/>
        <v>0</v>
      </c>
      <c r="T306" s="559" t="str">
        <f t="shared" si="70"/>
        <v>NO</v>
      </c>
      <c r="U306" s="323"/>
      <c r="V306" s="299"/>
      <c r="W306" s="300"/>
      <c r="X306" s="299"/>
      <c r="Y306" s="303"/>
      <c r="Z306" s="305">
        <f>IF(Y306=0,0,IF(X306="MXN",1/HLOOKUP(YEAR(W306)+(MONTH(W306)/100),TC!$5:$37,DAY(W306)+2,FALSE),VLOOKUP(X306,Equivalencia!$1:$23,((MAX(Equivalencia!$3:$3)-YEAR(W306))*14)+MONTH(W306)+2,FALSE)))</f>
        <v>0</v>
      </c>
      <c r="AA306" s="306">
        <f t="shared" si="71"/>
        <v>0</v>
      </c>
      <c r="AB306" s="305">
        <f>+IF(W306=0,0,HLOOKUP(YEAR(W306)+(MONTH(W306)/100),TC!$5:$37,DAY(W306)+2,FALSE))</f>
        <v>0</v>
      </c>
      <c r="AC306" s="306">
        <f t="shared" si="72"/>
        <v>0</v>
      </c>
      <c r="AD306" s="314">
        <f t="shared" si="63"/>
        <v>0</v>
      </c>
      <c r="AE306" s="315">
        <f t="shared" si="73"/>
        <v>0</v>
      </c>
      <c r="AF306" s="316">
        <f t="shared" si="64"/>
        <v>0</v>
      </c>
      <c r="AG306" s="314">
        <v>1</v>
      </c>
      <c r="AH306" s="314">
        <f t="shared" si="74"/>
        <v>0</v>
      </c>
      <c r="AI306" s="314">
        <f t="shared" si="75"/>
        <v>0</v>
      </c>
      <c r="AJ306" s="317"/>
      <c r="AK306" s="315" t="e">
        <f t="shared" si="76"/>
        <v>#N/A</v>
      </c>
      <c r="AM306" s="553"/>
      <c r="AN306" s="553"/>
      <c r="AO306" s="553"/>
    </row>
    <row r="307" spans="2:41">
      <c r="B307" s="296"/>
      <c r="C307" s="299"/>
      <c r="D307" s="296"/>
      <c r="E307" s="298"/>
      <c r="F307" s="299"/>
      <c r="G307" s="300"/>
      <c r="H307" s="303"/>
      <c r="I307" s="303"/>
      <c r="J307" s="322">
        <f t="shared" si="62"/>
        <v>0</v>
      </c>
      <c r="K307" s="305" t="e">
        <f>IF(F307="MXN",1/HLOOKUP(YEAR(G307)+(MONTH(G307)/100),TC!$5:$37,DAY(G307)+2,FALSE),VLOOKUP(F307,Equivalencia!$5:$23,((MAX(Equivalencia!$3:$3)-YEAR(G307))*14)+MONTH(G307)+2,FALSE))</f>
        <v>#N/A</v>
      </c>
      <c r="L307" s="306" t="e">
        <f t="shared" si="65"/>
        <v>#N/A</v>
      </c>
      <c r="M307" s="305">
        <f>IF(G307=0,0,HLOOKUP(YEAR(G307)+(MONTH(G307)/100),TC!$5:$37,DAY(G307)+2,FALSE))</f>
        <v>0</v>
      </c>
      <c r="N307" s="306" t="e">
        <f t="shared" si="66"/>
        <v>#N/A</v>
      </c>
      <c r="O307" s="308">
        <f>IF(G307=0,0,VLOOKUP(YEAR(G307),INPC!$B$4:$P$30,MONTH(G307)+2))</f>
        <v>0</v>
      </c>
      <c r="P307" s="308">
        <f>IF(W307=0,0,IF(OR(C307=$AQ$5,C307=AQ311),VLOOKUP(YEAR(W307),INPC!$B$4:$P$30,MONTH(W307)+1),VLOOKUP(YEAR(W307),INPC!$B$4:$P$30,MONTH(W307)+2)))</f>
        <v>0</v>
      </c>
      <c r="Q307" s="309">
        <f t="shared" si="67"/>
        <v>0</v>
      </c>
      <c r="R307" s="310" t="e">
        <f t="shared" si="68"/>
        <v>#N/A</v>
      </c>
      <c r="S307" s="310">
        <f t="shared" si="69"/>
        <v>0</v>
      </c>
      <c r="T307" s="559" t="str">
        <f t="shared" si="70"/>
        <v>NO</v>
      </c>
      <c r="U307" s="323"/>
      <c r="V307" s="299"/>
      <c r="W307" s="300"/>
      <c r="X307" s="299"/>
      <c r="Y307" s="303"/>
      <c r="Z307" s="305">
        <f>IF(Y307=0,0,IF(X307="MXN",1/HLOOKUP(YEAR(W307)+(MONTH(W307)/100),TC!$5:$37,DAY(W307)+2,FALSE),VLOOKUP(X307,Equivalencia!$1:$23,((MAX(Equivalencia!$3:$3)-YEAR(W307))*14)+MONTH(W307)+2,FALSE)))</f>
        <v>0</v>
      </c>
      <c r="AA307" s="306">
        <f t="shared" si="71"/>
        <v>0</v>
      </c>
      <c r="AB307" s="305">
        <f>+IF(W307=0,0,HLOOKUP(YEAR(W307)+(MONTH(W307)/100),TC!$5:$37,DAY(W307)+2,FALSE))</f>
        <v>0</v>
      </c>
      <c r="AC307" s="306">
        <f t="shared" si="72"/>
        <v>0</v>
      </c>
      <c r="AD307" s="314">
        <f t="shared" si="63"/>
        <v>0</v>
      </c>
      <c r="AE307" s="315">
        <f t="shared" si="73"/>
        <v>0</v>
      </c>
      <c r="AF307" s="316">
        <f t="shared" si="64"/>
        <v>0</v>
      </c>
      <c r="AG307" s="314">
        <v>1</v>
      </c>
      <c r="AH307" s="314">
        <f t="shared" si="74"/>
        <v>0</v>
      </c>
      <c r="AI307" s="314">
        <f t="shared" si="75"/>
        <v>0</v>
      </c>
      <c r="AJ307" s="317"/>
      <c r="AK307" s="315" t="e">
        <f t="shared" si="76"/>
        <v>#N/A</v>
      </c>
      <c r="AM307" s="553"/>
      <c r="AN307" s="553"/>
      <c r="AO307" s="553"/>
    </row>
    <row r="308" spans="2:41">
      <c r="B308" s="296"/>
      <c r="C308" s="299"/>
      <c r="D308" s="296"/>
      <c r="E308" s="298"/>
      <c r="F308" s="299"/>
      <c r="G308" s="300"/>
      <c r="H308" s="303"/>
      <c r="I308" s="303"/>
      <c r="J308" s="322">
        <f t="shared" si="62"/>
        <v>0</v>
      </c>
      <c r="K308" s="305" t="e">
        <f>IF(F308="MXN",1/HLOOKUP(YEAR(G308)+(MONTH(G308)/100),TC!$5:$37,DAY(G308)+2,FALSE),VLOOKUP(F308,Equivalencia!$5:$23,((MAX(Equivalencia!$3:$3)-YEAR(G308))*14)+MONTH(G308)+2,FALSE))</f>
        <v>#N/A</v>
      </c>
      <c r="L308" s="306" t="e">
        <f t="shared" si="65"/>
        <v>#N/A</v>
      </c>
      <c r="M308" s="305">
        <f>IF(G308=0,0,HLOOKUP(YEAR(G308)+(MONTH(G308)/100),TC!$5:$37,DAY(G308)+2,FALSE))</f>
        <v>0</v>
      </c>
      <c r="N308" s="306" t="e">
        <f t="shared" si="66"/>
        <v>#N/A</v>
      </c>
      <c r="O308" s="308">
        <f>IF(G308=0,0,VLOOKUP(YEAR(G308),INPC!$B$4:$P$30,MONTH(G308)+2))</f>
        <v>0</v>
      </c>
      <c r="P308" s="308">
        <f>IF(W308=0,0,IF(OR(C308=$AQ$5,C308=AQ312),VLOOKUP(YEAR(W308),INPC!$B$4:$P$30,MONTH(W308)+1),VLOOKUP(YEAR(W308),INPC!$B$4:$P$30,MONTH(W308)+2)))</f>
        <v>0</v>
      </c>
      <c r="Q308" s="309">
        <f t="shared" si="67"/>
        <v>0</v>
      </c>
      <c r="R308" s="310" t="e">
        <f t="shared" si="68"/>
        <v>#N/A</v>
      </c>
      <c r="S308" s="310">
        <f t="shared" si="69"/>
        <v>0</v>
      </c>
      <c r="T308" s="559" t="str">
        <f t="shared" si="70"/>
        <v>NO</v>
      </c>
      <c r="U308" s="323"/>
      <c r="V308" s="299"/>
      <c r="W308" s="300"/>
      <c r="X308" s="299"/>
      <c r="Y308" s="303"/>
      <c r="Z308" s="305">
        <f>IF(Y308=0,0,IF(X308="MXN",1/HLOOKUP(YEAR(W308)+(MONTH(W308)/100),TC!$5:$37,DAY(W308)+2,FALSE),VLOOKUP(X308,Equivalencia!$1:$23,((MAX(Equivalencia!$3:$3)-YEAR(W308))*14)+MONTH(W308)+2,FALSE)))</f>
        <v>0</v>
      </c>
      <c r="AA308" s="306">
        <f t="shared" si="71"/>
        <v>0</v>
      </c>
      <c r="AB308" s="305">
        <f>+IF(W308=0,0,HLOOKUP(YEAR(W308)+(MONTH(W308)/100),TC!$5:$37,DAY(W308)+2,FALSE))</f>
        <v>0</v>
      </c>
      <c r="AC308" s="306">
        <f t="shared" si="72"/>
        <v>0</v>
      </c>
      <c r="AD308" s="314">
        <f t="shared" si="63"/>
        <v>0</v>
      </c>
      <c r="AE308" s="315">
        <f t="shared" si="73"/>
        <v>0</v>
      </c>
      <c r="AF308" s="316">
        <f t="shared" si="64"/>
        <v>0</v>
      </c>
      <c r="AG308" s="314">
        <v>1</v>
      </c>
      <c r="AH308" s="314">
        <f t="shared" si="74"/>
        <v>0</v>
      </c>
      <c r="AI308" s="314">
        <f t="shared" si="75"/>
        <v>0</v>
      </c>
      <c r="AJ308" s="317"/>
      <c r="AK308" s="315" t="e">
        <f t="shared" si="76"/>
        <v>#N/A</v>
      </c>
      <c r="AM308" s="553"/>
      <c r="AN308" s="553"/>
      <c r="AO308" s="553"/>
    </row>
    <row r="309" spans="2:41">
      <c r="B309" s="296"/>
      <c r="C309" s="299"/>
      <c r="D309" s="296"/>
      <c r="E309" s="298"/>
      <c r="F309" s="299"/>
      <c r="G309" s="300"/>
      <c r="H309" s="303"/>
      <c r="I309" s="303"/>
      <c r="J309" s="322">
        <f t="shared" si="62"/>
        <v>0</v>
      </c>
      <c r="K309" s="305" t="e">
        <f>IF(F309="MXN",1/HLOOKUP(YEAR(G309)+(MONTH(G309)/100),TC!$5:$37,DAY(G309)+2,FALSE),VLOOKUP(F309,Equivalencia!$5:$23,((MAX(Equivalencia!$3:$3)-YEAR(G309))*14)+MONTH(G309)+2,FALSE))</f>
        <v>#N/A</v>
      </c>
      <c r="L309" s="306" t="e">
        <f t="shared" si="65"/>
        <v>#N/A</v>
      </c>
      <c r="M309" s="305">
        <f>IF(G309=0,0,HLOOKUP(YEAR(G309)+(MONTH(G309)/100),TC!$5:$37,DAY(G309)+2,FALSE))</f>
        <v>0</v>
      </c>
      <c r="N309" s="306" t="e">
        <f t="shared" si="66"/>
        <v>#N/A</v>
      </c>
      <c r="O309" s="308">
        <f>IF(G309=0,0,VLOOKUP(YEAR(G309),INPC!$B$4:$P$30,MONTH(G309)+2))</f>
        <v>0</v>
      </c>
      <c r="P309" s="308">
        <f>IF(W309=0,0,IF(OR(C309=$AQ$5,C309=AQ313),VLOOKUP(YEAR(W309),INPC!$B$4:$P$30,MONTH(W309)+1),VLOOKUP(YEAR(W309),INPC!$B$4:$P$30,MONTH(W309)+2)))</f>
        <v>0</v>
      </c>
      <c r="Q309" s="309">
        <f t="shared" si="67"/>
        <v>0</v>
      </c>
      <c r="R309" s="310" t="e">
        <f t="shared" si="68"/>
        <v>#N/A</v>
      </c>
      <c r="S309" s="310">
        <f t="shared" si="69"/>
        <v>0</v>
      </c>
      <c r="T309" s="559" t="str">
        <f t="shared" si="70"/>
        <v>NO</v>
      </c>
      <c r="U309" s="323"/>
      <c r="V309" s="299"/>
      <c r="W309" s="300"/>
      <c r="X309" s="299"/>
      <c r="Y309" s="303"/>
      <c r="Z309" s="305">
        <f>IF(Y309=0,0,IF(X309="MXN",1/HLOOKUP(YEAR(W309)+(MONTH(W309)/100),TC!$5:$37,DAY(W309)+2,FALSE),VLOOKUP(X309,Equivalencia!$1:$23,((MAX(Equivalencia!$3:$3)-YEAR(W309))*14)+MONTH(W309)+2,FALSE)))</f>
        <v>0</v>
      </c>
      <c r="AA309" s="306">
        <f t="shared" si="71"/>
        <v>0</v>
      </c>
      <c r="AB309" s="305">
        <f>+IF(W309=0,0,HLOOKUP(YEAR(W309)+(MONTH(W309)/100),TC!$5:$37,DAY(W309)+2,FALSE))</f>
        <v>0</v>
      </c>
      <c r="AC309" s="306">
        <f t="shared" si="72"/>
        <v>0</v>
      </c>
      <c r="AD309" s="314">
        <f t="shared" si="63"/>
        <v>0</v>
      </c>
      <c r="AE309" s="315">
        <f t="shared" si="73"/>
        <v>0</v>
      </c>
      <c r="AF309" s="316">
        <f t="shared" si="64"/>
        <v>0</v>
      </c>
      <c r="AG309" s="314">
        <v>1</v>
      </c>
      <c r="AH309" s="314">
        <f t="shared" si="74"/>
        <v>0</v>
      </c>
      <c r="AI309" s="314">
        <f t="shared" si="75"/>
        <v>0</v>
      </c>
      <c r="AJ309" s="317"/>
      <c r="AK309" s="315" t="e">
        <f t="shared" si="76"/>
        <v>#N/A</v>
      </c>
      <c r="AM309" s="553"/>
      <c r="AN309" s="553"/>
      <c r="AO309" s="553"/>
    </row>
    <row r="310" spans="2:41">
      <c r="B310" s="296"/>
      <c r="C310" s="299"/>
      <c r="D310" s="296"/>
      <c r="E310" s="298"/>
      <c r="F310" s="299"/>
      <c r="G310" s="300"/>
      <c r="H310" s="303"/>
      <c r="I310" s="303"/>
      <c r="J310" s="322">
        <f t="shared" si="62"/>
        <v>0</v>
      </c>
      <c r="K310" s="305" t="e">
        <f>IF(F310="MXN",1/HLOOKUP(YEAR(G310)+(MONTH(G310)/100),TC!$5:$37,DAY(G310)+2,FALSE),VLOOKUP(F310,Equivalencia!$5:$23,((MAX(Equivalencia!$3:$3)-YEAR(G310))*14)+MONTH(G310)+2,FALSE))</f>
        <v>#N/A</v>
      </c>
      <c r="L310" s="306" t="e">
        <f t="shared" si="65"/>
        <v>#N/A</v>
      </c>
      <c r="M310" s="305">
        <f>IF(G310=0,0,HLOOKUP(YEAR(G310)+(MONTH(G310)/100),TC!$5:$37,DAY(G310)+2,FALSE))</f>
        <v>0</v>
      </c>
      <c r="N310" s="306" t="e">
        <f t="shared" si="66"/>
        <v>#N/A</v>
      </c>
      <c r="O310" s="308">
        <f>IF(G310=0,0,VLOOKUP(YEAR(G310),INPC!$B$4:$P$30,MONTH(G310)+2))</f>
        <v>0</v>
      </c>
      <c r="P310" s="308">
        <f>IF(W310=0,0,IF(OR(C310=$AQ$5,C310=AQ314),VLOOKUP(YEAR(W310),INPC!$B$4:$P$30,MONTH(W310)+1),VLOOKUP(YEAR(W310),INPC!$B$4:$P$30,MONTH(W310)+2)))</f>
        <v>0</v>
      </c>
      <c r="Q310" s="309">
        <f t="shared" si="67"/>
        <v>0</v>
      </c>
      <c r="R310" s="310" t="e">
        <f t="shared" si="68"/>
        <v>#N/A</v>
      </c>
      <c r="S310" s="310">
        <f t="shared" si="69"/>
        <v>0</v>
      </c>
      <c r="T310" s="559" t="str">
        <f t="shared" si="70"/>
        <v>NO</v>
      </c>
      <c r="U310" s="323"/>
      <c r="V310" s="299"/>
      <c r="W310" s="300"/>
      <c r="X310" s="299"/>
      <c r="Y310" s="303"/>
      <c r="Z310" s="305">
        <f>IF(Y310=0,0,IF(X310="MXN",1/HLOOKUP(YEAR(W310)+(MONTH(W310)/100),TC!$5:$37,DAY(W310)+2,FALSE),VLOOKUP(X310,Equivalencia!$1:$23,((MAX(Equivalencia!$3:$3)-YEAR(W310))*14)+MONTH(W310)+2,FALSE)))</f>
        <v>0</v>
      </c>
      <c r="AA310" s="306">
        <f t="shared" si="71"/>
        <v>0</v>
      </c>
      <c r="AB310" s="305">
        <f>+IF(W310=0,0,HLOOKUP(YEAR(W310)+(MONTH(W310)/100),TC!$5:$37,DAY(W310)+2,FALSE))</f>
        <v>0</v>
      </c>
      <c r="AC310" s="306">
        <f t="shared" si="72"/>
        <v>0</v>
      </c>
      <c r="AD310" s="314">
        <f t="shared" si="63"/>
        <v>0</v>
      </c>
      <c r="AE310" s="315">
        <f t="shared" si="73"/>
        <v>0</v>
      </c>
      <c r="AF310" s="316">
        <f t="shared" si="64"/>
        <v>0</v>
      </c>
      <c r="AG310" s="314">
        <v>1</v>
      </c>
      <c r="AH310" s="314">
        <f t="shared" si="74"/>
        <v>0</v>
      </c>
      <c r="AI310" s="314">
        <f t="shared" si="75"/>
        <v>0</v>
      </c>
      <c r="AJ310" s="317"/>
      <c r="AK310" s="315" t="e">
        <f t="shared" si="76"/>
        <v>#N/A</v>
      </c>
      <c r="AM310" s="553"/>
      <c r="AN310" s="553"/>
      <c r="AO310" s="553"/>
    </row>
    <row r="311" spans="2:41">
      <c r="B311" s="296"/>
      <c r="C311" s="299"/>
      <c r="D311" s="296"/>
      <c r="E311" s="298"/>
      <c r="F311" s="299"/>
      <c r="G311" s="300"/>
      <c r="H311" s="303"/>
      <c r="I311" s="303"/>
      <c r="J311" s="322">
        <f t="shared" si="62"/>
        <v>0</v>
      </c>
      <c r="K311" s="305" t="e">
        <f>IF(F311="MXN",1/HLOOKUP(YEAR(G311)+(MONTH(G311)/100),TC!$5:$37,DAY(G311)+2,FALSE),VLOOKUP(F311,Equivalencia!$5:$23,((MAX(Equivalencia!$3:$3)-YEAR(G311))*14)+MONTH(G311)+2,FALSE))</f>
        <v>#N/A</v>
      </c>
      <c r="L311" s="306" t="e">
        <f t="shared" si="65"/>
        <v>#N/A</v>
      </c>
      <c r="M311" s="305">
        <f>IF(G311=0,0,HLOOKUP(YEAR(G311)+(MONTH(G311)/100),TC!$5:$37,DAY(G311)+2,FALSE))</f>
        <v>0</v>
      </c>
      <c r="N311" s="306" t="e">
        <f t="shared" si="66"/>
        <v>#N/A</v>
      </c>
      <c r="O311" s="308">
        <f>IF(G311=0,0,VLOOKUP(YEAR(G311),INPC!$B$4:$P$30,MONTH(G311)+2))</f>
        <v>0</v>
      </c>
      <c r="P311" s="308">
        <f>IF(W311=0,0,IF(OR(C311=$AQ$5,C311=AQ315),VLOOKUP(YEAR(W311),INPC!$B$4:$P$30,MONTH(W311)+1),VLOOKUP(YEAR(W311),INPC!$B$4:$P$30,MONTH(W311)+2)))</f>
        <v>0</v>
      </c>
      <c r="Q311" s="309">
        <f t="shared" si="67"/>
        <v>0</v>
      </c>
      <c r="R311" s="310" t="e">
        <f t="shared" si="68"/>
        <v>#N/A</v>
      </c>
      <c r="S311" s="310">
        <f t="shared" si="69"/>
        <v>0</v>
      </c>
      <c r="T311" s="559" t="str">
        <f t="shared" si="70"/>
        <v>NO</v>
      </c>
      <c r="U311" s="323"/>
      <c r="V311" s="299"/>
      <c r="W311" s="300"/>
      <c r="X311" s="299"/>
      <c r="Y311" s="303"/>
      <c r="Z311" s="305">
        <f>IF(Y311=0,0,IF(X311="MXN",1/HLOOKUP(YEAR(W311)+(MONTH(W311)/100),TC!$5:$37,DAY(W311)+2,FALSE),VLOOKUP(X311,Equivalencia!$1:$23,((MAX(Equivalencia!$3:$3)-YEAR(W311))*14)+MONTH(W311)+2,FALSE)))</f>
        <v>0</v>
      </c>
      <c r="AA311" s="306">
        <f t="shared" si="71"/>
        <v>0</v>
      </c>
      <c r="AB311" s="305">
        <f>+IF(W311=0,0,HLOOKUP(YEAR(W311)+(MONTH(W311)/100),TC!$5:$37,DAY(W311)+2,FALSE))</f>
        <v>0</v>
      </c>
      <c r="AC311" s="306">
        <f t="shared" si="72"/>
        <v>0</v>
      </c>
      <c r="AD311" s="314">
        <f t="shared" si="63"/>
        <v>0</v>
      </c>
      <c r="AE311" s="315">
        <f t="shared" si="73"/>
        <v>0</v>
      </c>
      <c r="AF311" s="316">
        <f t="shared" si="64"/>
        <v>0</v>
      </c>
      <c r="AG311" s="314">
        <v>1</v>
      </c>
      <c r="AH311" s="314">
        <f t="shared" si="74"/>
        <v>0</v>
      </c>
      <c r="AI311" s="314">
        <f t="shared" si="75"/>
        <v>0</v>
      </c>
      <c r="AJ311" s="317"/>
      <c r="AK311" s="315" t="e">
        <f t="shared" si="76"/>
        <v>#N/A</v>
      </c>
      <c r="AM311" s="553"/>
      <c r="AN311" s="553"/>
      <c r="AO311" s="553"/>
    </row>
    <row r="312" spans="2:41">
      <c r="B312" s="296"/>
      <c r="C312" s="299"/>
      <c r="D312" s="296"/>
      <c r="E312" s="298"/>
      <c r="F312" s="299"/>
      <c r="G312" s="300"/>
      <c r="H312" s="303"/>
      <c r="I312" s="303"/>
      <c r="J312" s="322">
        <f t="shared" si="62"/>
        <v>0</v>
      </c>
      <c r="K312" s="305" t="e">
        <f>IF(F312="MXN",1/HLOOKUP(YEAR(G312)+(MONTH(G312)/100),TC!$5:$37,DAY(G312)+2,FALSE),VLOOKUP(F312,Equivalencia!$5:$23,((MAX(Equivalencia!$3:$3)-YEAR(G312))*14)+MONTH(G312)+2,FALSE))</f>
        <v>#N/A</v>
      </c>
      <c r="L312" s="306" t="e">
        <f t="shared" si="65"/>
        <v>#N/A</v>
      </c>
      <c r="M312" s="305">
        <f>IF(G312=0,0,HLOOKUP(YEAR(G312)+(MONTH(G312)/100),TC!$5:$37,DAY(G312)+2,FALSE))</f>
        <v>0</v>
      </c>
      <c r="N312" s="306" t="e">
        <f t="shared" si="66"/>
        <v>#N/A</v>
      </c>
      <c r="O312" s="308">
        <f>IF(G312=0,0,VLOOKUP(YEAR(G312),INPC!$B$4:$P$30,MONTH(G312)+2))</f>
        <v>0</v>
      </c>
      <c r="P312" s="308">
        <f>IF(W312=0,0,IF(OR(C312=$AQ$5,C312=AQ316),VLOOKUP(YEAR(W312),INPC!$B$4:$P$30,MONTH(W312)+1),VLOOKUP(YEAR(W312),INPC!$B$4:$P$30,MONTH(W312)+2)))</f>
        <v>0</v>
      </c>
      <c r="Q312" s="309">
        <f t="shared" si="67"/>
        <v>0</v>
      </c>
      <c r="R312" s="310" t="e">
        <f t="shared" si="68"/>
        <v>#N/A</v>
      </c>
      <c r="S312" s="310">
        <f t="shared" si="69"/>
        <v>0</v>
      </c>
      <c r="T312" s="559" t="str">
        <f t="shared" si="70"/>
        <v>NO</v>
      </c>
      <c r="U312" s="323"/>
      <c r="V312" s="299"/>
      <c r="W312" s="300"/>
      <c r="X312" s="299"/>
      <c r="Y312" s="303"/>
      <c r="Z312" s="305">
        <f>IF(Y312=0,0,IF(X312="MXN",1/HLOOKUP(YEAR(W312)+(MONTH(W312)/100),TC!$5:$37,DAY(W312)+2,FALSE),VLOOKUP(X312,Equivalencia!$1:$23,((MAX(Equivalencia!$3:$3)-YEAR(W312))*14)+MONTH(W312)+2,FALSE)))</f>
        <v>0</v>
      </c>
      <c r="AA312" s="306">
        <f t="shared" si="71"/>
        <v>0</v>
      </c>
      <c r="AB312" s="305">
        <f>+IF(W312=0,0,HLOOKUP(YEAR(W312)+(MONTH(W312)/100),TC!$5:$37,DAY(W312)+2,FALSE))</f>
        <v>0</v>
      </c>
      <c r="AC312" s="306">
        <f t="shared" si="72"/>
        <v>0</v>
      </c>
      <c r="AD312" s="314">
        <f t="shared" si="63"/>
        <v>0</v>
      </c>
      <c r="AE312" s="315">
        <f t="shared" si="73"/>
        <v>0</v>
      </c>
      <c r="AF312" s="316">
        <f t="shared" si="64"/>
        <v>0</v>
      </c>
      <c r="AG312" s="314">
        <v>1</v>
      </c>
      <c r="AH312" s="314">
        <f t="shared" si="74"/>
        <v>0</v>
      </c>
      <c r="AI312" s="314">
        <f t="shared" si="75"/>
        <v>0</v>
      </c>
      <c r="AJ312" s="317"/>
      <c r="AK312" s="315" t="e">
        <f t="shared" si="76"/>
        <v>#N/A</v>
      </c>
      <c r="AM312" s="553"/>
      <c r="AN312" s="553"/>
      <c r="AO312" s="553"/>
    </row>
    <row r="313" spans="2:41">
      <c r="B313" s="296"/>
      <c r="C313" s="299"/>
      <c r="D313" s="296"/>
      <c r="E313" s="298"/>
      <c r="F313" s="299"/>
      <c r="G313" s="300"/>
      <c r="H313" s="303"/>
      <c r="I313" s="303"/>
      <c r="J313" s="322">
        <f t="shared" si="62"/>
        <v>0</v>
      </c>
      <c r="K313" s="305" t="e">
        <f>IF(F313="MXN",1/HLOOKUP(YEAR(G313)+(MONTH(G313)/100),TC!$5:$37,DAY(G313)+2,FALSE),VLOOKUP(F313,Equivalencia!$5:$23,((MAX(Equivalencia!$3:$3)-YEAR(G313))*14)+MONTH(G313)+2,FALSE))</f>
        <v>#N/A</v>
      </c>
      <c r="L313" s="306" t="e">
        <f t="shared" si="65"/>
        <v>#N/A</v>
      </c>
      <c r="M313" s="305">
        <f>IF(G313=0,0,HLOOKUP(YEAR(G313)+(MONTH(G313)/100),TC!$5:$37,DAY(G313)+2,FALSE))</f>
        <v>0</v>
      </c>
      <c r="N313" s="306" t="e">
        <f t="shared" si="66"/>
        <v>#N/A</v>
      </c>
      <c r="O313" s="308">
        <f>IF(G313=0,0,VLOOKUP(YEAR(G313),INPC!$B$4:$P$30,MONTH(G313)+2))</f>
        <v>0</v>
      </c>
      <c r="P313" s="308">
        <f>IF(W313=0,0,IF(OR(C313=$AQ$5,C313=AQ317),VLOOKUP(YEAR(W313),INPC!$B$4:$P$30,MONTH(W313)+1),VLOOKUP(YEAR(W313),INPC!$B$4:$P$30,MONTH(W313)+2)))</f>
        <v>0</v>
      </c>
      <c r="Q313" s="309">
        <f t="shared" si="67"/>
        <v>0</v>
      </c>
      <c r="R313" s="310" t="e">
        <f t="shared" si="68"/>
        <v>#N/A</v>
      </c>
      <c r="S313" s="310">
        <f t="shared" si="69"/>
        <v>0</v>
      </c>
      <c r="T313" s="559" t="str">
        <f t="shared" si="70"/>
        <v>NO</v>
      </c>
      <c r="U313" s="323"/>
      <c r="V313" s="299"/>
      <c r="W313" s="300"/>
      <c r="X313" s="299"/>
      <c r="Y313" s="303"/>
      <c r="Z313" s="305">
        <f>IF(Y313=0,0,IF(X313="MXN",1/HLOOKUP(YEAR(W313)+(MONTH(W313)/100),TC!$5:$37,DAY(W313)+2,FALSE),VLOOKUP(X313,Equivalencia!$1:$23,((MAX(Equivalencia!$3:$3)-YEAR(W313))*14)+MONTH(W313)+2,FALSE)))</f>
        <v>0</v>
      </c>
      <c r="AA313" s="306">
        <f t="shared" si="71"/>
        <v>0</v>
      </c>
      <c r="AB313" s="305">
        <f>+IF(W313=0,0,HLOOKUP(YEAR(W313)+(MONTH(W313)/100),TC!$5:$37,DAY(W313)+2,FALSE))</f>
        <v>0</v>
      </c>
      <c r="AC313" s="306">
        <f t="shared" si="72"/>
        <v>0</v>
      </c>
      <c r="AD313" s="314">
        <f t="shared" si="63"/>
        <v>0</v>
      </c>
      <c r="AE313" s="315">
        <f t="shared" si="73"/>
        <v>0</v>
      </c>
      <c r="AF313" s="316">
        <f t="shared" si="64"/>
        <v>0</v>
      </c>
      <c r="AG313" s="314">
        <v>1</v>
      </c>
      <c r="AH313" s="314">
        <f t="shared" si="74"/>
        <v>0</v>
      </c>
      <c r="AI313" s="314">
        <f t="shared" si="75"/>
        <v>0</v>
      </c>
      <c r="AJ313" s="317"/>
      <c r="AK313" s="315" t="e">
        <f t="shared" si="76"/>
        <v>#N/A</v>
      </c>
      <c r="AM313" s="553"/>
      <c r="AN313" s="553"/>
      <c r="AO313" s="553"/>
    </row>
    <row r="314" spans="2:41">
      <c r="B314" s="296"/>
      <c r="C314" s="299"/>
      <c r="D314" s="296"/>
      <c r="E314" s="298"/>
      <c r="F314" s="299"/>
      <c r="G314" s="300"/>
      <c r="H314" s="303"/>
      <c r="I314" s="303"/>
      <c r="J314" s="322">
        <f t="shared" si="62"/>
        <v>0</v>
      </c>
      <c r="K314" s="305" t="e">
        <f>IF(F314="MXN",1/HLOOKUP(YEAR(G314)+(MONTH(G314)/100),TC!$5:$37,DAY(G314)+2,FALSE),VLOOKUP(F314,Equivalencia!$5:$23,((MAX(Equivalencia!$3:$3)-YEAR(G314))*14)+MONTH(G314)+2,FALSE))</f>
        <v>#N/A</v>
      </c>
      <c r="L314" s="306" t="e">
        <f t="shared" si="65"/>
        <v>#N/A</v>
      </c>
      <c r="M314" s="305">
        <f>IF(G314=0,0,HLOOKUP(YEAR(G314)+(MONTH(G314)/100),TC!$5:$37,DAY(G314)+2,FALSE))</f>
        <v>0</v>
      </c>
      <c r="N314" s="306" t="e">
        <f t="shared" si="66"/>
        <v>#N/A</v>
      </c>
      <c r="O314" s="308">
        <f>IF(G314=0,0,VLOOKUP(YEAR(G314),INPC!$B$4:$P$30,MONTH(G314)+2))</f>
        <v>0</v>
      </c>
      <c r="P314" s="308">
        <f>IF(W314=0,0,IF(OR(C314=$AQ$5,C314=AQ318),VLOOKUP(YEAR(W314),INPC!$B$4:$P$30,MONTH(W314)+1),VLOOKUP(YEAR(W314),INPC!$B$4:$P$30,MONTH(W314)+2)))</f>
        <v>0</v>
      </c>
      <c r="Q314" s="309">
        <f t="shared" si="67"/>
        <v>0</v>
      </c>
      <c r="R314" s="310" t="e">
        <f t="shared" si="68"/>
        <v>#N/A</v>
      </c>
      <c r="S314" s="310">
        <f t="shared" si="69"/>
        <v>0</v>
      </c>
      <c r="T314" s="559" t="str">
        <f t="shared" si="70"/>
        <v>NO</v>
      </c>
      <c r="U314" s="323"/>
      <c r="V314" s="299"/>
      <c r="W314" s="300"/>
      <c r="X314" s="299"/>
      <c r="Y314" s="303"/>
      <c r="Z314" s="305">
        <f>IF(Y314=0,0,IF(X314="MXN",1/HLOOKUP(YEAR(W314)+(MONTH(W314)/100),TC!$5:$37,DAY(W314)+2,FALSE),VLOOKUP(X314,Equivalencia!$1:$23,((MAX(Equivalencia!$3:$3)-YEAR(W314))*14)+MONTH(W314)+2,FALSE)))</f>
        <v>0</v>
      </c>
      <c r="AA314" s="306">
        <f t="shared" si="71"/>
        <v>0</v>
      </c>
      <c r="AB314" s="305">
        <f>+IF(W314=0,0,HLOOKUP(YEAR(W314)+(MONTH(W314)/100),TC!$5:$37,DAY(W314)+2,FALSE))</f>
        <v>0</v>
      </c>
      <c r="AC314" s="306">
        <f t="shared" si="72"/>
        <v>0</v>
      </c>
      <c r="AD314" s="314">
        <f t="shared" si="63"/>
        <v>0</v>
      </c>
      <c r="AE314" s="315">
        <f t="shared" si="73"/>
        <v>0</v>
      </c>
      <c r="AF314" s="316">
        <f t="shared" si="64"/>
        <v>0</v>
      </c>
      <c r="AG314" s="314">
        <v>1</v>
      </c>
      <c r="AH314" s="314">
        <f t="shared" si="74"/>
        <v>0</v>
      </c>
      <c r="AI314" s="314">
        <f t="shared" si="75"/>
        <v>0</v>
      </c>
      <c r="AJ314" s="317"/>
      <c r="AK314" s="315" t="e">
        <f t="shared" si="76"/>
        <v>#N/A</v>
      </c>
      <c r="AM314" s="553"/>
      <c r="AN314" s="553"/>
      <c r="AO314" s="553"/>
    </row>
    <row r="315" spans="2:41">
      <c r="B315" s="296"/>
      <c r="C315" s="299"/>
      <c r="D315" s="296"/>
      <c r="E315" s="298"/>
      <c r="F315" s="299"/>
      <c r="G315" s="300"/>
      <c r="H315" s="303"/>
      <c r="I315" s="303"/>
      <c r="J315" s="322">
        <f t="shared" si="62"/>
        <v>0</v>
      </c>
      <c r="K315" s="305" t="e">
        <f>IF(F315="MXN",1/HLOOKUP(YEAR(G315)+(MONTH(G315)/100),TC!$5:$37,DAY(G315)+2,FALSE),VLOOKUP(F315,Equivalencia!$5:$23,((MAX(Equivalencia!$3:$3)-YEAR(G315))*14)+MONTH(G315)+2,FALSE))</f>
        <v>#N/A</v>
      </c>
      <c r="L315" s="306" t="e">
        <f t="shared" si="65"/>
        <v>#N/A</v>
      </c>
      <c r="M315" s="305">
        <f>IF(G315=0,0,HLOOKUP(YEAR(G315)+(MONTH(G315)/100),TC!$5:$37,DAY(G315)+2,FALSE))</f>
        <v>0</v>
      </c>
      <c r="N315" s="306" t="e">
        <f t="shared" si="66"/>
        <v>#N/A</v>
      </c>
      <c r="O315" s="308">
        <f>IF(G315=0,0,VLOOKUP(YEAR(G315),INPC!$B$4:$P$30,MONTH(G315)+2))</f>
        <v>0</v>
      </c>
      <c r="P315" s="308">
        <f>IF(W315=0,0,IF(OR(C315=$AQ$5,C315=AQ319),VLOOKUP(YEAR(W315),INPC!$B$4:$P$30,MONTH(W315)+1),VLOOKUP(YEAR(W315),INPC!$B$4:$P$30,MONTH(W315)+2)))</f>
        <v>0</v>
      </c>
      <c r="Q315" s="309">
        <f t="shared" si="67"/>
        <v>0</v>
      </c>
      <c r="R315" s="310" t="e">
        <f t="shared" si="68"/>
        <v>#N/A</v>
      </c>
      <c r="S315" s="310">
        <f t="shared" si="69"/>
        <v>0</v>
      </c>
      <c r="T315" s="559" t="str">
        <f t="shared" si="70"/>
        <v>NO</v>
      </c>
      <c r="U315" s="323"/>
      <c r="V315" s="299"/>
      <c r="W315" s="300"/>
      <c r="X315" s="299"/>
      <c r="Y315" s="303"/>
      <c r="Z315" s="305">
        <f>IF(Y315=0,0,IF(X315="MXN",1/HLOOKUP(YEAR(W315)+(MONTH(W315)/100),TC!$5:$37,DAY(W315)+2,FALSE),VLOOKUP(X315,Equivalencia!$1:$23,((MAX(Equivalencia!$3:$3)-YEAR(W315))*14)+MONTH(W315)+2,FALSE)))</f>
        <v>0</v>
      </c>
      <c r="AA315" s="306">
        <f t="shared" si="71"/>
        <v>0</v>
      </c>
      <c r="AB315" s="305">
        <f>+IF(W315=0,0,HLOOKUP(YEAR(W315)+(MONTH(W315)/100),TC!$5:$37,DAY(W315)+2,FALSE))</f>
        <v>0</v>
      </c>
      <c r="AC315" s="306">
        <f t="shared" si="72"/>
        <v>0</v>
      </c>
      <c r="AD315" s="314">
        <f t="shared" si="63"/>
        <v>0</v>
      </c>
      <c r="AE315" s="315">
        <f t="shared" si="73"/>
        <v>0</v>
      </c>
      <c r="AF315" s="316">
        <f t="shared" si="64"/>
        <v>0</v>
      </c>
      <c r="AG315" s="314">
        <v>1</v>
      </c>
      <c r="AH315" s="314">
        <f t="shared" si="74"/>
        <v>0</v>
      </c>
      <c r="AI315" s="314">
        <f t="shared" si="75"/>
        <v>0</v>
      </c>
      <c r="AJ315" s="317"/>
      <c r="AK315" s="315" t="e">
        <f t="shared" si="76"/>
        <v>#N/A</v>
      </c>
      <c r="AM315" s="553"/>
      <c r="AN315" s="553"/>
      <c r="AO315" s="553"/>
    </row>
    <row r="316" spans="2:41">
      <c r="B316" s="296"/>
      <c r="C316" s="299"/>
      <c r="D316" s="296"/>
      <c r="E316" s="298"/>
      <c r="F316" s="299"/>
      <c r="G316" s="300"/>
      <c r="H316" s="303"/>
      <c r="I316" s="303"/>
      <c r="J316" s="322">
        <f t="shared" si="62"/>
        <v>0</v>
      </c>
      <c r="K316" s="305" t="e">
        <f>IF(F316="MXN",1/HLOOKUP(YEAR(G316)+(MONTH(G316)/100),TC!$5:$37,DAY(G316)+2,FALSE),VLOOKUP(F316,Equivalencia!$5:$23,((MAX(Equivalencia!$3:$3)-YEAR(G316))*14)+MONTH(G316)+2,FALSE))</f>
        <v>#N/A</v>
      </c>
      <c r="L316" s="306" t="e">
        <f t="shared" si="65"/>
        <v>#N/A</v>
      </c>
      <c r="M316" s="305">
        <f>IF(G316=0,0,HLOOKUP(YEAR(G316)+(MONTH(G316)/100),TC!$5:$37,DAY(G316)+2,FALSE))</f>
        <v>0</v>
      </c>
      <c r="N316" s="306" t="e">
        <f t="shared" si="66"/>
        <v>#N/A</v>
      </c>
      <c r="O316" s="308">
        <f>IF(G316=0,0,VLOOKUP(YEAR(G316),INPC!$B$4:$P$30,MONTH(G316)+2))</f>
        <v>0</v>
      </c>
      <c r="P316" s="308">
        <f>IF(W316=0,0,IF(OR(C316=$AQ$5,C316=AQ320),VLOOKUP(YEAR(W316),INPC!$B$4:$P$30,MONTH(W316)+1),VLOOKUP(YEAR(W316),INPC!$B$4:$P$30,MONTH(W316)+2)))</f>
        <v>0</v>
      </c>
      <c r="Q316" s="309">
        <f t="shared" si="67"/>
        <v>0</v>
      </c>
      <c r="R316" s="310" t="e">
        <f t="shared" si="68"/>
        <v>#N/A</v>
      </c>
      <c r="S316" s="310">
        <f t="shared" si="69"/>
        <v>0</v>
      </c>
      <c r="T316" s="559" t="str">
        <f t="shared" si="70"/>
        <v>NO</v>
      </c>
      <c r="U316" s="323"/>
      <c r="V316" s="299"/>
      <c r="W316" s="300"/>
      <c r="X316" s="299"/>
      <c r="Y316" s="303"/>
      <c r="Z316" s="305">
        <f>IF(Y316=0,0,IF(X316="MXN",1/HLOOKUP(YEAR(W316)+(MONTH(W316)/100),TC!$5:$37,DAY(W316)+2,FALSE),VLOOKUP(X316,Equivalencia!$1:$23,((MAX(Equivalencia!$3:$3)-YEAR(W316))*14)+MONTH(W316)+2,FALSE)))</f>
        <v>0</v>
      </c>
      <c r="AA316" s="306">
        <f t="shared" si="71"/>
        <v>0</v>
      </c>
      <c r="AB316" s="305">
        <f>+IF(W316=0,0,HLOOKUP(YEAR(W316)+(MONTH(W316)/100),TC!$5:$37,DAY(W316)+2,FALSE))</f>
        <v>0</v>
      </c>
      <c r="AC316" s="306">
        <f t="shared" si="72"/>
        <v>0</v>
      </c>
      <c r="AD316" s="314">
        <f t="shared" si="63"/>
        <v>0</v>
      </c>
      <c r="AE316" s="315">
        <f t="shared" si="73"/>
        <v>0</v>
      </c>
      <c r="AF316" s="316">
        <f t="shared" si="64"/>
        <v>0</v>
      </c>
      <c r="AG316" s="314">
        <v>1</v>
      </c>
      <c r="AH316" s="314">
        <f t="shared" si="74"/>
        <v>0</v>
      </c>
      <c r="AI316" s="314">
        <f t="shared" si="75"/>
        <v>0</v>
      </c>
      <c r="AJ316" s="317"/>
      <c r="AK316" s="315" t="e">
        <f t="shared" si="76"/>
        <v>#N/A</v>
      </c>
      <c r="AM316" s="553"/>
      <c r="AN316" s="553"/>
      <c r="AO316" s="553"/>
    </row>
    <row r="317" spans="2:41">
      <c r="B317" s="296"/>
      <c r="C317" s="299"/>
      <c r="D317" s="296"/>
      <c r="E317" s="298"/>
      <c r="F317" s="299"/>
      <c r="G317" s="300"/>
      <c r="H317" s="303"/>
      <c r="I317" s="303"/>
      <c r="J317" s="322">
        <f t="shared" si="62"/>
        <v>0</v>
      </c>
      <c r="K317" s="305" t="e">
        <f>IF(F317="MXN",1/HLOOKUP(YEAR(G317)+(MONTH(G317)/100),TC!$5:$37,DAY(G317)+2,FALSE),VLOOKUP(F317,Equivalencia!$5:$23,((MAX(Equivalencia!$3:$3)-YEAR(G317))*14)+MONTH(G317)+2,FALSE))</f>
        <v>#N/A</v>
      </c>
      <c r="L317" s="306" t="e">
        <f t="shared" si="65"/>
        <v>#N/A</v>
      </c>
      <c r="M317" s="305">
        <f>IF(G317=0,0,HLOOKUP(YEAR(G317)+(MONTH(G317)/100),TC!$5:$37,DAY(G317)+2,FALSE))</f>
        <v>0</v>
      </c>
      <c r="N317" s="306" t="e">
        <f t="shared" si="66"/>
        <v>#N/A</v>
      </c>
      <c r="O317" s="308">
        <f>IF(G317=0,0,VLOOKUP(YEAR(G317),INPC!$B$4:$P$30,MONTH(G317)+2))</f>
        <v>0</v>
      </c>
      <c r="P317" s="308">
        <f>IF(W317=0,0,IF(OR(C317=$AQ$5,C317=AQ321),VLOOKUP(YEAR(W317),INPC!$B$4:$P$30,MONTH(W317)+1),VLOOKUP(YEAR(W317),INPC!$B$4:$P$30,MONTH(W317)+2)))</f>
        <v>0</v>
      </c>
      <c r="Q317" s="309">
        <f t="shared" si="67"/>
        <v>0</v>
      </c>
      <c r="R317" s="310" t="e">
        <f t="shared" si="68"/>
        <v>#N/A</v>
      </c>
      <c r="S317" s="310">
        <f t="shared" si="69"/>
        <v>0</v>
      </c>
      <c r="T317" s="559" t="str">
        <f t="shared" si="70"/>
        <v>NO</v>
      </c>
      <c r="U317" s="323"/>
      <c r="V317" s="299"/>
      <c r="W317" s="300"/>
      <c r="X317" s="299"/>
      <c r="Y317" s="303"/>
      <c r="Z317" s="305">
        <f>IF(Y317=0,0,IF(X317="MXN",1/HLOOKUP(YEAR(W317)+(MONTH(W317)/100),TC!$5:$37,DAY(W317)+2,FALSE),VLOOKUP(X317,Equivalencia!$1:$23,((MAX(Equivalencia!$3:$3)-YEAR(W317))*14)+MONTH(W317)+2,FALSE)))</f>
        <v>0</v>
      </c>
      <c r="AA317" s="306">
        <f t="shared" si="71"/>
        <v>0</v>
      </c>
      <c r="AB317" s="305">
        <f>+IF(W317=0,0,HLOOKUP(YEAR(W317)+(MONTH(W317)/100),TC!$5:$37,DAY(W317)+2,FALSE))</f>
        <v>0</v>
      </c>
      <c r="AC317" s="306">
        <f t="shared" si="72"/>
        <v>0</v>
      </c>
      <c r="AD317" s="314">
        <f t="shared" si="63"/>
        <v>0</v>
      </c>
      <c r="AE317" s="315">
        <f t="shared" si="73"/>
        <v>0</v>
      </c>
      <c r="AF317" s="316">
        <f t="shared" si="64"/>
        <v>0</v>
      </c>
      <c r="AG317" s="314">
        <v>1</v>
      </c>
      <c r="AH317" s="314">
        <f t="shared" si="74"/>
        <v>0</v>
      </c>
      <c r="AI317" s="314">
        <f t="shared" si="75"/>
        <v>0</v>
      </c>
      <c r="AJ317" s="317"/>
      <c r="AK317" s="315" t="e">
        <f t="shared" si="76"/>
        <v>#N/A</v>
      </c>
      <c r="AM317" s="553"/>
      <c r="AN317" s="553"/>
      <c r="AO317" s="553"/>
    </row>
    <row r="318" spans="2:41">
      <c r="B318" s="296"/>
      <c r="C318" s="299"/>
      <c r="D318" s="296"/>
      <c r="E318" s="298"/>
      <c r="F318" s="299"/>
      <c r="G318" s="300"/>
      <c r="H318" s="303"/>
      <c r="I318" s="303"/>
      <c r="J318" s="322">
        <f t="shared" si="62"/>
        <v>0</v>
      </c>
      <c r="K318" s="305" t="e">
        <f>IF(F318="MXN",1/HLOOKUP(YEAR(G318)+(MONTH(G318)/100),TC!$5:$37,DAY(G318)+2,FALSE),VLOOKUP(F318,Equivalencia!$5:$23,((MAX(Equivalencia!$3:$3)-YEAR(G318))*14)+MONTH(G318)+2,FALSE))</f>
        <v>#N/A</v>
      </c>
      <c r="L318" s="306" t="e">
        <f t="shared" si="65"/>
        <v>#N/A</v>
      </c>
      <c r="M318" s="305">
        <f>IF(G318=0,0,HLOOKUP(YEAR(G318)+(MONTH(G318)/100),TC!$5:$37,DAY(G318)+2,FALSE))</f>
        <v>0</v>
      </c>
      <c r="N318" s="306" t="e">
        <f t="shared" si="66"/>
        <v>#N/A</v>
      </c>
      <c r="O318" s="308">
        <f>IF(G318=0,0,VLOOKUP(YEAR(G318),INPC!$B$4:$P$30,MONTH(G318)+2))</f>
        <v>0</v>
      </c>
      <c r="P318" s="308">
        <f>IF(W318=0,0,IF(OR(C318=$AQ$5,C318=AQ322),VLOOKUP(YEAR(W318),INPC!$B$4:$P$30,MONTH(W318)+1),VLOOKUP(YEAR(W318),INPC!$B$4:$P$30,MONTH(W318)+2)))</f>
        <v>0</v>
      </c>
      <c r="Q318" s="309">
        <f t="shared" si="67"/>
        <v>0</v>
      </c>
      <c r="R318" s="310" t="e">
        <f t="shared" si="68"/>
        <v>#N/A</v>
      </c>
      <c r="S318" s="310">
        <f t="shared" si="69"/>
        <v>0</v>
      </c>
      <c r="T318" s="559" t="str">
        <f t="shared" si="70"/>
        <v>NO</v>
      </c>
      <c r="U318" s="323"/>
      <c r="V318" s="299"/>
      <c r="W318" s="300"/>
      <c r="X318" s="299"/>
      <c r="Y318" s="303"/>
      <c r="Z318" s="305">
        <f>IF(Y318=0,0,IF(X318="MXN",1/HLOOKUP(YEAR(W318)+(MONTH(W318)/100),TC!$5:$37,DAY(W318)+2,FALSE),VLOOKUP(X318,Equivalencia!$1:$23,((MAX(Equivalencia!$3:$3)-YEAR(W318))*14)+MONTH(W318)+2,FALSE)))</f>
        <v>0</v>
      </c>
      <c r="AA318" s="306">
        <f t="shared" si="71"/>
        <v>0</v>
      </c>
      <c r="AB318" s="305">
        <f>+IF(W318=0,0,HLOOKUP(YEAR(W318)+(MONTH(W318)/100),TC!$5:$37,DAY(W318)+2,FALSE))</f>
        <v>0</v>
      </c>
      <c r="AC318" s="306">
        <f t="shared" si="72"/>
        <v>0</v>
      </c>
      <c r="AD318" s="314">
        <f t="shared" si="63"/>
        <v>0</v>
      </c>
      <c r="AE318" s="315">
        <f t="shared" si="73"/>
        <v>0</v>
      </c>
      <c r="AF318" s="316">
        <f t="shared" si="64"/>
        <v>0</v>
      </c>
      <c r="AG318" s="314">
        <v>1</v>
      </c>
      <c r="AH318" s="314">
        <f t="shared" si="74"/>
        <v>0</v>
      </c>
      <c r="AI318" s="314">
        <f t="shared" si="75"/>
        <v>0</v>
      </c>
      <c r="AJ318" s="317"/>
      <c r="AK318" s="315" t="e">
        <f t="shared" si="76"/>
        <v>#N/A</v>
      </c>
      <c r="AM318" s="553"/>
      <c r="AN318" s="553"/>
      <c r="AO318" s="553"/>
    </row>
    <row r="319" spans="2:41">
      <c r="B319" s="296"/>
      <c r="C319" s="299"/>
      <c r="D319" s="296"/>
      <c r="E319" s="298"/>
      <c r="F319" s="299"/>
      <c r="G319" s="300"/>
      <c r="H319" s="303"/>
      <c r="I319" s="303"/>
      <c r="J319" s="322">
        <f t="shared" si="62"/>
        <v>0</v>
      </c>
      <c r="K319" s="305" t="e">
        <f>IF(F319="MXN",1/HLOOKUP(YEAR(G319)+(MONTH(G319)/100),TC!$5:$37,DAY(G319)+2,FALSE),VLOOKUP(F319,Equivalencia!$5:$23,((MAX(Equivalencia!$3:$3)-YEAR(G319))*14)+MONTH(G319)+2,FALSE))</f>
        <v>#N/A</v>
      </c>
      <c r="L319" s="306" t="e">
        <f t="shared" si="65"/>
        <v>#N/A</v>
      </c>
      <c r="M319" s="305">
        <f>IF(G319=0,0,HLOOKUP(YEAR(G319)+(MONTH(G319)/100),TC!$5:$37,DAY(G319)+2,FALSE))</f>
        <v>0</v>
      </c>
      <c r="N319" s="306" t="e">
        <f t="shared" si="66"/>
        <v>#N/A</v>
      </c>
      <c r="O319" s="308">
        <f>IF(G319=0,0,VLOOKUP(YEAR(G319),INPC!$B$4:$P$30,MONTH(G319)+2))</f>
        <v>0</v>
      </c>
      <c r="P319" s="308">
        <f>IF(W319=0,0,IF(OR(C319=$AQ$5,C319=AQ323),VLOOKUP(YEAR(W319),INPC!$B$4:$P$30,MONTH(W319)+1),VLOOKUP(YEAR(W319),INPC!$B$4:$P$30,MONTH(W319)+2)))</f>
        <v>0</v>
      </c>
      <c r="Q319" s="309">
        <f t="shared" si="67"/>
        <v>0</v>
      </c>
      <c r="R319" s="310" t="e">
        <f t="shared" si="68"/>
        <v>#N/A</v>
      </c>
      <c r="S319" s="310">
        <f t="shared" si="69"/>
        <v>0</v>
      </c>
      <c r="T319" s="559" t="str">
        <f t="shared" si="70"/>
        <v>NO</v>
      </c>
      <c r="U319" s="323"/>
      <c r="V319" s="299"/>
      <c r="W319" s="300"/>
      <c r="X319" s="299"/>
      <c r="Y319" s="303"/>
      <c r="Z319" s="305">
        <f>IF(Y319=0,0,IF(X319="MXN",1/HLOOKUP(YEAR(W319)+(MONTH(W319)/100),TC!$5:$37,DAY(W319)+2,FALSE),VLOOKUP(X319,Equivalencia!$1:$23,((MAX(Equivalencia!$3:$3)-YEAR(W319))*14)+MONTH(W319)+2,FALSE)))</f>
        <v>0</v>
      </c>
      <c r="AA319" s="306">
        <f t="shared" si="71"/>
        <v>0</v>
      </c>
      <c r="AB319" s="305">
        <f>+IF(W319=0,0,HLOOKUP(YEAR(W319)+(MONTH(W319)/100),TC!$5:$37,DAY(W319)+2,FALSE))</f>
        <v>0</v>
      </c>
      <c r="AC319" s="306">
        <f t="shared" si="72"/>
        <v>0</v>
      </c>
      <c r="AD319" s="314">
        <f t="shared" si="63"/>
        <v>0</v>
      </c>
      <c r="AE319" s="315">
        <f t="shared" si="73"/>
        <v>0</v>
      </c>
      <c r="AF319" s="316">
        <f t="shared" si="64"/>
        <v>0</v>
      </c>
      <c r="AG319" s="314">
        <v>1</v>
      </c>
      <c r="AH319" s="314">
        <f t="shared" si="74"/>
        <v>0</v>
      </c>
      <c r="AI319" s="314">
        <f t="shared" si="75"/>
        <v>0</v>
      </c>
      <c r="AJ319" s="317"/>
      <c r="AK319" s="315" t="e">
        <f t="shared" si="76"/>
        <v>#N/A</v>
      </c>
      <c r="AM319" s="553"/>
      <c r="AN319" s="553"/>
      <c r="AO319" s="553"/>
    </row>
    <row r="320" spans="2:41">
      <c r="B320" s="296"/>
      <c r="C320" s="299"/>
      <c r="D320" s="296"/>
      <c r="E320" s="298"/>
      <c r="F320" s="299"/>
      <c r="G320" s="300"/>
      <c r="H320" s="303"/>
      <c r="I320" s="303"/>
      <c r="J320" s="322">
        <f t="shared" si="62"/>
        <v>0</v>
      </c>
      <c r="K320" s="305" t="e">
        <f>IF(F320="MXN",1/HLOOKUP(YEAR(G320)+(MONTH(G320)/100),TC!$5:$37,DAY(G320)+2,FALSE),VLOOKUP(F320,Equivalencia!$5:$23,((MAX(Equivalencia!$3:$3)-YEAR(G320))*14)+MONTH(G320)+2,FALSE))</f>
        <v>#N/A</v>
      </c>
      <c r="L320" s="306" t="e">
        <f t="shared" si="65"/>
        <v>#N/A</v>
      </c>
      <c r="M320" s="305">
        <f>IF(G320=0,0,HLOOKUP(YEAR(G320)+(MONTH(G320)/100),TC!$5:$37,DAY(G320)+2,FALSE))</f>
        <v>0</v>
      </c>
      <c r="N320" s="306" t="e">
        <f t="shared" si="66"/>
        <v>#N/A</v>
      </c>
      <c r="O320" s="308">
        <f>IF(G320=0,0,VLOOKUP(YEAR(G320),INPC!$B$4:$P$30,MONTH(G320)+2))</f>
        <v>0</v>
      </c>
      <c r="P320" s="308">
        <f>IF(W320=0,0,IF(OR(C320=$AQ$5,C320=AQ324),VLOOKUP(YEAR(W320),INPC!$B$4:$P$30,MONTH(W320)+1),VLOOKUP(YEAR(W320),INPC!$B$4:$P$30,MONTH(W320)+2)))</f>
        <v>0</v>
      </c>
      <c r="Q320" s="309">
        <f t="shared" si="67"/>
        <v>0</v>
      </c>
      <c r="R320" s="310" t="e">
        <f t="shared" si="68"/>
        <v>#N/A</v>
      </c>
      <c r="S320" s="310">
        <f t="shared" si="69"/>
        <v>0</v>
      </c>
      <c r="T320" s="559" t="str">
        <f t="shared" si="70"/>
        <v>NO</v>
      </c>
      <c r="U320" s="323"/>
      <c r="V320" s="299"/>
      <c r="W320" s="300"/>
      <c r="X320" s="299"/>
      <c r="Y320" s="303"/>
      <c r="Z320" s="305">
        <f>IF(Y320=0,0,IF(X320="MXN",1/HLOOKUP(YEAR(W320)+(MONTH(W320)/100),TC!$5:$37,DAY(W320)+2,FALSE),VLOOKUP(X320,Equivalencia!$1:$23,((MAX(Equivalencia!$3:$3)-YEAR(W320))*14)+MONTH(W320)+2,FALSE)))</f>
        <v>0</v>
      </c>
      <c r="AA320" s="306">
        <f t="shared" si="71"/>
        <v>0</v>
      </c>
      <c r="AB320" s="305">
        <f>+IF(W320=0,0,HLOOKUP(YEAR(W320)+(MONTH(W320)/100),TC!$5:$37,DAY(W320)+2,FALSE))</f>
        <v>0</v>
      </c>
      <c r="AC320" s="306">
        <f t="shared" si="72"/>
        <v>0</v>
      </c>
      <c r="AD320" s="314">
        <f t="shared" si="63"/>
        <v>0</v>
      </c>
      <c r="AE320" s="315">
        <f t="shared" si="73"/>
        <v>0</v>
      </c>
      <c r="AF320" s="316">
        <f t="shared" si="64"/>
        <v>0</v>
      </c>
      <c r="AG320" s="314">
        <v>1</v>
      </c>
      <c r="AH320" s="314">
        <f t="shared" si="74"/>
        <v>0</v>
      </c>
      <c r="AI320" s="314">
        <f t="shared" si="75"/>
        <v>0</v>
      </c>
      <c r="AJ320" s="317"/>
      <c r="AK320" s="315" t="e">
        <f t="shared" si="76"/>
        <v>#N/A</v>
      </c>
      <c r="AM320" s="553"/>
      <c r="AN320" s="553"/>
      <c r="AO320" s="553"/>
    </row>
    <row r="321" spans="2:41">
      <c r="B321" s="296"/>
      <c r="C321" s="299"/>
      <c r="D321" s="296"/>
      <c r="E321" s="298"/>
      <c r="F321" s="299"/>
      <c r="G321" s="300"/>
      <c r="H321" s="303"/>
      <c r="I321" s="303"/>
      <c r="J321" s="322">
        <f t="shared" si="62"/>
        <v>0</v>
      </c>
      <c r="K321" s="305" t="e">
        <f>IF(F321="MXN",1/HLOOKUP(YEAR(G321)+(MONTH(G321)/100),TC!$5:$37,DAY(G321)+2,FALSE),VLOOKUP(F321,Equivalencia!$5:$23,((MAX(Equivalencia!$3:$3)-YEAR(G321))*14)+MONTH(G321)+2,FALSE))</f>
        <v>#N/A</v>
      </c>
      <c r="L321" s="306" t="e">
        <f t="shared" si="65"/>
        <v>#N/A</v>
      </c>
      <c r="M321" s="305">
        <f>IF(G321=0,0,HLOOKUP(YEAR(G321)+(MONTH(G321)/100),TC!$5:$37,DAY(G321)+2,FALSE))</f>
        <v>0</v>
      </c>
      <c r="N321" s="306" t="e">
        <f t="shared" si="66"/>
        <v>#N/A</v>
      </c>
      <c r="O321" s="308">
        <f>IF(G321=0,0,VLOOKUP(YEAR(G321),INPC!$B$4:$P$30,MONTH(G321)+2))</f>
        <v>0</v>
      </c>
      <c r="P321" s="308">
        <f>IF(W321=0,0,IF(OR(C321=$AQ$5,C321=AQ325),VLOOKUP(YEAR(W321),INPC!$B$4:$P$30,MONTH(W321)+1),VLOOKUP(YEAR(W321),INPC!$B$4:$P$30,MONTH(W321)+2)))</f>
        <v>0</v>
      </c>
      <c r="Q321" s="309">
        <f t="shared" si="67"/>
        <v>0</v>
      </c>
      <c r="R321" s="310" t="e">
        <f t="shared" si="68"/>
        <v>#N/A</v>
      </c>
      <c r="S321" s="310">
        <f t="shared" si="69"/>
        <v>0</v>
      </c>
      <c r="T321" s="559" t="str">
        <f t="shared" si="70"/>
        <v>NO</v>
      </c>
      <c r="U321" s="323"/>
      <c r="V321" s="299"/>
      <c r="W321" s="300"/>
      <c r="X321" s="299"/>
      <c r="Y321" s="303"/>
      <c r="Z321" s="305">
        <f>IF(Y321=0,0,IF(X321="MXN",1/HLOOKUP(YEAR(W321)+(MONTH(W321)/100),TC!$5:$37,DAY(W321)+2,FALSE),VLOOKUP(X321,Equivalencia!$1:$23,((MAX(Equivalencia!$3:$3)-YEAR(W321))*14)+MONTH(W321)+2,FALSE)))</f>
        <v>0</v>
      </c>
      <c r="AA321" s="306">
        <f t="shared" si="71"/>
        <v>0</v>
      </c>
      <c r="AB321" s="305">
        <f>+IF(W321=0,0,HLOOKUP(YEAR(W321)+(MONTH(W321)/100),TC!$5:$37,DAY(W321)+2,FALSE))</f>
        <v>0</v>
      </c>
      <c r="AC321" s="306">
        <f t="shared" si="72"/>
        <v>0</v>
      </c>
      <c r="AD321" s="314">
        <f t="shared" si="63"/>
        <v>0</v>
      </c>
      <c r="AE321" s="315">
        <f t="shared" si="73"/>
        <v>0</v>
      </c>
      <c r="AF321" s="316">
        <f t="shared" si="64"/>
        <v>0</v>
      </c>
      <c r="AG321" s="314">
        <v>1</v>
      </c>
      <c r="AH321" s="314">
        <f t="shared" si="74"/>
        <v>0</v>
      </c>
      <c r="AI321" s="314">
        <f t="shared" si="75"/>
        <v>0</v>
      </c>
      <c r="AJ321" s="317"/>
      <c r="AK321" s="315" t="e">
        <f t="shared" si="76"/>
        <v>#N/A</v>
      </c>
      <c r="AM321" s="553"/>
      <c r="AN321" s="553"/>
      <c r="AO321" s="553"/>
    </row>
    <row r="322" spans="2:41">
      <c r="B322" s="296"/>
      <c r="C322" s="299"/>
      <c r="D322" s="296"/>
      <c r="E322" s="298"/>
      <c r="F322" s="299"/>
      <c r="G322" s="300"/>
      <c r="H322" s="303"/>
      <c r="I322" s="303"/>
      <c r="J322" s="322">
        <f t="shared" ref="J322:J385" si="77">IF(E322=0,0,IF(OR(C322=$AQ$5,C322=$AQ$6),"Derivados Cap IV, Sec II - SIC &amp; BMV","Derivados Cap IX - No SIC"))</f>
        <v>0</v>
      </c>
      <c r="K322" s="305" t="e">
        <f>IF(F322="MXN",1/HLOOKUP(YEAR(G322)+(MONTH(G322)/100),TC!$5:$37,DAY(G322)+2,FALSE),VLOOKUP(F322,Equivalencia!$5:$23,((MAX(Equivalencia!$3:$3)-YEAR(G322))*14)+MONTH(G322)+2,FALSE))</f>
        <v>#N/A</v>
      </c>
      <c r="L322" s="306" t="e">
        <f t="shared" si="65"/>
        <v>#N/A</v>
      </c>
      <c r="M322" s="305">
        <f>IF(G322=0,0,HLOOKUP(YEAR(G322)+(MONTH(G322)/100),TC!$5:$37,DAY(G322)+2,FALSE))</f>
        <v>0</v>
      </c>
      <c r="N322" s="306" t="e">
        <f t="shared" si="66"/>
        <v>#N/A</v>
      </c>
      <c r="O322" s="308">
        <f>IF(G322=0,0,VLOOKUP(YEAR(G322),INPC!$B$4:$P$30,MONTH(G322)+2))</f>
        <v>0</v>
      </c>
      <c r="P322" s="308">
        <f>IF(W322=0,0,IF(OR(C322=$AQ$5,C322=AQ326),VLOOKUP(YEAR(W322),INPC!$B$4:$P$30,MONTH(W322)+1),VLOOKUP(YEAR(W322),INPC!$B$4:$P$30,MONTH(W322)+2)))</f>
        <v>0</v>
      </c>
      <c r="Q322" s="309">
        <f t="shared" si="67"/>
        <v>0</v>
      </c>
      <c r="R322" s="310" t="e">
        <f t="shared" si="68"/>
        <v>#N/A</v>
      </c>
      <c r="S322" s="310">
        <f t="shared" si="69"/>
        <v>0</v>
      </c>
      <c r="T322" s="559" t="str">
        <f t="shared" si="70"/>
        <v>NO</v>
      </c>
      <c r="U322" s="323"/>
      <c r="V322" s="299"/>
      <c r="W322" s="300"/>
      <c r="X322" s="299"/>
      <c r="Y322" s="303"/>
      <c r="Z322" s="305">
        <f>IF(Y322=0,0,IF(X322="MXN",1/HLOOKUP(YEAR(W322)+(MONTH(W322)/100),TC!$5:$37,DAY(W322)+2,FALSE),VLOOKUP(X322,Equivalencia!$1:$23,((MAX(Equivalencia!$3:$3)-YEAR(W322))*14)+MONTH(W322)+2,FALSE)))</f>
        <v>0</v>
      </c>
      <c r="AA322" s="306">
        <f t="shared" si="71"/>
        <v>0</v>
      </c>
      <c r="AB322" s="305">
        <f>+IF(W322=0,0,HLOOKUP(YEAR(W322)+(MONTH(W322)/100),TC!$5:$37,DAY(W322)+2,FALSE))</f>
        <v>0</v>
      </c>
      <c r="AC322" s="306">
        <f t="shared" si="72"/>
        <v>0</v>
      </c>
      <c r="AD322" s="314">
        <f t="shared" ref="AD322:AD385" si="78">+U322*S322</f>
        <v>0</v>
      </c>
      <c r="AE322" s="315">
        <f t="shared" si="73"/>
        <v>0</v>
      </c>
      <c r="AF322" s="316">
        <f t="shared" ref="AF322:AF385" si="79">+IF(OR(C322=$AQ$5,C322=$AQ$6),1,((W322-G322)/365))</f>
        <v>0</v>
      </c>
      <c r="AG322" s="314">
        <v>1</v>
      </c>
      <c r="AH322" s="314">
        <f t="shared" si="74"/>
        <v>0</v>
      </c>
      <c r="AI322" s="314">
        <f t="shared" si="75"/>
        <v>0</v>
      </c>
      <c r="AJ322" s="317"/>
      <c r="AK322" s="315" t="e">
        <f t="shared" si="76"/>
        <v>#N/A</v>
      </c>
      <c r="AM322" s="553"/>
      <c r="AN322" s="553"/>
      <c r="AO322" s="553"/>
    </row>
    <row r="323" spans="2:41">
      <c r="B323" s="296"/>
      <c r="C323" s="299"/>
      <c r="D323" s="296"/>
      <c r="E323" s="298"/>
      <c r="F323" s="299"/>
      <c r="G323" s="300"/>
      <c r="H323" s="303"/>
      <c r="I323" s="303"/>
      <c r="J323" s="322">
        <f t="shared" si="77"/>
        <v>0</v>
      </c>
      <c r="K323" s="305" t="e">
        <f>IF(F323="MXN",1/HLOOKUP(YEAR(G323)+(MONTH(G323)/100),TC!$5:$37,DAY(G323)+2,FALSE),VLOOKUP(F323,Equivalencia!$5:$23,((MAX(Equivalencia!$3:$3)-YEAR(G323))*14)+MONTH(G323)+2,FALSE))</f>
        <v>#N/A</v>
      </c>
      <c r="L323" s="306" t="e">
        <f t="shared" ref="L323:L386" si="80">+I323*K323</f>
        <v>#N/A</v>
      </c>
      <c r="M323" s="305">
        <f>IF(G323=0,0,HLOOKUP(YEAR(G323)+(MONTH(G323)/100),TC!$5:$37,DAY(G323)+2,FALSE))</f>
        <v>0</v>
      </c>
      <c r="N323" s="306" t="e">
        <f t="shared" ref="N323:N386" si="81">+L323*M323</f>
        <v>#N/A</v>
      </c>
      <c r="O323" s="308">
        <f>IF(G323=0,0,VLOOKUP(YEAR(G323),INPC!$B$4:$P$30,MONTH(G323)+2))</f>
        <v>0</v>
      </c>
      <c r="P323" s="308">
        <f>IF(W323=0,0,IF(OR(C323=$AQ$5,C323=AQ327),VLOOKUP(YEAR(W323),INPC!$B$4:$P$30,MONTH(W323)+1),VLOOKUP(YEAR(W323),INPC!$B$4:$P$30,MONTH(W323)+2)))</f>
        <v>0</v>
      </c>
      <c r="Q323" s="309">
        <f t="shared" ref="Q323:Q386" si="82">IF(W323=0,0,IF(TRUNC(P323/O323,4)&gt;=1,TRUNC(P323/O323,4),1))</f>
        <v>0</v>
      </c>
      <c r="R323" s="310" t="e">
        <f t="shared" ref="R323:R386" si="83">+Q323*N323</f>
        <v>#N/A</v>
      </c>
      <c r="S323" s="310">
        <f t="shared" ref="S323:S386" si="84">IF(U323=0,0,R323/U323)</f>
        <v>0</v>
      </c>
      <c r="T323" s="559" t="str">
        <f t="shared" ref="T323:T386" si="85">+IF(W323=0,"NO","SI")</f>
        <v>NO</v>
      </c>
      <c r="U323" s="323"/>
      <c r="V323" s="299"/>
      <c r="W323" s="300"/>
      <c r="X323" s="299"/>
      <c r="Y323" s="303"/>
      <c r="Z323" s="305">
        <f>IF(Y323=0,0,IF(X323="MXN",1/HLOOKUP(YEAR(W323)+(MONTH(W323)/100),TC!$5:$37,DAY(W323)+2,FALSE),VLOOKUP(X323,Equivalencia!$1:$23,((MAX(Equivalencia!$3:$3)-YEAR(W323))*14)+MONTH(W323)+2,FALSE)))</f>
        <v>0</v>
      </c>
      <c r="AA323" s="306">
        <f t="shared" ref="AA323:AA386" si="86">+Z323*Y323</f>
        <v>0</v>
      </c>
      <c r="AB323" s="305">
        <f>+IF(W323=0,0,HLOOKUP(YEAR(W323)+(MONTH(W323)/100),TC!$5:$37,DAY(W323)+2,FALSE))</f>
        <v>0</v>
      </c>
      <c r="AC323" s="306">
        <f t="shared" ref="AC323:AC386" si="87">+AB323*AA323</f>
        <v>0</v>
      </c>
      <c r="AD323" s="314">
        <f t="shared" si="78"/>
        <v>0</v>
      </c>
      <c r="AE323" s="315">
        <f t="shared" ref="AE323:AE386" si="88">AC323+AD323</f>
        <v>0</v>
      </c>
      <c r="AF323" s="316">
        <f t="shared" si="79"/>
        <v>0</v>
      </c>
      <c r="AG323" s="314">
        <v>1</v>
      </c>
      <c r="AH323" s="314">
        <f t="shared" ref="AH323:AH386" si="89">(AE323/AG323)</f>
        <v>0</v>
      </c>
      <c r="AI323" s="314">
        <f t="shared" ref="AI323:AI386" si="90">+AE323-AH323</f>
        <v>0</v>
      </c>
      <c r="AJ323" s="317"/>
      <c r="AK323" s="315" t="e">
        <f t="shared" ref="AK323:AK386" si="91">+AA323+L323</f>
        <v>#N/A</v>
      </c>
      <c r="AM323" s="553"/>
      <c r="AN323" s="553"/>
      <c r="AO323" s="553"/>
    </row>
    <row r="324" spans="2:41">
      <c r="B324" s="296"/>
      <c r="C324" s="299"/>
      <c r="D324" s="296"/>
      <c r="E324" s="298"/>
      <c r="F324" s="299"/>
      <c r="G324" s="300"/>
      <c r="H324" s="303"/>
      <c r="I324" s="303"/>
      <c r="J324" s="322">
        <f t="shared" si="77"/>
        <v>0</v>
      </c>
      <c r="K324" s="305" t="e">
        <f>IF(F324="MXN",1/HLOOKUP(YEAR(G324)+(MONTH(G324)/100),TC!$5:$37,DAY(G324)+2,FALSE),VLOOKUP(F324,Equivalencia!$5:$23,((MAX(Equivalencia!$3:$3)-YEAR(G324))*14)+MONTH(G324)+2,FALSE))</f>
        <v>#N/A</v>
      </c>
      <c r="L324" s="306" t="e">
        <f t="shared" si="80"/>
        <v>#N/A</v>
      </c>
      <c r="M324" s="305">
        <f>IF(G324=0,0,HLOOKUP(YEAR(G324)+(MONTH(G324)/100),TC!$5:$37,DAY(G324)+2,FALSE))</f>
        <v>0</v>
      </c>
      <c r="N324" s="306" t="e">
        <f t="shared" si="81"/>
        <v>#N/A</v>
      </c>
      <c r="O324" s="308">
        <f>IF(G324=0,0,VLOOKUP(YEAR(G324),INPC!$B$4:$P$30,MONTH(G324)+2))</f>
        <v>0</v>
      </c>
      <c r="P324" s="308">
        <f>IF(W324=0,0,IF(OR(C324=$AQ$5,C324=AQ328),VLOOKUP(YEAR(W324),INPC!$B$4:$P$30,MONTH(W324)+1),VLOOKUP(YEAR(W324),INPC!$B$4:$P$30,MONTH(W324)+2)))</f>
        <v>0</v>
      </c>
      <c r="Q324" s="309">
        <f t="shared" si="82"/>
        <v>0</v>
      </c>
      <c r="R324" s="310" t="e">
        <f t="shared" si="83"/>
        <v>#N/A</v>
      </c>
      <c r="S324" s="310">
        <f t="shared" si="84"/>
        <v>0</v>
      </c>
      <c r="T324" s="559" t="str">
        <f t="shared" si="85"/>
        <v>NO</v>
      </c>
      <c r="U324" s="323"/>
      <c r="V324" s="299"/>
      <c r="W324" s="300"/>
      <c r="X324" s="299"/>
      <c r="Y324" s="303"/>
      <c r="Z324" s="305">
        <f>IF(Y324=0,0,IF(X324="MXN",1/HLOOKUP(YEAR(W324)+(MONTH(W324)/100),TC!$5:$37,DAY(W324)+2,FALSE),VLOOKUP(X324,Equivalencia!$1:$23,((MAX(Equivalencia!$3:$3)-YEAR(W324))*14)+MONTH(W324)+2,FALSE)))</f>
        <v>0</v>
      </c>
      <c r="AA324" s="306">
        <f t="shared" si="86"/>
        <v>0</v>
      </c>
      <c r="AB324" s="305">
        <f>+IF(W324=0,0,HLOOKUP(YEAR(W324)+(MONTH(W324)/100),TC!$5:$37,DAY(W324)+2,FALSE))</f>
        <v>0</v>
      </c>
      <c r="AC324" s="306">
        <f t="shared" si="87"/>
        <v>0</v>
      </c>
      <c r="AD324" s="314">
        <f t="shared" si="78"/>
        <v>0</v>
      </c>
      <c r="AE324" s="315">
        <f t="shared" si="88"/>
        <v>0</v>
      </c>
      <c r="AF324" s="316">
        <f t="shared" si="79"/>
        <v>0</v>
      </c>
      <c r="AG324" s="314">
        <v>1</v>
      </c>
      <c r="AH324" s="314">
        <f t="shared" si="89"/>
        <v>0</v>
      </c>
      <c r="AI324" s="314">
        <f t="shared" si="90"/>
        <v>0</v>
      </c>
      <c r="AJ324" s="317"/>
      <c r="AK324" s="315" t="e">
        <f t="shared" si="91"/>
        <v>#N/A</v>
      </c>
      <c r="AM324" s="553"/>
      <c r="AN324" s="553"/>
      <c r="AO324" s="553"/>
    </row>
    <row r="325" spans="2:41">
      <c r="B325" s="296"/>
      <c r="C325" s="299"/>
      <c r="D325" s="296"/>
      <c r="E325" s="298"/>
      <c r="F325" s="299"/>
      <c r="G325" s="300"/>
      <c r="H325" s="303"/>
      <c r="I325" s="303"/>
      <c r="J325" s="322">
        <f t="shared" si="77"/>
        <v>0</v>
      </c>
      <c r="K325" s="305" t="e">
        <f>IF(F325="MXN",1/HLOOKUP(YEAR(G325)+(MONTH(G325)/100),TC!$5:$37,DAY(G325)+2,FALSE),VLOOKUP(F325,Equivalencia!$5:$23,((MAX(Equivalencia!$3:$3)-YEAR(G325))*14)+MONTH(G325)+2,FALSE))</f>
        <v>#N/A</v>
      </c>
      <c r="L325" s="306" t="e">
        <f t="shared" si="80"/>
        <v>#N/A</v>
      </c>
      <c r="M325" s="305">
        <f>IF(G325=0,0,HLOOKUP(YEAR(G325)+(MONTH(G325)/100),TC!$5:$37,DAY(G325)+2,FALSE))</f>
        <v>0</v>
      </c>
      <c r="N325" s="306" t="e">
        <f t="shared" si="81"/>
        <v>#N/A</v>
      </c>
      <c r="O325" s="308">
        <f>IF(G325=0,0,VLOOKUP(YEAR(G325),INPC!$B$4:$P$30,MONTH(G325)+2))</f>
        <v>0</v>
      </c>
      <c r="P325" s="308">
        <f>IF(W325=0,0,IF(OR(C325=$AQ$5,C325=AQ329),VLOOKUP(YEAR(W325),INPC!$B$4:$P$30,MONTH(W325)+1),VLOOKUP(YEAR(W325),INPC!$B$4:$P$30,MONTH(W325)+2)))</f>
        <v>0</v>
      </c>
      <c r="Q325" s="309">
        <f t="shared" si="82"/>
        <v>0</v>
      </c>
      <c r="R325" s="310" t="e">
        <f t="shared" si="83"/>
        <v>#N/A</v>
      </c>
      <c r="S325" s="310">
        <f t="shared" si="84"/>
        <v>0</v>
      </c>
      <c r="T325" s="559" t="str">
        <f t="shared" si="85"/>
        <v>NO</v>
      </c>
      <c r="U325" s="323"/>
      <c r="V325" s="299"/>
      <c r="W325" s="300"/>
      <c r="X325" s="299"/>
      <c r="Y325" s="303"/>
      <c r="Z325" s="305">
        <f>IF(Y325=0,0,IF(X325="MXN",1/HLOOKUP(YEAR(W325)+(MONTH(W325)/100),TC!$5:$37,DAY(W325)+2,FALSE),VLOOKUP(X325,Equivalencia!$1:$23,((MAX(Equivalencia!$3:$3)-YEAR(W325))*14)+MONTH(W325)+2,FALSE)))</f>
        <v>0</v>
      </c>
      <c r="AA325" s="306">
        <f t="shared" si="86"/>
        <v>0</v>
      </c>
      <c r="AB325" s="305">
        <f>+IF(W325=0,0,HLOOKUP(YEAR(W325)+(MONTH(W325)/100),TC!$5:$37,DAY(W325)+2,FALSE))</f>
        <v>0</v>
      </c>
      <c r="AC325" s="306">
        <f t="shared" si="87"/>
        <v>0</v>
      </c>
      <c r="AD325" s="314">
        <f t="shared" si="78"/>
        <v>0</v>
      </c>
      <c r="AE325" s="315">
        <f t="shared" si="88"/>
        <v>0</v>
      </c>
      <c r="AF325" s="316">
        <f t="shared" si="79"/>
        <v>0</v>
      </c>
      <c r="AG325" s="314">
        <v>1</v>
      </c>
      <c r="AH325" s="314">
        <f t="shared" si="89"/>
        <v>0</v>
      </c>
      <c r="AI325" s="314">
        <f t="shared" si="90"/>
        <v>0</v>
      </c>
      <c r="AJ325" s="317"/>
      <c r="AK325" s="315" t="e">
        <f t="shared" si="91"/>
        <v>#N/A</v>
      </c>
      <c r="AM325" s="553"/>
      <c r="AN325" s="553"/>
      <c r="AO325" s="553"/>
    </row>
    <row r="326" spans="2:41">
      <c r="B326" s="296"/>
      <c r="C326" s="299"/>
      <c r="D326" s="296"/>
      <c r="E326" s="298"/>
      <c r="F326" s="299"/>
      <c r="G326" s="300"/>
      <c r="H326" s="303"/>
      <c r="I326" s="303"/>
      <c r="J326" s="322">
        <f t="shared" si="77"/>
        <v>0</v>
      </c>
      <c r="K326" s="305" t="e">
        <f>IF(F326="MXN",1/HLOOKUP(YEAR(G326)+(MONTH(G326)/100),TC!$5:$37,DAY(G326)+2,FALSE),VLOOKUP(F326,Equivalencia!$5:$23,((MAX(Equivalencia!$3:$3)-YEAR(G326))*14)+MONTH(G326)+2,FALSE))</f>
        <v>#N/A</v>
      </c>
      <c r="L326" s="306" t="e">
        <f t="shared" si="80"/>
        <v>#N/A</v>
      </c>
      <c r="M326" s="305">
        <f>IF(G326=0,0,HLOOKUP(YEAR(G326)+(MONTH(G326)/100),TC!$5:$37,DAY(G326)+2,FALSE))</f>
        <v>0</v>
      </c>
      <c r="N326" s="306" t="e">
        <f t="shared" si="81"/>
        <v>#N/A</v>
      </c>
      <c r="O326" s="308">
        <f>IF(G326=0,0,VLOOKUP(YEAR(G326),INPC!$B$4:$P$30,MONTH(G326)+2))</f>
        <v>0</v>
      </c>
      <c r="P326" s="308">
        <f>IF(W326=0,0,IF(OR(C326=$AQ$5,C326=AQ330),VLOOKUP(YEAR(W326),INPC!$B$4:$P$30,MONTH(W326)+1),VLOOKUP(YEAR(W326),INPC!$B$4:$P$30,MONTH(W326)+2)))</f>
        <v>0</v>
      </c>
      <c r="Q326" s="309">
        <f t="shared" si="82"/>
        <v>0</v>
      </c>
      <c r="R326" s="310" t="e">
        <f t="shared" si="83"/>
        <v>#N/A</v>
      </c>
      <c r="S326" s="310">
        <f t="shared" si="84"/>
        <v>0</v>
      </c>
      <c r="T326" s="559" t="str">
        <f t="shared" si="85"/>
        <v>NO</v>
      </c>
      <c r="U326" s="323"/>
      <c r="V326" s="299"/>
      <c r="W326" s="300"/>
      <c r="X326" s="299"/>
      <c r="Y326" s="303"/>
      <c r="Z326" s="305">
        <f>IF(Y326=0,0,IF(X326="MXN",1/HLOOKUP(YEAR(W326)+(MONTH(W326)/100),TC!$5:$37,DAY(W326)+2,FALSE),VLOOKUP(X326,Equivalencia!$1:$23,((MAX(Equivalencia!$3:$3)-YEAR(W326))*14)+MONTH(W326)+2,FALSE)))</f>
        <v>0</v>
      </c>
      <c r="AA326" s="306">
        <f t="shared" si="86"/>
        <v>0</v>
      </c>
      <c r="AB326" s="305">
        <f>+IF(W326=0,0,HLOOKUP(YEAR(W326)+(MONTH(W326)/100),TC!$5:$37,DAY(W326)+2,FALSE))</f>
        <v>0</v>
      </c>
      <c r="AC326" s="306">
        <f t="shared" si="87"/>
        <v>0</v>
      </c>
      <c r="AD326" s="314">
        <f t="shared" si="78"/>
        <v>0</v>
      </c>
      <c r="AE326" s="315">
        <f t="shared" si="88"/>
        <v>0</v>
      </c>
      <c r="AF326" s="316">
        <f t="shared" si="79"/>
        <v>0</v>
      </c>
      <c r="AG326" s="314">
        <v>1</v>
      </c>
      <c r="AH326" s="314">
        <f t="shared" si="89"/>
        <v>0</v>
      </c>
      <c r="AI326" s="314">
        <f t="shared" si="90"/>
        <v>0</v>
      </c>
      <c r="AJ326" s="317"/>
      <c r="AK326" s="315" t="e">
        <f t="shared" si="91"/>
        <v>#N/A</v>
      </c>
      <c r="AM326" s="553"/>
      <c r="AN326" s="553"/>
      <c r="AO326" s="553"/>
    </row>
    <row r="327" spans="2:41">
      <c r="B327" s="296"/>
      <c r="C327" s="299"/>
      <c r="D327" s="296"/>
      <c r="E327" s="298"/>
      <c r="F327" s="299"/>
      <c r="G327" s="300"/>
      <c r="H327" s="303"/>
      <c r="I327" s="303"/>
      <c r="J327" s="322">
        <f t="shared" si="77"/>
        <v>0</v>
      </c>
      <c r="K327" s="305" t="e">
        <f>IF(F327="MXN",1/HLOOKUP(YEAR(G327)+(MONTH(G327)/100),TC!$5:$37,DAY(G327)+2,FALSE),VLOOKUP(F327,Equivalencia!$5:$23,((MAX(Equivalencia!$3:$3)-YEAR(G327))*14)+MONTH(G327)+2,FALSE))</f>
        <v>#N/A</v>
      </c>
      <c r="L327" s="306" t="e">
        <f t="shared" si="80"/>
        <v>#N/A</v>
      </c>
      <c r="M327" s="305">
        <f>IF(G327=0,0,HLOOKUP(YEAR(G327)+(MONTH(G327)/100),TC!$5:$37,DAY(G327)+2,FALSE))</f>
        <v>0</v>
      </c>
      <c r="N327" s="306" t="e">
        <f t="shared" si="81"/>
        <v>#N/A</v>
      </c>
      <c r="O327" s="308">
        <f>IF(G327=0,0,VLOOKUP(YEAR(G327),INPC!$B$4:$P$30,MONTH(G327)+2))</f>
        <v>0</v>
      </c>
      <c r="P327" s="308">
        <f>IF(W327=0,0,IF(OR(C327=$AQ$5,C327=AQ331),VLOOKUP(YEAR(W327),INPC!$B$4:$P$30,MONTH(W327)+1),VLOOKUP(YEAR(W327),INPC!$B$4:$P$30,MONTH(W327)+2)))</f>
        <v>0</v>
      </c>
      <c r="Q327" s="309">
        <f t="shared" si="82"/>
        <v>0</v>
      </c>
      <c r="R327" s="310" t="e">
        <f t="shared" si="83"/>
        <v>#N/A</v>
      </c>
      <c r="S327" s="310">
        <f t="shared" si="84"/>
        <v>0</v>
      </c>
      <c r="T327" s="559" t="str">
        <f t="shared" si="85"/>
        <v>NO</v>
      </c>
      <c r="U327" s="323"/>
      <c r="V327" s="299"/>
      <c r="W327" s="300"/>
      <c r="X327" s="299"/>
      <c r="Y327" s="303"/>
      <c r="Z327" s="305">
        <f>IF(Y327=0,0,IF(X327="MXN",1/HLOOKUP(YEAR(W327)+(MONTH(W327)/100),TC!$5:$37,DAY(W327)+2,FALSE),VLOOKUP(X327,Equivalencia!$1:$23,((MAX(Equivalencia!$3:$3)-YEAR(W327))*14)+MONTH(W327)+2,FALSE)))</f>
        <v>0</v>
      </c>
      <c r="AA327" s="306">
        <f t="shared" si="86"/>
        <v>0</v>
      </c>
      <c r="AB327" s="305">
        <f>+IF(W327=0,0,HLOOKUP(YEAR(W327)+(MONTH(W327)/100),TC!$5:$37,DAY(W327)+2,FALSE))</f>
        <v>0</v>
      </c>
      <c r="AC327" s="306">
        <f t="shared" si="87"/>
        <v>0</v>
      </c>
      <c r="AD327" s="314">
        <f t="shared" si="78"/>
        <v>0</v>
      </c>
      <c r="AE327" s="315">
        <f t="shared" si="88"/>
        <v>0</v>
      </c>
      <c r="AF327" s="316">
        <f t="shared" si="79"/>
        <v>0</v>
      </c>
      <c r="AG327" s="314">
        <v>1</v>
      </c>
      <c r="AH327" s="314">
        <f t="shared" si="89"/>
        <v>0</v>
      </c>
      <c r="AI327" s="314">
        <f t="shared" si="90"/>
        <v>0</v>
      </c>
      <c r="AJ327" s="317"/>
      <c r="AK327" s="315" t="e">
        <f t="shared" si="91"/>
        <v>#N/A</v>
      </c>
      <c r="AM327" s="553"/>
      <c r="AN327" s="553"/>
      <c r="AO327" s="553"/>
    </row>
    <row r="328" spans="2:41">
      <c r="B328" s="296"/>
      <c r="C328" s="299"/>
      <c r="D328" s="296"/>
      <c r="E328" s="298"/>
      <c r="F328" s="299"/>
      <c r="G328" s="300"/>
      <c r="H328" s="303"/>
      <c r="I328" s="303"/>
      <c r="J328" s="322">
        <f t="shared" si="77"/>
        <v>0</v>
      </c>
      <c r="K328" s="305" t="e">
        <f>IF(F328="MXN",1/HLOOKUP(YEAR(G328)+(MONTH(G328)/100),TC!$5:$37,DAY(G328)+2,FALSE),VLOOKUP(F328,Equivalencia!$5:$23,((MAX(Equivalencia!$3:$3)-YEAR(G328))*14)+MONTH(G328)+2,FALSE))</f>
        <v>#N/A</v>
      </c>
      <c r="L328" s="306" t="e">
        <f t="shared" si="80"/>
        <v>#N/A</v>
      </c>
      <c r="M328" s="305">
        <f>IF(G328=0,0,HLOOKUP(YEAR(G328)+(MONTH(G328)/100),TC!$5:$37,DAY(G328)+2,FALSE))</f>
        <v>0</v>
      </c>
      <c r="N328" s="306" t="e">
        <f t="shared" si="81"/>
        <v>#N/A</v>
      </c>
      <c r="O328" s="308">
        <f>IF(G328=0,0,VLOOKUP(YEAR(G328),INPC!$B$4:$P$30,MONTH(G328)+2))</f>
        <v>0</v>
      </c>
      <c r="P328" s="308">
        <f>IF(W328=0,0,IF(OR(C328=$AQ$5,C328=AQ332),VLOOKUP(YEAR(W328),INPC!$B$4:$P$30,MONTH(W328)+1),VLOOKUP(YEAR(W328),INPC!$B$4:$P$30,MONTH(W328)+2)))</f>
        <v>0</v>
      </c>
      <c r="Q328" s="309">
        <f t="shared" si="82"/>
        <v>0</v>
      </c>
      <c r="R328" s="310" t="e">
        <f t="shared" si="83"/>
        <v>#N/A</v>
      </c>
      <c r="S328" s="310">
        <f t="shared" si="84"/>
        <v>0</v>
      </c>
      <c r="T328" s="559" t="str">
        <f t="shared" si="85"/>
        <v>NO</v>
      </c>
      <c r="U328" s="323"/>
      <c r="V328" s="299"/>
      <c r="W328" s="300"/>
      <c r="X328" s="299"/>
      <c r="Y328" s="303"/>
      <c r="Z328" s="305">
        <f>IF(Y328=0,0,IF(X328="MXN",1/HLOOKUP(YEAR(W328)+(MONTH(W328)/100),TC!$5:$37,DAY(W328)+2,FALSE),VLOOKUP(X328,Equivalencia!$1:$23,((MAX(Equivalencia!$3:$3)-YEAR(W328))*14)+MONTH(W328)+2,FALSE)))</f>
        <v>0</v>
      </c>
      <c r="AA328" s="306">
        <f t="shared" si="86"/>
        <v>0</v>
      </c>
      <c r="AB328" s="305">
        <f>+IF(W328=0,0,HLOOKUP(YEAR(W328)+(MONTH(W328)/100),TC!$5:$37,DAY(W328)+2,FALSE))</f>
        <v>0</v>
      </c>
      <c r="AC328" s="306">
        <f t="shared" si="87"/>
        <v>0</v>
      </c>
      <c r="AD328" s="314">
        <f t="shared" si="78"/>
        <v>0</v>
      </c>
      <c r="AE328" s="315">
        <f t="shared" si="88"/>
        <v>0</v>
      </c>
      <c r="AF328" s="316">
        <f t="shared" si="79"/>
        <v>0</v>
      </c>
      <c r="AG328" s="314">
        <v>1</v>
      </c>
      <c r="AH328" s="314">
        <f t="shared" si="89"/>
        <v>0</v>
      </c>
      <c r="AI328" s="314">
        <f t="shared" si="90"/>
        <v>0</v>
      </c>
      <c r="AJ328" s="317"/>
      <c r="AK328" s="315" t="e">
        <f t="shared" si="91"/>
        <v>#N/A</v>
      </c>
      <c r="AM328" s="553"/>
      <c r="AN328" s="553"/>
      <c r="AO328" s="553"/>
    </row>
    <row r="329" spans="2:41">
      <c r="B329" s="296"/>
      <c r="C329" s="299"/>
      <c r="D329" s="296"/>
      <c r="E329" s="298"/>
      <c r="F329" s="299"/>
      <c r="G329" s="300"/>
      <c r="H329" s="303"/>
      <c r="I329" s="303"/>
      <c r="J329" s="322">
        <f t="shared" si="77"/>
        <v>0</v>
      </c>
      <c r="K329" s="305" t="e">
        <f>IF(F329="MXN",1/HLOOKUP(YEAR(G329)+(MONTH(G329)/100),TC!$5:$37,DAY(G329)+2,FALSE),VLOOKUP(F329,Equivalencia!$5:$23,((MAX(Equivalencia!$3:$3)-YEAR(G329))*14)+MONTH(G329)+2,FALSE))</f>
        <v>#N/A</v>
      </c>
      <c r="L329" s="306" t="e">
        <f t="shared" si="80"/>
        <v>#N/A</v>
      </c>
      <c r="M329" s="305">
        <f>IF(G329=0,0,HLOOKUP(YEAR(G329)+(MONTH(G329)/100),TC!$5:$37,DAY(G329)+2,FALSE))</f>
        <v>0</v>
      </c>
      <c r="N329" s="306" t="e">
        <f t="shared" si="81"/>
        <v>#N/A</v>
      </c>
      <c r="O329" s="308">
        <f>IF(G329=0,0,VLOOKUP(YEAR(G329),INPC!$B$4:$P$30,MONTH(G329)+2))</f>
        <v>0</v>
      </c>
      <c r="P329" s="308">
        <f>IF(W329=0,0,IF(OR(C329=$AQ$5,C329=AQ333),VLOOKUP(YEAR(W329),INPC!$B$4:$P$30,MONTH(W329)+1),VLOOKUP(YEAR(W329),INPC!$B$4:$P$30,MONTH(W329)+2)))</f>
        <v>0</v>
      </c>
      <c r="Q329" s="309">
        <f t="shared" si="82"/>
        <v>0</v>
      </c>
      <c r="R329" s="310" t="e">
        <f t="shared" si="83"/>
        <v>#N/A</v>
      </c>
      <c r="S329" s="310">
        <f t="shared" si="84"/>
        <v>0</v>
      </c>
      <c r="T329" s="559" t="str">
        <f t="shared" si="85"/>
        <v>NO</v>
      </c>
      <c r="U329" s="323"/>
      <c r="V329" s="299"/>
      <c r="W329" s="300"/>
      <c r="X329" s="299"/>
      <c r="Y329" s="303"/>
      <c r="Z329" s="305">
        <f>IF(Y329=0,0,IF(X329="MXN",1/HLOOKUP(YEAR(W329)+(MONTH(W329)/100),TC!$5:$37,DAY(W329)+2,FALSE),VLOOKUP(X329,Equivalencia!$1:$23,((MAX(Equivalencia!$3:$3)-YEAR(W329))*14)+MONTH(W329)+2,FALSE)))</f>
        <v>0</v>
      </c>
      <c r="AA329" s="306">
        <f t="shared" si="86"/>
        <v>0</v>
      </c>
      <c r="AB329" s="305">
        <f>+IF(W329=0,0,HLOOKUP(YEAR(W329)+(MONTH(W329)/100),TC!$5:$37,DAY(W329)+2,FALSE))</f>
        <v>0</v>
      </c>
      <c r="AC329" s="306">
        <f t="shared" si="87"/>
        <v>0</v>
      </c>
      <c r="AD329" s="314">
        <f t="shared" si="78"/>
        <v>0</v>
      </c>
      <c r="AE329" s="315">
        <f t="shared" si="88"/>
        <v>0</v>
      </c>
      <c r="AF329" s="316">
        <f t="shared" si="79"/>
        <v>0</v>
      </c>
      <c r="AG329" s="314">
        <v>1</v>
      </c>
      <c r="AH329" s="314">
        <f t="shared" si="89"/>
        <v>0</v>
      </c>
      <c r="AI329" s="314">
        <f t="shared" si="90"/>
        <v>0</v>
      </c>
      <c r="AJ329" s="317"/>
      <c r="AK329" s="315" t="e">
        <f t="shared" si="91"/>
        <v>#N/A</v>
      </c>
      <c r="AM329" s="553"/>
      <c r="AN329" s="553"/>
      <c r="AO329" s="553"/>
    </row>
    <row r="330" spans="2:41">
      <c r="B330" s="296"/>
      <c r="C330" s="299"/>
      <c r="D330" s="296"/>
      <c r="E330" s="298"/>
      <c r="F330" s="299"/>
      <c r="G330" s="300"/>
      <c r="H330" s="303"/>
      <c r="I330" s="303"/>
      <c r="J330" s="322">
        <f t="shared" si="77"/>
        <v>0</v>
      </c>
      <c r="K330" s="305" t="e">
        <f>IF(F330="MXN",1/HLOOKUP(YEAR(G330)+(MONTH(G330)/100),TC!$5:$37,DAY(G330)+2,FALSE),VLOOKUP(F330,Equivalencia!$5:$23,((MAX(Equivalencia!$3:$3)-YEAR(G330))*14)+MONTH(G330)+2,FALSE))</f>
        <v>#N/A</v>
      </c>
      <c r="L330" s="306" t="e">
        <f t="shared" si="80"/>
        <v>#N/A</v>
      </c>
      <c r="M330" s="305">
        <f>IF(G330=0,0,HLOOKUP(YEAR(G330)+(MONTH(G330)/100),TC!$5:$37,DAY(G330)+2,FALSE))</f>
        <v>0</v>
      </c>
      <c r="N330" s="306" t="e">
        <f t="shared" si="81"/>
        <v>#N/A</v>
      </c>
      <c r="O330" s="308">
        <f>IF(G330=0,0,VLOOKUP(YEAR(G330),INPC!$B$4:$P$30,MONTH(G330)+2))</f>
        <v>0</v>
      </c>
      <c r="P330" s="308">
        <f>IF(W330=0,0,IF(OR(C330=$AQ$5,C330=AQ334),VLOOKUP(YEAR(W330),INPC!$B$4:$P$30,MONTH(W330)+1),VLOOKUP(YEAR(W330),INPC!$B$4:$P$30,MONTH(W330)+2)))</f>
        <v>0</v>
      </c>
      <c r="Q330" s="309">
        <f t="shared" si="82"/>
        <v>0</v>
      </c>
      <c r="R330" s="310" t="e">
        <f t="shared" si="83"/>
        <v>#N/A</v>
      </c>
      <c r="S330" s="310">
        <f t="shared" si="84"/>
        <v>0</v>
      </c>
      <c r="T330" s="559" t="str">
        <f t="shared" si="85"/>
        <v>NO</v>
      </c>
      <c r="U330" s="323"/>
      <c r="V330" s="299"/>
      <c r="W330" s="300"/>
      <c r="X330" s="299"/>
      <c r="Y330" s="303"/>
      <c r="Z330" s="305">
        <f>IF(Y330=0,0,IF(X330="MXN",1/HLOOKUP(YEAR(W330)+(MONTH(W330)/100),TC!$5:$37,DAY(W330)+2,FALSE),VLOOKUP(X330,Equivalencia!$1:$23,((MAX(Equivalencia!$3:$3)-YEAR(W330))*14)+MONTH(W330)+2,FALSE)))</f>
        <v>0</v>
      </c>
      <c r="AA330" s="306">
        <f t="shared" si="86"/>
        <v>0</v>
      </c>
      <c r="AB330" s="305">
        <f>+IF(W330=0,0,HLOOKUP(YEAR(W330)+(MONTH(W330)/100),TC!$5:$37,DAY(W330)+2,FALSE))</f>
        <v>0</v>
      </c>
      <c r="AC330" s="306">
        <f t="shared" si="87"/>
        <v>0</v>
      </c>
      <c r="AD330" s="314">
        <f t="shared" si="78"/>
        <v>0</v>
      </c>
      <c r="AE330" s="315">
        <f t="shared" si="88"/>
        <v>0</v>
      </c>
      <c r="AF330" s="316">
        <f t="shared" si="79"/>
        <v>0</v>
      </c>
      <c r="AG330" s="314">
        <v>1</v>
      </c>
      <c r="AH330" s="314">
        <f t="shared" si="89"/>
        <v>0</v>
      </c>
      <c r="AI330" s="314">
        <f t="shared" si="90"/>
        <v>0</v>
      </c>
      <c r="AJ330" s="317"/>
      <c r="AK330" s="315" t="e">
        <f t="shared" si="91"/>
        <v>#N/A</v>
      </c>
      <c r="AM330" s="553"/>
      <c r="AN330" s="553"/>
      <c r="AO330" s="553"/>
    </row>
    <row r="331" spans="2:41">
      <c r="B331" s="296"/>
      <c r="C331" s="299"/>
      <c r="D331" s="296"/>
      <c r="E331" s="298"/>
      <c r="F331" s="299"/>
      <c r="G331" s="300"/>
      <c r="H331" s="303"/>
      <c r="I331" s="303"/>
      <c r="J331" s="322">
        <f t="shared" si="77"/>
        <v>0</v>
      </c>
      <c r="K331" s="305" t="e">
        <f>IF(F331="MXN",1/HLOOKUP(YEAR(G331)+(MONTH(G331)/100),TC!$5:$37,DAY(G331)+2,FALSE),VLOOKUP(F331,Equivalencia!$5:$23,((MAX(Equivalencia!$3:$3)-YEAR(G331))*14)+MONTH(G331)+2,FALSE))</f>
        <v>#N/A</v>
      </c>
      <c r="L331" s="306" t="e">
        <f t="shared" si="80"/>
        <v>#N/A</v>
      </c>
      <c r="M331" s="305">
        <f>IF(G331=0,0,HLOOKUP(YEAR(G331)+(MONTH(G331)/100),TC!$5:$37,DAY(G331)+2,FALSE))</f>
        <v>0</v>
      </c>
      <c r="N331" s="306" t="e">
        <f t="shared" si="81"/>
        <v>#N/A</v>
      </c>
      <c r="O331" s="308">
        <f>IF(G331=0,0,VLOOKUP(YEAR(G331),INPC!$B$4:$P$30,MONTH(G331)+2))</f>
        <v>0</v>
      </c>
      <c r="P331" s="308">
        <f>IF(W331=0,0,IF(OR(C331=$AQ$5,C331=AQ335),VLOOKUP(YEAR(W331),INPC!$B$4:$P$30,MONTH(W331)+1),VLOOKUP(YEAR(W331),INPC!$B$4:$P$30,MONTH(W331)+2)))</f>
        <v>0</v>
      </c>
      <c r="Q331" s="309">
        <f t="shared" si="82"/>
        <v>0</v>
      </c>
      <c r="R331" s="310" t="e">
        <f t="shared" si="83"/>
        <v>#N/A</v>
      </c>
      <c r="S331" s="310">
        <f t="shared" si="84"/>
        <v>0</v>
      </c>
      <c r="T331" s="559" t="str">
        <f t="shared" si="85"/>
        <v>NO</v>
      </c>
      <c r="U331" s="323"/>
      <c r="V331" s="299"/>
      <c r="W331" s="300"/>
      <c r="X331" s="299"/>
      <c r="Y331" s="303"/>
      <c r="Z331" s="305">
        <f>IF(Y331=0,0,IF(X331="MXN",1/HLOOKUP(YEAR(W331)+(MONTH(W331)/100),TC!$5:$37,DAY(W331)+2,FALSE),VLOOKUP(X331,Equivalencia!$1:$23,((MAX(Equivalencia!$3:$3)-YEAR(W331))*14)+MONTH(W331)+2,FALSE)))</f>
        <v>0</v>
      </c>
      <c r="AA331" s="306">
        <f t="shared" si="86"/>
        <v>0</v>
      </c>
      <c r="AB331" s="305">
        <f>+IF(W331=0,0,HLOOKUP(YEAR(W331)+(MONTH(W331)/100),TC!$5:$37,DAY(W331)+2,FALSE))</f>
        <v>0</v>
      </c>
      <c r="AC331" s="306">
        <f t="shared" si="87"/>
        <v>0</v>
      </c>
      <c r="AD331" s="314">
        <f t="shared" si="78"/>
        <v>0</v>
      </c>
      <c r="AE331" s="315">
        <f t="shared" si="88"/>
        <v>0</v>
      </c>
      <c r="AF331" s="316">
        <f t="shared" si="79"/>
        <v>0</v>
      </c>
      <c r="AG331" s="314">
        <v>1</v>
      </c>
      <c r="AH331" s="314">
        <f t="shared" si="89"/>
        <v>0</v>
      </c>
      <c r="AI331" s="314">
        <f t="shared" si="90"/>
        <v>0</v>
      </c>
      <c r="AJ331" s="317"/>
      <c r="AK331" s="315" t="e">
        <f t="shared" si="91"/>
        <v>#N/A</v>
      </c>
      <c r="AM331" s="553"/>
      <c r="AN331" s="553"/>
      <c r="AO331" s="553"/>
    </row>
    <row r="332" spans="2:41">
      <c r="B332" s="296"/>
      <c r="C332" s="299"/>
      <c r="D332" s="296"/>
      <c r="E332" s="298"/>
      <c r="F332" s="299"/>
      <c r="G332" s="300"/>
      <c r="H332" s="303"/>
      <c r="I332" s="303"/>
      <c r="J332" s="322">
        <f t="shared" si="77"/>
        <v>0</v>
      </c>
      <c r="K332" s="305" t="e">
        <f>IF(F332="MXN",1/HLOOKUP(YEAR(G332)+(MONTH(G332)/100),TC!$5:$37,DAY(G332)+2,FALSE),VLOOKUP(F332,Equivalencia!$5:$23,((MAX(Equivalencia!$3:$3)-YEAR(G332))*14)+MONTH(G332)+2,FALSE))</f>
        <v>#N/A</v>
      </c>
      <c r="L332" s="306" t="e">
        <f t="shared" si="80"/>
        <v>#N/A</v>
      </c>
      <c r="M332" s="305">
        <f>IF(G332=0,0,HLOOKUP(YEAR(G332)+(MONTH(G332)/100),TC!$5:$37,DAY(G332)+2,FALSE))</f>
        <v>0</v>
      </c>
      <c r="N332" s="306" t="e">
        <f t="shared" si="81"/>
        <v>#N/A</v>
      </c>
      <c r="O332" s="308">
        <f>IF(G332=0,0,VLOOKUP(YEAR(G332),INPC!$B$4:$P$30,MONTH(G332)+2))</f>
        <v>0</v>
      </c>
      <c r="P332" s="308">
        <f>IF(W332=0,0,IF(OR(C332=$AQ$5,C332=AQ336),VLOOKUP(YEAR(W332),INPC!$B$4:$P$30,MONTH(W332)+1),VLOOKUP(YEAR(W332),INPC!$B$4:$P$30,MONTH(W332)+2)))</f>
        <v>0</v>
      </c>
      <c r="Q332" s="309">
        <f t="shared" si="82"/>
        <v>0</v>
      </c>
      <c r="R332" s="310" t="e">
        <f t="shared" si="83"/>
        <v>#N/A</v>
      </c>
      <c r="S332" s="310">
        <f t="shared" si="84"/>
        <v>0</v>
      </c>
      <c r="T332" s="559" t="str">
        <f t="shared" si="85"/>
        <v>NO</v>
      </c>
      <c r="U332" s="323"/>
      <c r="V332" s="299"/>
      <c r="W332" s="300"/>
      <c r="X332" s="299"/>
      <c r="Y332" s="303"/>
      <c r="Z332" s="305">
        <f>IF(Y332=0,0,IF(X332="MXN",1/HLOOKUP(YEAR(W332)+(MONTH(W332)/100),TC!$5:$37,DAY(W332)+2,FALSE),VLOOKUP(X332,Equivalencia!$1:$23,((MAX(Equivalencia!$3:$3)-YEAR(W332))*14)+MONTH(W332)+2,FALSE)))</f>
        <v>0</v>
      </c>
      <c r="AA332" s="306">
        <f t="shared" si="86"/>
        <v>0</v>
      </c>
      <c r="AB332" s="305">
        <f>+IF(W332=0,0,HLOOKUP(YEAR(W332)+(MONTH(W332)/100),TC!$5:$37,DAY(W332)+2,FALSE))</f>
        <v>0</v>
      </c>
      <c r="AC332" s="306">
        <f t="shared" si="87"/>
        <v>0</v>
      </c>
      <c r="AD332" s="314">
        <f t="shared" si="78"/>
        <v>0</v>
      </c>
      <c r="AE332" s="315">
        <f t="shared" si="88"/>
        <v>0</v>
      </c>
      <c r="AF332" s="316">
        <f t="shared" si="79"/>
        <v>0</v>
      </c>
      <c r="AG332" s="314">
        <v>1</v>
      </c>
      <c r="AH332" s="314">
        <f t="shared" si="89"/>
        <v>0</v>
      </c>
      <c r="AI332" s="314">
        <f t="shared" si="90"/>
        <v>0</v>
      </c>
      <c r="AJ332" s="317"/>
      <c r="AK332" s="315" t="e">
        <f t="shared" si="91"/>
        <v>#N/A</v>
      </c>
      <c r="AM332" s="553"/>
      <c r="AN332" s="553"/>
      <c r="AO332" s="553"/>
    </row>
    <row r="333" spans="2:41">
      <c r="B333" s="296"/>
      <c r="C333" s="299"/>
      <c r="D333" s="296"/>
      <c r="E333" s="298"/>
      <c r="F333" s="299"/>
      <c r="G333" s="300"/>
      <c r="H333" s="303"/>
      <c r="I333" s="303"/>
      <c r="J333" s="322">
        <f t="shared" si="77"/>
        <v>0</v>
      </c>
      <c r="K333" s="305" t="e">
        <f>IF(F333="MXN",1/HLOOKUP(YEAR(G333)+(MONTH(G333)/100),TC!$5:$37,DAY(G333)+2,FALSE),VLOOKUP(F333,Equivalencia!$5:$23,((MAX(Equivalencia!$3:$3)-YEAR(G333))*14)+MONTH(G333)+2,FALSE))</f>
        <v>#N/A</v>
      </c>
      <c r="L333" s="306" t="e">
        <f t="shared" si="80"/>
        <v>#N/A</v>
      </c>
      <c r="M333" s="305">
        <f>IF(G333=0,0,HLOOKUP(YEAR(G333)+(MONTH(G333)/100),TC!$5:$37,DAY(G333)+2,FALSE))</f>
        <v>0</v>
      </c>
      <c r="N333" s="306" t="e">
        <f t="shared" si="81"/>
        <v>#N/A</v>
      </c>
      <c r="O333" s="308">
        <f>IF(G333=0,0,VLOOKUP(YEAR(G333),INPC!$B$4:$P$30,MONTH(G333)+2))</f>
        <v>0</v>
      </c>
      <c r="P333" s="308">
        <f>IF(W333=0,0,IF(OR(C333=$AQ$5,C333=AQ337),VLOOKUP(YEAR(W333),INPC!$B$4:$P$30,MONTH(W333)+1),VLOOKUP(YEAR(W333),INPC!$B$4:$P$30,MONTH(W333)+2)))</f>
        <v>0</v>
      </c>
      <c r="Q333" s="309">
        <f t="shared" si="82"/>
        <v>0</v>
      </c>
      <c r="R333" s="310" t="e">
        <f t="shared" si="83"/>
        <v>#N/A</v>
      </c>
      <c r="S333" s="310">
        <f t="shared" si="84"/>
        <v>0</v>
      </c>
      <c r="T333" s="559" t="str">
        <f t="shared" si="85"/>
        <v>NO</v>
      </c>
      <c r="U333" s="323"/>
      <c r="V333" s="299"/>
      <c r="W333" s="300"/>
      <c r="X333" s="299"/>
      <c r="Y333" s="303"/>
      <c r="Z333" s="305">
        <f>IF(Y333=0,0,IF(X333="MXN",1/HLOOKUP(YEAR(W333)+(MONTH(W333)/100),TC!$5:$37,DAY(W333)+2,FALSE),VLOOKUP(X333,Equivalencia!$1:$23,((MAX(Equivalencia!$3:$3)-YEAR(W333))*14)+MONTH(W333)+2,FALSE)))</f>
        <v>0</v>
      </c>
      <c r="AA333" s="306">
        <f t="shared" si="86"/>
        <v>0</v>
      </c>
      <c r="AB333" s="305">
        <f>+IF(W333=0,0,HLOOKUP(YEAR(W333)+(MONTH(W333)/100),TC!$5:$37,DAY(W333)+2,FALSE))</f>
        <v>0</v>
      </c>
      <c r="AC333" s="306">
        <f t="shared" si="87"/>
        <v>0</v>
      </c>
      <c r="AD333" s="314">
        <f t="shared" si="78"/>
        <v>0</v>
      </c>
      <c r="AE333" s="315">
        <f t="shared" si="88"/>
        <v>0</v>
      </c>
      <c r="AF333" s="316">
        <f t="shared" si="79"/>
        <v>0</v>
      </c>
      <c r="AG333" s="314">
        <v>1</v>
      </c>
      <c r="AH333" s="314">
        <f t="shared" si="89"/>
        <v>0</v>
      </c>
      <c r="AI333" s="314">
        <f t="shared" si="90"/>
        <v>0</v>
      </c>
      <c r="AJ333" s="317"/>
      <c r="AK333" s="315" t="e">
        <f t="shared" si="91"/>
        <v>#N/A</v>
      </c>
      <c r="AM333" s="553"/>
      <c r="AN333" s="553"/>
      <c r="AO333" s="553"/>
    </row>
    <row r="334" spans="2:41">
      <c r="B334" s="296"/>
      <c r="C334" s="299"/>
      <c r="D334" s="296"/>
      <c r="E334" s="298"/>
      <c r="F334" s="299"/>
      <c r="G334" s="300"/>
      <c r="H334" s="303"/>
      <c r="I334" s="303"/>
      <c r="J334" s="322">
        <f t="shared" si="77"/>
        <v>0</v>
      </c>
      <c r="K334" s="305" t="e">
        <f>IF(F334="MXN",1/HLOOKUP(YEAR(G334)+(MONTH(G334)/100),TC!$5:$37,DAY(G334)+2,FALSE),VLOOKUP(F334,Equivalencia!$5:$23,((MAX(Equivalencia!$3:$3)-YEAR(G334))*14)+MONTH(G334)+2,FALSE))</f>
        <v>#N/A</v>
      </c>
      <c r="L334" s="306" t="e">
        <f t="shared" si="80"/>
        <v>#N/A</v>
      </c>
      <c r="M334" s="305">
        <f>IF(G334=0,0,HLOOKUP(YEAR(G334)+(MONTH(G334)/100),TC!$5:$37,DAY(G334)+2,FALSE))</f>
        <v>0</v>
      </c>
      <c r="N334" s="306" t="e">
        <f t="shared" si="81"/>
        <v>#N/A</v>
      </c>
      <c r="O334" s="308">
        <f>IF(G334=0,0,VLOOKUP(YEAR(G334),INPC!$B$4:$P$30,MONTH(G334)+2))</f>
        <v>0</v>
      </c>
      <c r="P334" s="308">
        <f>IF(W334=0,0,IF(OR(C334=$AQ$5,C334=AQ338),VLOOKUP(YEAR(W334),INPC!$B$4:$P$30,MONTH(W334)+1),VLOOKUP(YEAR(W334),INPC!$B$4:$P$30,MONTH(W334)+2)))</f>
        <v>0</v>
      </c>
      <c r="Q334" s="309">
        <f t="shared" si="82"/>
        <v>0</v>
      </c>
      <c r="R334" s="310" t="e">
        <f t="shared" si="83"/>
        <v>#N/A</v>
      </c>
      <c r="S334" s="310">
        <f t="shared" si="84"/>
        <v>0</v>
      </c>
      <c r="T334" s="559" t="str">
        <f t="shared" si="85"/>
        <v>NO</v>
      </c>
      <c r="U334" s="323"/>
      <c r="V334" s="299"/>
      <c r="W334" s="300"/>
      <c r="X334" s="299"/>
      <c r="Y334" s="303"/>
      <c r="Z334" s="305">
        <f>IF(Y334=0,0,IF(X334="MXN",1/HLOOKUP(YEAR(W334)+(MONTH(W334)/100),TC!$5:$37,DAY(W334)+2,FALSE),VLOOKUP(X334,Equivalencia!$1:$23,((MAX(Equivalencia!$3:$3)-YEAR(W334))*14)+MONTH(W334)+2,FALSE)))</f>
        <v>0</v>
      </c>
      <c r="AA334" s="306">
        <f t="shared" si="86"/>
        <v>0</v>
      </c>
      <c r="AB334" s="305">
        <f>+IF(W334=0,0,HLOOKUP(YEAR(W334)+(MONTH(W334)/100),TC!$5:$37,DAY(W334)+2,FALSE))</f>
        <v>0</v>
      </c>
      <c r="AC334" s="306">
        <f t="shared" si="87"/>
        <v>0</v>
      </c>
      <c r="AD334" s="314">
        <f t="shared" si="78"/>
        <v>0</v>
      </c>
      <c r="AE334" s="315">
        <f t="shared" si="88"/>
        <v>0</v>
      </c>
      <c r="AF334" s="316">
        <f t="shared" si="79"/>
        <v>0</v>
      </c>
      <c r="AG334" s="314">
        <v>1</v>
      </c>
      <c r="AH334" s="314">
        <f t="shared" si="89"/>
        <v>0</v>
      </c>
      <c r="AI334" s="314">
        <f t="shared" si="90"/>
        <v>0</v>
      </c>
      <c r="AJ334" s="317"/>
      <c r="AK334" s="315" t="e">
        <f t="shared" si="91"/>
        <v>#N/A</v>
      </c>
      <c r="AM334" s="553"/>
      <c r="AN334" s="553"/>
      <c r="AO334" s="553"/>
    </row>
    <row r="335" spans="2:41">
      <c r="B335" s="296"/>
      <c r="C335" s="299"/>
      <c r="D335" s="296"/>
      <c r="E335" s="298"/>
      <c r="F335" s="299"/>
      <c r="G335" s="300"/>
      <c r="H335" s="303"/>
      <c r="I335" s="303"/>
      <c r="J335" s="322">
        <f t="shared" si="77"/>
        <v>0</v>
      </c>
      <c r="K335" s="305" t="e">
        <f>IF(F335="MXN",1/HLOOKUP(YEAR(G335)+(MONTH(G335)/100),TC!$5:$37,DAY(G335)+2,FALSE),VLOOKUP(F335,Equivalencia!$5:$23,((MAX(Equivalencia!$3:$3)-YEAR(G335))*14)+MONTH(G335)+2,FALSE))</f>
        <v>#N/A</v>
      </c>
      <c r="L335" s="306" t="e">
        <f t="shared" si="80"/>
        <v>#N/A</v>
      </c>
      <c r="M335" s="305">
        <f>IF(G335=0,0,HLOOKUP(YEAR(G335)+(MONTH(G335)/100),TC!$5:$37,DAY(G335)+2,FALSE))</f>
        <v>0</v>
      </c>
      <c r="N335" s="306" t="e">
        <f t="shared" si="81"/>
        <v>#N/A</v>
      </c>
      <c r="O335" s="308">
        <f>IF(G335=0,0,VLOOKUP(YEAR(G335),INPC!$B$4:$P$30,MONTH(G335)+2))</f>
        <v>0</v>
      </c>
      <c r="P335" s="308">
        <f>IF(W335=0,0,IF(OR(C335=$AQ$5,C335=AQ339),VLOOKUP(YEAR(W335),INPC!$B$4:$P$30,MONTH(W335)+1),VLOOKUP(YEAR(W335),INPC!$B$4:$P$30,MONTH(W335)+2)))</f>
        <v>0</v>
      </c>
      <c r="Q335" s="309">
        <f t="shared" si="82"/>
        <v>0</v>
      </c>
      <c r="R335" s="310" t="e">
        <f t="shared" si="83"/>
        <v>#N/A</v>
      </c>
      <c r="S335" s="310">
        <f t="shared" si="84"/>
        <v>0</v>
      </c>
      <c r="T335" s="559" t="str">
        <f t="shared" si="85"/>
        <v>NO</v>
      </c>
      <c r="U335" s="323"/>
      <c r="V335" s="299"/>
      <c r="W335" s="300"/>
      <c r="X335" s="299"/>
      <c r="Y335" s="303"/>
      <c r="Z335" s="305">
        <f>IF(Y335=0,0,IF(X335="MXN",1/HLOOKUP(YEAR(W335)+(MONTH(W335)/100),TC!$5:$37,DAY(W335)+2,FALSE),VLOOKUP(X335,Equivalencia!$1:$23,((MAX(Equivalencia!$3:$3)-YEAR(W335))*14)+MONTH(W335)+2,FALSE)))</f>
        <v>0</v>
      </c>
      <c r="AA335" s="306">
        <f t="shared" si="86"/>
        <v>0</v>
      </c>
      <c r="AB335" s="305">
        <f>+IF(W335=0,0,HLOOKUP(YEAR(W335)+(MONTH(W335)/100),TC!$5:$37,DAY(W335)+2,FALSE))</f>
        <v>0</v>
      </c>
      <c r="AC335" s="306">
        <f t="shared" si="87"/>
        <v>0</v>
      </c>
      <c r="AD335" s="314">
        <f t="shared" si="78"/>
        <v>0</v>
      </c>
      <c r="AE335" s="315">
        <f t="shared" si="88"/>
        <v>0</v>
      </c>
      <c r="AF335" s="316">
        <f t="shared" si="79"/>
        <v>0</v>
      </c>
      <c r="AG335" s="314">
        <v>1</v>
      </c>
      <c r="AH335" s="314">
        <f t="shared" si="89"/>
        <v>0</v>
      </c>
      <c r="AI335" s="314">
        <f t="shared" si="90"/>
        <v>0</v>
      </c>
      <c r="AJ335" s="317"/>
      <c r="AK335" s="315" t="e">
        <f t="shared" si="91"/>
        <v>#N/A</v>
      </c>
      <c r="AM335" s="553"/>
      <c r="AN335" s="553"/>
      <c r="AO335" s="553"/>
    </row>
    <row r="336" spans="2:41">
      <c r="B336" s="296"/>
      <c r="C336" s="299"/>
      <c r="D336" s="296"/>
      <c r="E336" s="298"/>
      <c r="F336" s="299"/>
      <c r="G336" s="300"/>
      <c r="H336" s="303"/>
      <c r="I336" s="303"/>
      <c r="J336" s="322">
        <f t="shared" si="77"/>
        <v>0</v>
      </c>
      <c r="K336" s="305" t="e">
        <f>IF(F336="MXN",1/HLOOKUP(YEAR(G336)+(MONTH(G336)/100),TC!$5:$37,DAY(G336)+2,FALSE),VLOOKUP(F336,Equivalencia!$5:$23,((MAX(Equivalencia!$3:$3)-YEAR(G336))*14)+MONTH(G336)+2,FALSE))</f>
        <v>#N/A</v>
      </c>
      <c r="L336" s="306" t="e">
        <f t="shared" si="80"/>
        <v>#N/A</v>
      </c>
      <c r="M336" s="305">
        <f>IF(G336=0,0,HLOOKUP(YEAR(G336)+(MONTH(G336)/100),TC!$5:$37,DAY(G336)+2,FALSE))</f>
        <v>0</v>
      </c>
      <c r="N336" s="306" t="e">
        <f t="shared" si="81"/>
        <v>#N/A</v>
      </c>
      <c r="O336" s="308">
        <f>IF(G336=0,0,VLOOKUP(YEAR(G336),INPC!$B$4:$P$30,MONTH(G336)+2))</f>
        <v>0</v>
      </c>
      <c r="P336" s="308">
        <f>IF(W336=0,0,IF(OR(C336=$AQ$5,C336=AQ340),VLOOKUP(YEAR(W336),INPC!$B$4:$P$30,MONTH(W336)+1),VLOOKUP(YEAR(W336),INPC!$B$4:$P$30,MONTH(W336)+2)))</f>
        <v>0</v>
      </c>
      <c r="Q336" s="309">
        <f t="shared" si="82"/>
        <v>0</v>
      </c>
      <c r="R336" s="310" t="e">
        <f t="shared" si="83"/>
        <v>#N/A</v>
      </c>
      <c r="S336" s="310">
        <f t="shared" si="84"/>
        <v>0</v>
      </c>
      <c r="T336" s="559" t="str">
        <f t="shared" si="85"/>
        <v>NO</v>
      </c>
      <c r="U336" s="323"/>
      <c r="V336" s="299"/>
      <c r="W336" s="300"/>
      <c r="X336" s="299"/>
      <c r="Y336" s="303"/>
      <c r="Z336" s="305">
        <f>IF(Y336=0,0,IF(X336="MXN",1/HLOOKUP(YEAR(W336)+(MONTH(W336)/100),TC!$5:$37,DAY(W336)+2,FALSE),VLOOKUP(X336,Equivalencia!$1:$23,((MAX(Equivalencia!$3:$3)-YEAR(W336))*14)+MONTH(W336)+2,FALSE)))</f>
        <v>0</v>
      </c>
      <c r="AA336" s="306">
        <f t="shared" si="86"/>
        <v>0</v>
      </c>
      <c r="AB336" s="305">
        <f>+IF(W336=0,0,HLOOKUP(YEAR(W336)+(MONTH(W336)/100),TC!$5:$37,DAY(W336)+2,FALSE))</f>
        <v>0</v>
      </c>
      <c r="AC336" s="306">
        <f t="shared" si="87"/>
        <v>0</v>
      </c>
      <c r="AD336" s="314">
        <f t="shared" si="78"/>
        <v>0</v>
      </c>
      <c r="AE336" s="315">
        <f t="shared" si="88"/>
        <v>0</v>
      </c>
      <c r="AF336" s="316">
        <f t="shared" si="79"/>
        <v>0</v>
      </c>
      <c r="AG336" s="314">
        <v>1</v>
      </c>
      <c r="AH336" s="314">
        <f t="shared" si="89"/>
        <v>0</v>
      </c>
      <c r="AI336" s="314">
        <f t="shared" si="90"/>
        <v>0</v>
      </c>
      <c r="AJ336" s="317"/>
      <c r="AK336" s="315" t="e">
        <f t="shared" si="91"/>
        <v>#N/A</v>
      </c>
      <c r="AM336" s="553"/>
      <c r="AN336" s="553"/>
      <c r="AO336" s="553"/>
    </row>
    <row r="337" spans="2:41">
      <c r="B337" s="296"/>
      <c r="C337" s="299"/>
      <c r="D337" s="296"/>
      <c r="E337" s="298"/>
      <c r="F337" s="299"/>
      <c r="G337" s="300"/>
      <c r="H337" s="303"/>
      <c r="I337" s="303"/>
      <c r="J337" s="322">
        <f t="shared" si="77"/>
        <v>0</v>
      </c>
      <c r="K337" s="305" t="e">
        <f>IF(F337="MXN",1/HLOOKUP(YEAR(G337)+(MONTH(G337)/100),TC!$5:$37,DAY(G337)+2,FALSE),VLOOKUP(F337,Equivalencia!$5:$23,((MAX(Equivalencia!$3:$3)-YEAR(G337))*14)+MONTH(G337)+2,FALSE))</f>
        <v>#N/A</v>
      </c>
      <c r="L337" s="306" t="e">
        <f t="shared" si="80"/>
        <v>#N/A</v>
      </c>
      <c r="M337" s="305">
        <f>IF(G337=0,0,HLOOKUP(YEAR(G337)+(MONTH(G337)/100),TC!$5:$37,DAY(G337)+2,FALSE))</f>
        <v>0</v>
      </c>
      <c r="N337" s="306" t="e">
        <f t="shared" si="81"/>
        <v>#N/A</v>
      </c>
      <c r="O337" s="308">
        <f>IF(G337=0,0,VLOOKUP(YEAR(G337),INPC!$B$4:$P$30,MONTH(G337)+2))</f>
        <v>0</v>
      </c>
      <c r="P337" s="308">
        <f>IF(W337=0,0,IF(OR(C337=$AQ$5,C337=AQ341),VLOOKUP(YEAR(W337),INPC!$B$4:$P$30,MONTH(W337)+1),VLOOKUP(YEAR(W337),INPC!$B$4:$P$30,MONTH(W337)+2)))</f>
        <v>0</v>
      </c>
      <c r="Q337" s="309">
        <f t="shared" si="82"/>
        <v>0</v>
      </c>
      <c r="R337" s="310" t="e">
        <f t="shared" si="83"/>
        <v>#N/A</v>
      </c>
      <c r="S337" s="310">
        <f t="shared" si="84"/>
        <v>0</v>
      </c>
      <c r="T337" s="559" t="str">
        <f t="shared" si="85"/>
        <v>NO</v>
      </c>
      <c r="U337" s="323"/>
      <c r="V337" s="299"/>
      <c r="W337" s="300"/>
      <c r="X337" s="299"/>
      <c r="Y337" s="303"/>
      <c r="Z337" s="305">
        <f>IF(Y337=0,0,IF(X337="MXN",1/HLOOKUP(YEAR(W337)+(MONTH(W337)/100),TC!$5:$37,DAY(W337)+2,FALSE),VLOOKUP(X337,Equivalencia!$1:$23,((MAX(Equivalencia!$3:$3)-YEAR(W337))*14)+MONTH(W337)+2,FALSE)))</f>
        <v>0</v>
      </c>
      <c r="AA337" s="306">
        <f t="shared" si="86"/>
        <v>0</v>
      </c>
      <c r="AB337" s="305">
        <f>+IF(W337=0,0,HLOOKUP(YEAR(W337)+(MONTH(W337)/100),TC!$5:$37,DAY(W337)+2,FALSE))</f>
        <v>0</v>
      </c>
      <c r="AC337" s="306">
        <f t="shared" si="87"/>
        <v>0</v>
      </c>
      <c r="AD337" s="314">
        <f t="shared" si="78"/>
        <v>0</v>
      </c>
      <c r="AE337" s="315">
        <f t="shared" si="88"/>
        <v>0</v>
      </c>
      <c r="AF337" s="316">
        <f t="shared" si="79"/>
        <v>0</v>
      </c>
      <c r="AG337" s="314">
        <v>1</v>
      </c>
      <c r="AH337" s="314">
        <f t="shared" si="89"/>
        <v>0</v>
      </c>
      <c r="AI337" s="314">
        <f t="shared" si="90"/>
        <v>0</v>
      </c>
      <c r="AJ337" s="317"/>
      <c r="AK337" s="315" t="e">
        <f t="shared" si="91"/>
        <v>#N/A</v>
      </c>
      <c r="AM337" s="553"/>
      <c r="AN337" s="553"/>
      <c r="AO337" s="553"/>
    </row>
    <row r="338" spans="2:41">
      <c r="B338" s="296"/>
      <c r="C338" s="299"/>
      <c r="D338" s="296"/>
      <c r="E338" s="298"/>
      <c r="F338" s="299"/>
      <c r="G338" s="300"/>
      <c r="H338" s="303"/>
      <c r="I338" s="303"/>
      <c r="J338" s="322">
        <f t="shared" si="77"/>
        <v>0</v>
      </c>
      <c r="K338" s="305" t="e">
        <f>IF(F338="MXN",1/HLOOKUP(YEAR(G338)+(MONTH(G338)/100),TC!$5:$37,DAY(G338)+2,FALSE),VLOOKUP(F338,Equivalencia!$5:$23,((MAX(Equivalencia!$3:$3)-YEAR(G338))*14)+MONTH(G338)+2,FALSE))</f>
        <v>#N/A</v>
      </c>
      <c r="L338" s="306" t="e">
        <f t="shared" si="80"/>
        <v>#N/A</v>
      </c>
      <c r="M338" s="305">
        <f>IF(G338=0,0,HLOOKUP(YEAR(G338)+(MONTH(G338)/100),TC!$5:$37,DAY(G338)+2,FALSE))</f>
        <v>0</v>
      </c>
      <c r="N338" s="306" t="e">
        <f t="shared" si="81"/>
        <v>#N/A</v>
      </c>
      <c r="O338" s="308">
        <f>IF(G338=0,0,VLOOKUP(YEAR(G338),INPC!$B$4:$P$30,MONTH(G338)+2))</f>
        <v>0</v>
      </c>
      <c r="P338" s="308">
        <f>IF(W338=0,0,IF(OR(C338=$AQ$5,C338=AQ342),VLOOKUP(YEAR(W338),INPC!$B$4:$P$30,MONTH(W338)+1),VLOOKUP(YEAR(W338),INPC!$B$4:$P$30,MONTH(W338)+2)))</f>
        <v>0</v>
      </c>
      <c r="Q338" s="309">
        <f t="shared" si="82"/>
        <v>0</v>
      </c>
      <c r="R338" s="310" t="e">
        <f t="shared" si="83"/>
        <v>#N/A</v>
      </c>
      <c r="S338" s="310">
        <f t="shared" si="84"/>
        <v>0</v>
      </c>
      <c r="T338" s="559" t="str">
        <f t="shared" si="85"/>
        <v>NO</v>
      </c>
      <c r="U338" s="323"/>
      <c r="V338" s="299"/>
      <c r="W338" s="300"/>
      <c r="X338" s="299"/>
      <c r="Y338" s="303"/>
      <c r="Z338" s="305">
        <f>IF(Y338=0,0,IF(X338="MXN",1/HLOOKUP(YEAR(W338)+(MONTH(W338)/100),TC!$5:$37,DAY(W338)+2,FALSE),VLOOKUP(X338,Equivalencia!$1:$23,((MAX(Equivalencia!$3:$3)-YEAR(W338))*14)+MONTH(W338)+2,FALSE)))</f>
        <v>0</v>
      </c>
      <c r="AA338" s="306">
        <f t="shared" si="86"/>
        <v>0</v>
      </c>
      <c r="AB338" s="305">
        <f>+IF(W338=0,0,HLOOKUP(YEAR(W338)+(MONTH(W338)/100),TC!$5:$37,DAY(W338)+2,FALSE))</f>
        <v>0</v>
      </c>
      <c r="AC338" s="306">
        <f t="shared" si="87"/>
        <v>0</v>
      </c>
      <c r="AD338" s="314">
        <f t="shared" si="78"/>
        <v>0</v>
      </c>
      <c r="AE338" s="315">
        <f t="shared" si="88"/>
        <v>0</v>
      </c>
      <c r="AF338" s="316">
        <f t="shared" si="79"/>
        <v>0</v>
      </c>
      <c r="AG338" s="314">
        <v>1</v>
      </c>
      <c r="AH338" s="314">
        <f t="shared" si="89"/>
        <v>0</v>
      </c>
      <c r="AI338" s="314">
        <f t="shared" si="90"/>
        <v>0</v>
      </c>
      <c r="AJ338" s="317"/>
      <c r="AK338" s="315" t="e">
        <f t="shared" si="91"/>
        <v>#N/A</v>
      </c>
      <c r="AM338" s="553"/>
      <c r="AN338" s="553"/>
      <c r="AO338" s="553"/>
    </row>
    <row r="339" spans="2:41">
      <c r="B339" s="296"/>
      <c r="C339" s="299"/>
      <c r="D339" s="296"/>
      <c r="E339" s="298"/>
      <c r="F339" s="299"/>
      <c r="G339" s="300"/>
      <c r="H339" s="303"/>
      <c r="I339" s="303"/>
      <c r="J339" s="322">
        <f t="shared" si="77"/>
        <v>0</v>
      </c>
      <c r="K339" s="305" t="e">
        <f>IF(F339="MXN",1/HLOOKUP(YEAR(G339)+(MONTH(G339)/100),TC!$5:$37,DAY(G339)+2,FALSE),VLOOKUP(F339,Equivalencia!$5:$23,((MAX(Equivalencia!$3:$3)-YEAR(G339))*14)+MONTH(G339)+2,FALSE))</f>
        <v>#N/A</v>
      </c>
      <c r="L339" s="306" t="e">
        <f t="shared" si="80"/>
        <v>#N/A</v>
      </c>
      <c r="M339" s="305">
        <f>IF(G339=0,0,HLOOKUP(YEAR(G339)+(MONTH(G339)/100),TC!$5:$37,DAY(G339)+2,FALSE))</f>
        <v>0</v>
      </c>
      <c r="N339" s="306" t="e">
        <f t="shared" si="81"/>
        <v>#N/A</v>
      </c>
      <c r="O339" s="308">
        <f>IF(G339=0,0,VLOOKUP(YEAR(G339),INPC!$B$4:$P$30,MONTH(G339)+2))</f>
        <v>0</v>
      </c>
      <c r="P339" s="308">
        <f>IF(W339=0,0,IF(OR(C339=$AQ$5,C339=AQ343),VLOOKUP(YEAR(W339),INPC!$B$4:$P$30,MONTH(W339)+1),VLOOKUP(YEAR(W339),INPC!$B$4:$P$30,MONTH(W339)+2)))</f>
        <v>0</v>
      </c>
      <c r="Q339" s="309">
        <f t="shared" si="82"/>
        <v>0</v>
      </c>
      <c r="R339" s="310" t="e">
        <f t="shared" si="83"/>
        <v>#N/A</v>
      </c>
      <c r="S339" s="310">
        <f t="shared" si="84"/>
        <v>0</v>
      </c>
      <c r="T339" s="559" t="str">
        <f t="shared" si="85"/>
        <v>NO</v>
      </c>
      <c r="U339" s="323"/>
      <c r="V339" s="299"/>
      <c r="W339" s="300"/>
      <c r="X339" s="299"/>
      <c r="Y339" s="303"/>
      <c r="Z339" s="305">
        <f>IF(Y339=0,0,IF(X339="MXN",1/HLOOKUP(YEAR(W339)+(MONTH(W339)/100),TC!$5:$37,DAY(W339)+2,FALSE),VLOOKUP(X339,Equivalencia!$1:$23,((MAX(Equivalencia!$3:$3)-YEAR(W339))*14)+MONTH(W339)+2,FALSE)))</f>
        <v>0</v>
      </c>
      <c r="AA339" s="306">
        <f t="shared" si="86"/>
        <v>0</v>
      </c>
      <c r="AB339" s="305">
        <f>+IF(W339=0,0,HLOOKUP(YEAR(W339)+(MONTH(W339)/100),TC!$5:$37,DAY(W339)+2,FALSE))</f>
        <v>0</v>
      </c>
      <c r="AC339" s="306">
        <f t="shared" si="87"/>
        <v>0</v>
      </c>
      <c r="AD339" s="314">
        <f t="shared" si="78"/>
        <v>0</v>
      </c>
      <c r="AE339" s="315">
        <f t="shared" si="88"/>
        <v>0</v>
      </c>
      <c r="AF339" s="316">
        <f t="shared" si="79"/>
        <v>0</v>
      </c>
      <c r="AG339" s="314">
        <v>1</v>
      </c>
      <c r="AH339" s="314">
        <f t="shared" si="89"/>
        <v>0</v>
      </c>
      <c r="AI339" s="314">
        <f t="shared" si="90"/>
        <v>0</v>
      </c>
      <c r="AJ339" s="317"/>
      <c r="AK339" s="315" t="e">
        <f t="shared" si="91"/>
        <v>#N/A</v>
      </c>
      <c r="AM339" s="553"/>
      <c r="AN339" s="553"/>
      <c r="AO339" s="553"/>
    </row>
    <row r="340" spans="2:41">
      <c r="B340" s="296"/>
      <c r="C340" s="299"/>
      <c r="D340" s="296"/>
      <c r="E340" s="298"/>
      <c r="F340" s="299"/>
      <c r="G340" s="300"/>
      <c r="H340" s="303"/>
      <c r="I340" s="303"/>
      <c r="J340" s="322">
        <f t="shared" si="77"/>
        <v>0</v>
      </c>
      <c r="K340" s="305" t="e">
        <f>IF(F340="MXN",1/HLOOKUP(YEAR(G340)+(MONTH(G340)/100),TC!$5:$37,DAY(G340)+2,FALSE),VLOOKUP(F340,Equivalencia!$5:$23,((MAX(Equivalencia!$3:$3)-YEAR(G340))*14)+MONTH(G340)+2,FALSE))</f>
        <v>#N/A</v>
      </c>
      <c r="L340" s="306" t="e">
        <f t="shared" si="80"/>
        <v>#N/A</v>
      </c>
      <c r="M340" s="305">
        <f>IF(G340=0,0,HLOOKUP(YEAR(G340)+(MONTH(G340)/100),TC!$5:$37,DAY(G340)+2,FALSE))</f>
        <v>0</v>
      </c>
      <c r="N340" s="306" t="e">
        <f t="shared" si="81"/>
        <v>#N/A</v>
      </c>
      <c r="O340" s="308">
        <f>IF(G340=0,0,VLOOKUP(YEAR(G340),INPC!$B$4:$P$30,MONTH(G340)+2))</f>
        <v>0</v>
      </c>
      <c r="P340" s="308">
        <f>IF(W340=0,0,IF(OR(C340=$AQ$5,C340=AQ344),VLOOKUP(YEAR(W340),INPC!$B$4:$P$30,MONTH(W340)+1),VLOOKUP(YEAR(W340),INPC!$B$4:$P$30,MONTH(W340)+2)))</f>
        <v>0</v>
      </c>
      <c r="Q340" s="309">
        <f t="shared" si="82"/>
        <v>0</v>
      </c>
      <c r="R340" s="310" t="e">
        <f t="shared" si="83"/>
        <v>#N/A</v>
      </c>
      <c r="S340" s="310">
        <f t="shared" si="84"/>
        <v>0</v>
      </c>
      <c r="T340" s="559" t="str">
        <f t="shared" si="85"/>
        <v>NO</v>
      </c>
      <c r="U340" s="323"/>
      <c r="V340" s="299"/>
      <c r="W340" s="300"/>
      <c r="X340" s="299"/>
      <c r="Y340" s="303"/>
      <c r="Z340" s="305">
        <f>IF(Y340=0,0,IF(X340="MXN",1/HLOOKUP(YEAR(W340)+(MONTH(W340)/100),TC!$5:$37,DAY(W340)+2,FALSE),VLOOKUP(X340,Equivalencia!$1:$23,((MAX(Equivalencia!$3:$3)-YEAR(W340))*14)+MONTH(W340)+2,FALSE)))</f>
        <v>0</v>
      </c>
      <c r="AA340" s="306">
        <f t="shared" si="86"/>
        <v>0</v>
      </c>
      <c r="AB340" s="305">
        <f>+IF(W340=0,0,HLOOKUP(YEAR(W340)+(MONTH(W340)/100),TC!$5:$37,DAY(W340)+2,FALSE))</f>
        <v>0</v>
      </c>
      <c r="AC340" s="306">
        <f t="shared" si="87"/>
        <v>0</v>
      </c>
      <c r="AD340" s="314">
        <f t="shared" si="78"/>
        <v>0</v>
      </c>
      <c r="AE340" s="315">
        <f t="shared" si="88"/>
        <v>0</v>
      </c>
      <c r="AF340" s="316">
        <f t="shared" si="79"/>
        <v>0</v>
      </c>
      <c r="AG340" s="314">
        <v>1</v>
      </c>
      <c r="AH340" s="314">
        <f t="shared" si="89"/>
        <v>0</v>
      </c>
      <c r="AI340" s="314">
        <f t="shared" si="90"/>
        <v>0</v>
      </c>
      <c r="AJ340" s="317"/>
      <c r="AK340" s="315" t="e">
        <f t="shared" si="91"/>
        <v>#N/A</v>
      </c>
      <c r="AM340" s="553"/>
      <c r="AN340" s="553"/>
      <c r="AO340" s="553"/>
    </row>
    <row r="341" spans="2:41">
      <c r="B341" s="296"/>
      <c r="C341" s="299"/>
      <c r="D341" s="296"/>
      <c r="E341" s="298"/>
      <c r="F341" s="299"/>
      <c r="G341" s="300"/>
      <c r="H341" s="303"/>
      <c r="I341" s="303"/>
      <c r="J341" s="322">
        <f t="shared" si="77"/>
        <v>0</v>
      </c>
      <c r="K341" s="305" t="e">
        <f>IF(F341="MXN",1/HLOOKUP(YEAR(G341)+(MONTH(G341)/100),TC!$5:$37,DAY(G341)+2,FALSE),VLOOKUP(F341,Equivalencia!$5:$23,((MAX(Equivalencia!$3:$3)-YEAR(G341))*14)+MONTH(G341)+2,FALSE))</f>
        <v>#N/A</v>
      </c>
      <c r="L341" s="306" t="e">
        <f t="shared" si="80"/>
        <v>#N/A</v>
      </c>
      <c r="M341" s="305">
        <f>IF(G341=0,0,HLOOKUP(YEAR(G341)+(MONTH(G341)/100),TC!$5:$37,DAY(G341)+2,FALSE))</f>
        <v>0</v>
      </c>
      <c r="N341" s="306" t="e">
        <f t="shared" si="81"/>
        <v>#N/A</v>
      </c>
      <c r="O341" s="308">
        <f>IF(G341=0,0,VLOOKUP(YEAR(G341),INPC!$B$4:$P$30,MONTH(G341)+2))</f>
        <v>0</v>
      </c>
      <c r="P341" s="308">
        <f>IF(W341=0,0,IF(OR(C341=$AQ$5,C341=AQ345),VLOOKUP(YEAR(W341),INPC!$B$4:$P$30,MONTH(W341)+1),VLOOKUP(YEAR(W341),INPC!$B$4:$P$30,MONTH(W341)+2)))</f>
        <v>0</v>
      </c>
      <c r="Q341" s="309">
        <f t="shared" si="82"/>
        <v>0</v>
      </c>
      <c r="R341" s="310" t="e">
        <f t="shared" si="83"/>
        <v>#N/A</v>
      </c>
      <c r="S341" s="310">
        <f t="shared" si="84"/>
        <v>0</v>
      </c>
      <c r="T341" s="559" t="str">
        <f t="shared" si="85"/>
        <v>NO</v>
      </c>
      <c r="U341" s="323"/>
      <c r="V341" s="299"/>
      <c r="W341" s="300"/>
      <c r="X341" s="299"/>
      <c r="Y341" s="303"/>
      <c r="Z341" s="305">
        <f>IF(Y341=0,0,IF(X341="MXN",1/HLOOKUP(YEAR(W341)+(MONTH(W341)/100),TC!$5:$37,DAY(W341)+2,FALSE),VLOOKUP(X341,Equivalencia!$1:$23,((MAX(Equivalencia!$3:$3)-YEAR(W341))*14)+MONTH(W341)+2,FALSE)))</f>
        <v>0</v>
      </c>
      <c r="AA341" s="306">
        <f t="shared" si="86"/>
        <v>0</v>
      </c>
      <c r="AB341" s="305">
        <f>+IF(W341=0,0,HLOOKUP(YEAR(W341)+(MONTH(W341)/100),TC!$5:$37,DAY(W341)+2,FALSE))</f>
        <v>0</v>
      </c>
      <c r="AC341" s="306">
        <f t="shared" si="87"/>
        <v>0</v>
      </c>
      <c r="AD341" s="314">
        <f t="shared" si="78"/>
        <v>0</v>
      </c>
      <c r="AE341" s="315">
        <f t="shared" si="88"/>
        <v>0</v>
      </c>
      <c r="AF341" s="316">
        <f t="shared" si="79"/>
        <v>0</v>
      </c>
      <c r="AG341" s="314">
        <v>1</v>
      </c>
      <c r="AH341" s="314">
        <f t="shared" si="89"/>
        <v>0</v>
      </c>
      <c r="AI341" s="314">
        <f t="shared" si="90"/>
        <v>0</v>
      </c>
      <c r="AJ341" s="317"/>
      <c r="AK341" s="315" t="e">
        <f t="shared" si="91"/>
        <v>#N/A</v>
      </c>
      <c r="AM341" s="553"/>
      <c r="AN341" s="553"/>
      <c r="AO341" s="553"/>
    </row>
    <row r="342" spans="2:41">
      <c r="B342" s="296"/>
      <c r="C342" s="299"/>
      <c r="D342" s="296"/>
      <c r="E342" s="298"/>
      <c r="F342" s="299"/>
      <c r="G342" s="300"/>
      <c r="H342" s="303"/>
      <c r="I342" s="303"/>
      <c r="J342" s="322">
        <f t="shared" si="77"/>
        <v>0</v>
      </c>
      <c r="K342" s="305" t="e">
        <f>IF(F342="MXN",1/HLOOKUP(YEAR(G342)+(MONTH(G342)/100),TC!$5:$37,DAY(G342)+2,FALSE),VLOOKUP(F342,Equivalencia!$5:$23,((MAX(Equivalencia!$3:$3)-YEAR(G342))*14)+MONTH(G342)+2,FALSE))</f>
        <v>#N/A</v>
      </c>
      <c r="L342" s="306" t="e">
        <f t="shared" si="80"/>
        <v>#N/A</v>
      </c>
      <c r="M342" s="305">
        <f>IF(G342=0,0,HLOOKUP(YEAR(G342)+(MONTH(G342)/100),TC!$5:$37,DAY(G342)+2,FALSE))</f>
        <v>0</v>
      </c>
      <c r="N342" s="306" t="e">
        <f t="shared" si="81"/>
        <v>#N/A</v>
      </c>
      <c r="O342" s="308">
        <f>IF(G342=0,0,VLOOKUP(YEAR(G342),INPC!$B$4:$P$30,MONTH(G342)+2))</f>
        <v>0</v>
      </c>
      <c r="P342" s="308">
        <f>IF(W342=0,0,IF(OR(C342=$AQ$5,C342=AQ346),VLOOKUP(YEAR(W342),INPC!$B$4:$P$30,MONTH(W342)+1),VLOOKUP(YEAR(W342),INPC!$B$4:$P$30,MONTH(W342)+2)))</f>
        <v>0</v>
      </c>
      <c r="Q342" s="309">
        <f t="shared" si="82"/>
        <v>0</v>
      </c>
      <c r="R342" s="310" t="e">
        <f t="shared" si="83"/>
        <v>#N/A</v>
      </c>
      <c r="S342" s="310">
        <f t="shared" si="84"/>
        <v>0</v>
      </c>
      <c r="T342" s="559" t="str">
        <f t="shared" si="85"/>
        <v>NO</v>
      </c>
      <c r="U342" s="323"/>
      <c r="V342" s="299"/>
      <c r="W342" s="300"/>
      <c r="X342" s="299"/>
      <c r="Y342" s="303"/>
      <c r="Z342" s="305">
        <f>IF(Y342=0,0,IF(X342="MXN",1/HLOOKUP(YEAR(W342)+(MONTH(W342)/100),TC!$5:$37,DAY(W342)+2,FALSE),VLOOKUP(X342,Equivalencia!$1:$23,((MAX(Equivalencia!$3:$3)-YEAR(W342))*14)+MONTH(W342)+2,FALSE)))</f>
        <v>0</v>
      </c>
      <c r="AA342" s="306">
        <f t="shared" si="86"/>
        <v>0</v>
      </c>
      <c r="AB342" s="305">
        <f>+IF(W342=0,0,HLOOKUP(YEAR(W342)+(MONTH(W342)/100),TC!$5:$37,DAY(W342)+2,FALSE))</f>
        <v>0</v>
      </c>
      <c r="AC342" s="306">
        <f t="shared" si="87"/>
        <v>0</v>
      </c>
      <c r="AD342" s="314">
        <f t="shared" si="78"/>
        <v>0</v>
      </c>
      <c r="AE342" s="315">
        <f t="shared" si="88"/>
        <v>0</v>
      </c>
      <c r="AF342" s="316">
        <f t="shared" si="79"/>
        <v>0</v>
      </c>
      <c r="AG342" s="314">
        <v>1</v>
      </c>
      <c r="AH342" s="314">
        <f t="shared" si="89"/>
        <v>0</v>
      </c>
      <c r="AI342" s="314">
        <f t="shared" si="90"/>
        <v>0</v>
      </c>
      <c r="AJ342" s="317"/>
      <c r="AK342" s="315" t="e">
        <f t="shared" si="91"/>
        <v>#N/A</v>
      </c>
      <c r="AM342" s="553"/>
      <c r="AN342" s="553"/>
      <c r="AO342" s="553"/>
    </row>
    <row r="343" spans="2:41">
      <c r="B343" s="296"/>
      <c r="C343" s="299"/>
      <c r="D343" s="296"/>
      <c r="E343" s="298"/>
      <c r="F343" s="299"/>
      <c r="G343" s="300"/>
      <c r="H343" s="303"/>
      <c r="I343" s="303"/>
      <c r="J343" s="322">
        <f t="shared" si="77"/>
        <v>0</v>
      </c>
      <c r="K343" s="305" t="e">
        <f>IF(F343="MXN",1/HLOOKUP(YEAR(G343)+(MONTH(G343)/100),TC!$5:$37,DAY(G343)+2,FALSE),VLOOKUP(F343,Equivalencia!$5:$23,((MAX(Equivalencia!$3:$3)-YEAR(G343))*14)+MONTH(G343)+2,FALSE))</f>
        <v>#N/A</v>
      </c>
      <c r="L343" s="306" t="e">
        <f t="shared" si="80"/>
        <v>#N/A</v>
      </c>
      <c r="M343" s="305">
        <f>IF(G343=0,0,HLOOKUP(YEAR(G343)+(MONTH(G343)/100),TC!$5:$37,DAY(G343)+2,FALSE))</f>
        <v>0</v>
      </c>
      <c r="N343" s="306" t="e">
        <f t="shared" si="81"/>
        <v>#N/A</v>
      </c>
      <c r="O343" s="308">
        <f>IF(G343=0,0,VLOOKUP(YEAR(G343),INPC!$B$4:$P$30,MONTH(G343)+2))</f>
        <v>0</v>
      </c>
      <c r="P343" s="308">
        <f>IF(W343=0,0,IF(OR(C343=$AQ$5,C343=AQ347),VLOOKUP(YEAR(W343),INPC!$B$4:$P$30,MONTH(W343)+1),VLOOKUP(YEAR(W343),INPC!$B$4:$P$30,MONTH(W343)+2)))</f>
        <v>0</v>
      </c>
      <c r="Q343" s="309">
        <f t="shared" si="82"/>
        <v>0</v>
      </c>
      <c r="R343" s="310" t="e">
        <f t="shared" si="83"/>
        <v>#N/A</v>
      </c>
      <c r="S343" s="310">
        <f t="shared" si="84"/>
        <v>0</v>
      </c>
      <c r="T343" s="559" t="str">
        <f t="shared" si="85"/>
        <v>NO</v>
      </c>
      <c r="U343" s="323"/>
      <c r="V343" s="299"/>
      <c r="W343" s="300"/>
      <c r="X343" s="299"/>
      <c r="Y343" s="303"/>
      <c r="Z343" s="305">
        <f>IF(Y343=0,0,IF(X343="MXN",1/HLOOKUP(YEAR(W343)+(MONTH(W343)/100),TC!$5:$37,DAY(W343)+2,FALSE),VLOOKUP(X343,Equivalencia!$1:$23,((MAX(Equivalencia!$3:$3)-YEAR(W343))*14)+MONTH(W343)+2,FALSE)))</f>
        <v>0</v>
      </c>
      <c r="AA343" s="306">
        <f t="shared" si="86"/>
        <v>0</v>
      </c>
      <c r="AB343" s="305">
        <f>+IF(W343=0,0,HLOOKUP(YEAR(W343)+(MONTH(W343)/100),TC!$5:$37,DAY(W343)+2,FALSE))</f>
        <v>0</v>
      </c>
      <c r="AC343" s="306">
        <f t="shared" si="87"/>
        <v>0</v>
      </c>
      <c r="AD343" s="314">
        <f t="shared" si="78"/>
        <v>0</v>
      </c>
      <c r="AE343" s="315">
        <f t="shared" si="88"/>
        <v>0</v>
      </c>
      <c r="AF343" s="316">
        <f t="shared" si="79"/>
        <v>0</v>
      </c>
      <c r="AG343" s="314">
        <v>1</v>
      </c>
      <c r="AH343" s="314">
        <f t="shared" si="89"/>
        <v>0</v>
      </c>
      <c r="AI343" s="314">
        <f t="shared" si="90"/>
        <v>0</v>
      </c>
      <c r="AJ343" s="317"/>
      <c r="AK343" s="315" t="e">
        <f t="shared" si="91"/>
        <v>#N/A</v>
      </c>
      <c r="AM343" s="553"/>
      <c r="AN343" s="553"/>
      <c r="AO343" s="553"/>
    </row>
    <row r="344" spans="2:41">
      <c r="B344" s="296"/>
      <c r="C344" s="299"/>
      <c r="D344" s="296"/>
      <c r="E344" s="298"/>
      <c r="F344" s="299"/>
      <c r="G344" s="300"/>
      <c r="H344" s="303"/>
      <c r="I344" s="303"/>
      <c r="J344" s="322">
        <f t="shared" si="77"/>
        <v>0</v>
      </c>
      <c r="K344" s="305" t="e">
        <f>IF(F344="MXN",1/HLOOKUP(YEAR(G344)+(MONTH(G344)/100),TC!$5:$37,DAY(G344)+2,FALSE),VLOOKUP(F344,Equivalencia!$5:$23,((MAX(Equivalencia!$3:$3)-YEAR(G344))*14)+MONTH(G344)+2,FALSE))</f>
        <v>#N/A</v>
      </c>
      <c r="L344" s="306" t="e">
        <f t="shared" si="80"/>
        <v>#N/A</v>
      </c>
      <c r="M344" s="305">
        <f>IF(G344=0,0,HLOOKUP(YEAR(G344)+(MONTH(G344)/100),TC!$5:$37,DAY(G344)+2,FALSE))</f>
        <v>0</v>
      </c>
      <c r="N344" s="306" t="e">
        <f t="shared" si="81"/>
        <v>#N/A</v>
      </c>
      <c r="O344" s="308">
        <f>IF(G344=0,0,VLOOKUP(YEAR(G344),INPC!$B$4:$P$30,MONTH(G344)+2))</f>
        <v>0</v>
      </c>
      <c r="P344" s="308">
        <f>IF(W344=0,0,IF(OR(C344=$AQ$5,C344=AQ348),VLOOKUP(YEAR(W344),INPC!$B$4:$P$30,MONTH(W344)+1),VLOOKUP(YEAR(W344),INPC!$B$4:$P$30,MONTH(W344)+2)))</f>
        <v>0</v>
      </c>
      <c r="Q344" s="309">
        <f t="shared" si="82"/>
        <v>0</v>
      </c>
      <c r="R344" s="310" t="e">
        <f t="shared" si="83"/>
        <v>#N/A</v>
      </c>
      <c r="S344" s="310">
        <f t="shared" si="84"/>
        <v>0</v>
      </c>
      <c r="T344" s="559" t="str">
        <f t="shared" si="85"/>
        <v>NO</v>
      </c>
      <c r="U344" s="323"/>
      <c r="V344" s="299"/>
      <c r="W344" s="300"/>
      <c r="X344" s="299"/>
      <c r="Y344" s="303"/>
      <c r="Z344" s="305">
        <f>IF(Y344=0,0,IF(X344="MXN",1/HLOOKUP(YEAR(W344)+(MONTH(W344)/100),TC!$5:$37,DAY(W344)+2,FALSE),VLOOKUP(X344,Equivalencia!$1:$23,((MAX(Equivalencia!$3:$3)-YEAR(W344))*14)+MONTH(W344)+2,FALSE)))</f>
        <v>0</v>
      </c>
      <c r="AA344" s="306">
        <f t="shared" si="86"/>
        <v>0</v>
      </c>
      <c r="AB344" s="305">
        <f>+IF(W344=0,0,HLOOKUP(YEAR(W344)+(MONTH(W344)/100),TC!$5:$37,DAY(W344)+2,FALSE))</f>
        <v>0</v>
      </c>
      <c r="AC344" s="306">
        <f t="shared" si="87"/>
        <v>0</v>
      </c>
      <c r="AD344" s="314">
        <f t="shared" si="78"/>
        <v>0</v>
      </c>
      <c r="AE344" s="315">
        <f t="shared" si="88"/>
        <v>0</v>
      </c>
      <c r="AF344" s="316">
        <f t="shared" si="79"/>
        <v>0</v>
      </c>
      <c r="AG344" s="314">
        <v>1</v>
      </c>
      <c r="AH344" s="314">
        <f t="shared" si="89"/>
        <v>0</v>
      </c>
      <c r="AI344" s="314">
        <f t="shared" si="90"/>
        <v>0</v>
      </c>
      <c r="AJ344" s="317"/>
      <c r="AK344" s="315" t="e">
        <f t="shared" si="91"/>
        <v>#N/A</v>
      </c>
      <c r="AM344" s="553"/>
      <c r="AN344" s="553"/>
      <c r="AO344" s="553"/>
    </row>
    <row r="345" spans="2:41">
      <c r="B345" s="296"/>
      <c r="C345" s="299"/>
      <c r="D345" s="296"/>
      <c r="E345" s="298"/>
      <c r="F345" s="299"/>
      <c r="G345" s="300"/>
      <c r="H345" s="303"/>
      <c r="I345" s="303"/>
      <c r="J345" s="322">
        <f t="shared" si="77"/>
        <v>0</v>
      </c>
      <c r="K345" s="305" t="e">
        <f>IF(F345="MXN",1/HLOOKUP(YEAR(G345)+(MONTH(G345)/100),TC!$5:$37,DAY(G345)+2,FALSE),VLOOKUP(F345,Equivalencia!$5:$23,((MAX(Equivalencia!$3:$3)-YEAR(G345))*14)+MONTH(G345)+2,FALSE))</f>
        <v>#N/A</v>
      </c>
      <c r="L345" s="306" t="e">
        <f t="shared" si="80"/>
        <v>#N/A</v>
      </c>
      <c r="M345" s="305">
        <f>IF(G345=0,0,HLOOKUP(YEAR(G345)+(MONTH(G345)/100),TC!$5:$37,DAY(G345)+2,FALSE))</f>
        <v>0</v>
      </c>
      <c r="N345" s="306" t="e">
        <f t="shared" si="81"/>
        <v>#N/A</v>
      </c>
      <c r="O345" s="308">
        <f>IF(G345=0,0,VLOOKUP(YEAR(G345),INPC!$B$4:$P$30,MONTH(G345)+2))</f>
        <v>0</v>
      </c>
      <c r="P345" s="308">
        <f>IF(W345=0,0,IF(OR(C345=$AQ$5,C345=AQ349),VLOOKUP(YEAR(W345),INPC!$B$4:$P$30,MONTH(W345)+1),VLOOKUP(YEAR(W345),INPC!$B$4:$P$30,MONTH(W345)+2)))</f>
        <v>0</v>
      </c>
      <c r="Q345" s="309">
        <f t="shared" si="82"/>
        <v>0</v>
      </c>
      <c r="R345" s="310" t="e">
        <f t="shared" si="83"/>
        <v>#N/A</v>
      </c>
      <c r="S345" s="310">
        <f t="shared" si="84"/>
        <v>0</v>
      </c>
      <c r="T345" s="559" t="str">
        <f t="shared" si="85"/>
        <v>NO</v>
      </c>
      <c r="U345" s="323"/>
      <c r="V345" s="299"/>
      <c r="W345" s="300"/>
      <c r="X345" s="299"/>
      <c r="Y345" s="303"/>
      <c r="Z345" s="305">
        <f>IF(Y345=0,0,IF(X345="MXN",1/HLOOKUP(YEAR(W345)+(MONTH(W345)/100),TC!$5:$37,DAY(W345)+2,FALSE),VLOOKUP(X345,Equivalencia!$1:$23,((MAX(Equivalencia!$3:$3)-YEAR(W345))*14)+MONTH(W345)+2,FALSE)))</f>
        <v>0</v>
      </c>
      <c r="AA345" s="306">
        <f t="shared" si="86"/>
        <v>0</v>
      </c>
      <c r="AB345" s="305">
        <f>+IF(W345=0,0,HLOOKUP(YEAR(W345)+(MONTH(W345)/100),TC!$5:$37,DAY(W345)+2,FALSE))</f>
        <v>0</v>
      </c>
      <c r="AC345" s="306">
        <f t="shared" si="87"/>
        <v>0</v>
      </c>
      <c r="AD345" s="314">
        <f t="shared" si="78"/>
        <v>0</v>
      </c>
      <c r="AE345" s="315">
        <f t="shared" si="88"/>
        <v>0</v>
      </c>
      <c r="AF345" s="316">
        <f t="shared" si="79"/>
        <v>0</v>
      </c>
      <c r="AG345" s="314">
        <v>1</v>
      </c>
      <c r="AH345" s="314">
        <f t="shared" si="89"/>
        <v>0</v>
      </c>
      <c r="AI345" s="314">
        <f t="shared" si="90"/>
        <v>0</v>
      </c>
      <c r="AJ345" s="317"/>
      <c r="AK345" s="315" t="e">
        <f t="shared" si="91"/>
        <v>#N/A</v>
      </c>
      <c r="AM345" s="553"/>
      <c r="AN345" s="553"/>
      <c r="AO345" s="553"/>
    </row>
    <row r="346" spans="2:41">
      <c r="B346" s="296"/>
      <c r="C346" s="299"/>
      <c r="D346" s="296"/>
      <c r="E346" s="298"/>
      <c r="F346" s="299"/>
      <c r="G346" s="300"/>
      <c r="H346" s="303"/>
      <c r="I346" s="303"/>
      <c r="J346" s="322">
        <f t="shared" si="77"/>
        <v>0</v>
      </c>
      <c r="K346" s="305" t="e">
        <f>IF(F346="MXN",1/HLOOKUP(YEAR(G346)+(MONTH(G346)/100),TC!$5:$37,DAY(G346)+2,FALSE),VLOOKUP(F346,Equivalencia!$5:$23,((MAX(Equivalencia!$3:$3)-YEAR(G346))*14)+MONTH(G346)+2,FALSE))</f>
        <v>#N/A</v>
      </c>
      <c r="L346" s="306" t="e">
        <f t="shared" si="80"/>
        <v>#N/A</v>
      </c>
      <c r="M346" s="305">
        <f>IF(G346=0,0,HLOOKUP(YEAR(G346)+(MONTH(G346)/100),TC!$5:$37,DAY(G346)+2,FALSE))</f>
        <v>0</v>
      </c>
      <c r="N346" s="306" t="e">
        <f t="shared" si="81"/>
        <v>#N/A</v>
      </c>
      <c r="O346" s="308">
        <f>IF(G346=0,0,VLOOKUP(YEAR(G346),INPC!$B$4:$P$30,MONTH(G346)+2))</f>
        <v>0</v>
      </c>
      <c r="P346" s="308">
        <f>IF(W346=0,0,IF(OR(C346=$AQ$5,C346=AQ350),VLOOKUP(YEAR(W346),INPC!$B$4:$P$30,MONTH(W346)+1),VLOOKUP(YEAR(W346),INPC!$B$4:$P$30,MONTH(W346)+2)))</f>
        <v>0</v>
      </c>
      <c r="Q346" s="309">
        <f t="shared" si="82"/>
        <v>0</v>
      </c>
      <c r="R346" s="310" t="e">
        <f t="shared" si="83"/>
        <v>#N/A</v>
      </c>
      <c r="S346" s="310">
        <f t="shared" si="84"/>
        <v>0</v>
      </c>
      <c r="T346" s="559" t="str">
        <f t="shared" si="85"/>
        <v>NO</v>
      </c>
      <c r="U346" s="323"/>
      <c r="V346" s="299"/>
      <c r="W346" s="300"/>
      <c r="X346" s="299"/>
      <c r="Y346" s="303"/>
      <c r="Z346" s="305">
        <f>IF(Y346=0,0,IF(X346="MXN",1/HLOOKUP(YEAR(W346)+(MONTH(W346)/100),TC!$5:$37,DAY(W346)+2,FALSE),VLOOKUP(X346,Equivalencia!$1:$23,((MAX(Equivalencia!$3:$3)-YEAR(W346))*14)+MONTH(W346)+2,FALSE)))</f>
        <v>0</v>
      </c>
      <c r="AA346" s="306">
        <f t="shared" si="86"/>
        <v>0</v>
      </c>
      <c r="AB346" s="305">
        <f>+IF(W346=0,0,HLOOKUP(YEAR(W346)+(MONTH(W346)/100),TC!$5:$37,DAY(W346)+2,FALSE))</f>
        <v>0</v>
      </c>
      <c r="AC346" s="306">
        <f t="shared" si="87"/>
        <v>0</v>
      </c>
      <c r="AD346" s="314">
        <f t="shared" si="78"/>
        <v>0</v>
      </c>
      <c r="AE346" s="315">
        <f t="shared" si="88"/>
        <v>0</v>
      </c>
      <c r="AF346" s="316">
        <f t="shared" si="79"/>
        <v>0</v>
      </c>
      <c r="AG346" s="314">
        <v>1</v>
      </c>
      <c r="AH346" s="314">
        <f t="shared" si="89"/>
        <v>0</v>
      </c>
      <c r="AI346" s="314">
        <f t="shared" si="90"/>
        <v>0</v>
      </c>
      <c r="AJ346" s="317"/>
      <c r="AK346" s="315" t="e">
        <f t="shared" si="91"/>
        <v>#N/A</v>
      </c>
      <c r="AM346" s="553"/>
      <c r="AN346" s="553"/>
      <c r="AO346" s="553"/>
    </row>
    <row r="347" spans="2:41">
      <c r="B347" s="296"/>
      <c r="C347" s="299"/>
      <c r="D347" s="296"/>
      <c r="E347" s="298"/>
      <c r="F347" s="299"/>
      <c r="G347" s="300"/>
      <c r="H347" s="303"/>
      <c r="I347" s="303"/>
      <c r="J347" s="322">
        <f t="shared" si="77"/>
        <v>0</v>
      </c>
      <c r="K347" s="305" t="e">
        <f>IF(F347="MXN",1/HLOOKUP(YEAR(G347)+(MONTH(G347)/100),TC!$5:$37,DAY(G347)+2,FALSE),VLOOKUP(F347,Equivalencia!$5:$23,((MAX(Equivalencia!$3:$3)-YEAR(G347))*14)+MONTH(G347)+2,FALSE))</f>
        <v>#N/A</v>
      </c>
      <c r="L347" s="306" t="e">
        <f t="shared" si="80"/>
        <v>#N/A</v>
      </c>
      <c r="M347" s="305">
        <f>IF(G347=0,0,HLOOKUP(YEAR(G347)+(MONTH(G347)/100),TC!$5:$37,DAY(G347)+2,FALSE))</f>
        <v>0</v>
      </c>
      <c r="N347" s="306" t="e">
        <f t="shared" si="81"/>
        <v>#N/A</v>
      </c>
      <c r="O347" s="308">
        <f>IF(G347=0,0,VLOOKUP(YEAR(G347),INPC!$B$4:$P$30,MONTH(G347)+2))</f>
        <v>0</v>
      </c>
      <c r="P347" s="308">
        <f>IF(W347=0,0,IF(OR(C347=$AQ$5,C347=AQ351),VLOOKUP(YEAR(W347),INPC!$B$4:$P$30,MONTH(W347)+1),VLOOKUP(YEAR(W347),INPC!$B$4:$P$30,MONTH(W347)+2)))</f>
        <v>0</v>
      </c>
      <c r="Q347" s="309">
        <f t="shared" si="82"/>
        <v>0</v>
      </c>
      <c r="R347" s="310" t="e">
        <f t="shared" si="83"/>
        <v>#N/A</v>
      </c>
      <c r="S347" s="310">
        <f t="shared" si="84"/>
        <v>0</v>
      </c>
      <c r="T347" s="559" t="str">
        <f t="shared" si="85"/>
        <v>NO</v>
      </c>
      <c r="U347" s="323"/>
      <c r="V347" s="299"/>
      <c r="W347" s="300"/>
      <c r="X347" s="299"/>
      <c r="Y347" s="303"/>
      <c r="Z347" s="305">
        <f>IF(Y347=0,0,IF(X347="MXN",1/HLOOKUP(YEAR(W347)+(MONTH(W347)/100),TC!$5:$37,DAY(W347)+2,FALSE),VLOOKUP(X347,Equivalencia!$1:$23,((MAX(Equivalencia!$3:$3)-YEAR(W347))*14)+MONTH(W347)+2,FALSE)))</f>
        <v>0</v>
      </c>
      <c r="AA347" s="306">
        <f t="shared" si="86"/>
        <v>0</v>
      </c>
      <c r="AB347" s="305">
        <f>+IF(W347=0,0,HLOOKUP(YEAR(W347)+(MONTH(W347)/100),TC!$5:$37,DAY(W347)+2,FALSE))</f>
        <v>0</v>
      </c>
      <c r="AC347" s="306">
        <f t="shared" si="87"/>
        <v>0</v>
      </c>
      <c r="AD347" s="314">
        <f t="shared" si="78"/>
        <v>0</v>
      </c>
      <c r="AE347" s="315">
        <f t="shared" si="88"/>
        <v>0</v>
      </c>
      <c r="AF347" s="316">
        <f t="shared" si="79"/>
        <v>0</v>
      </c>
      <c r="AG347" s="314">
        <v>1</v>
      </c>
      <c r="AH347" s="314">
        <f t="shared" si="89"/>
        <v>0</v>
      </c>
      <c r="AI347" s="314">
        <f t="shared" si="90"/>
        <v>0</v>
      </c>
      <c r="AJ347" s="317"/>
      <c r="AK347" s="315" t="e">
        <f t="shared" si="91"/>
        <v>#N/A</v>
      </c>
      <c r="AM347" s="553"/>
      <c r="AN347" s="553"/>
      <c r="AO347" s="553"/>
    </row>
    <row r="348" spans="2:41">
      <c r="B348" s="296"/>
      <c r="C348" s="299"/>
      <c r="D348" s="296"/>
      <c r="E348" s="298"/>
      <c r="F348" s="299"/>
      <c r="G348" s="300"/>
      <c r="H348" s="303"/>
      <c r="I348" s="303"/>
      <c r="J348" s="322">
        <f t="shared" si="77"/>
        <v>0</v>
      </c>
      <c r="K348" s="305" t="e">
        <f>IF(F348="MXN",1/HLOOKUP(YEAR(G348)+(MONTH(G348)/100),TC!$5:$37,DAY(G348)+2,FALSE),VLOOKUP(F348,Equivalencia!$5:$23,((MAX(Equivalencia!$3:$3)-YEAR(G348))*14)+MONTH(G348)+2,FALSE))</f>
        <v>#N/A</v>
      </c>
      <c r="L348" s="306" t="e">
        <f t="shared" si="80"/>
        <v>#N/A</v>
      </c>
      <c r="M348" s="305">
        <f>IF(G348=0,0,HLOOKUP(YEAR(G348)+(MONTH(G348)/100),TC!$5:$37,DAY(G348)+2,FALSE))</f>
        <v>0</v>
      </c>
      <c r="N348" s="306" t="e">
        <f t="shared" si="81"/>
        <v>#N/A</v>
      </c>
      <c r="O348" s="308">
        <f>IF(G348=0,0,VLOOKUP(YEAR(G348),INPC!$B$4:$P$30,MONTH(G348)+2))</f>
        <v>0</v>
      </c>
      <c r="P348" s="308">
        <f>IF(W348=0,0,IF(OR(C348=$AQ$5,C348=AQ352),VLOOKUP(YEAR(W348),INPC!$B$4:$P$30,MONTH(W348)+1),VLOOKUP(YEAR(W348),INPC!$B$4:$P$30,MONTH(W348)+2)))</f>
        <v>0</v>
      </c>
      <c r="Q348" s="309">
        <f t="shared" si="82"/>
        <v>0</v>
      </c>
      <c r="R348" s="310" t="e">
        <f t="shared" si="83"/>
        <v>#N/A</v>
      </c>
      <c r="S348" s="310">
        <f t="shared" si="84"/>
        <v>0</v>
      </c>
      <c r="T348" s="559" t="str">
        <f t="shared" si="85"/>
        <v>NO</v>
      </c>
      <c r="U348" s="323"/>
      <c r="V348" s="299"/>
      <c r="W348" s="300"/>
      <c r="X348" s="299"/>
      <c r="Y348" s="303"/>
      <c r="Z348" s="305">
        <f>IF(Y348=0,0,IF(X348="MXN",1/HLOOKUP(YEAR(W348)+(MONTH(W348)/100),TC!$5:$37,DAY(W348)+2,FALSE),VLOOKUP(X348,Equivalencia!$1:$23,((MAX(Equivalencia!$3:$3)-YEAR(W348))*14)+MONTH(W348)+2,FALSE)))</f>
        <v>0</v>
      </c>
      <c r="AA348" s="306">
        <f t="shared" si="86"/>
        <v>0</v>
      </c>
      <c r="AB348" s="305">
        <f>+IF(W348=0,0,HLOOKUP(YEAR(W348)+(MONTH(W348)/100),TC!$5:$37,DAY(W348)+2,FALSE))</f>
        <v>0</v>
      </c>
      <c r="AC348" s="306">
        <f t="shared" si="87"/>
        <v>0</v>
      </c>
      <c r="AD348" s="314">
        <f t="shared" si="78"/>
        <v>0</v>
      </c>
      <c r="AE348" s="315">
        <f t="shared" si="88"/>
        <v>0</v>
      </c>
      <c r="AF348" s="316">
        <f t="shared" si="79"/>
        <v>0</v>
      </c>
      <c r="AG348" s="314">
        <v>1</v>
      </c>
      <c r="AH348" s="314">
        <f t="shared" si="89"/>
        <v>0</v>
      </c>
      <c r="AI348" s="314">
        <f t="shared" si="90"/>
        <v>0</v>
      </c>
      <c r="AJ348" s="317"/>
      <c r="AK348" s="315" t="e">
        <f t="shared" si="91"/>
        <v>#N/A</v>
      </c>
      <c r="AM348" s="553"/>
      <c r="AN348" s="553"/>
      <c r="AO348" s="553"/>
    </row>
    <row r="349" spans="2:41">
      <c r="B349" s="296"/>
      <c r="C349" s="299"/>
      <c r="D349" s="296"/>
      <c r="E349" s="298"/>
      <c r="F349" s="299"/>
      <c r="G349" s="300"/>
      <c r="H349" s="303"/>
      <c r="I349" s="303"/>
      <c r="J349" s="322">
        <f t="shared" si="77"/>
        <v>0</v>
      </c>
      <c r="K349" s="305" t="e">
        <f>IF(F349="MXN",1/HLOOKUP(YEAR(G349)+(MONTH(G349)/100),TC!$5:$37,DAY(G349)+2,FALSE),VLOOKUP(F349,Equivalencia!$5:$23,((MAX(Equivalencia!$3:$3)-YEAR(G349))*14)+MONTH(G349)+2,FALSE))</f>
        <v>#N/A</v>
      </c>
      <c r="L349" s="306" t="e">
        <f t="shared" si="80"/>
        <v>#N/A</v>
      </c>
      <c r="M349" s="305">
        <f>IF(G349=0,0,HLOOKUP(YEAR(G349)+(MONTH(G349)/100),TC!$5:$37,DAY(G349)+2,FALSE))</f>
        <v>0</v>
      </c>
      <c r="N349" s="306" t="e">
        <f t="shared" si="81"/>
        <v>#N/A</v>
      </c>
      <c r="O349" s="308">
        <f>IF(G349=0,0,VLOOKUP(YEAR(G349),INPC!$B$4:$P$30,MONTH(G349)+2))</f>
        <v>0</v>
      </c>
      <c r="P349" s="308">
        <f>IF(W349=0,0,IF(OR(C349=$AQ$5,C349=AQ353),VLOOKUP(YEAR(W349),INPC!$B$4:$P$30,MONTH(W349)+1),VLOOKUP(YEAR(W349),INPC!$B$4:$P$30,MONTH(W349)+2)))</f>
        <v>0</v>
      </c>
      <c r="Q349" s="309">
        <f t="shared" si="82"/>
        <v>0</v>
      </c>
      <c r="R349" s="310" t="e">
        <f t="shared" si="83"/>
        <v>#N/A</v>
      </c>
      <c r="S349" s="310">
        <f t="shared" si="84"/>
        <v>0</v>
      </c>
      <c r="T349" s="559" t="str">
        <f t="shared" si="85"/>
        <v>NO</v>
      </c>
      <c r="U349" s="323"/>
      <c r="V349" s="299"/>
      <c r="W349" s="300"/>
      <c r="X349" s="299"/>
      <c r="Y349" s="303"/>
      <c r="Z349" s="305">
        <f>IF(Y349=0,0,IF(X349="MXN",1/HLOOKUP(YEAR(W349)+(MONTH(W349)/100),TC!$5:$37,DAY(W349)+2,FALSE),VLOOKUP(X349,Equivalencia!$1:$23,((MAX(Equivalencia!$3:$3)-YEAR(W349))*14)+MONTH(W349)+2,FALSE)))</f>
        <v>0</v>
      </c>
      <c r="AA349" s="306">
        <f t="shared" si="86"/>
        <v>0</v>
      </c>
      <c r="AB349" s="305">
        <f>+IF(W349=0,0,HLOOKUP(YEAR(W349)+(MONTH(W349)/100),TC!$5:$37,DAY(W349)+2,FALSE))</f>
        <v>0</v>
      </c>
      <c r="AC349" s="306">
        <f t="shared" si="87"/>
        <v>0</v>
      </c>
      <c r="AD349" s="314">
        <f t="shared" si="78"/>
        <v>0</v>
      </c>
      <c r="AE349" s="315">
        <f t="shared" si="88"/>
        <v>0</v>
      </c>
      <c r="AF349" s="316">
        <f t="shared" si="79"/>
        <v>0</v>
      </c>
      <c r="AG349" s="314">
        <v>1</v>
      </c>
      <c r="AH349" s="314">
        <f t="shared" si="89"/>
        <v>0</v>
      </c>
      <c r="AI349" s="314">
        <f t="shared" si="90"/>
        <v>0</v>
      </c>
      <c r="AJ349" s="317"/>
      <c r="AK349" s="315" t="e">
        <f t="shared" si="91"/>
        <v>#N/A</v>
      </c>
      <c r="AM349" s="553"/>
      <c r="AN349" s="553"/>
      <c r="AO349" s="553"/>
    </row>
    <row r="350" spans="2:41">
      <c r="B350" s="296"/>
      <c r="C350" s="299"/>
      <c r="D350" s="296"/>
      <c r="E350" s="298"/>
      <c r="F350" s="299"/>
      <c r="G350" s="300"/>
      <c r="H350" s="303"/>
      <c r="I350" s="303"/>
      <c r="J350" s="322">
        <f t="shared" si="77"/>
        <v>0</v>
      </c>
      <c r="K350" s="305" t="e">
        <f>IF(F350="MXN",1/HLOOKUP(YEAR(G350)+(MONTH(G350)/100),TC!$5:$37,DAY(G350)+2,FALSE),VLOOKUP(F350,Equivalencia!$5:$23,((MAX(Equivalencia!$3:$3)-YEAR(G350))*14)+MONTH(G350)+2,FALSE))</f>
        <v>#N/A</v>
      </c>
      <c r="L350" s="306" t="e">
        <f t="shared" si="80"/>
        <v>#N/A</v>
      </c>
      <c r="M350" s="305">
        <f>IF(G350=0,0,HLOOKUP(YEAR(G350)+(MONTH(G350)/100),TC!$5:$37,DAY(G350)+2,FALSE))</f>
        <v>0</v>
      </c>
      <c r="N350" s="306" t="e">
        <f t="shared" si="81"/>
        <v>#N/A</v>
      </c>
      <c r="O350" s="308">
        <f>IF(G350=0,0,VLOOKUP(YEAR(G350),INPC!$B$4:$P$30,MONTH(G350)+2))</f>
        <v>0</v>
      </c>
      <c r="P350" s="308">
        <f>IF(W350=0,0,IF(OR(C350=$AQ$5,C350=AQ354),VLOOKUP(YEAR(W350),INPC!$B$4:$P$30,MONTH(W350)+1),VLOOKUP(YEAR(W350),INPC!$B$4:$P$30,MONTH(W350)+2)))</f>
        <v>0</v>
      </c>
      <c r="Q350" s="309">
        <f t="shared" si="82"/>
        <v>0</v>
      </c>
      <c r="R350" s="310" t="e">
        <f t="shared" si="83"/>
        <v>#N/A</v>
      </c>
      <c r="S350" s="310">
        <f t="shared" si="84"/>
        <v>0</v>
      </c>
      <c r="T350" s="559" t="str">
        <f t="shared" si="85"/>
        <v>NO</v>
      </c>
      <c r="U350" s="323"/>
      <c r="V350" s="299"/>
      <c r="W350" s="300"/>
      <c r="X350" s="299"/>
      <c r="Y350" s="303"/>
      <c r="Z350" s="305">
        <f>IF(Y350=0,0,IF(X350="MXN",1/HLOOKUP(YEAR(W350)+(MONTH(W350)/100),TC!$5:$37,DAY(W350)+2,FALSE),VLOOKUP(X350,Equivalencia!$1:$23,((MAX(Equivalencia!$3:$3)-YEAR(W350))*14)+MONTH(W350)+2,FALSE)))</f>
        <v>0</v>
      </c>
      <c r="AA350" s="306">
        <f t="shared" si="86"/>
        <v>0</v>
      </c>
      <c r="AB350" s="305">
        <f>+IF(W350=0,0,HLOOKUP(YEAR(W350)+(MONTH(W350)/100),TC!$5:$37,DAY(W350)+2,FALSE))</f>
        <v>0</v>
      </c>
      <c r="AC350" s="306">
        <f t="shared" si="87"/>
        <v>0</v>
      </c>
      <c r="AD350" s="314">
        <f t="shared" si="78"/>
        <v>0</v>
      </c>
      <c r="AE350" s="315">
        <f t="shared" si="88"/>
        <v>0</v>
      </c>
      <c r="AF350" s="316">
        <f t="shared" si="79"/>
        <v>0</v>
      </c>
      <c r="AG350" s="314">
        <v>1</v>
      </c>
      <c r="AH350" s="314">
        <f t="shared" si="89"/>
        <v>0</v>
      </c>
      <c r="AI350" s="314">
        <f t="shared" si="90"/>
        <v>0</v>
      </c>
      <c r="AJ350" s="317"/>
      <c r="AK350" s="315" t="e">
        <f t="shared" si="91"/>
        <v>#N/A</v>
      </c>
      <c r="AM350" s="553"/>
      <c r="AN350" s="553"/>
      <c r="AO350" s="553"/>
    </row>
    <row r="351" spans="2:41">
      <c r="B351" s="296"/>
      <c r="C351" s="299"/>
      <c r="D351" s="296"/>
      <c r="E351" s="298"/>
      <c r="F351" s="299"/>
      <c r="G351" s="300"/>
      <c r="H351" s="303"/>
      <c r="I351" s="303"/>
      <c r="J351" s="322">
        <f t="shared" si="77"/>
        <v>0</v>
      </c>
      <c r="K351" s="305" t="e">
        <f>IF(F351="MXN",1/HLOOKUP(YEAR(G351)+(MONTH(G351)/100),TC!$5:$37,DAY(G351)+2,FALSE),VLOOKUP(F351,Equivalencia!$5:$23,((MAX(Equivalencia!$3:$3)-YEAR(G351))*14)+MONTH(G351)+2,FALSE))</f>
        <v>#N/A</v>
      </c>
      <c r="L351" s="306" t="e">
        <f t="shared" si="80"/>
        <v>#N/A</v>
      </c>
      <c r="M351" s="305">
        <f>IF(G351=0,0,HLOOKUP(YEAR(G351)+(MONTH(G351)/100),TC!$5:$37,DAY(G351)+2,FALSE))</f>
        <v>0</v>
      </c>
      <c r="N351" s="306" t="e">
        <f t="shared" si="81"/>
        <v>#N/A</v>
      </c>
      <c r="O351" s="308">
        <f>IF(G351=0,0,VLOOKUP(YEAR(G351),INPC!$B$4:$P$30,MONTH(G351)+2))</f>
        <v>0</v>
      </c>
      <c r="P351" s="308">
        <f>IF(W351=0,0,IF(OR(C351=$AQ$5,C351=AQ355),VLOOKUP(YEAR(W351),INPC!$B$4:$P$30,MONTH(W351)+1),VLOOKUP(YEAR(W351),INPC!$B$4:$P$30,MONTH(W351)+2)))</f>
        <v>0</v>
      </c>
      <c r="Q351" s="309">
        <f t="shared" si="82"/>
        <v>0</v>
      </c>
      <c r="R351" s="310" t="e">
        <f t="shared" si="83"/>
        <v>#N/A</v>
      </c>
      <c r="S351" s="310">
        <f t="shared" si="84"/>
        <v>0</v>
      </c>
      <c r="T351" s="559" t="str">
        <f t="shared" si="85"/>
        <v>NO</v>
      </c>
      <c r="U351" s="323"/>
      <c r="V351" s="299"/>
      <c r="W351" s="300"/>
      <c r="X351" s="299"/>
      <c r="Y351" s="303"/>
      <c r="Z351" s="305">
        <f>IF(Y351=0,0,IF(X351="MXN",1/HLOOKUP(YEAR(W351)+(MONTH(W351)/100),TC!$5:$37,DAY(W351)+2,FALSE),VLOOKUP(X351,Equivalencia!$1:$23,((MAX(Equivalencia!$3:$3)-YEAR(W351))*14)+MONTH(W351)+2,FALSE)))</f>
        <v>0</v>
      </c>
      <c r="AA351" s="306">
        <f t="shared" si="86"/>
        <v>0</v>
      </c>
      <c r="AB351" s="305">
        <f>+IF(W351=0,0,HLOOKUP(YEAR(W351)+(MONTH(W351)/100),TC!$5:$37,DAY(W351)+2,FALSE))</f>
        <v>0</v>
      </c>
      <c r="AC351" s="306">
        <f t="shared" si="87"/>
        <v>0</v>
      </c>
      <c r="AD351" s="314">
        <f t="shared" si="78"/>
        <v>0</v>
      </c>
      <c r="AE351" s="315">
        <f t="shared" si="88"/>
        <v>0</v>
      </c>
      <c r="AF351" s="316">
        <f t="shared" si="79"/>
        <v>0</v>
      </c>
      <c r="AG351" s="314">
        <v>1</v>
      </c>
      <c r="AH351" s="314">
        <f t="shared" si="89"/>
        <v>0</v>
      </c>
      <c r="AI351" s="314">
        <f t="shared" si="90"/>
        <v>0</v>
      </c>
      <c r="AJ351" s="317"/>
      <c r="AK351" s="315" t="e">
        <f t="shared" si="91"/>
        <v>#N/A</v>
      </c>
      <c r="AM351" s="553"/>
      <c r="AN351" s="553"/>
      <c r="AO351" s="553"/>
    </row>
    <row r="352" spans="2:41">
      <c r="B352" s="296"/>
      <c r="C352" s="299"/>
      <c r="D352" s="296"/>
      <c r="E352" s="298"/>
      <c r="F352" s="299"/>
      <c r="G352" s="300"/>
      <c r="H352" s="303"/>
      <c r="I352" s="303"/>
      <c r="J352" s="322">
        <f t="shared" si="77"/>
        <v>0</v>
      </c>
      <c r="K352" s="305" t="e">
        <f>IF(F352="MXN",1/HLOOKUP(YEAR(G352)+(MONTH(G352)/100),TC!$5:$37,DAY(G352)+2,FALSE),VLOOKUP(F352,Equivalencia!$5:$23,((MAX(Equivalencia!$3:$3)-YEAR(G352))*14)+MONTH(G352)+2,FALSE))</f>
        <v>#N/A</v>
      </c>
      <c r="L352" s="306" t="e">
        <f t="shared" si="80"/>
        <v>#N/A</v>
      </c>
      <c r="M352" s="305">
        <f>IF(G352=0,0,HLOOKUP(YEAR(G352)+(MONTH(G352)/100),TC!$5:$37,DAY(G352)+2,FALSE))</f>
        <v>0</v>
      </c>
      <c r="N352" s="306" t="e">
        <f t="shared" si="81"/>
        <v>#N/A</v>
      </c>
      <c r="O352" s="308">
        <f>IF(G352=0,0,VLOOKUP(YEAR(G352),INPC!$B$4:$P$30,MONTH(G352)+2))</f>
        <v>0</v>
      </c>
      <c r="P352" s="308">
        <f>IF(W352=0,0,IF(OR(C352=$AQ$5,C352=AQ356),VLOOKUP(YEAR(W352),INPC!$B$4:$P$30,MONTH(W352)+1),VLOOKUP(YEAR(W352),INPC!$B$4:$P$30,MONTH(W352)+2)))</f>
        <v>0</v>
      </c>
      <c r="Q352" s="309">
        <f t="shared" si="82"/>
        <v>0</v>
      </c>
      <c r="R352" s="310" t="e">
        <f t="shared" si="83"/>
        <v>#N/A</v>
      </c>
      <c r="S352" s="310">
        <f t="shared" si="84"/>
        <v>0</v>
      </c>
      <c r="T352" s="559" t="str">
        <f t="shared" si="85"/>
        <v>NO</v>
      </c>
      <c r="U352" s="323"/>
      <c r="V352" s="299"/>
      <c r="W352" s="300"/>
      <c r="X352" s="299"/>
      <c r="Y352" s="303"/>
      <c r="Z352" s="305">
        <f>IF(Y352=0,0,IF(X352="MXN",1/HLOOKUP(YEAR(W352)+(MONTH(W352)/100),TC!$5:$37,DAY(W352)+2,FALSE),VLOOKUP(X352,Equivalencia!$1:$23,((MAX(Equivalencia!$3:$3)-YEAR(W352))*14)+MONTH(W352)+2,FALSE)))</f>
        <v>0</v>
      </c>
      <c r="AA352" s="306">
        <f t="shared" si="86"/>
        <v>0</v>
      </c>
      <c r="AB352" s="305">
        <f>+IF(W352=0,0,HLOOKUP(YEAR(W352)+(MONTH(W352)/100),TC!$5:$37,DAY(W352)+2,FALSE))</f>
        <v>0</v>
      </c>
      <c r="AC352" s="306">
        <f t="shared" si="87"/>
        <v>0</v>
      </c>
      <c r="AD352" s="314">
        <f t="shared" si="78"/>
        <v>0</v>
      </c>
      <c r="AE352" s="315">
        <f t="shared" si="88"/>
        <v>0</v>
      </c>
      <c r="AF352" s="316">
        <f t="shared" si="79"/>
        <v>0</v>
      </c>
      <c r="AG352" s="314">
        <v>1</v>
      </c>
      <c r="AH352" s="314">
        <f t="shared" si="89"/>
        <v>0</v>
      </c>
      <c r="AI352" s="314">
        <f t="shared" si="90"/>
        <v>0</v>
      </c>
      <c r="AJ352" s="317"/>
      <c r="AK352" s="315" t="e">
        <f t="shared" si="91"/>
        <v>#N/A</v>
      </c>
      <c r="AM352" s="553"/>
      <c r="AN352" s="553"/>
      <c r="AO352" s="553"/>
    </row>
    <row r="353" spans="2:41">
      <c r="B353" s="296"/>
      <c r="C353" s="299"/>
      <c r="D353" s="296"/>
      <c r="E353" s="298"/>
      <c r="F353" s="299"/>
      <c r="G353" s="300"/>
      <c r="H353" s="303"/>
      <c r="I353" s="303"/>
      <c r="J353" s="322">
        <f t="shared" si="77"/>
        <v>0</v>
      </c>
      <c r="K353" s="305" t="e">
        <f>IF(F353="MXN",1/HLOOKUP(YEAR(G353)+(MONTH(G353)/100),TC!$5:$37,DAY(G353)+2,FALSE),VLOOKUP(F353,Equivalencia!$5:$23,((MAX(Equivalencia!$3:$3)-YEAR(G353))*14)+MONTH(G353)+2,FALSE))</f>
        <v>#N/A</v>
      </c>
      <c r="L353" s="306" t="e">
        <f t="shared" si="80"/>
        <v>#N/A</v>
      </c>
      <c r="M353" s="305">
        <f>IF(G353=0,0,HLOOKUP(YEAR(G353)+(MONTH(G353)/100),TC!$5:$37,DAY(G353)+2,FALSE))</f>
        <v>0</v>
      </c>
      <c r="N353" s="306" t="e">
        <f t="shared" si="81"/>
        <v>#N/A</v>
      </c>
      <c r="O353" s="308">
        <f>IF(G353=0,0,VLOOKUP(YEAR(G353),INPC!$B$4:$P$30,MONTH(G353)+2))</f>
        <v>0</v>
      </c>
      <c r="P353" s="308">
        <f>IF(W353=0,0,IF(OR(C353=$AQ$5,C353=AQ357),VLOOKUP(YEAR(W353),INPC!$B$4:$P$30,MONTH(W353)+1),VLOOKUP(YEAR(W353),INPC!$B$4:$P$30,MONTH(W353)+2)))</f>
        <v>0</v>
      </c>
      <c r="Q353" s="309">
        <f t="shared" si="82"/>
        <v>0</v>
      </c>
      <c r="R353" s="310" t="e">
        <f t="shared" si="83"/>
        <v>#N/A</v>
      </c>
      <c r="S353" s="310">
        <f t="shared" si="84"/>
        <v>0</v>
      </c>
      <c r="T353" s="559" t="str">
        <f t="shared" si="85"/>
        <v>NO</v>
      </c>
      <c r="U353" s="323"/>
      <c r="V353" s="299"/>
      <c r="W353" s="300"/>
      <c r="X353" s="299"/>
      <c r="Y353" s="303"/>
      <c r="Z353" s="305">
        <f>IF(Y353=0,0,IF(X353="MXN",1/HLOOKUP(YEAR(W353)+(MONTH(W353)/100),TC!$5:$37,DAY(W353)+2,FALSE),VLOOKUP(X353,Equivalencia!$1:$23,((MAX(Equivalencia!$3:$3)-YEAR(W353))*14)+MONTH(W353)+2,FALSE)))</f>
        <v>0</v>
      </c>
      <c r="AA353" s="306">
        <f t="shared" si="86"/>
        <v>0</v>
      </c>
      <c r="AB353" s="305">
        <f>+IF(W353=0,0,HLOOKUP(YEAR(W353)+(MONTH(W353)/100),TC!$5:$37,DAY(W353)+2,FALSE))</f>
        <v>0</v>
      </c>
      <c r="AC353" s="306">
        <f t="shared" si="87"/>
        <v>0</v>
      </c>
      <c r="AD353" s="314">
        <f t="shared" si="78"/>
        <v>0</v>
      </c>
      <c r="AE353" s="315">
        <f t="shared" si="88"/>
        <v>0</v>
      </c>
      <c r="AF353" s="316">
        <f t="shared" si="79"/>
        <v>0</v>
      </c>
      <c r="AG353" s="314">
        <v>1</v>
      </c>
      <c r="AH353" s="314">
        <f t="shared" si="89"/>
        <v>0</v>
      </c>
      <c r="AI353" s="314">
        <f t="shared" si="90"/>
        <v>0</v>
      </c>
      <c r="AJ353" s="317"/>
      <c r="AK353" s="315" t="e">
        <f t="shared" si="91"/>
        <v>#N/A</v>
      </c>
      <c r="AM353" s="553"/>
      <c r="AN353" s="553"/>
      <c r="AO353" s="553"/>
    </row>
    <row r="354" spans="2:41">
      <c r="B354" s="296"/>
      <c r="C354" s="299"/>
      <c r="D354" s="296"/>
      <c r="E354" s="298"/>
      <c r="F354" s="299"/>
      <c r="G354" s="300"/>
      <c r="H354" s="303"/>
      <c r="I354" s="303"/>
      <c r="J354" s="322">
        <f t="shared" si="77"/>
        <v>0</v>
      </c>
      <c r="K354" s="305" t="e">
        <f>IF(F354="MXN",1/HLOOKUP(YEAR(G354)+(MONTH(G354)/100),TC!$5:$37,DAY(G354)+2,FALSE),VLOOKUP(F354,Equivalencia!$5:$23,((MAX(Equivalencia!$3:$3)-YEAR(G354))*14)+MONTH(G354)+2,FALSE))</f>
        <v>#N/A</v>
      </c>
      <c r="L354" s="306" t="e">
        <f t="shared" si="80"/>
        <v>#N/A</v>
      </c>
      <c r="M354" s="305">
        <f>IF(G354=0,0,HLOOKUP(YEAR(G354)+(MONTH(G354)/100),TC!$5:$37,DAY(G354)+2,FALSE))</f>
        <v>0</v>
      </c>
      <c r="N354" s="306" t="e">
        <f t="shared" si="81"/>
        <v>#N/A</v>
      </c>
      <c r="O354" s="308">
        <f>IF(G354=0,0,VLOOKUP(YEAR(G354),INPC!$B$4:$P$30,MONTH(G354)+2))</f>
        <v>0</v>
      </c>
      <c r="P354" s="308">
        <f>IF(W354=0,0,IF(OR(C354=$AQ$5,C354=AQ358),VLOOKUP(YEAR(W354),INPC!$B$4:$P$30,MONTH(W354)+1),VLOOKUP(YEAR(W354),INPC!$B$4:$P$30,MONTH(W354)+2)))</f>
        <v>0</v>
      </c>
      <c r="Q354" s="309">
        <f t="shared" si="82"/>
        <v>0</v>
      </c>
      <c r="R354" s="310" t="e">
        <f t="shared" si="83"/>
        <v>#N/A</v>
      </c>
      <c r="S354" s="310">
        <f t="shared" si="84"/>
        <v>0</v>
      </c>
      <c r="T354" s="559" t="str">
        <f t="shared" si="85"/>
        <v>NO</v>
      </c>
      <c r="U354" s="323"/>
      <c r="V354" s="299"/>
      <c r="W354" s="300"/>
      <c r="X354" s="299"/>
      <c r="Y354" s="303"/>
      <c r="Z354" s="305">
        <f>IF(Y354=0,0,IF(X354="MXN",1/HLOOKUP(YEAR(W354)+(MONTH(W354)/100),TC!$5:$37,DAY(W354)+2,FALSE),VLOOKUP(X354,Equivalencia!$1:$23,((MAX(Equivalencia!$3:$3)-YEAR(W354))*14)+MONTH(W354)+2,FALSE)))</f>
        <v>0</v>
      </c>
      <c r="AA354" s="306">
        <f t="shared" si="86"/>
        <v>0</v>
      </c>
      <c r="AB354" s="305">
        <f>+IF(W354=0,0,HLOOKUP(YEAR(W354)+(MONTH(W354)/100),TC!$5:$37,DAY(W354)+2,FALSE))</f>
        <v>0</v>
      </c>
      <c r="AC354" s="306">
        <f t="shared" si="87"/>
        <v>0</v>
      </c>
      <c r="AD354" s="314">
        <f t="shared" si="78"/>
        <v>0</v>
      </c>
      <c r="AE354" s="315">
        <f t="shared" si="88"/>
        <v>0</v>
      </c>
      <c r="AF354" s="316">
        <f t="shared" si="79"/>
        <v>0</v>
      </c>
      <c r="AG354" s="314">
        <v>1</v>
      </c>
      <c r="AH354" s="314">
        <f t="shared" si="89"/>
        <v>0</v>
      </c>
      <c r="AI354" s="314">
        <f t="shared" si="90"/>
        <v>0</v>
      </c>
      <c r="AJ354" s="317"/>
      <c r="AK354" s="315" t="e">
        <f t="shared" si="91"/>
        <v>#N/A</v>
      </c>
      <c r="AM354" s="553"/>
      <c r="AN354" s="553"/>
      <c r="AO354" s="553"/>
    </row>
    <row r="355" spans="2:41">
      <c r="B355" s="296"/>
      <c r="C355" s="299"/>
      <c r="D355" s="296"/>
      <c r="E355" s="298"/>
      <c r="F355" s="299"/>
      <c r="G355" s="300"/>
      <c r="H355" s="303"/>
      <c r="I355" s="303"/>
      <c r="J355" s="322">
        <f t="shared" si="77"/>
        <v>0</v>
      </c>
      <c r="K355" s="305" t="e">
        <f>IF(F355="MXN",1/HLOOKUP(YEAR(G355)+(MONTH(G355)/100),TC!$5:$37,DAY(G355)+2,FALSE),VLOOKUP(F355,Equivalencia!$5:$23,((MAX(Equivalencia!$3:$3)-YEAR(G355))*14)+MONTH(G355)+2,FALSE))</f>
        <v>#N/A</v>
      </c>
      <c r="L355" s="306" t="e">
        <f t="shared" si="80"/>
        <v>#N/A</v>
      </c>
      <c r="M355" s="305">
        <f>IF(G355=0,0,HLOOKUP(YEAR(G355)+(MONTH(G355)/100),TC!$5:$37,DAY(G355)+2,FALSE))</f>
        <v>0</v>
      </c>
      <c r="N355" s="306" t="e">
        <f t="shared" si="81"/>
        <v>#N/A</v>
      </c>
      <c r="O355" s="308">
        <f>IF(G355=0,0,VLOOKUP(YEAR(G355),INPC!$B$4:$P$30,MONTH(G355)+2))</f>
        <v>0</v>
      </c>
      <c r="P355" s="308">
        <f>IF(W355=0,0,IF(OR(C355=$AQ$5,C355=AQ359),VLOOKUP(YEAR(W355),INPC!$B$4:$P$30,MONTH(W355)+1),VLOOKUP(YEAR(W355),INPC!$B$4:$P$30,MONTH(W355)+2)))</f>
        <v>0</v>
      </c>
      <c r="Q355" s="309">
        <f t="shared" si="82"/>
        <v>0</v>
      </c>
      <c r="R355" s="310" t="e">
        <f t="shared" si="83"/>
        <v>#N/A</v>
      </c>
      <c r="S355" s="310">
        <f t="shared" si="84"/>
        <v>0</v>
      </c>
      <c r="T355" s="559" t="str">
        <f t="shared" si="85"/>
        <v>NO</v>
      </c>
      <c r="U355" s="323"/>
      <c r="V355" s="299"/>
      <c r="W355" s="300"/>
      <c r="X355" s="299"/>
      <c r="Y355" s="303"/>
      <c r="Z355" s="305">
        <f>IF(Y355=0,0,IF(X355="MXN",1/HLOOKUP(YEAR(W355)+(MONTH(W355)/100),TC!$5:$37,DAY(W355)+2,FALSE),VLOOKUP(X355,Equivalencia!$1:$23,((MAX(Equivalencia!$3:$3)-YEAR(W355))*14)+MONTH(W355)+2,FALSE)))</f>
        <v>0</v>
      </c>
      <c r="AA355" s="306">
        <f t="shared" si="86"/>
        <v>0</v>
      </c>
      <c r="AB355" s="305">
        <f>+IF(W355=0,0,HLOOKUP(YEAR(W355)+(MONTH(W355)/100),TC!$5:$37,DAY(W355)+2,FALSE))</f>
        <v>0</v>
      </c>
      <c r="AC355" s="306">
        <f t="shared" si="87"/>
        <v>0</v>
      </c>
      <c r="AD355" s="314">
        <f t="shared" si="78"/>
        <v>0</v>
      </c>
      <c r="AE355" s="315">
        <f t="shared" si="88"/>
        <v>0</v>
      </c>
      <c r="AF355" s="316">
        <f t="shared" si="79"/>
        <v>0</v>
      </c>
      <c r="AG355" s="314">
        <v>1</v>
      </c>
      <c r="AH355" s="314">
        <f t="shared" si="89"/>
        <v>0</v>
      </c>
      <c r="AI355" s="314">
        <f t="shared" si="90"/>
        <v>0</v>
      </c>
      <c r="AJ355" s="317"/>
      <c r="AK355" s="315" t="e">
        <f t="shared" si="91"/>
        <v>#N/A</v>
      </c>
      <c r="AM355" s="553"/>
      <c r="AN355" s="553"/>
      <c r="AO355" s="553"/>
    </row>
    <row r="356" spans="2:41">
      <c r="B356" s="296"/>
      <c r="C356" s="299"/>
      <c r="D356" s="296"/>
      <c r="E356" s="298"/>
      <c r="F356" s="299"/>
      <c r="G356" s="300"/>
      <c r="H356" s="303"/>
      <c r="I356" s="303"/>
      <c r="J356" s="322">
        <f t="shared" si="77"/>
        <v>0</v>
      </c>
      <c r="K356" s="305" t="e">
        <f>IF(F356="MXN",1/HLOOKUP(YEAR(G356)+(MONTH(G356)/100),TC!$5:$37,DAY(G356)+2,FALSE),VLOOKUP(F356,Equivalencia!$5:$23,((MAX(Equivalencia!$3:$3)-YEAR(G356))*14)+MONTH(G356)+2,FALSE))</f>
        <v>#N/A</v>
      </c>
      <c r="L356" s="306" t="e">
        <f t="shared" si="80"/>
        <v>#N/A</v>
      </c>
      <c r="M356" s="305">
        <f>IF(G356=0,0,HLOOKUP(YEAR(G356)+(MONTH(G356)/100),TC!$5:$37,DAY(G356)+2,FALSE))</f>
        <v>0</v>
      </c>
      <c r="N356" s="306" t="e">
        <f t="shared" si="81"/>
        <v>#N/A</v>
      </c>
      <c r="O356" s="308">
        <f>IF(G356=0,0,VLOOKUP(YEAR(G356),INPC!$B$4:$P$30,MONTH(G356)+2))</f>
        <v>0</v>
      </c>
      <c r="P356" s="308">
        <f>IF(W356=0,0,IF(OR(C356=$AQ$5,C356=AQ360),VLOOKUP(YEAR(W356),INPC!$B$4:$P$30,MONTH(W356)+1),VLOOKUP(YEAR(W356),INPC!$B$4:$P$30,MONTH(W356)+2)))</f>
        <v>0</v>
      </c>
      <c r="Q356" s="309">
        <f t="shared" si="82"/>
        <v>0</v>
      </c>
      <c r="R356" s="310" t="e">
        <f t="shared" si="83"/>
        <v>#N/A</v>
      </c>
      <c r="S356" s="310">
        <f t="shared" si="84"/>
        <v>0</v>
      </c>
      <c r="T356" s="559" t="str">
        <f t="shared" si="85"/>
        <v>NO</v>
      </c>
      <c r="U356" s="323"/>
      <c r="V356" s="299"/>
      <c r="W356" s="300"/>
      <c r="X356" s="299"/>
      <c r="Y356" s="303"/>
      <c r="Z356" s="305">
        <f>IF(Y356=0,0,IF(X356="MXN",1/HLOOKUP(YEAR(W356)+(MONTH(W356)/100),TC!$5:$37,DAY(W356)+2,FALSE),VLOOKUP(X356,Equivalencia!$1:$23,((MAX(Equivalencia!$3:$3)-YEAR(W356))*14)+MONTH(W356)+2,FALSE)))</f>
        <v>0</v>
      </c>
      <c r="AA356" s="306">
        <f t="shared" si="86"/>
        <v>0</v>
      </c>
      <c r="AB356" s="305">
        <f>+IF(W356=0,0,HLOOKUP(YEAR(W356)+(MONTH(W356)/100),TC!$5:$37,DAY(W356)+2,FALSE))</f>
        <v>0</v>
      </c>
      <c r="AC356" s="306">
        <f t="shared" si="87"/>
        <v>0</v>
      </c>
      <c r="AD356" s="314">
        <f t="shared" si="78"/>
        <v>0</v>
      </c>
      <c r="AE356" s="315">
        <f t="shared" si="88"/>
        <v>0</v>
      </c>
      <c r="AF356" s="316">
        <f t="shared" si="79"/>
        <v>0</v>
      </c>
      <c r="AG356" s="314">
        <v>1</v>
      </c>
      <c r="AH356" s="314">
        <f t="shared" si="89"/>
        <v>0</v>
      </c>
      <c r="AI356" s="314">
        <f t="shared" si="90"/>
        <v>0</v>
      </c>
      <c r="AJ356" s="317"/>
      <c r="AK356" s="315" t="e">
        <f t="shared" si="91"/>
        <v>#N/A</v>
      </c>
      <c r="AM356" s="553"/>
      <c r="AN356" s="553"/>
      <c r="AO356" s="553"/>
    </row>
    <row r="357" spans="2:41">
      <c r="B357" s="296"/>
      <c r="C357" s="299"/>
      <c r="D357" s="296"/>
      <c r="E357" s="298"/>
      <c r="F357" s="299"/>
      <c r="G357" s="300"/>
      <c r="H357" s="303"/>
      <c r="I357" s="303"/>
      <c r="J357" s="322">
        <f t="shared" si="77"/>
        <v>0</v>
      </c>
      <c r="K357" s="305" t="e">
        <f>IF(F357="MXN",1/HLOOKUP(YEAR(G357)+(MONTH(G357)/100),TC!$5:$37,DAY(G357)+2,FALSE),VLOOKUP(F357,Equivalencia!$5:$23,((MAX(Equivalencia!$3:$3)-YEAR(G357))*14)+MONTH(G357)+2,FALSE))</f>
        <v>#N/A</v>
      </c>
      <c r="L357" s="306" t="e">
        <f t="shared" si="80"/>
        <v>#N/A</v>
      </c>
      <c r="M357" s="305">
        <f>IF(G357=0,0,HLOOKUP(YEAR(G357)+(MONTH(G357)/100),TC!$5:$37,DAY(G357)+2,FALSE))</f>
        <v>0</v>
      </c>
      <c r="N357" s="306" t="e">
        <f t="shared" si="81"/>
        <v>#N/A</v>
      </c>
      <c r="O357" s="308">
        <f>IF(G357=0,0,VLOOKUP(YEAR(G357),INPC!$B$4:$P$30,MONTH(G357)+2))</f>
        <v>0</v>
      </c>
      <c r="P357" s="308">
        <f>IF(W357=0,0,IF(OR(C357=$AQ$5,C357=AQ361),VLOOKUP(YEAR(W357),INPC!$B$4:$P$30,MONTH(W357)+1),VLOOKUP(YEAR(W357),INPC!$B$4:$P$30,MONTH(W357)+2)))</f>
        <v>0</v>
      </c>
      <c r="Q357" s="309">
        <f t="shared" si="82"/>
        <v>0</v>
      </c>
      <c r="R357" s="310" t="e">
        <f t="shared" si="83"/>
        <v>#N/A</v>
      </c>
      <c r="S357" s="310">
        <f t="shared" si="84"/>
        <v>0</v>
      </c>
      <c r="T357" s="559" t="str">
        <f t="shared" si="85"/>
        <v>NO</v>
      </c>
      <c r="U357" s="323"/>
      <c r="V357" s="299"/>
      <c r="W357" s="300"/>
      <c r="X357" s="299"/>
      <c r="Y357" s="303"/>
      <c r="Z357" s="305">
        <f>IF(Y357=0,0,IF(X357="MXN",1/HLOOKUP(YEAR(W357)+(MONTH(W357)/100),TC!$5:$37,DAY(W357)+2,FALSE),VLOOKUP(X357,Equivalencia!$1:$23,((MAX(Equivalencia!$3:$3)-YEAR(W357))*14)+MONTH(W357)+2,FALSE)))</f>
        <v>0</v>
      </c>
      <c r="AA357" s="306">
        <f t="shared" si="86"/>
        <v>0</v>
      </c>
      <c r="AB357" s="305">
        <f>+IF(W357=0,0,HLOOKUP(YEAR(W357)+(MONTH(W357)/100),TC!$5:$37,DAY(W357)+2,FALSE))</f>
        <v>0</v>
      </c>
      <c r="AC357" s="306">
        <f t="shared" si="87"/>
        <v>0</v>
      </c>
      <c r="AD357" s="314">
        <f t="shared" si="78"/>
        <v>0</v>
      </c>
      <c r="AE357" s="315">
        <f t="shared" si="88"/>
        <v>0</v>
      </c>
      <c r="AF357" s="316">
        <f t="shared" si="79"/>
        <v>0</v>
      </c>
      <c r="AG357" s="314">
        <v>1</v>
      </c>
      <c r="AH357" s="314">
        <f t="shared" si="89"/>
        <v>0</v>
      </c>
      <c r="AI357" s="314">
        <f t="shared" si="90"/>
        <v>0</v>
      </c>
      <c r="AJ357" s="317"/>
      <c r="AK357" s="315" t="e">
        <f t="shared" si="91"/>
        <v>#N/A</v>
      </c>
      <c r="AM357" s="553"/>
      <c r="AN357" s="553"/>
      <c r="AO357" s="553"/>
    </row>
    <row r="358" spans="2:41">
      <c r="B358" s="296"/>
      <c r="C358" s="299"/>
      <c r="D358" s="296"/>
      <c r="E358" s="298"/>
      <c r="F358" s="299"/>
      <c r="G358" s="300"/>
      <c r="H358" s="303"/>
      <c r="I358" s="303"/>
      <c r="J358" s="322">
        <f t="shared" si="77"/>
        <v>0</v>
      </c>
      <c r="K358" s="305" t="e">
        <f>IF(F358="MXN",1/HLOOKUP(YEAR(G358)+(MONTH(G358)/100),TC!$5:$37,DAY(G358)+2,FALSE),VLOOKUP(F358,Equivalencia!$5:$23,((MAX(Equivalencia!$3:$3)-YEAR(G358))*14)+MONTH(G358)+2,FALSE))</f>
        <v>#N/A</v>
      </c>
      <c r="L358" s="306" t="e">
        <f t="shared" si="80"/>
        <v>#N/A</v>
      </c>
      <c r="M358" s="305">
        <f>IF(G358=0,0,HLOOKUP(YEAR(G358)+(MONTH(G358)/100),TC!$5:$37,DAY(G358)+2,FALSE))</f>
        <v>0</v>
      </c>
      <c r="N358" s="306" t="e">
        <f t="shared" si="81"/>
        <v>#N/A</v>
      </c>
      <c r="O358" s="308">
        <f>IF(G358=0,0,VLOOKUP(YEAR(G358),INPC!$B$4:$P$30,MONTH(G358)+2))</f>
        <v>0</v>
      </c>
      <c r="P358" s="308">
        <f>IF(W358=0,0,IF(OR(C358=$AQ$5,C358=AQ362),VLOOKUP(YEAR(W358),INPC!$B$4:$P$30,MONTH(W358)+1),VLOOKUP(YEAR(W358),INPC!$B$4:$P$30,MONTH(W358)+2)))</f>
        <v>0</v>
      </c>
      <c r="Q358" s="309">
        <f t="shared" si="82"/>
        <v>0</v>
      </c>
      <c r="R358" s="310" t="e">
        <f t="shared" si="83"/>
        <v>#N/A</v>
      </c>
      <c r="S358" s="310">
        <f t="shared" si="84"/>
        <v>0</v>
      </c>
      <c r="T358" s="559" t="str">
        <f t="shared" si="85"/>
        <v>NO</v>
      </c>
      <c r="U358" s="323"/>
      <c r="V358" s="299"/>
      <c r="W358" s="300"/>
      <c r="X358" s="299"/>
      <c r="Y358" s="303"/>
      <c r="Z358" s="305">
        <f>IF(Y358=0,0,IF(X358="MXN",1/HLOOKUP(YEAR(W358)+(MONTH(W358)/100),TC!$5:$37,DAY(W358)+2,FALSE),VLOOKUP(X358,Equivalencia!$1:$23,((MAX(Equivalencia!$3:$3)-YEAR(W358))*14)+MONTH(W358)+2,FALSE)))</f>
        <v>0</v>
      </c>
      <c r="AA358" s="306">
        <f t="shared" si="86"/>
        <v>0</v>
      </c>
      <c r="AB358" s="305">
        <f>+IF(W358=0,0,HLOOKUP(YEAR(W358)+(MONTH(W358)/100),TC!$5:$37,DAY(W358)+2,FALSE))</f>
        <v>0</v>
      </c>
      <c r="AC358" s="306">
        <f t="shared" si="87"/>
        <v>0</v>
      </c>
      <c r="AD358" s="314">
        <f t="shared" si="78"/>
        <v>0</v>
      </c>
      <c r="AE358" s="315">
        <f t="shared" si="88"/>
        <v>0</v>
      </c>
      <c r="AF358" s="316">
        <f t="shared" si="79"/>
        <v>0</v>
      </c>
      <c r="AG358" s="314">
        <v>1</v>
      </c>
      <c r="AH358" s="314">
        <f t="shared" si="89"/>
        <v>0</v>
      </c>
      <c r="AI358" s="314">
        <f t="shared" si="90"/>
        <v>0</v>
      </c>
      <c r="AJ358" s="317"/>
      <c r="AK358" s="315" t="e">
        <f t="shared" si="91"/>
        <v>#N/A</v>
      </c>
      <c r="AM358" s="553"/>
      <c r="AN358" s="553"/>
      <c r="AO358" s="553"/>
    </row>
    <row r="359" spans="2:41">
      <c r="B359" s="296"/>
      <c r="C359" s="299"/>
      <c r="D359" s="296"/>
      <c r="E359" s="298"/>
      <c r="F359" s="299"/>
      <c r="G359" s="300"/>
      <c r="H359" s="303"/>
      <c r="I359" s="303"/>
      <c r="J359" s="322">
        <f t="shared" si="77"/>
        <v>0</v>
      </c>
      <c r="K359" s="305" t="e">
        <f>IF(F359="MXN",1/HLOOKUP(YEAR(G359)+(MONTH(G359)/100),TC!$5:$37,DAY(G359)+2,FALSE),VLOOKUP(F359,Equivalencia!$5:$23,((MAX(Equivalencia!$3:$3)-YEAR(G359))*14)+MONTH(G359)+2,FALSE))</f>
        <v>#N/A</v>
      </c>
      <c r="L359" s="306" t="e">
        <f t="shared" si="80"/>
        <v>#N/A</v>
      </c>
      <c r="M359" s="305">
        <f>IF(G359=0,0,HLOOKUP(YEAR(G359)+(MONTH(G359)/100),TC!$5:$37,DAY(G359)+2,FALSE))</f>
        <v>0</v>
      </c>
      <c r="N359" s="306" t="e">
        <f t="shared" si="81"/>
        <v>#N/A</v>
      </c>
      <c r="O359" s="308">
        <f>IF(G359=0,0,VLOOKUP(YEAR(G359),INPC!$B$4:$P$30,MONTH(G359)+2))</f>
        <v>0</v>
      </c>
      <c r="P359" s="308">
        <f>IF(W359=0,0,IF(OR(C359=$AQ$5,C359=AQ363),VLOOKUP(YEAR(W359),INPC!$B$4:$P$30,MONTH(W359)+1),VLOOKUP(YEAR(W359),INPC!$B$4:$P$30,MONTH(W359)+2)))</f>
        <v>0</v>
      </c>
      <c r="Q359" s="309">
        <f t="shared" si="82"/>
        <v>0</v>
      </c>
      <c r="R359" s="310" t="e">
        <f t="shared" si="83"/>
        <v>#N/A</v>
      </c>
      <c r="S359" s="310">
        <f t="shared" si="84"/>
        <v>0</v>
      </c>
      <c r="T359" s="559" t="str">
        <f t="shared" si="85"/>
        <v>NO</v>
      </c>
      <c r="U359" s="323"/>
      <c r="V359" s="299"/>
      <c r="W359" s="300"/>
      <c r="X359" s="299"/>
      <c r="Y359" s="303"/>
      <c r="Z359" s="305">
        <f>IF(Y359=0,0,IF(X359="MXN",1/HLOOKUP(YEAR(W359)+(MONTH(W359)/100),TC!$5:$37,DAY(W359)+2,FALSE),VLOOKUP(X359,Equivalencia!$1:$23,((MAX(Equivalencia!$3:$3)-YEAR(W359))*14)+MONTH(W359)+2,FALSE)))</f>
        <v>0</v>
      </c>
      <c r="AA359" s="306">
        <f t="shared" si="86"/>
        <v>0</v>
      </c>
      <c r="AB359" s="305">
        <f>+IF(W359=0,0,HLOOKUP(YEAR(W359)+(MONTH(W359)/100),TC!$5:$37,DAY(W359)+2,FALSE))</f>
        <v>0</v>
      </c>
      <c r="AC359" s="306">
        <f t="shared" si="87"/>
        <v>0</v>
      </c>
      <c r="AD359" s="314">
        <f t="shared" si="78"/>
        <v>0</v>
      </c>
      <c r="AE359" s="315">
        <f t="shared" si="88"/>
        <v>0</v>
      </c>
      <c r="AF359" s="316">
        <f t="shared" si="79"/>
        <v>0</v>
      </c>
      <c r="AG359" s="314">
        <v>1</v>
      </c>
      <c r="AH359" s="314">
        <f t="shared" si="89"/>
        <v>0</v>
      </c>
      <c r="AI359" s="314">
        <f t="shared" si="90"/>
        <v>0</v>
      </c>
      <c r="AJ359" s="317"/>
      <c r="AK359" s="315" t="e">
        <f t="shared" si="91"/>
        <v>#N/A</v>
      </c>
      <c r="AM359" s="553"/>
      <c r="AN359" s="553"/>
      <c r="AO359" s="553"/>
    </row>
    <row r="360" spans="2:41">
      <c r="B360" s="296"/>
      <c r="C360" s="299"/>
      <c r="D360" s="296"/>
      <c r="E360" s="298"/>
      <c r="F360" s="299"/>
      <c r="G360" s="300"/>
      <c r="H360" s="303"/>
      <c r="I360" s="303"/>
      <c r="J360" s="322">
        <f t="shared" si="77"/>
        <v>0</v>
      </c>
      <c r="K360" s="305" t="e">
        <f>IF(F360="MXN",1/HLOOKUP(YEAR(G360)+(MONTH(G360)/100),TC!$5:$37,DAY(G360)+2,FALSE),VLOOKUP(F360,Equivalencia!$5:$23,((MAX(Equivalencia!$3:$3)-YEAR(G360))*14)+MONTH(G360)+2,FALSE))</f>
        <v>#N/A</v>
      </c>
      <c r="L360" s="306" t="e">
        <f t="shared" si="80"/>
        <v>#N/A</v>
      </c>
      <c r="M360" s="305">
        <f>IF(G360=0,0,HLOOKUP(YEAR(G360)+(MONTH(G360)/100),TC!$5:$37,DAY(G360)+2,FALSE))</f>
        <v>0</v>
      </c>
      <c r="N360" s="306" t="e">
        <f t="shared" si="81"/>
        <v>#N/A</v>
      </c>
      <c r="O360" s="308">
        <f>IF(G360=0,0,VLOOKUP(YEAR(G360),INPC!$B$4:$P$30,MONTH(G360)+2))</f>
        <v>0</v>
      </c>
      <c r="P360" s="308">
        <f>IF(W360=0,0,IF(OR(C360=$AQ$5,C360=AQ364),VLOOKUP(YEAR(W360),INPC!$B$4:$P$30,MONTH(W360)+1),VLOOKUP(YEAR(W360),INPC!$B$4:$P$30,MONTH(W360)+2)))</f>
        <v>0</v>
      </c>
      <c r="Q360" s="309">
        <f t="shared" si="82"/>
        <v>0</v>
      </c>
      <c r="R360" s="310" t="e">
        <f t="shared" si="83"/>
        <v>#N/A</v>
      </c>
      <c r="S360" s="310">
        <f t="shared" si="84"/>
        <v>0</v>
      </c>
      <c r="T360" s="559" t="str">
        <f t="shared" si="85"/>
        <v>NO</v>
      </c>
      <c r="U360" s="323"/>
      <c r="V360" s="299"/>
      <c r="W360" s="300"/>
      <c r="X360" s="299"/>
      <c r="Y360" s="303"/>
      <c r="Z360" s="305">
        <f>IF(Y360=0,0,IF(X360="MXN",1/HLOOKUP(YEAR(W360)+(MONTH(W360)/100),TC!$5:$37,DAY(W360)+2,FALSE),VLOOKUP(X360,Equivalencia!$1:$23,((MAX(Equivalencia!$3:$3)-YEAR(W360))*14)+MONTH(W360)+2,FALSE)))</f>
        <v>0</v>
      </c>
      <c r="AA360" s="306">
        <f t="shared" si="86"/>
        <v>0</v>
      </c>
      <c r="AB360" s="305">
        <f>+IF(W360=0,0,HLOOKUP(YEAR(W360)+(MONTH(W360)/100),TC!$5:$37,DAY(W360)+2,FALSE))</f>
        <v>0</v>
      </c>
      <c r="AC360" s="306">
        <f t="shared" si="87"/>
        <v>0</v>
      </c>
      <c r="AD360" s="314">
        <f t="shared" si="78"/>
        <v>0</v>
      </c>
      <c r="AE360" s="315">
        <f t="shared" si="88"/>
        <v>0</v>
      </c>
      <c r="AF360" s="316">
        <f t="shared" si="79"/>
        <v>0</v>
      </c>
      <c r="AG360" s="314">
        <v>1</v>
      </c>
      <c r="AH360" s="314">
        <f t="shared" si="89"/>
        <v>0</v>
      </c>
      <c r="AI360" s="314">
        <f t="shared" si="90"/>
        <v>0</v>
      </c>
      <c r="AJ360" s="317"/>
      <c r="AK360" s="315" t="e">
        <f t="shared" si="91"/>
        <v>#N/A</v>
      </c>
      <c r="AM360" s="553"/>
      <c r="AN360" s="553"/>
      <c r="AO360" s="553"/>
    </row>
    <row r="361" spans="2:41">
      <c r="B361" s="296"/>
      <c r="C361" s="299"/>
      <c r="D361" s="296"/>
      <c r="E361" s="298"/>
      <c r="F361" s="299"/>
      <c r="G361" s="300"/>
      <c r="H361" s="303"/>
      <c r="I361" s="303"/>
      <c r="J361" s="322">
        <f t="shared" si="77"/>
        <v>0</v>
      </c>
      <c r="K361" s="305" t="e">
        <f>IF(F361="MXN",1/HLOOKUP(YEAR(G361)+(MONTH(G361)/100),TC!$5:$37,DAY(G361)+2,FALSE),VLOOKUP(F361,Equivalencia!$5:$23,((MAX(Equivalencia!$3:$3)-YEAR(G361))*14)+MONTH(G361)+2,FALSE))</f>
        <v>#N/A</v>
      </c>
      <c r="L361" s="306" t="e">
        <f t="shared" si="80"/>
        <v>#N/A</v>
      </c>
      <c r="M361" s="305">
        <f>IF(G361=0,0,HLOOKUP(YEAR(G361)+(MONTH(G361)/100),TC!$5:$37,DAY(G361)+2,FALSE))</f>
        <v>0</v>
      </c>
      <c r="N361" s="306" t="e">
        <f t="shared" si="81"/>
        <v>#N/A</v>
      </c>
      <c r="O361" s="308">
        <f>IF(G361=0,0,VLOOKUP(YEAR(G361),INPC!$B$4:$P$30,MONTH(G361)+2))</f>
        <v>0</v>
      </c>
      <c r="P361" s="308">
        <f>IF(W361=0,0,IF(OR(C361=$AQ$5,C361=AQ365),VLOOKUP(YEAR(W361),INPC!$B$4:$P$30,MONTH(W361)+1),VLOOKUP(YEAR(W361),INPC!$B$4:$P$30,MONTH(W361)+2)))</f>
        <v>0</v>
      </c>
      <c r="Q361" s="309">
        <f t="shared" si="82"/>
        <v>0</v>
      </c>
      <c r="R361" s="310" t="e">
        <f t="shared" si="83"/>
        <v>#N/A</v>
      </c>
      <c r="S361" s="310">
        <f t="shared" si="84"/>
        <v>0</v>
      </c>
      <c r="T361" s="559" t="str">
        <f t="shared" si="85"/>
        <v>NO</v>
      </c>
      <c r="U361" s="323"/>
      <c r="V361" s="299"/>
      <c r="W361" s="300"/>
      <c r="X361" s="299"/>
      <c r="Y361" s="303"/>
      <c r="Z361" s="305">
        <f>IF(Y361=0,0,IF(X361="MXN",1/HLOOKUP(YEAR(W361)+(MONTH(W361)/100),TC!$5:$37,DAY(W361)+2,FALSE),VLOOKUP(X361,Equivalencia!$1:$23,((MAX(Equivalencia!$3:$3)-YEAR(W361))*14)+MONTH(W361)+2,FALSE)))</f>
        <v>0</v>
      </c>
      <c r="AA361" s="306">
        <f t="shared" si="86"/>
        <v>0</v>
      </c>
      <c r="AB361" s="305">
        <f>+IF(W361=0,0,HLOOKUP(YEAR(W361)+(MONTH(W361)/100),TC!$5:$37,DAY(W361)+2,FALSE))</f>
        <v>0</v>
      </c>
      <c r="AC361" s="306">
        <f t="shared" si="87"/>
        <v>0</v>
      </c>
      <c r="AD361" s="314">
        <f t="shared" si="78"/>
        <v>0</v>
      </c>
      <c r="AE361" s="315">
        <f t="shared" si="88"/>
        <v>0</v>
      </c>
      <c r="AF361" s="316">
        <f t="shared" si="79"/>
        <v>0</v>
      </c>
      <c r="AG361" s="314">
        <v>1</v>
      </c>
      <c r="AH361" s="314">
        <f t="shared" si="89"/>
        <v>0</v>
      </c>
      <c r="AI361" s="314">
        <f t="shared" si="90"/>
        <v>0</v>
      </c>
      <c r="AJ361" s="317"/>
      <c r="AK361" s="315" t="e">
        <f t="shared" si="91"/>
        <v>#N/A</v>
      </c>
      <c r="AM361" s="553"/>
      <c r="AN361" s="553"/>
      <c r="AO361" s="553"/>
    </row>
    <row r="362" spans="2:41">
      <c r="B362" s="296"/>
      <c r="C362" s="299"/>
      <c r="D362" s="296"/>
      <c r="E362" s="298"/>
      <c r="F362" s="299"/>
      <c r="G362" s="300"/>
      <c r="H362" s="303"/>
      <c r="I362" s="303"/>
      <c r="J362" s="322">
        <f t="shared" si="77"/>
        <v>0</v>
      </c>
      <c r="K362" s="305" t="e">
        <f>IF(F362="MXN",1/HLOOKUP(YEAR(G362)+(MONTH(G362)/100),TC!$5:$37,DAY(G362)+2,FALSE),VLOOKUP(F362,Equivalencia!$5:$23,((MAX(Equivalencia!$3:$3)-YEAR(G362))*14)+MONTH(G362)+2,FALSE))</f>
        <v>#N/A</v>
      </c>
      <c r="L362" s="306" t="e">
        <f t="shared" si="80"/>
        <v>#N/A</v>
      </c>
      <c r="M362" s="305">
        <f>IF(G362=0,0,HLOOKUP(YEAR(G362)+(MONTH(G362)/100),TC!$5:$37,DAY(G362)+2,FALSE))</f>
        <v>0</v>
      </c>
      <c r="N362" s="306" t="e">
        <f t="shared" si="81"/>
        <v>#N/A</v>
      </c>
      <c r="O362" s="308">
        <f>IF(G362=0,0,VLOOKUP(YEAR(G362),INPC!$B$4:$P$30,MONTH(G362)+2))</f>
        <v>0</v>
      </c>
      <c r="P362" s="308">
        <f>IF(W362=0,0,IF(OR(C362=$AQ$5,C362=AQ366),VLOOKUP(YEAR(W362),INPC!$B$4:$P$30,MONTH(W362)+1),VLOOKUP(YEAR(W362),INPC!$B$4:$P$30,MONTH(W362)+2)))</f>
        <v>0</v>
      </c>
      <c r="Q362" s="309">
        <f t="shared" si="82"/>
        <v>0</v>
      </c>
      <c r="R362" s="310" t="e">
        <f t="shared" si="83"/>
        <v>#N/A</v>
      </c>
      <c r="S362" s="310">
        <f t="shared" si="84"/>
        <v>0</v>
      </c>
      <c r="T362" s="559" t="str">
        <f t="shared" si="85"/>
        <v>NO</v>
      </c>
      <c r="U362" s="323"/>
      <c r="V362" s="299"/>
      <c r="W362" s="300"/>
      <c r="X362" s="299"/>
      <c r="Y362" s="303"/>
      <c r="Z362" s="305">
        <f>IF(Y362=0,0,IF(X362="MXN",1/HLOOKUP(YEAR(W362)+(MONTH(W362)/100),TC!$5:$37,DAY(W362)+2,FALSE),VLOOKUP(X362,Equivalencia!$1:$23,((MAX(Equivalencia!$3:$3)-YEAR(W362))*14)+MONTH(W362)+2,FALSE)))</f>
        <v>0</v>
      </c>
      <c r="AA362" s="306">
        <f t="shared" si="86"/>
        <v>0</v>
      </c>
      <c r="AB362" s="305">
        <f>+IF(W362=0,0,HLOOKUP(YEAR(W362)+(MONTH(W362)/100),TC!$5:$37,DAY(W362)+2,FALSE))</f>
        <v>0</v>
      </c>
      <c r="AC362" s="306">
        <f t="shared" si="87"/>
        <v>0</v>
      </c>
      <c r="AD362" s="314">
        <f t="shared" si="78"/>
        <v>0</v>
      </c>
      <c r="AE362" s="315">
        <f t="shared" si="88"/>
        <v>0</v>
      </c>
      <c r="AF362" s="316">
        <f t="shared" si="79"/>
        <v>0</v>
      </c>
      <c r="AG362" s="314">
        <v>1</v>
      </c>
      <c r="AH362" s="314">
        <f t="shared" si="89"/>
        <v>0</v>
      </c>
      <c r="AI362" s="314">
        <f t="shared" si="90"/>
        <v>0</v>
      </c>
      <c r="AJ362" s="317"/>
      <c r="AK362" s="315" t="e">
        <f t="shared" si="91"/>
        <v>#N/A</v>
      </c>
      <c r="AM362" s="553"/>
      <c r="AN362" s="553"/>
      <c r="AO362" s="553"/>
    </row>
    <row r="363" spans="2:41">
      <c r="B363" s="296"/>
      <c r="C363" s="299"/>
      <c r="D363" s="296"/>
      <c r="E363" s="298"/>
      <c r="F363" s="299"/>
      <c r="G363" s="300"/>
      <c r="H363" s="303"/>
      <c r="I363" s="303"/>
      <c r="J363" s="322">
        <f t="shared" si="77"/>
        <v>0</v>
      </c>
      <c r="K363" s="305" t="e">
        <f>IF(F363="MXN",1/HLOOKUP(YEAR(G363)+(MONTH(G363)/100),TC!$5:$37,DAY(G363)+2,FALSE),VLOOKUP(F363,Equivalencia!$5:$23,((MAX(Equivalencia!$3:$3)-YEAR(G363))*14)+MONTH(G363)+2,FALSE))</f>
        <v>#N/A</v>
      </c>
      <c r="L363" s="306" t="e">
        <f t="shared" si="80"/>
        <v>#N/A</v>
      </c>
      <c r="M363" s="305">
        <f>IF(G363=0,0,HLOOKUP(YEAR(G363)+(MONTH(G363)/100),TC!$5:$37,DAY(G363)+2,FALSE))</f>
        <v>0</v>
      </c>
      <c r="N363" s="306" t="e">
        <f t="shared" si="81"/>
        <v>#N/A</v>
      </c>
      <c r="O363" s="308">
        <f>IF(G363=0,0,VLOOKUP(YEAR(G363),INPC!$B$4:$P$30,MONTH(G363)+2))</f>
        <v>0</v>
      </c>
      <c r="P363" s="308">
        <f>IF(W363=0,0,IF(OR(C363=$AQ$5,C363=AQ367),VLOOKUP(YEAR(W363),INPC!$B$4:$P$30,MONTH(W363)+1),VLOOKUP(YEAR(W363),INPC!$B$4:$P$30,MONTH(W363)+2)))</f>
        <v>0</v>
      </c>
      <c r="Q363" s="309">
        <f t="shared" si="82"/>
        <v>0</v>
      </c>
      <c r="R363" s="310" t="e">
        <f t="shared" si="83"/>
        <v>#N/A</v>
      </c>
      <c r="S363" s="310">
        <f t="shared" si="84"/>
        <v>0</v>
      </c>
      <c r="T363" s="559" t="str">
        <f t="shared" si="85"/>
        <v>NO</v>
      </c>
      <c r="U363" s="323"/>
      <c r="V363" s="299"/>
      <c r="W363" s="300"/>
      <c r="X363" s="299"/>
      <c r="Y363" s="303"/>
      <c r="Z363" s="305">
        <f>IF(Y363=0,0,IF(X363="MXN",1/HLOOKUP(YEAR(W363)+(MONTH(W363)/100),TC!$5:$37,DAY(W363)+2,FALSE),VLOOKUP(X363,Equivalencia!$1:$23,((MAX(Equivalencia!$3:$3)-YEAR(W363))*14)+MONTH(W363)+2,FALSE)))</f>
        <v>0</v>
      </c>
      <c r="AA363" s="306">
        <f t="shared" si="86"/>
        <v>0</v>
      </c>
      <c r="AB363" s="305">
        <f>+IF(W363=0,0,HLOOKUP(YEAR(W363)+(MONTH(W363)/100),TC!$5:$37,DAY(W363)+2,FALSE))</f>
        <v>0</v>
      </c>
      <c r="AC363" s="306">
        <f t="shared" si="87"/>
        <v>0</v>
      </c>
      <c r="AD363" s="314">
        <f t="shared" si="78"/>
        <v>0</v>
      </c>
      <c r="AE363" s="315">
        <f t="shared" si="88"/>
        <v>0</v>
      </c>
      <c r="AF363" s="316">
        <f t="shared" si="79"/>
        <v>0</v>
      </c>
      <c r="AG363" s="314">
        <v>1</v>
      </c>
      <c r="AH363" s="314">
        <f t="shared" si="89"/>
        <v>0</v>
      </c>
      <c r="AI363" s="314">
        <f t="shared" si="90"/>
        <v>0</v>
      </c>
      <c r="AJ363" s="317"/>
      <c r="AK363" s="315" t="e">
        <f t="shared" si="91"/>
        <v>#N/A</v>
      </c>
      <c r="AM363" s="553"/>
      <c r="AN363" s="553"/>
      <c r="AO363" s="553"/>
    </row>
    <row r="364" spans="2:41">
      <c r="B364" s="296"/>
      <c r="C364" s="299"/>
      <c r="D364" s="296"/>
      <c r="E364" s="298"/>
      <c r="F364" s="299"/>
      <c r="G364" s="300"/>
      <c r="H364" s="303"/>
      <c r="I364" s="303"/>
      <c r="J364" s="322">
        <f t="shared" si="77"/>
        <v>0</v>
      </c>
      <c r="K364" s="305" t="e">
        <f>IF(F364="MXN",1/HLOOKUP(YEAR(G364)+(MONTH(G364)/100),TC!$5:$37,DAY(G364)+2,FALSE),VLOOKUP(F364,Equivalencia!$5:$23,((MAX(Equivalencia!$3:$3)-YEAR(G364))*14)+MONTH(G364)+2,FALSE))</f>
        <v>#N/A</v>
      </c>
      <c r="L364" s="306" t="e">
        <f t="shared" si="80"/>
        <v>#N/A</v>
      </c>
      <c r="M364" s="305">
        <f>IF(G364=0,0,HLOOKUP(YEAR(G364)+(MONTH(G364)/100),TC!$5:$37,DAY(G364)+2,FALSE))</f>
        <v>0</v>
      </c>
      <c r="N364" s="306" t="e">
        <f t="shared" si="81"/>
        <v>#N/A</v>
      </c>
      <c r="O364" s="308">
        <f>IF(G364=0,0,VLOOKUP(YEAR(G364),INPC!$B$4:$P$30,MONTH(G364)+2))</f>
        <v>0</v>
      </c>
      <c r="P364" s="308">
        <f>IF(W364=0,0,IF(OR(C364=$AQ$5,C364=AQ368),VLOOKUP(YEAR(W364),INPC!$B$4:$P$30,MONTH(W364)+1),VLOOKUP(YEAR(W364),INPC!$B$4:$P$30,MONTH(W364)+2)))</f>
        <v>0</v>
      </c>
      <c r="Q364" s="309">
        <f t="shared" si="82"/>
        <v>0</v>
      </c>
      <c r="R364" s="310" t="e">
        <f t="shared" si="83"/>
        <v>#N/A</v>
      </c>
      <c r="S364" s="310">
        <f t="shared" si="84"/>
        <v>0</v>
      </c>
      <c r="T364" s="559" t="str">
        <f t="shared" si="85"/>
        <v>NO</v>
      </c>
      <c r="U364" s="323"/>
      <c r="V364" s="299"/>
      <c r="W364" s="300"/>
      <c r="X364" s="299"/>
      <c r="Y364" s="303"/>
      <c r="Z364" s="305">
        <f>IF(Y364=0,0,IF(X364="MXN",1/HLOOKUP(YEAR(W364)+(MONTH(W364)/100),TC!$5:$37,DAY(W364)+2,FALSE),VLOOKUP(X364,Equivalencia!$1:$23,((MAX(Equivalencia!$3:$3)-YEAR(W364))*14)+MONTH(W364)+2,FALSE)))</f>
        <v>0</v>
      </c>
      <c r="AA364" s="306">
        <f t="shared" si="86"/>
        <v>0</v>
      </c>
      <c r="AB364" s="305">
        <f>+IF(W364=0,0,HLOOKUP(YEAR(W364)+(MONTH(W364)/100),TC!$5:$37,DAY(W364)+2,FALSE))</f>
        <v>0</v>
      </c>
      <c r="AC364" s="306">
        <f t="shared" si="87"/>
        <v>0</v>
      </c>
      <c r="AD364" s="314">
        <f t="shared" si="78"/>
        <v>0</v>
      </c>
      <c r="AE364" s="315">
        <f t="shared" si="88"/>
        <v>0</v>
      </c>
      <c r="AF364" s="316">
        <f t="shared" si="79"/>
        <v>0</v>
      </c>
      <c r="AG364" s="314">
        <v>1</v>
      </c>
      <c r="AH364" s="314">
        <f t="shared" si="89"/>
        <v>0</v>
      </c>
      <c r="AI364" s="314">
        <f t="shared" si="90"/>
        <v>0</v>
      </c>
      <c r="AJ364" s="317"/>
      <c r="AK364" s="315" t="e">
        <f t="shared" si="91"/>
        <v>#N/A</v>
      </c>
      <c r="AM364" s="553"/>
      <c r="AN364" s="553"/>
      <c r="AO364" s="553"/>
    </row>
    <row r="365" spans="2:41">
      <c r="B365" s="296"/>
      <c r="C365" s="299"/>
      <c r="D365" s="296"/>
      <c r="E365" s="298"/>
      <c r="F365" s="299"/>
      <c r="G365" s="300"/>
      <c r="H365" s="303"/>
      <c r="I365" s="303"/>
      <c r="J365" s="322">
        <f t="shared" si="77"/>
        <v>0</v>
      </c>
      <c r="K365" s="305" t="e">
        <f>IF(F365="MXN",1/HLOOKUP(YEAR(G365)+(MONTH(G365)/100),TC!$5:$37,DAY(G365)+2,FALSE),VLOOKUP(F365,Equivalencia!$5:$23,((MAX(Equivalencia!$3:$3)-YEAR(G365))*14)+MONTH(G365)+2,FALSE))</f>
        <v>#N/A</v>
      </c>
      <c r="L365" s="306" t="e">
        <f t="shared" si="80"/>
        <v>#N/A</v>
      </c>
      <c r="M365" s="305">
        <f>IF(G365=0,0,HLOOKUP(YEAR(G365)+(MONTH(G365)/100),TC!$5:$37,DAY(G365)+2,FALSE))</f>
        <v>0</v>
      </c>
      <c r="N365" s="306" t="e">
        <f t="shared" si="81"/>
        <v>#N/A</v>
      </c>
      <c r="O365" s="308">
        <f>IF(G365=0,0,VLOOKUP(YEAR(G365),INPC!$B$4:$P$30,MONTH(G365)+2))</f>
        <v>0</v>
      </c>
      <c r="P365" s="308">
        <f>IF(W365=0,0,IF(OR(C365=$AQ$5,C365=AQ369),VLOOKUP(YEAR(W365),INPC!$B$4:$P$30,MONTH(W365)+1),VLOOKUP(YEAR(W365),INPC!$B$4:$P$30,MONTH(W365)+2)))</f>
        <v>0</v>
      </c>
      <c r="Q365" s="309">
        <f t="shared" si="82"/>
        <v>0</v>
      </c>
      <c r="R365" s="310" t="e">
        <f t="shared" si="83"/>
        <v>#N/A</v>
      </c>
      <c r="S365" s="310">
        <f t="shared" si="84"/>
        <v>0</v>
      </c>
      <c r="T365" s="559" t="str">
        <f t="shared" si="85"/>
        <v>NO</v>
      </c>
      <c r="U365" s="323"/>
      <c r="V365" s="299"/>
      <c r="W365" s="300"/>
      <c r="X365" s="299"/>
      <c r="Y365" s="303"/>
      <c r="Z365" s="305">
        <f>IF(Y365=0,0,IF(X365="MXN",1/HLOOKUP(YEAR(W365)+(MONTH(W365)/100),TC!$5:$37,DAY(W365)+2,FALSE),VLOOKUP(X365,Equivalencia!$1:$23,((MAX(Equivalencia!$3:$3)-YEAR(W365))*14)+MONTH(W365)+2,FALSE)))</f>
        <v>0</v>
      </c>
      <c r="AA365" s="306">
        <f t="shared" si="86"/>
        <v>0</v>
      </c>
      <c r="AB365" s="305">
        <f>+IF(W365=0,0,HLOOKUP(YEAR(W365)+(MONTH(W365)/100),TC!$5:$37,DAY(W365)+2,FALSE))</f>
        <v>0</v>
      </c>
      <c r="AC365" s="306">
        <f t="shared" si="87"/>
        <v>0</v>
      </c>
      <c r="AD365" s="314">
        <f t="shared" si="78"/>
        <v>0</v>
      </c>
      <c r="AE365" s="315">
        <f t="shared" si="88"/>
        <v>0</v>
      </c>
      <c r="AF365" s="316">
        <f t="shared" si="79"/>
        <v>0</v>
      </c>
      <c r="AG365" s="314">
        <v>1</v>
      </c>
      <c r="AH365" s="314">
        <f t="shared" si="89"/>
        <v>0</v>
      </c>
      <c r="AI365" s="314">
        <f t="shared" si="90"/>
        <v>0</v>
      </c>
      <c r="AJ365" s="317"/>
      <c r="AK365" s="315" t="e">
        <f t="shared" si="91"/>
        <v>#N/A</v>
      </c>
      <c r="AM365" s="553"/>
      <c r="AN365" s="553"/>
      <c r="AO365" s="553"/>
    </row>
    <row r="366" spans="2:41">
      <c r="B366" s="296"/>
      <c r="C366" s="299"/>
      <c r="D366" s="296"/>
      <c r="E366" s="298"/>
      <c r="F366" s="299"/>
      <c r="G366" s="300"/>
      <c r="H366" s="303"/>
      <c r="I366" s="303"/>
      <c r="J366" s="322">
        <f t="shared" si="77"/>
        <v>0</v>
      </c>
      <c r="K366" s="305" t="e">
        <f>IF(F366="MXN",1/HLOOKUP(YEAR(G366)+(MONTH(G366)/100),TC!$5:$37,DAY(G366)+2,FALSE),VLOOKUP(F366,Equivalencia!$5:$23,((MAX(Equivalencia!$3:$3)-YEAR(G366))*14)+MONTH(G366)+2,FALSE))</f>
        <v>#N/A</v>
      </c>
      <c r="L366" s="306" t="e">
        <f t="shared" si="80"/>
        <v>#N/A</v>
      </c>
      <c r="M366" s="305">
        <f>IF(G366=0,0,HLOOKUP(YEAR(G366)+(MONTH(G366)/100),TC!$5:$37,DAY(G366)+2,FALSE))</f>
        <v>0</v>
      </c>
      <c r="N366" s="306" t="e">
        <f t="shared" si="81"/>
        <v>#N/A</v>
      </c>
      <c r="O366" s="308">
        <f>IF(G366=0,0,VLOOKUP(YEAR(G366),INPC!$B$4:$P$30,MONTH(G366)+2))</f>
        <v>0</v>
      </c>
      <c r="P366" s="308">
        <f>IF(W366=0,0,IF(OR(C366=$AQ$5,C366=AQ370),VLOOKUP(YEAR(W366),INPC!$B$4:$P$30,MONTH(W366)+1),VLOOKUP(YEAR(W366),INPC!$B$4:$P$30,MONTH(W366)+2)))</f>
        <v>0</v>
      </c>
      <c r="Q366" s="309">
        <f t="shared" si="82"/>
        <v>0</v>
      </c>
      <c r="R366" s="310" t="e">
        <f t="shared" si="83"/>
        <v>#N/A</v>
      </c>
      <c r="S366" s="310">
        <f t="shared" si="84"/>
        <v>0</v>
      </c>
      <c r="T366" s="559" t="str">
        <f t="shared" si="85"/>
        <v>NO</v>
      </c>
      <c r="U366" s="323"/>
      <c r="V366" s="299"/>
      <c r="W366" s="300"/>
      <c r="X366" s="299"/>
      <c r="Y366" s="303"/>
      <c r="Z366" s="305">
        <f>IF(Y366=0,0,IF(X366="MXN",1/HLOOKUP(YEAR(W366)+(MONTH(W366)/100),TC!$5:$37,DAY(W366)+2,FALSE),VLOOKUP(X366,Equivalencia!$1:$23,((MAX(Equivalencia!$3:$3)-YEAR(W366))*14)+MONTH(W366)+2,FALSE)))</f>
        <v>0</v>
      </c>
      <c r="AA366" s="306">
        <f t="shared" si="86"/>
        <v>0</v>
      </c>
      <c r="AB366" s="305">
        <f>+IF(W366=0,0,HLOOKUP(YEAR(W366)+(MONTH(W366)/100),TC!$5:$37,DAY(W366)+2,FALSE))</f>
        <v>0</v>
      </c>
      <c r="AC366" s="306">
        <f t="shared" si="87"/>
        <v>0</v>
      </c>
      <c r="AD366" s="314">
        <f t="shared" si="78"/>
        <v>0</v>
      </c>
      <c r="AE366" s="315">
        <f t="shared" si="88"/>
        <v>0</v>
      </c>
      <c r="AF366" s="316">
        <f t="shared" si="79"/>
        <v>0</v>
      </c>
      <c r="AG366" s="314">
        <v>1</v>
      </c>
      <c r="AH366" s="314">
        <f t="shared" si="89"/>
        <v>0</v>
      </c>
      <c r="AI366" s="314">
        <f t="shared" si="90"/>
        <v>0</v>
      </c>
      <c r="AJ366" s="317"/>
      <c r="AK366" s="315" t="e">
        <f t="shared" si="91"/>
        <v>#N/A</v>
      </c>
      <c r="AM366" s="553"/>
      <c r="AN366" s="553"/>
      <c r="AO366" s="553"/>
    </row>
    <row r="367" spans="2:41">
      <c r="B367" s="296"/>
      <c r="C367" s="299"/>
      <c r="D367" s="296"/>
      <c r="E367" s="298"/>
      <c r="F367" s="299"/>
      <c r="G367" s="300"/>
      <c r="H367" s="303"/>
      <c r="I367" s="303"/>
      <c r="J367" s="322">
        <f t="shared" si="77"/>
        <v>0</v>
      </c>
      <c r="K367" s="305" t="e">
        <f>IF(F367="MXN",1/HLOOKUP(YEAR(G367)+(MONTH(G367)/100),TC!$5:$37,DAY(G367)+2,FALSE),VLOOKUP(F367,Equivalencia!$5:$23,((MAX(Equivalencia!$3:$3)-YEAR(G367))*14)+MONTH(G367)+2,FALSE))</f>
        <v>#N/A</v>
      </c>
      <c r="L367" s="306" t="e">
        <f t="shared" si="80"/>
        <v>#N/A</v>
      </c>
      <c r="M367" s="305">
        <f>IF(G367=0,0,HLOOKUP(YEAR(G367)+(MONTH(G367)/100),TC!$5:$37,DAY(G367)+2,FALSE))</f>
        <v>0</v>
      </c>
      <c r="N367" s="306" t="e">
        <f t="shared" si="81"/>
        <v>#N/A</v>
      </c>
      <c r="O367" s="308">
        <f>IF(G367=0,0,VLOOKUP(YEAR(G367),INPC!$B$4:$P$30,MONTH(G367)+2))</f>
        <v>0</v>
      </c>
      <c r="P367" s="308">
        <f>IF(W367=0,0,IF(OR(C367=$AQ$5,C367=AQ371),VLOOKUP(YEAR(W367),INPC!$B$4:$P$30,MONTH(W367)+1),VLOOKUP(YEAR(W367),INPC!$B$4:$P$30,MONTH(W367)+2)))</f>
        <v>0</v>
      </c>
      <c r="Q367" s="309">
        <f t="shared" si="82"/>
        <v>0</v>
      </c>
      <c r="R367" s="310" t="e">
        <f t="shared" si="83"/>
        <v>#N/A</v>
      </c>
      <c r="S367" s="310">
        <f t="shared" si="84"/>
        <v>0</v>
      </c>
      <c r="T367" s="559" t="str">
        <f t="shared" si="85"/>
        <v>NO</v>
      </c>
      <c r="U367" s="323"/>
      <c r="V367" s="299"/>
      <c r="W367" s="300"/>
      <c r="X367" s="299"/>
      <c r="Y367" s="303"/>
      <c r="Z367" s="305">
        <f>IF(Y367=0,0,IF(X367="MXN",1/HLOOKUP(YEAR(W367)+(MONTH(W367)/100),TC!$5:$37,DAY(W367)+2,FALSE),VLOOKUP(X367,Equivalencia!$1:$23,((MAX(Equivalencia!$3:$3)-YEAR(W367))*14)+MONTH(W367)+2,FALSE)))</f>
        <v>0</v>
      </c>
      <c r="AA367" s="306">
        <f t="shared" si="86"/>
        <v>0</v>
      </c>
      <c r="AB367" s="305">
        <f>+IF(W367=0,0,HLOOKUP(YEAR(W367)+(MONTH(W367)/100),TC!$5:$37,DAY(W367)+2,FALSE))</f>
        <v>0</v>
      </c>
      <c r="AC367" s="306">
        <f t="shared" si="87"/>
        <v>0</v>
      </c>
      <c r="AD367" s="314">
        <f t="shared" si="78"/>
        <v>0</v>
      </c>
      <c r="AE367" s="315">
        <f t="shared" si="88"/>
        <v>0</v>
      </c>
      <c r="AF367" s="316">
        <f t="shared" si="79"/>
        <v>0</v>
      </c>
      <c r="AG367" s="314">
        <v>1</v>
      </c>
      <c r="AH367" s="314">
        <f t="shared" si="89"/>
        <v>0</v>
      </c>
      <c r="AI367" s="314">
        <f t="shared" si="90"/>
        <v>0</v>
      </c>
      <c r="AJ367" s="317"/>
      <c r="AK367" s="315" t="e">
        <f t="shared" si="91"/>
        <v>#N/A</v>
      </c>
      <c r="AM367" s="553"/>
      <c r="AN367" s="553"/>
      <c r="AO367" s="553"/>
    </row>
    <row r="368" spans="2:41">
      <c r="B368" s="296"/>
      <c r="C368" s="299"/>
      <c r="D368" s="296"/>
      <c r="E368" s="298"/>
      <c r="F368" s="299"/>
      <c r="G368" s="300"/>
      <c r="H368" s="303"/>
      <c r="I368" s="303"/>
      <c r="J368" s="322">
        <f t="shared" si="77"/>
        <v>0</v>
      </c>
      <c r="K368" s="305" t="e">
        <f>IF(F368="MXN",1/HLOOKUP(YEAR(G368)+(MONTH(G368)/100),TC!$5:$37,DAY(G368)+2,FALSE),VLOOKUP(F368,Equivalencia!$5:$23,((MAX(Equivalencia!$3:$3)-YEAR(G368))*14)+MONTH(G368)+2,FALSE))</f>
        <v>#N/A</v>
      </c>
      <c r="L368" s="306" t="e">
        <f t="shared" si="80"/>
        <v>#N/A</v>
      </c>
      <c r="M368" s="305">
        <f>IF(G368=0,0,HLOOKUP(YEAR(G368)+(MONTH(G368)/100),TC!$5:$37,DAY(G368)+2,FALSE))</f>
        <v>0</v>
      </c>
      <c r="N368" s="306" t="e">
        <f t="shared" si="81"/>
        <v>#N/A</v>
      </c>
      <c r="O368" s="308">
        <f>IF(G368=0,0,VLOOKUP(YEAR(G368),INPC!$B$4:$P$30,MONTH(G368)+2))</f>
        <v>0</v>
      </c>
      <c r="P368" s="308">
        <f>IF(W368=0,0,IF(OR(C368=$AQ$5,C368=AQ372),VLOOKUP(YEAR(W368),INPC!$B$4:$P$30,MONTH(W368)+1),VLOOKUP(YEAR(W368),INPC!$B$4:$P$30,MONTH(W368)+2)))</f>
        <v>0</v>
      </c>
      <c r="Q368" s="309">
        <f t="shared" si="82"/>
        <v>0</v>
      </c>
      <c r="R368" s="310" t="e">
        <f t="shared" si="83"/>
        <v>#N/A</v>
      </c>
      <c r="S368" s="310">
        <f t="shared" si="84"/>
        <v>0</v>
      </c>
      <c r="T368" s="559" t="str">
        <f t="shared" si="85"/>
        <v>NO</v>
      </c>
      <c r="U368" s="323"/>
      <c r="V368" s="299"/>
      <c r="W368" s="300"/>
      <c r="X368" s="299"/>
      <c r="Y368" s="303"/>
      <c r="Z368" s="305">
        <f>IF(Y368=0,0,IF(X368="MXN",1/HLOOKUP(YEAR(W368)+(MONTH(W368)/100),TC!$5:$37,DAY(W368)+2,FALSE),VLOOKUP(X368,Equivalencia!$1:$23,((MAX(Equivalencia!$3:$3)-YEAR(W368))*14)+MONTH(W368)+2,FALSE)))</f>
        <v>0</v>
      </c>
      <c r="AA368" s="306">
        <f t="shared" si="86"/>
        <v>0</v>
      </c>
      <c r="AB368" s="305">
        <f>+IF(W368=0,0,HLOOKUP(YEAR(W368)+(MONTH(W368)/100),TC!$5:$37,DAY(W368)+2,FALSE))</f>
        <v>0</v>
      </c>
      <c r="AC368" s="306">
        <f t="shared" si="87"/>
        <v>0</v>
      </c>
      <c r="AD368" s="314">
        <f t="shared" si="78"/>
        <v>0</v>
      </c>
      <c r="AE368" s="315">
        <f t="shared" si="88"/>
        <v>0</v>
      </c>
      <c r="AF368" s="316">
        <f t="shared" si="79"/>
        <v>0</v>
      </c>
      <c r="AG368" s="314">
        <v>1</v>
      </c>
      <c r="AH368" s="314">
        <f t="shared" si="89"/>
        <v>0</v>
      </c>
      <c r="AI368" s="314">
        <f t="shared" si="90"/>
        <v>0</v>
      </c>
      <c r="AJ368" s="317"/>
      <c r="AK368" s="315" t="e">
        <f t="shared" si="91"/>
        <v>#N/A</v>
      </c>
      <c r="AM368" s="553"/>
      <c r="AN368" s="553"/>
      <c r="AO368" s="553"/>
    </row>
    <row r="369" spans="2:41">
      <c r="B369" s="296"/>
      <c r="C369" s="299"/>
      <c r="D369" s="296"/>
      <c r="E369" s="298"/>
      <c r="F369" s="299"/>
      <c r="G369" s="300"/>
      <c r="H369" s="303"/>
      <c r="I369" s="303"/>
      <c r="J369" s="322">
        <f t="shared" si="77"/>
        <v>0</v>
      </c>
      <c r="K369" s="305" t="e">
        <f>IF(F369="MXN",1/HLOOKUP(YEAR(G369)+(MONTH(G369)/100),TC!$5:$37,DAY(G369)+2,FALSE),VLOOKUP(F369,Equivalencia!$5:$23,((MAX(Equivalencia!$3:$3)-YEAR(G369))*14)+MONTH(G369)+2,FALSE))</f>
        <v>#N/A</v>
      </c>
      <c r="L369" s="306" t="e">
        <f t="shared" si="80"/>
        <v>#N/A</v>
      </c>
      <c r="M369" s="305">
        <f>IF(G369=0,0,HLOOKUP(YEAR(G369)+(MONTH(G369)/100),TC!$5:$37,DAY(G369)+2,FALSE))</f>
        <v>0</v>
      </c>
      <c r="N369" s="306" t="e">
        <f t="shared" si="81"/>
        <v>#N/A</v>
      </c>
      <c r="O369" s="308">
        <f>IF(G369=0,0,VLOOKUP(YEAR(G369),INPC!$B$4:$P$30,MONTH(G369)+2))</f>
        <v>0</v>
      </c>
      <c r="P369" s="308">
        <f>IF(W369=0,0,IF(OR(C369=$AQ$5,C369=AQ373),VLOOKUP(YEAR(W369),INPC!$B$4:$P$30,MONTH(W369)+1),VLOOKUP(YEAR(W369),INPC!$B$4:$P$30,MONTH(W369)+2)))</f>
        <v>0</v>
      </c>
      <c r="Q369" s="309">
        <f t="shared" si="82"/>
        <v>0</v>
      </c>
      <c r="R369" s="310" t="e">
        <f t="shared" si="83"/>
        <v>#N/A</v>
      </c>
      <c r="S369" s="310">
        <f t="shared" si="84"/>
        <v>0</v>
      </c>
      <c r="T369" s="559" t="str">
        <f t="shared" si="85"/>
        <v>NO</v>
      </c>
      <c r="U369" s="323"/>
      <c r="V369" s="299"/>
      <c r="W369" s="300"/>
      <c r="X369" s="299"/>
      <c r="Y369" s="303"/>
      <c r="Z369" s="305">
        <f>IF(Y369=0,0,IF(X369="MXN",1/HLOOKUP(YEAR(W369)+(MONTH(W369)/100),TC!$5:$37,DAY(W369)+2,FALSE),VLOOKUP(X369,Equivalencia!$1:$23,((MAX(Equivalencia!$3:$3)-YEAR(W369))*14)+MONTH(W369)+2,FALSE)))</f>
        <v>0</v>
      </c>
      <c r="AA369" s="306">
        <f t="shared" si="86"/>
        <v>0</v>
      </c>
      <c r="AB369" s="305">
        <f>+IF(W369=0,0,HLOOKUP(YEAR(W369)+(MONTH(W369)/100),TC!$5:$37,DAY(W369)+2,FALSE))</f>
        <v>0</v>
      </c>
      <c r="AC369" s="306">
        <f t="shared" si="87"/>
        <v>0</v>
      </c>
      <c r="AD369" s="314">
        <f t="shared" si="78"/>
        <v>0</v>
      </c>
      <c r="AE369" s="315">
        <f t="shared" si="88"/>
        <v>0</v>
      </c>
      <c r="AF369" s="316">
        <f t="shared" si="79"/>
        <v>0</v>
      </c>
      <c r="AG369" s="314">
        <v>1</v>
      </c>
      <c r="AH369" s="314">
        <f t="shared" si="89"/>
        <v>0</v>
      </c>
      <c r="AI369" s="314">
        <f t="shared" si="90"/>
        <v>0</v>
      </c>
      <c r="AJ369" s="317"/>
      <c r="AK369" s="315" t="e">
        <f t="shared" si="91"/>
        <v>#N/A</v>
      </c>
      <c r="AM369" s="553"/>
      <c r="AN369" s="553"/>
      <c r="AO369" s="553"/>
    </row>
    <row r="370" spans="2:41">
      <c r="B370" s="296"/>
      <c r="C370" s="299"/>
      <c r="D370" s="296"/>
      <c r="E370" s="298"/>
      <c r="F370" s="299"/>
      <c r="G370" s="300"/>
      <c r="H370" s="303"/>
      <c r="I370" s="303"/>
      <c r="J370" s="322">
        <f t="shared" si="77"/>
        <v>0</v>
      </c>
      <c r="K370" s="305" t="e">
        <f>IF(F370="MXN",1/HLOOKUP(YEAR(G370)+(MONTH(G370)/100),TC!$5:$37,DAY(G370)+2,FALSE),VLOOKUP(F370,Equivalencia!$5:$23,((MAX(Equivalencia!$3:$3)-YEAR(G370))*14)+MONTH(G370)+2,FALSE))</f>
        <v>#N/A</v>
      </c>
      <c r="L370" s="306" t="e">
        <f t="shared" si="80"/>
        <v>#N/A</v>
      </c>
      <c r="M370" s="305">
        <f>IF(G370=0,0,HLOOKUP(YEAR(G370)+(MONTH(G370)/100),TC!$5:$37,DAY(G370)+2,FALSE))</f>
        <v>0</v>
      </c>
      <c r="N370" s="306" t="e">
        <f t="shared" si="81"/>
        <v>#N/A</v>
      </c>
      <c r="O370" s="308">
        <f>IF(G370=0,0,VLOOKUP(YEAR(G370),INPC!$B$4:$P$30,MONTH(G370)+2))</f>
        <v>0</v>
      </c>
      <c r="P370" s="308">
        <f>IF(W370=0,0,IF(OR(C370=$AQ$5,C370=AQ374),VLOOKUP(YEAR(W370),INPC!$B$4:$P$30,MONTH(W370)+1),VLOOKUP(YEAR(W370),INPC!$B$4:$P$30,MONTH(W370)+2)))</f>
        <v>0</v>
      </c>
      <c r="Q370" s="309">
        <f t="shared" si="82"/>
        <v>0</v>
      </c>
      <c r="R370" s="310" t="e">
        <f t="shared" si="83"/>
        <v>#N/A</v>
      </c>
      <c r="S370" s="310">
        <f t="shared" si="84"/>
        <v>0</v>
      </c>
      <c r="T370" s="559" t="str">
        <f t="shared" si="85"/>
        <v>NO</v>
      </c>
      <c r="U370" s="323"/>
      <c r="V370" s="299"/>
      <c r="W370" s="300"/>
      <c r="X370" s="299"/>
      <c r="Y370" s="303"/>
      <c r="Z370" s="305">
        <f>IF(Y370=0,0,IF(X370="MXN",1/HLOOKUP(YEAR(W370)+(MONTH(W370)/100),TC!$5:$37,DAY(W370)+2,FALSE),VLOOKUP(X370,Equivalencia!$1:$23,((MAX(Equivalencia!$3:$3)-YEAR(W370))*14)+MONTH(W370)+2,FALSE)))</f>
        <v>0</v>
      </c>
      <c r="AA370" s="306">
        <f t="shared" si="86"/>
        <v>0</v>
      </c>
      <c r="AB370" s="305">
        <f>+IF(W370=0,0,HLOOKUP(YEAR(W370)+(MONTH(W370)/100),TC!$5:$37,DAY(W370)+2,FALSE))</f>
        <v>0</v>
      </c>
      <c r="AC370" s="306">
        <f t="shared" si="87"/>
        <v>0</v>
      </c>
      <c r="AD370" s="314">
        <f t="shared" si="78"/>
        <v>0</v>
      </c>
      <c r="AE370" s="315">
        <f t="shared" si="88"/>
        <v>0</v>
      </c>
      <c r="AF370" s="316">
        <f t="shared" si="79"/>
        <v>0</v>
      </c>
      <c r="AG370" s="314">
        <v>1</v>
      </c>
      <c r="AH370" s="314">
        <f t="shared" si="89"/>
        <v>0</v>
      </c>
      <c r="AI370" s="314">
        <f t="shared" si="90"/>
        <v>0</v>
      </c>
      <c r="AJ370" s="317"/>
      <c r="AK370" s="315" t="e">
        <f t="shared" si="91"/>
        <v>#N/A</v>
      </c>
      <c r="AM370" s="553"/>
      <c r="AN370" s="553"/>
      <c r="AO370" s="553"/>
    </row>
    <row r="371" spans="2:41">
      <c r="B371" s="296"/>
      <c r="C371" s="299"/>
      <c r="D371" s="296"/>
      <c r="E371" s="298"/>
      <c r="F371" s="299"/>
      <c r="G371" s="300"/>
      <c r="H371" s="303"/>
      <c r="I371" s="303"/>
      <c r="J371" s="322">
        <f t="shared" si="77"/>
        <v>0</v>
      </c>
      <c r="K371" s="305" t="e">
        <f>IF(F371="MXN",1/HLOOKUP(YEAR(G371)+(MONTH(G371)/100),TC!$5:$37,DAY(G371)+2,FALSE),VLOOKUP(F371,Equivalencia!$5:$23,((MAX(Equivalencia!$3:$3)-YEAR(G371))*14)+MONTH(G371)+2,FALSE))</f>
        <v>#N/A</v>
      </c>
      <c r="L371" s="306" t="e">
        <f t="shared" si="80"/>
        <v>#N/A</v>
      </c>
      <c r="M371" s="305">
        <f>IF(G371=0,0,HLOOKUP(YEAR(G371)+(MONTH(G371)/100),TC!$5:$37,DAY(G371)+2,FALSE))</f>
        <v>0</v>
      </c>
      <c r="N371" s="306" t="e">
        <f t="shared" si="81"/>
        <v>#N/A</v>
      </c>
      <c r="O371" s="308">
        <f>IF(G371=0,0,VLOOKUP(YEAR(G371),INPC!$B$4:$P$30,MONTH(G371)+2))</f>
        <v>0</v>
      </c>
      <c r="P371" s="308">
        <f>IF(W371=0,0,IF(OR(C371=$AQ$5,C371=AQ375),VLOOKUP(YEAR(W371),INPC!$B$4:$P$30,MONTH(W371)+1),VLOOKUP(YEAR(W371),INPC!$B$4:$P$30,MONTH(W371)+2)))</f>
        <v>0</v>
      </c>
      <c r="Q371" s="309">
        <f t="shared" si="82"/>
        <v>0</v>
      </c>
      <c r="R371" s="310" t="e">
        <f t="shared" si="83"/>
        <v>#N/A</v>
      </c>
      <c r="S371" s="310">
        <f t="shared" si="84"/>
        <v>0</v>
      </c>
      <c r="T371" s="559" t="str">
        <f t="shared" si="85"/>
        <v>NO</v>
      </c>
      <c r="U371" s="323"/>
      <c r="V371" s="299"/>
      <c r="W371" s="300"/>
      <c r="X371" s="299"/>
      <c r="Y371" s="303"/>
      <c r="Z371" s="305">
        <f>IF(Y371=0,0,IF(X371="MXN",1/HLOOKUP(YEAR(W371)+(MONTH(W371)/100),TC!$5:$37,DAY(W371)+2,FALSE),VLOOKUP(X371,Equivalencia!$1:$23,((MAX(Equivalencia!$3:$3)-YEAR(W371))*14)+MONTH(W371)+2,FALSE)))</f>
        <v>0</v>
      </c>
      <c r="AA371" s="306">
        <f t="shared" si="86"/>
        <v>0</v>
      </c>
      <c r="AB371" s="305">
        <f>+IF(W371=0,0,HLOOKUP(YEAR(W371)+(MONTH(W371)/100),TC!$5:$37,DAY(W371)+2,FALSE))</f>
        <v>0</v>
      </c>
      <c r="AC371" s="306">
        <f t="shared" si="87"/>
        <v>0</v>
      </c>
      <c r="AD371" s="314">
        <f t="shared" si="78"/>
        <v>0</v>
      </c>
      <c r="AE371" s="315">
        <f t="shared" si="88"/>
        <v>0</v>
      </c>
      <c r="AF371" s="316">
        <f t="shared" si="79"/>
        <v>0</v>
      </c>
      <c r="AG371" s="314">
        <v>1</v>
      </c>
      <c r="AH371" s="314">
        <f t="shared" si="89"/>
        <v>0</v>
      </c>
      <c r="AI371" s="314">
        <f t="shared" si="90"/>
        <v>0</v>
      </c>
      <c r="AJ371" s="317"/>
      <c r="AK371" s="315" t="e">
        <f t="shared" si="91"/>
        <v>#N/A</v>
      </c>
      <c r="AM371" s="553"/>
      <c r="AN371" s="553"/>
      <c r="AO371" s="553"/>
    </row>
    <row r="372" spans="2:41">
      <c r="B372" s="296"/>
      <c r="C372" s="299"/>
      <c r="D372" s="296"/>
      <c r="E372" s="298"/>
      <c r="F372" s="299"/>
      <c r="G372" s="300"/>
      <c r="H372" s="303"/>
      <c r="I372" s="303"/>
      <c r="J372" s="322">
        <f t="shared" si="77"/>
        <v>0</v>
      </c>
      <c r="K372" s="305" t="e">
        <f>IF(F372="MXN",1/HLOOKUP(YEAR(G372)+(MONTH(G372)/100),TC!$5:$37,DAY(G372)+2,FALSE),VLOOKUP(F372,Equivalencia!$5:$23,((MAX(Equivalencia!$3:$3)-YEAR(G372))*14)+MONTH(G372)+2,FALSE))</f>
        <v>#N/A</v>
      </c>
      <c r="L372" s="306" t="e">
        <f t="shared" si="80"/>
        <v>#N/A</v>
      </c>
      <c r="M372" s="305">
        <f>IF(G372=0,0,HLOOKUP(YEAR(G372)+(MONTH(G372)/100),TC!$5:$37,DAY(G372)+2,FALSE))</f>
        <v>0</v>
      </c>
      <c r="N372" s="306" t="e">
        <f t="shared" si="81"/>
        <v>#N/A</v>
      </c>
      <c r="O372" s="308">
        <f>IF(G372=0,0,VLOOKUP(YEAR(G372),INPC!$B$4:$P$30,MONTH(G372)+2))</f>
        <v>0</v>
      </c>
      <c r="P372" s="308">
        <f>IF(W372=0,0,IF(OR(C372=$AQ$5,C372=AQ376),VLOOKUP(YEAR(W372),INPC!$B$4:$P$30,MONTH(W372)+1),VLOOKUP(YEAR(W372),INPC!$B$4:$P$30,MONTH(W372)+2)))</f>
        <v>0</v>
      </c>
      <c r="Q372" s="309">
        <f t="shared" si="82"/>
        <v>0</v>
      </c>
      <c r="R372" s="310" t="e">
        <f t="shared" si="83"/>
        <v>#N/A</v>
      </c>
      <c r="S372" s="310">
        <f t="shared" si="84"/>
        <v>0</v>
      </c>
      <c r="T372" s="559" t="str">
        <f t="shared" si="85"/>
        <v>NO</v>
      </c>
      <c r="U372" s="323"/>
      <c r="V372" s="299"/>
      <c r="W372" s="300"/>
      <c r="X372" s="299"/>
      <c r="Y372" s="303"/>
      <c r="Z372" s="305">
        <f>IF(Y372=0,0,IF(X372="MXN",1/HLOOKUP(YEAR(W372)+(MONTH(W372)/100),TC!$5:$37,DAY(W372)+2,FALSE),VLOOKUP(X372,Equivalencia!$1:$23,((MAX(Equivalencia!$3:$3)-YEAR(W372))*14)+MONTH(W372)+2,FALSE)))</f>
        <v>0</v>
      </c>
      <c r="AA372" s="306">
        <f t="shared" si="86"/>
        <v>0</v>
      </c>
      <c r="AB372" s="305">
        <f>+IF(W372=0,0,HLOOKUP(YEAR(W372)+(MONTH(W372)/100),TC!$5:$37,DAY(W372)+2,FALSE))</f>
        <v>0</v>
      </c>
      <c r="AC372" s="306">
        <f t="shared" si="87"/>
        <v>0</v>
      </c>
      <c r="AD372" s="314">
        <f t="shared" si="78"/>
        <v>0</v>
      </c>
      <c r="AE372" s="315">
        <f t="shared" si="88"/>
        <v>0</v>
      </c>
      <c r="AF372" s="316">
        <f t="shared" si="79"/>
        <v>0</v>
      </c>
      <c r="AG372" s="314">
        <v>1</v>
      </c>
      <c r="AH372" s="314">
        <f t="shared" si="89"/>
        <v>0</v>
      </c>
      <c r="AI372" s="314">
        <f t="shared" si="90"/>
        <v>0</v>
      </c>
      <c r="AJ372" s="317"/>
      <c r="AK372" s="315" t="e">
        <f t="shared" si="91"/>
        <v>#N/A</v>
      </c>
      <c r="AM372" s="553"/>
      <c r="AN372" s="553"/>
      <c r="AO372" s="553"/>
    </row>
    <row r="373" spans="2:41">
      <c r="B373" s="296"/>
      <c r="C373" s="299"/>
      <c r="D373" s="296"/>
      <c r="E373" s="298"/>
      <c r="F373" s="299"/>
      <c r="G373" s="300"/>
      <c r="H373" s="303"/>
      <c r="I373" s="303"/>
      <c r="J373" s="322">
        <f t="shared" si="77"/>
        <v>0</v>
      </c>
      <c r="K373" s="305" t="e">
        <f>IF(F373="MXN",1/HLOOKUP(YEAR(G373)+(MONTH(G373)/100),TC!$5:$37,DAY(G373)+2,FALSE),VLOOKUP(F373,Equivalencia!$5:$23,((MAX(Equivalencia!$3:$3)-YEAR(G373))*14)+MONTH(G373)+2,FALSE))</f>
        <v>#N/A</v>
      </c>
      <c r="L373" s="306" t="e">
        <f t="shared" si="80"/>
        <v>#N/A</v>
      </c>
      <c r="M373" s="305">
        <f>IF(G373=0,0,HLOOKUP(YEAR(G373)+(MONTH(G373)/100),TC!$5:$37,DAY(G373)+2,FALSE))</f>
        <v>0</v>
      </c>
      <c r="N373" s="306" t="e">
        <f t="shared" si="81"/>
        <v>#N/A</v>
      </c>
      <c r="O373" s="308">
        <f>IF(G373=0,0,VLOOKUP(YEAR(G373),INPC!$B$4:$P$30,MONTH(G373)+2))</f>
        <v>0</v>
      </c>
      <c r="P373" s="308">
        <f>IF(W373=0,0,IF(OR(C373=$AQ$5,C373=AQ377),VLOOKUP(YEAR(W373),INPC!$B$4:$P$30,MONTH(W373)+1),VLOOKUP(YEAR(W373),INPC!$B$4:$P$30,MONTH(W373)+2)))</f>
        <v>0</v>
      </c>
      <c r="Q373" s="309">
        <f t="shared" si="82"/>
        <v>0</v>
      </c>
      <c r="R373" s="310" t="e">
        <f t="shared" si="83"/>
        <v>#N/A</v>
      </c>
      <c r="S373" s="310">
        <f t="shared" si="84"/>
        <v>0</v>
      </c>
      <c r="T373" s="559" t="str">
        <f t="shared" si="85"/>
        <v>NO</v>
      </c>
      <c r="U373" s="323"/>
      <c r="V373" s="299"/>
      <c r="W373" s="300"/>
      <c r="X373" s="299"/>
      <c r="Y373" s="303"/>
      <c r="Z373" s="305">
        <f>IF(Y373=0,0,IF(X373="MXN",1/HLOOKUP(YEAR(W373)+(MONTH(W373)/100),TC!$5:$37,DAY(W373)+2,FALSE),VLOOKUP(X373,Equivalencia!$1:$23,((MAX(Equivalencia!$3:$3)-YEAR(W373))*14)+MONTH(W373)+2,FALSE)))</f>
        <v>0</v>
      </c>
      <c r="AA373" s="306">
        <f t="shared" si="86"/>
        <v>0</v>
      </c>
      <c r="AB373" s="305">
        <f>+IF(W373=0,0,HLOOKUP(YEAR(W373)+(MONTH(W373)/100),TC!$5:$37,DAY(W373)+2,FALSE))</f>
        <v>0</v>
      </c>
      <c r="AC373" s="306">
        <f t="shared" si="87"/>
        <v>0</v>
      </c>
      <c r="AD373" s="314">
        <f t="shared" si="78"/>
        <v>0</v>
      </c>
      <c r="AE373" s="315">
        <f t="shared" si="88"/>
        <v>0</v>
      </c>
      <c r="AF373" s="316">
        <f t="shared" si="79"/>
        <v>0</v>
      </c>
      <c r="AG373" s="314">
        <v>1</v>
      </c>
      <c r="AH373" s="314">
        <f t="shared" si="89"/>
        <v>0</v>
      </c>
      <c r="AI373" s="314">
        <f t="shared" si="90"/>
        <v>0</v>
      </c>
      <c r="AJ373" s="317"/>
      <c r="AK373" s="315" t="e">
        <f t="shared" si="91"/>
        <v>#N/A</v>
      </c>
      <c r="AM373" s="553"/>
      <c r="AN373" s="553"/>
      <c r="AO373" s="553"/>
    </row>
    <row r="374" spans="2:41">
      <c r="B374" s="296"/>
      <c r="C374" s="299"/>
      <c r="D374" s="296"/>
      <c r="E374" s="298"/>
      <c r="F374" s="299"/>
      <c r="G374" s="300"/>
      <c r="H374" s="303"/>
      <c r="I374" s="303"/>
      <c r="J374" s="322">
        <f t="shared" si="77"/>
        <v>0</v>
      </c>
      <c r="K374" s="305" t="e">
        <f>IF(F374="MXN",1/HLOOKUP(YEAR(G374)+(MONTH(G374)/100),TC!$5:$37,DAY(G374)+2,FALSE),VLOOKUP(F374,Equivalencia!$5:$23,((MAX(Equivalencia!$3:$3)-YEAR(G374))*14)+MONTH(G374)+2,FALSE))</f>
        <v>#N/A</v>
      </c>
      <c r="L374" s="306" t="e">
        <f t="shared" si="80"/>
        <v>#N/A</v>
      </c>
      <c r="M374" s="305">
        <f>IF(G374=0,0,HLOOKUP(YEAR(G374)+(MONTH(G374)/100),TC!$5:$37,DAY(G374)+2,FALSE))</f>
        <v>0</v>
      </c>
      <c r="N374" s="306" t="e">
        <f t="shared" si="81"/>
        <v>#N/A</v>
      </c>
      <c r="O374" s="308">
        <f>IF(G374=0,0,VLOOKUP(YEAR(G374),INPC!$B$4:$P$30,MONTH(G374)+2))</f>
        <v>0</v>
      </c>
      <c r="P374" s="308">
        <f>IF(W374=0,0,IF(OR(C374=$AQ$5,C374=AQ378),VLOOKUP(YEAR(W374),INPC!$B$4:$P$30,MONTH(W374)+1),VLOOKUP(YEAR(W374),INPC!$B$4:$P$30,MONTH(W374)+2)))</f>
        <v>0</v>
      </c>
      <c r="Q374" s="309">
        <f t="shared" si="82"/>
        <v>0</v>
      </c>
      <c r="R374" s="310" t="e">
        <f t="shared" si="83"/>
        <v>#N/A</v>
      </c>
      <c r="S374" s="310">
        <f t="shared" si="84"/>
        <v>0</v>
      </c>
      <c r="T374" s="559" t="str">
        <f t="shared" si="85"/>
        <v>NO</v>
      </c>
      <c r="U374" s="323"/>
      <c r="V374" s="299"/>
      <c r="W374" s="300"/>
      <c r="X374" s="299"/>
      <c r="Y374" s="303"/>
      <c r="Z374" s="305">
        <f>IF(Y374=0,0,IF(X374="MXN",1/HLOOKUP(YEAR(W374)+(MONTH(W374)/100),TC!$5:$37,DAY(W374)+2,FALSE),VLOOKUP(X374,Equivalencia!$1:$23,((MAX(Equivalencia!$3:$3)-YEAR(W374))*14)+MONTH(W374)+2,FALSE)))</f>
        <v>0</v>
      </c>
      <c r="AA374" s="306">
        <f t="shared" si="86"/>
        <v>0</v>
      </c>
      <c r="AB374" s="305">
        <f>+IF(W374=0,0,HLOOKUP(YEAR(W374)+(MONTH(W374)/100),TC!$5:$37,DAY(W374)+2,FALSE))</f>
        <v>0</v>
      </c>
      <c r="AC374" s="306">
        <f t="shared" si="87"/>
        <v>0</v>
      </c>
      <c r="AD374" s="314">
        <f t="shared" si="78"/>
        <v>0</v>
      </c>
      <c r="AE374" s="315">
        <f t="shared" si="88"/>
        <v>0</v>
      </c>
      <c r="AF374" s="316">
        <f t="shared" si="79"/>
        <v>0</v>
      </c>
      <c r="AG374" s="314">
        <v>1</v>
      </c>
      <c r="AH374" s="314">
        <f t="shared" si="89"/>
        <v>0</v>
      </c>
      <c r="AI374" s="314">
        <f t="shared" si="90"/>
        <v>0</v>
      </c>
      <c r="AJ374" s="317"/>
      <c r="AK374" s="315" t="e">
        <f t="shared" si="91"/>
        <v>#N/A</v>
      </c>
      <c r="AM374" s="553"/>
      <c r="AN374" s="553"/>
      <c r="AO374" s="553"/>
    </row>
    <row r="375" spans="2:41">
      <c r="B375" s="296"/>
      <c r="C375" s="299"/>
      <c r="D375" s="296"/>
      <c r="E375" s="298"/>
      <c r="F375" s="299"/>
      <c r="G375" s="300"/>
      <c r="H375" s="303"/>
      <c r="I375" s="303"/>
      <c r="J375" s="322">
        <f t="shared" si="77"/>
        <v>0</v>
      </c>
      <c r="K375" s="305" t="e">
        <f>IF(F375="MXN",1/HLOOKUP(YEAR(G375)+(MONTH(G375)/100),TC!$5:$37,DAY(G375)+2,FALSE),VLOOKUP(F375,Equivalencia!$5:$23,((MAX(Equivalencia!$3:$3)-YEAR(G375))*14)+MONTH(G375)+2,FALSE))</f>
        <v>#N/A</v>
      </c>
      <c r="L375" s="306" t="e">
        <f t="shared" si="80"/>
        <v>#N/A</v>
      </c>
      <c r="M375" s="305">
        <f>IF(G375=0,0,HLOOKUP(YEAR(G375)+(MONTH(G375)/100),TC!$5:$37,DAY(G375)+2,FALSE))</f>
        <v>0</v>
      </c>
      <c r="N375" s="306" t="e">
        <f t="shared" si="81"/>
        <v>#N/A</v>
      </c>
      <c r="O375" s="308">
        <f>IF(G375=0,0,VLOOKUP(YEAR(G375),INPC!$B$4:$P$30,MONTH(G375)+2))</f>
        <v>0</v>
      </c>
      <c r="P375" s="308">
        <f>IF(W375=0,0,IF(OR(C375=$AQ$5,C375=AQ379),VLOOKUP(YEAR(W375),INPC!$B$4:$P$30,MONTH(W375)+1),VLOOKUP(YEAR(W375),INPC!$B$4:$P$30,MONTH(W375)+2)))</f>
        <v>0</v>
      </c>
      <c r="Q375" s="309">
        <f t="shared" si="82"/>
        <v>0</v>
      </c>
      <c r="R375" s="310" t="e">
        <f t="shared" si="83"/>
        <v>#N/A</v>
      </c>
      <c r="S375" s="310">
        <f t="shared" si="84"/>
        <v>0</v>
      </c>
      <c r="T375" s="559" t="str">
        <f t="shared" si="85"/>
        <v>NO</v>
      </c>
      <c r="U375" s="323"/>
      <c r="V375" s="299"/>
      <c r="W375" s="300"/>
      <c r="X375" s="299"/>
      <c r="Y375" s="303"/>
      <c r="Z375" s="305">
        <f>IF(Y375=0,0,IF(X375="MXN",1/HLOOKUP(YEAR(W375)+(MONTH(W375)/100),TC!$5:$37,DAY(W375)+2,FALSE),VLOOKUP(X375,Equivalencia!$1:$23,((MAX(Equivalencia!$3:$3)-YEAR(W375))*14)+MONTH(W375)+2,FALSE)))</f>
        <v>0</v>
      </c>
      <c r="AA375" s="306">
        <f t="shared" si="86"/>
        <v>0</v>
      </c>
      <c r="AB375" s="305">
        <f>+IF(W375=0,0,HLOOKUP(YEAR(W375)+(MONTH(W375)/100),TC!$5:$37,DAY(W375)+2,FALSE))</f>
        <v>0</v>
      </c>
      <c r="AC375" s="306">
        <f t="shared" si="87"/>
        <v>0</v>
      </c>
      <c r="AD375" s="314">
        <f t="shared" si="78"/>
        <v>0</v>
      </c>
      <c r="AE375" s="315">
        <f t="shared" si="88"/>
        <v>0</v>
      </c>
      <c r="AF375" s="316">
        <f t="shared" si="79"/>
        <v>0</v>
      </c>
      <c r="AG375" s="314">
        <v>1</v>
      </c>
      <c r="AH375" s="314">
        <f t="shared" si="89"/>
        <v>0</v>
      </c>
      <c r="AI375" s="314">
        <f t="shared" si="90"/>
        <v>0</v>
      </c>
      <c r="AJ375" s="317"/>
      <c r="AK375" s="315" t="e">
        <f t="shared" si="91"/>
        <v>#N/A</v>
      </c>
      <c r="AM375" s="553"/>
      <c r="AN375" s="553"/>
      <c r="AO375" s="553"/>
    </row>
    <row r="376" spans="2:41">
      <c r="B376" s="296"/>
      <c r="C376" s="299"/>
      <c r="D376" s="296"/>
      <c r="E376" s="298"/>
      <c r="F376" s="299"/>
      <c r="G376" s="300"/>
      <c r="H376" s="303"/>
      <c r="I376" s="303"/>
      <c r="J376" s="322">
        <f t="shared" si="77"/>
        <v>0</v>
      </c>
      <c r="K376" s="305" t="e">
        <f>IF(F376="MXN",1/HLOOKUP(YEAR(G376)+(MONTH(G376)/100),TC!$5:$37,DAY(G376)+2,FALSE),VLOOKUP(F376,Equivalencia!$5:$23,((MAX(Equivalencia!$3:$3)-YEAR(G376))*14)+MONTH(G376)+2,FALSE))</f>
        <v>#N/A</v>
      </c>
      <c r="L376" s="306" t="e">
        <f t="shared" si="80"/>
        <v>#N/A</v>
      </c>
      <c r="M376" s="305">
        <f>IF(G376=0,0,HLOOKUP(YEAR(G376)+(MONTH(G376)/100),TC!$5:$37,DAY(G376)+2,FALSE))</f>
        <v>0</v>
      </c>
      <c r="N376" s="306" t="e">
        <f t="shared" si="81"/>
        <v>#N/A</v>
      </c>
      <c r="O376" s="308">
        <f>IF(G376=0,0,VLOOKUP(YEAR(G376),INPC!$B$4:$P$30,MONTH(G376)+2))</f>
        <v>0</v>
      </c>
      <c r="P376" s="308">
        <f>IF(W376=0,0,IF(OR(C376=$AQ$5,C376=AQ380),VLOOKUP(YEAR(W376),INPC!$B$4:$P$30,MONTH(W376)+1),VLOOKUP(YEAR(W376),INPC!$B$4:$P$30,MONTH(W376)+2)))</f>
        <v>0</v>
      </c>
      <c r="Q376" s="309">
        <f t="shared" si="82"/>
        <v>0</v>
      </c>
      <c r="R376" s="310" t="e">
        <f t="shared" si="83"/>
        <v>#N/A</v>
      </c>
      <c r="S376" s="310">
        <f t="shared" si="84"/>
        <v>0</v>
      </c>
      <c r="T376" s="559" t="str">
        <f t="shared" si="85"/>
        <v>NO</v>
      </c>
      <c r="U376" s="323"/>
      <c r="V376" s="299"/>
      <c r="W376" s="300"/>
      <c r="X376" s="299"/>
      <c r="Y376" s="303"/>
      <c r="Z376" s="305">
        <f>IF(Y376=0,0,IF(X376="MXN",1/HLOOKUP(YEAR(W376)+(MONTH(W376)/100),TC!$5:$37,DAY(W376)+2,FALSE),VLOOKUP(X376,Equivalencia!$1:$23,((MAX(Equivalencia!$3:$3)-YEAR(W376))*14)+MONTH(W376)+2,FALSE)))</f>
        <v>0</v>
      </c>
      <c r="AA376" s="306">
        <f t="shared" si="86"/>
        <v>0</v>
      </c>
      <c r="AB376" s="305">
        <f>+IF(W376=0,0,HLOOKUP(YEAR(W376)+(MONTH(W376)/100),TC!$5:$37,DAY(W376)+2,FALSE))</f>
        <v>0</v>
      </c>
      <c r="AC376" s="306">
        <f t="shared" si="87"/>
        <v>0</v>
      </c>
      <c r="AD376" s="314">
        <f t="shared" si="78"/>
        <v>0</v>
      </c>
      <c r="AE376" s="315">
        <f t="shared" si="88"/>
        <v>0</v>
      </c>
      <c r="AF376" s="316">
        <f t="shared" si="79"/>
        <v>0</v>
      </c>
      <c r="AG376" s="314">
        <v>1</v>
      </c>
      <c r="AH376" s="314">
        <f t="shared" si="89"/>
        <v>0</v>
      </c>
      <c r="AI376" s="314">
        <f t="shared" si="90"/>
        <v>0</v>
      </c>
      <c r="AJ376" s="317"/>
      <c r="AK376" s="315" t="e">
        <f t="shared" si="91"/>
        <v>#N/A</v>
      </c>
      <c r="AM376" s="553"/>
      <c r="AN376" s="553"/>
      <c r="AO376" s="553"/>
    </row>
    <row r="377" spans="2:41">
      <c r="B377" s="296"/>
      <c r="C377" s="299"/>
      <c r="D377" s="296"/>
      <c r="E377" s="298"/>
      <c r="F377" s="299"/>
      <c r="G377" s="300"/>
      <c r="H377" s="303"/>
      <c r="I377" s="303"/>
      <c r="J377" s="322">
        <f t="shared" si="77"/>
        <v>0</v>
      </c>
      <c r="K377" s="305" t="e">
        <f>IF(F377="MXN",1/HLOOKUP(YEAR(G377)+(MONTH(G377)/100),TC!$5:$37,DAY(G377)+2,FALSE),VLOOKUP(F377,Equivalencia!$5:$23,((MAX(Equivalencia!$3:$3)-YEAR(G377))*14)+MONTH(G377)+2,FALSE))</f>
        <v>#N/A</v>
      </c>
      <c r="L377" s="306" t="e">
        <f t="shared" si="80"/>
        <v>#N/A</v>
      </c>
      <c r="M377" s="305">
        <f>IF(G377=0,0,HLOOKUP(YEAR(G377)+(MONTH(G377)/100),TC!$5:$37,DAY(G377)+2,FALSE))</f>
        <v>0</v>
      </c>
      <c r="N377" s="306" t="e">
        <f t="shared" si="81"/>
        <v>#N/A</v>
      </c>
      <c r="O377" s="308">
        <f>IF(G377=0,0,VLOOKUP(YEAR(G377),INPC!$B$4:$P$30,MONTH(G377)+2))</f>
        <v>0</v>
      </c>
      <c r="P377" s="308">
        <f>IF(W377=0,0,IF(OR(C377=$AQ$5,C377=AQ381),VLOOKUP(YEAR(W377),INPC!$B$4:$P$30,MONTH(W377)+1),VLOOKUP(YEAR(W377),INPC!$B$4:$P$30,MONTH(W377)+2)))</f>
        <v>0</v>
      </c>
      <c r="Q377" s="309">
        <f t="shared" si="82"/>
        <v>0</v>
      </c>
      <c r="R377" s="310" t="e">
        <f t="shared" si="83"/>
        <v>#N/A</v>
      </c>
      <c r="S377" s="310">
        <f t="shared" si="84"/>
        <v>0</v>
      </c>
      <c r="T377" s="559" t="str">
        <f t="shared" si="85"/>
        <v>NO</v>
      </c>
      <c r="U377" s="323"/>
      <c r="V377" s="299"/>
      <c r="W377" s="300"/>
      <c r="X377" s="299"/>
      <c r="Y377" s="303"/>
      <c r="Z377" s="305">
        <f>IF(Y377=0,0,IF(X377="MXN",1/HLOOKUP(YEAR(W377)+(MONTH(W377)/100),TC!$5:$37,DAY(W377)+2,FALSE),VLOOKUP(X377,Equivalencia!$1:$23,((MAX(Equivalencia!$3:$3)-YEAR(W377))*14)+MONTH(W377)+2,FALSE)))</f>
        <v>0</v>
      </c>
      <c r="AA377" s="306">
        <f t="shared" si="86"/>
        <v>0</v>
      </c>
      <c r="AB377" s="305">
        <f>+IF(W377=0,0,HLOOKUP(YEAR(W377)+(MONTH(W377)/100),TC!$5:$37,DAY(W377)+2,FALSE))</f>
        <v>0</v>
      </c>
      <c r="AC377" s="306">
        <f t="shared" si="87"/>
        <v>0</v>
      </c>
      <c r="AD377" s="314">
        <f t="shared" si="78"/>
        <v>0</v>
      </c>
      <c r="AE377" s="315">
        <f t="shared" si="88"/>
        <v>0</v>
      </c>
      <c r="AF377" s="316">
        <f t="shared" si="79"/>
        <v>0</v>
      </c>
      <c r="AG377" s="314">
        <v>1</v>
      </c>
      <c r="AH377" s="314">
        <f t="shared" si="89"/>
        <v>0</v>
      </c>
      <c r="AI377" s="314">
        <f t="shared" si="90"/>
        <v>0</v>
      </c>
      <c r="AJ377" s="317"/>
      <c r="AK377" s="315" t="e">
        <f t="shared" si="91"/>
        <v>#N/A</v>
      </c>
      <c r="AM377" s="553"/>
      <c r="AN377" s="553"/>
      <c r="AO377" s="553"/>
    </row>
    <row r="378" spans="2:41">
      <c r="B378" s="296"/>
      <c r="C378" s="299"/>
      <c r="D378" s="296"/>
      <c r="E378" s="298"/>
      <c r="F378" s="299"/>
      <c r="G378" s="300"/>
      <c r="H378" s="303"/>
      <c r="I378" s="303"/>
      <c r="J378" s="322">
        <f t="shared" si="77"/>
        <v>0</v>
      </c>
      <c r="K378" s="305" t="e">
        <f>IF(F378="MXN",1/HLOOKUP(YEAR(G378)+(MONTH(G378)/100),TC!$5:$37,DAY(G378)+2,FALSE),VLOOKUP(F378,Equivalencia!$5:$23,((MAX(Equivalencia!$3:$3)-YEAR(G378))*14)+MONTH(G378)+2,FALSE))</f>
        <v>#N/A</v>
      </c>
      <c r="L378" s="306" t="e">
        <f t="shared" si="80"/>
        <v>#N/A</v>
      </c>
      <c r="M378" s="305">
        <f>IF(G378=0,0,HLOOKUP(YEAR(G378)+(MONTH(G378)/100),TC!$5:$37,DAY(G378)+2,FALSE))</f>
        <v>0</v>
      </c>
      <c r="N378" s="306" t="e">
        <f t="shared" si="81"/>
        <v>#N/A</v>
      </c>
      <c r="O378" s="308">
        <f>IF(G378=0,0,VLOOKUP(YEAR(G378),INPC!$B$4:$P$30,MONTH(G378)+2))</f>
        <v>0</v>
      </c>
      <c r="P378" s="308">
        <f>IF(W378=0,0,IF(OR(C378=$AQ$5,C378=AQ382),VLOOKUP(YEAR(W378),INPC!$B$4:$P$30,MONTH(W378)+1),VLOOKUP(YEAR(W378),INPC!$B$4:$P$30,MONTH(W378)+2)))</f>
        <v>0</v>
      </c>
      <c r="Q378" s="309">
        <f t="shared" si="82"/>
        <v>0</v>
      </c>
      <c r="R378" s="310" t="e">
        <f t="shared" si="83"/>
        <v>#N/A</v>
      </c>
      <c r="S378" s="310">
        <f t="shared" si="84"/>
        <v>0</v>
      </c>
      <c r="T378" s="559" t="str">
        <f t="shared" si="85"/>
        <v>NO</v>
      </c>
      <c r="U378" s="323"/>
      <c r="V378" s="299"/>
      <c r="W378" s="300"/>
      <c r="X378" s="299"/>
      <c r="Y378" s="303"/>
      <c r="Z378" s="305">
        <f>IF(Y378=0,0,IF(X378="MXN",1/HLOOKUP(YEAR(W378)+(MONTH(W378)/100),TC!$5:$37,DAY(W378)+2,FALSE),VLOOKUP(X378,Equivalencia!$1:$23,((MAX(Equivalencia!$3:$3)-YEAR(W378))*14)+MONTH(W378)+2,FALSE)))</f>
        <v>0</v>
      </c>
      <c r="AA378" s="306">
        <f t="shared" si="86"/>
        <v>0</v>
      </c>
      <c r="AB378" s="305">
        <f>+IF(W378=0,0,HLOOKUP(YEAR(W378)+(MONTH(W378)/100),TC!$5:$37,DAY(W378)+2,FALSE))</f>
        <v>0</v>
      </c>
      <c r="AC378" s="306">
        <f t="shared" si="87"/>
        <v>0</v>
      </c>
      <c r="AD378" s="314">
        <f t="shared" si="78"/>
        <v>0</v>
      </c>
      <c r="AE378" s="315">
        <f t="shared" si="88"/>
        <v>0</v>
      </c>
      <c r="AF378" s="316">
        <f t="shared" si="79"/>
        <v>0</v>
      </c>
      <c r="AG378" s="314">
        <v>1</v>
      </c>
      <c r="AH378" s="314">
        <f t="shared" si="89"/>
        <v>0</v>
      </c>
      <c r="AI378" s="314">
        <f t="shared" si="90"/>
        <v>0</v>
      </c>
      <c r="AJ378" s="317"/>
      <c r="AK378" s="315" t="e">
        <f t="shared" si="91"/>
        <v>#N/A</v>
      </c>
      <c r="AM378" s="553"/>
      <c r="AN378" s="553"/>
      <c r="AO378" s="553"/>
    </row>
    <row r="379" spans="2:41">
      <c r="B379" s="296"/>
      <c r="C379" s="299"/>
      <c r="D379" s="296"/>
      <c r="E379" s="298"/>
      <c r="F379" s="299"/>
      <c r="G379" s="300"/>
      <c r="H379" s="303"/>
      <c r="I379" s="303"/>
      <c r="J379" s="322">
        <f t="shared" si="77"/>
        <v>0</v>
      </c>
      <c r="K379" s="305" t="e">
        <f>IF(F379="MXN",1/HLOOKUP(YEAR(G379)+(MONTH(G379)/100),TC!$5:$37,DAY(G379)+2,FALSE),VLOOKUP(F379,Equivalencia!$5:$23,((MAX(Equivalencia!$3:$3)-YEAR(G379))*14)+MONTH(G379)+2,FALSE))</f>
        <v>#N/A</v>
      </c>
      <c r="L379" s="306" t="e">
        <f t="shared" si="80"/>
        <v>#N/A</v>
      </c>
      <c r="M379" s="305">
        <f>IF(G379=0,0,HLOOKUP(YEAR(G379)+(MONTH(G379)/100),TC!$5:$37,DAY(G379)+2,FALSE))</f>
        <v>0</v>
      </c>
      <c r="N379" s="306" t="e">
        <f t="shared" si="81"/>
        <v>#N/A</v>
      </c>
      <c r="O379" s="308">
        <f>IF(G379=0,0,VLOOKUP(YEAR(G379),INPC!$B$4:$P$30,MONTH(G379)+2))</f>
        <v>0</v>
      </c>
      <c r="P379" s="308">
        <f>IF(W379=0,0,IF(OR(C379=$AQ$5,C379=AQ383),VLOOKUP(YEAR(W379),INPC!$B$4:$P$30,MONTH(W379)+1),VLOOKUP(YEAR(W379),INPC!$B$4:$P$30,MONTH(W379)+2)))</f>
        <v>0</v>
      </c>
      <c r="Q379" s="309">
        <f t="shared" si="82"/>
        <v>0</v>
      </c>
      <c r="R379" s="310" t="e">
        <f t="shared" si="83"/>
        <v>#N/A</v>
      </c>
      <c r="S379" s="310">
        <f t="shared" si="84"/>
        <v>0</v>
      </c>
      <c r="T379" s="559" t="str">
        <f t="shared" si="85"/>
        <v>NO</v>
      </c>
      <c r="U379" s="323"/>
      <c r="V379" s="299"/>
      <c r="W379" s="300"/>
      <c r="X379" s="299"/>
      <c r="Y379" s="303"/>
      <c r="Z379" s="305">
        <f>IF(Y379=0,0,IF(X379="MXN",1/HLOOKUP(YEAR(W379)+(MONTH(W379)/100),TC!$5:$37,DAY(W379)+2,FALSE),VLOOKUP(X379,Equivalencia!$1:$23,((MAX(Equivalencia!$3:$3)-YEAR(W379))*14)+MONTH(W379)+2,FALSE)))</f>
        <v>0</v>
      </c>
      <c r="AA379" s="306">
        <f t="shared" si="86"/>
        <v>0</v>
      </c>
      <c r="AB379" s="305">
        <f>+IF(W379=0,0,HLOOKUP(YEAR(W379)+(MONTH(W379)/100),TC!$5:$37,DAY(W379)+2,FALSE))</f>
        <v>0</v>
      </c>
      <c r="AC379" s="306">
        <f t="shared" si="87"/>
        <v>0</v>
      </c>
      <c r="AD379" s="314">
        <f t="shared" si="78"/>
        <v>0</v>
      </c>
      <c r="AE379" s="315">
        <f t="shared" si="88"/>
        <v>0</v>
      </c>
      <c r="AF379" s="316">
        <f t="shared" si="79"/>
        <v>0</v>
      </c>
      <c r="AG379" s="314">
        <v>1</v>
      </c>
      <c r="AH379" s="314">
        <f t="shared" si="89"/>
        <v>0</v>
      </c>
      <c r="AI379" s="314">
        <f t="shared" si="90"/>
        <v>0</v>
      </c>
      <c r="AJ379" s="317"/>
      <c r="AK379" s="315" t="e">
        <f t="shared" si="91"/>
        <v>#N/A</v>
      </c>
      <c r="AM379" s="553"/>
      <c r="AN379" s="553"/>
      <c r="AO379" s="553"/>
    </row>
    <row r="380" spans="2:41">
      <c r="B380" s="296"/>
      <c r="C380" s="299"/>
      <c r="D380" s="296"/>
      <c r="E380" s="298"/>
      <c r="F380" s="299"/>
      <c r="G380" s="300"/>
      <c r="H380" s="303"/>
      <c r="I380" s="303"/>
      <c r="J380" s="322">
        <f t="shared" si="77"/>
        <v>0</v>
      </c>
      <c r="K380" s="305" t="e">
        <f>IF(F380="MXN",1/HLOOKUP(YEAR(G380)+(MONTH(G380)/100),TC!$5:$37,DAY(G380)+2,FALSE),VLOOKUP(F380,Equivalencia!$5:$23,((MAX(Equivalencia!$3:$3)-YEAR(G380))*14)+MONTH(G380)+2,FALSE))</f>
        <v>#N/A</v>
      </c>
      <c r="L380" s="306" t="e">
        <f t="shared" si="80"/>
        <v>#N/A</v>
      </c>
      <c r="M380" s="305">
        <f>IF(G380=0,0,HLOOKUP(YEAR(G380)+(MONTH(G380)/100),TC!$5:$37,DAY(G380)+2,FALSE))</f>
        <v>0</v>
      </c>
      <c r="N380" s="306" t="e">
        <f t="shared" si="81"/>
        <v>#N/A</v>
      </c>
      <c r="O380" s="308">
        <f>IF(G380=0,0,VLOOKUP(YEAR(G380),INPC!$B$4:$P$30,MONTH(G380)+2))</f>
        <v>0</v>
      </c>
      <c r="P380" s="308">
        <f>IF(W380=0,0,IF(OR(C380=$AQ$5,C380=AQ384),VLOOKUP(YEAR(W380),INPC!$B$4:$P$30,MONTH(W380)+1),VLOOKUP(YEAR(W380),INPC!$B$4:$P$30,MONTH(W380)+2)))</f>
        <v>0</v>
      </c>
      <c r="Q380" s="309">
        <f t="shared" si="82"/>
        <v>0</v>
      </c>
      <c r="R380" s="310" t="e">
        <f t="shared" si="83"/>
        <v>#N/A</v>
      </c>
      <c r="S380" s="310">
        <f t="shared" si="84"/>
        <v>0</v>
      </c>
      <c r="T380" s="559" t="str">
        <f t="shared" si="85"/>
        <v>NO</v>
      </c>
      <c r="U380" s="323"/>
      <c r="V380" s="299"/>
      <c r="W380" s="300"/>
      <c r="X380" s="299"/>
      <c r="Y380" s="303"/>
      <c r="Z380" s="305">
        <f>IF(Y380=0,0,IF(X380="MXN",1/HLOOKUP(YEAR(W380)+(MONTH(W380)/100),TC!$5:$37,DAY(W380)+2,FALSE),VLOOKUP(X380,Equivalencia!$1:$23,((MAX(Equivalencia!$3:$3)-YEAR(W380))*14)+MONTH(W380)+2,FALSE)))</f>
        <v>0</v>
      </c>
      <c r="AA380" s="306">
        <f t="shared" si="86"/>
        <v>0</v>
      </c>
      <c r="AB380" s="305">
        <f>+IF(W380=0,0,HLOOKUP(YEAR(W380)+(MONTH(W380)/100),TC!$5:$37,DAY(W380)+2,FALSE))</f>
        <v>0</v>
      </c>
      <c r="AC380" s="306">
        <f t="shared" si="87"/>
        <v>0</v>
      </c>
      <c r="AD380" s="314">
        <f t="shared" si="78"/>
        <v>0</v>
      </c>
      <c r="AE380" s="315">
        <f t="shared" si="88"/>
        <v>0</v>
      </c>
      <c r="AF380" s="316">
        <f t="shared" si="79"/>
        <v>0</v>
      </c>
      <c r="AG380" s="314">
        <v>1</v>
      </c>
      <c r="AH380" s="314">
        <f t="shared" si="89"/>
        <v>0</v>
      </c>
      <c r="AI380" s="314">
        <f t="shared" si="90"/>
        <v>0</v>
      </c>
      <c r="AJ380" s="317"/>
      <c r="AK380" s="315" t="e">
        <f t="shared" si="91"/>
        <v>#N/A</v>
      </c>
      <c r="AM380" s="553"/>
      <c r="AN380" s="553"/>
      <c r="AO380" s="553"/>
    </row>
    <row r="381" spans="2:41">
      <c r="B381" s="296"/>
      <c r="C381" s="299"/>
      <c r="D381" s="296"/>
      <c r="E381" s="298"/>
      <c r="F381" s="299"/>
      <c r="G381" s="300"/>
      <c r="H381" s="303"/>
      <c r="I381" s="303"/>
      <c r="J381" s="322">
        <f t="shared" si="77"/>
        <v>0</v>
      </c>
      <c r="K381" s="305" t="e">
        <f>IF(F381="MXN",1/HLOOKUP(YEAR(G381)+(MONTH(G381)/100),TC!$5:$37,DAY(G381)+2,FALSE),VLOOKUP(F381,Equivalencia!$5:$23,((MAX(Equivalencia!$3:$3)-YEAR(G381))*14)+MONTH(G381)+2,FALSE))</f>
        <v>#N/A</v>
      </c>
      <c r="L381" s="306" t="e">
        <f t="shared" si="80"/>
        <v>#N/A</v>
      </c>
      <c r="M381" s="305">
        <f>IF(G381=0,0,HLOOKUP(YEAR(G381)+(MONTH(G381)/100),TC!$5:$37,DAY(G381)+2,FALSE))</f>
        <v>0</v>
      </c>
      <c r="N381" s="306" t="e">
        <f t="shared" si="81"/>
        <v>#N/A</v>
      </c>
      <c r="O381" s="308">
        <f>IF(G381=0,0,VLOOKUP(YEAR(G381),INPC!$B$4:$P$30,MONTH(G381)+2))</f>
        <v>0</v>
      </c>
      <c r="P381" s="308">
        <f>IF(W381=0,0,IF(OR(C381=$AQ$5,C381=AQ385),VLOOKUP(YEAR(W381),INPC!$B$4:$P$30,MONTH(W381)+1),VLOOKUP(YEAR(W381),INPC!$B$4:$P$30,MONTH(W381)+2)))</f>
        <v>0</v>
      </c>
      <c r="Q381" s="309">
        <f t="shared" si="82"/>
        <v>0</v>
      </c>
      <c r="R381" s="310" t="e">
        <f t="shared" si="83"/>
        <v>#N/A</v>
      </c>
      <c r="S381" s="310">
        <f t="shared" si="84"/>
        <v>0</v>
      </c>
      <c r="T381" s="559" t="str">
        <f t="shared" si="85"/>
        <v>NO</v>
      </c>
      <c r="U381" s="323"/>
      <c r="V381" s="299"/>
      <c r="W381" s="300"/>
      <c r="X381" s="299"/>
      <c r="Y381" s="303"/>
      <c r="Z381" s="305">
        <f>IF(Y381=0,0,IF(X381="MXN",1/HLOOKUP(YEAR(W381)+(MONTH(W381)/100),TC!$5:$37,DAY(W381)+2,FALSE),VLOOKUP(X381,Equivalencia!$1:$23,((MAX(Equivalencia!$3:$3)-YEAR(W381))*14)+MONTH(W381)+2,FALSE)))</f>
        <v>0</v>
      </c>
      <c r="AA381" s="306">
        <f t="shared" si="86"/>
        <v>0</v>
      </c>
      <c r="AB381" s="305">
        <f>+IF(W381=0,0,HLOOKUP(YEAR(W381)+(MONTH(W381)/100),TC!$5:$37,DAY(W381)+2,FALSE))</f>
        <v>0</v>
      </c>
      <c r="AC381" s="306">
        <f t="shared" si="87"/>
        <v>0</v>
      </c>
      <c r="AD381" s="314">
        <f t="shared" si="78"/>
        <v>0</v>
      </c>
      <c r="AE381" s="315">
        <f t="shared" si="88"/>
        <v>0</v>
      </c>
      <c r="AF381" s="316">
        <f t="shared" si="79"/>
        <v>0</v>
      </c>
      <c r="AG381" s="314">
        <v>1</v>
      </c>
      <c r="AH381" s="314">
        <f t="shared" si="89"/>
        <v>0</v>
      </c>
      <c r="AI381" s="314">
        <f t="shared" si="90"/>
        <v>0</v>
      </c>
      <c r="AJ381" s="317"/>
      <c r="AK381" s="315" t="e">
        <f t="shared" si="91"/>
        <v>#N/A</v>
      </c>
      <c r="AM381" s="553"/>
      <c r="AN381" s="553"/>
      <c r="AO381" s="553"/>
    </row>
    <row r="382" spans="2:41">
      <c r="B382" s="296"/>
      <c r="C382" s="299"/>
      <c r="D382" s="296"/>
      <c r="E382" s="298"/>
      <c r="F382" s="299"/>
      <c r="G382" s="300"/>
      <c r="H382" s="303"/>
      <c r="I382" s="303"/>
      <c r="J382" s="322">
        <f t="shared" si="77"/>
        <v>0</v>
      </c>
      <c r="K382" s="305" t="e">
        <f>IF(F382="MXN",1/HLOOKUP(YEAR(G382)+(MONTH(G382)/100),TC!$5:$37,DAY(G382)+2,FALSE),VLOOKUP(F382,Equivalencia!$5:$23,((MAX(Equivalencia!$3:$3)-YEAR(G382))*14)+MONTH(G382)+2,FALSE))</f>
        <v>#N/A</v>
      </c>
      <c r="L382" s="306" t="e">
        <f t="shared" si="80"/>
        <v>#N/A</v>
      </c>
      <c r="M382" s="305">
        <f>IF(G382=0,0,HLOOKUP(YEAR(G382)+(MONTH(G382)/100),TC!$5:$37,DAY(G382)+2,FALSE))</f>
        <v>0</v>
      </c>
      <c r="N382" s="306" t="e">
        <f t="shared" si="81"/>
        <v>#N/A</v>
      </c>
      <c r="O382" s="308">
        <f>IF(G382=0,0,VLOOKUP(YEAR(G382),INPC!$B$4:$P$30,MONTH(G382)+2))</f>
        <v>0</v>
      </c>
      <c r="P382" s="308">
        <f>IF(W382=0,0,IF(OR(C382=$AQ$5,C382=AQ386),VLOOKUP(YEAR(W382),INPC!$B$4:$P$30,MONTH(W382)+1),VLOOKUP(YEAR(W382),INPC!$B$4:$P$30,MONTH(W382)+2)))</f>
        <v>0</v>
      </c>
      <c r="Q382" s="309">
        <f t="shared" si="82"/>
        <v>0</v>
      </c>
      <c r="R382" s="310" t="e">
        <f t="shared" si="83"/>
        <v>#N/A</v>
      </c>
      <c r="S382" s="310">
        <f t="shared" si="84"/>
        <v>0</v>
      </c>
      <c r="T382" s="559" t="str">
        <f t="shared" si="85"/>
        <v>NO</v>
      </c>
      <c r="U382" s="323"/>
      <c r="V382" s="299"/>
      <c r="W382" s="300"/>
      <c r="X382" s="299"/>
      <c r="Y382" s="303"/>
      <c r="Z382" s="305">
        <f>IF(Y382=0,0,IF(X382="MXN",1/HLOOKUP(YEAR(W382)+(MONTH(W382)/100),TC!$5:$37,DAY(W382)+2,FALSE),VLOOKUP(X382,Equivalencia!$1:$23,((MAX(Equivalencia!$3:$3)-YEAR(W382))*14)+MONTH(W382)+2,FALSE)))</f>
        <v>0</v>
      </c>
      <c r="AA382" s="306">
        <f t="shared" si="86"/>
        <v>0</v>
      </c>
      <c r="AB382" s="305">
        <f>+IF(W382=0,0,HLOOKUP(YEAR(W382)+(MONTH(W382)/100),TC!$5:$37,DAY(W382)+2,FALSE))</f>
        <v>0</v>
      </c>
      <c r="AC382" s="306">
        <f t="shared" si="87"/>
        <v>0</v>
      </c>
      <c r="AD382" s="314">
        <f t="shared" si="78"/>
        <v>0</v>
      </c>
      <c r="AE382" s="315">
        <f t="shared" si="88"/>
        <v>0</v>
      </c>
      <c r="AF382" s="316">
        <f t="shared" si="79"/>
        <v>0</v>
      </c>
      <c r="AG382" s="314">
        <v>1</v>
      </c>
      <c r="AH382" s="314">
        <f t="shared" si="89"/>
        <v>0</v>
      </c>
      <c r="AI382" s="314">
        <f t="shared" si="90"/>
        <v>0</v>
      </c>
      <c r="AJ382" s="317"/>
      <c r="AK382" s="315" t="e">
        <f t="shared" si="91"/>
        <v>#N/A</v>
      </c>
      <c r="AM382" s="553"/>
      <c r="AN382" s="553"/>
      <c r="AO382" s="553"/>
    </row>
    <row r="383" spans="2:41">
      <c r="B383" s="296"/>
      <c r="C383" s="299"/>
      <c r="D383" s="296"/>
      <c r="E383" s="298"/>
      <c r="F383" s="299"/>
      <c r="G383" s="300"/>
      <c r="H383" s="303"/>
      <c r="I383" s="303"/>
      <c r="J383" s="322">
        <f t="shared" si="77"/>
        <v>0</v>
      </c>
      <c r="K383" s="305" t="e">
        <f>IF(F383="MXN",1/HLOOKUP(YEAR(G383)+(MONTH(G383)/100),TC!$5:$37,DAY(G383)+2,FALSE),VLOOKUP(F383,Equivalencia!$5:$23,((MAX(Equivalencia!$3:$3)-YEAR(G383))*14)+MONTH(G383)+2,FALSE))</f>
        <v>#N/A</v>
      </c>
      <c r="L383" s="306" t="e">
        <f t="shared" si="80"/>
        <v>#N/A</v>
      </c>
      <c r="M383" s="305">
        <f>IF(G383=0,0,HLOOKUP(YEAR(G383)+(MONTH(G383)/100),TC!$5:$37,DAY(G383)+2,FALSE))</f>
        <v>0</v>
      </c>
      <c r="N383" s="306" t="e">
        <f t="shared" si="81"/>
        <v>#N/A</v>
      </c>
      <c r="O383" s="308">
        <f>IF(G383=0,0,VLOOKUP(YEAR(G383),INPC!$B$4:$P$30,MONTH(G383)+2))</f>
        <v>0</v>
      </c>
      <c r="P383" s="308">
        <f>IF(W383=0,0,IF(OR(C383=$AQ$5,C383=AQ387),VLOOKUP(YEAR(W383),INPC!$B$4:$P$30,MONTH(W383)+1),VLOOKUP(YEAR(W383),INPC!$B$4:$P$30,MONTH(W383)+2)))</f>
        <v>0</v>
      </c>
      <c r="Q383" s="309">
        <f t="shared" si="82"/>
        <v>0</v>
      </c>
      <c r="R383" s="310" t="e">
        <f t="shared" si="83"/>
        <v>#N/A</v>
      </c>
      <c r="S383" s="310">
        <f t="shared" si="84"/>
        <v>0</v>
      </c>
      <c r="T383" s="559" t="str">
        <f t="shared" si="85"/>
        <v>NO</v>
      </c>
      <c r="U383" s="323"/>
      <c r="V383" s="299"/>
      <c r="W383" s="300"/>
      <c r="X383" s="299"/>
      <c r="Y383" s="303"/>
      <c r="Z383" s="305">
        <f>IF(Y383=0,0,IF(X383="MXN",1/HLOOKUP(YEAR(W383)+(MONTH(W383)/100),TC!$5:$37,DAY(W383)+2,FALSE),VLOOKUP(X383,Equivalencia!$1:$23,((MAX(Equivalencia!$3:$3)-YEAR(W383))*14)+MONTH(W383)+2,FALSE)))</f>
        <v>0</v>
      </c>
      <c r="AA383" s="306">
        <f t="shared" si="86"/>
        <v>0</v>
      </c>
      <c r="AB383" s="305">
        <f>+IF(W383=0,0,HLOOKUP(YEAR(W383)+(MONTH(W383)/100),TC!$5:$37,DAY(W383)+2,FALSE))</f>
        <v>0</v>
      </c>
      <c r="AC383" s="306">
        <f t="shared" si="87"/>
        <v>0</v>
      </c>
      <c r="AD383" s="314">
        <f t="shared" si="78"/>
        <v>0</v>
      </c>
      <c r="AE383" s="315">
        <f t="shared" si="88"/>
        <v>0</v>
      </c>
      <c r="AF383" s="316">
        <f t="shared" si="79"/>
        <v>0</v>
      </c>
      <c r="AG383" s="314">
        <v>1</v>
      </c>
      <c r="AH383" s="314">
        <f t="shared" si="89"/>
        <v>0</v>
      </c>
      <c r="AI383" s="314">
        <f t="shared" si="90"/>
        <v>0</v>
      </c>
      <c r="AJ383" s="317"/>
      <c r="AK383" s="315" t="e">
        <f t="shared" si="91"/>
        <v>#N/A</v>
      </c>
      <c r="AM383" s="553"/>
      <c r="AN383" s="553"/>
      <c r="AO383" s="553"/>
    </row>
    <row r="384" spans="2:41">
      <c r="B384" s="296"/>
      <c r="C384" s="299"/>
      <c r="D384" s="296"/>
      <c r="E384" s="298"/>
      <c r="F384" s="299"/>
      <c r="G384" s="300"/>
      <c r="H384" s="303"/>
      <c r="I384" s="303"/>
      <c r="J384" s="322">
        <f t="shared" si="77"/>
        <v>0</v>
      </c>
      <c r="K384" s="305" t="e">
        <f>IF(F384="MXN",1/HLOOKUP(YEAR(G384)+(MONTH(G384)/100),TC!$5:$37,DAY(G384)+2,FALSE),VLOOKUP(F384,Equivalencia!$5:$23,((MAX(Equivalencia!$3:$3)-YEAR(G384))*14)+MONTH(G384)+2,FALSE))</f>
        <v>#N/A</v>
      </c>
      <c r="L384" s="306" t="e">
        <f t="shared" si="80"/>
        <v>#N/A</v>
      </c>
      <c r="M384" s="305">
        <f>IF(G384=0,0,HLOOKUP(YEAR(G384)+(MONTH(G384)/100),TC!$5:$37,DAY(G384)+2,FALSE))</f>
        <v>0</v>
      </c>
      <c r="N384" s="306" t="e">
        <f t="shared" si="81"/>
        <v>#N/A</v>
      </c>
      <c r="O384" s="308">
        <f>IF(G384=0,0,VLOOKUP(YEAR(G384),INPC!$B$4:$P$30,MONTH(G384)+2))</f>
        <v>0</v>
      </c>
      <c r="P384" s="308">
        <f>IF(W384=0,0,IF(OR(C384=$AQ$5,C384=AQ388),VLOOKUP(YEAR(W384),INPC!$B$4:$P$30,MONTH(W384)+1),VLOOKUP(YEAR(W384),INPC!$B$4:$P$30,MONTH(W384)+2)))</f>
        <v>0</v>
      </c>
      <c r="Q384" s="309">
        <f t="shared" si="82"/>
        <v>0</v>
      </c>
      <c r="R384" s="310" t="e">
        <f t="shared" si="83"/>
        <v>#N/A</v>
      </c>
      <c r="S384" s="310">
        <f t="shared" si="84"/>
        <v>0</v>
      </c>
      <c r="T384" s="559" t="str">
        <f t="shared" si="85"/>
        <v>NO</v>
      </c>
      <c r="U384" s="323"/>
      <c r="V384" s="299"/>
      <c r="W384" s="300"/>
      <c r="X384" s="299"/>
      <c r="Y384" s="303"/>
      <c r="Z384" s="305">
        <f>IF(Y384=0,0,IF(X384="MXN",1/HLOOKUP(YEAR(W384)+(MONTH(W384)/100),TC!$5:$37,DAY(W384)+2,FALSE),VLOOKUP(X384,Equivalencia!$1:$23,((MAX(Equivalencia!$3:$3)-YEAR(W384))*14)+MONTH(W384)+2,FALSE)))</f>
        <v>0</v>
      </c>
      <c r="AA384" s="306">
        <f t="shared" si="86"/>
        <v>0</v>
      </c>
      <c r="AB384" s="305">
        <f>+IF(W384=0,0,HLOOKUP(YEAR(W384)+(MONTH(W384)/100),TC!$5:$37,DAY(W384)+2,FALSE))</f>
        <v>0</v>
      </c>
      <c r="AC384" s="306">
        <f t="shared" si="87"/>
        <v>0</v>
      </c>
      <c r="AD384" s="314">
        <f t="shared" si="78"/>
        <v>0</v>
      </c>
      <c r="AE384" s="315">
        <f t="shared" si="88"/>
        <v>0</v>
      </c>
      <c r="AF384" s="316">
        <f t="shared" si="79"/>
        <v>0</v>
      </c>
      <c r="AG384" s="314">
        <v>1</v>
      </c>
      <c r="AH384" s="314">
        <f t="shared" si="89"/>
        <v>0</v>
      </c>
      <c r="AI384" s="314">
        <f t="shared" si="90"/>
        <v>0</v>
      </c>
      <c r="AJ384" s="317"/>
      <c r="AK384" s="315" t="e">
        <f t="shared" si="91"/>
        <v>#N/A</v>
      </c>
      <c r="AM384" s="553"/>
      <c r="AN384" s="553"/>
      <c r="AO384" s="553"/>
    </row>
    <row r="385" spans="2:41">
      <c r="B385" s="296"/>
      <c r="C385" s="299"/>
      <c r="D385" s="296"/>
      <c r="E385" s="298"/>
      <c r="F385" s="299"/>
      <c r="G385" s="300"/>
      <c r="H385" s="303"/>
      <c r="I385" s="303"/>
      <c r="J385" s="322">
        <f t="shared" si="77"/>
        <v>0</v>
      </c>
      <c r="K385" s="305" t="e">
        <f>IF(F385="MXN",1/HLOOKUP(YEAR(G385)+(MONTH(G385)/100),TC!$5:$37,DAY(G385)+2,FALSE),VLOOKUP(F385,Equivalencia!$5:$23,((MAX(Equivalencia!$3:$3)-YEAR(G385))*14)+MONTH(G385)+2,FALSE))</f>
        <v>#N/A</v>
      </c>
      <c r="L385" s="306" t="e">
        <f t="shared" si="80"/>
        <v>#N/A</v>
      </c>
      <c r="M385" s="305">
        <f>IF(G385=0,0,HLOOKUP(YEAR(G385)+(MONTH(G385)/100),TC!$5:$37,DAY(G385)+2,FALSE))</f>
        <v>0</v>
      </c>
      <c r="N385" s="306" t="e">
        <f t="shared" si="81"/>
        <v>#N/A</v>
      </c>
      <c r="O385" s="308">
        <f>IF(G385=0,0,VLOOKUP(YEAR(G385),INPC!$B$4:$P$30,MONTH(G385)+2))</f>
        <v>0</v>
      </c>
      <c r="P385" s="308">
        <f>IF(W385=0,0,IF(OR(C385=$AQ$5,C385=AQ389),VLOOKUP(YEAR(W385),INPC!$B$4:$P$30,MONTH(W385)+1),VLOOKUP(YEAR(W385),INPC!$B$4:$P$30,MONTH(W385)+2)))</f>
        <v>0</v>
      </c>
      <c r="Q385" s="309">
        <f t="shared" si="82"/>
        <v>0</v>
      </c>
      <c r="R385" s="310" t="e">
        <f t="shared" si="83"/>
        <v>#N/A</v>
      </c>
      <c r="S385" s="310">
        <f t="shared" si="84"/>
        <v>0</v>
      </c>
      <c r="T385" s="559" t="str">
        <f t="shared" si="85"/>
        <v>NO</v>
      </c>
      <c r="U385" s="323"/>
      <c r="V385" s="299"/>
      <c r="W385" s="300"/>
      <c r="X385" s="299"/>
      <c r="Y385" s="303"/>
      <c r="Z385" s="305">
        <f>IF(Y385=0,0,IF(X385="MXN",1/HLOOKUP(YEAR(W385)+(MONTH(W385)/100),TC!$5:$37,DAY(W385)+2,FALSE),VLOOKUP(X385,Equivalencia!$1:$23,((MAX(Equivalencia!$3:$3)-YEAR(W385))*14)+MONTH(W385)+2,FALSE)))</f>
        <v>0</v>
      </c>
      <c r="AA385" s="306">
        <f t="shared" si="86"/>
        <v>0</v>
      </c>
      <c r="AB385" s="305">
        <f>+IF(W385=0,0,HLOOKUP(YEAR(W385)+(MONTH(W385)/100),TC!$5:$37,DAY(W385)+2,FALSE))</f>
        <v>0</v>
      </c>
      <c r="AC385" s="306">
        <f t="shared" si="87"/>
        <v>0</v>
      </c>
      <c r="AD385" s="314">
        <f t="shared" si="78"/>
        <v>0</v>
      </c>
      <c r="AE385" s="315">
        <f t="shared" si="88"/>
        <v>0</v>
      </c>
      <c r="AF385" s="316">
        <f t="shared" si="79"/>
        <v>0</v>
      </c>
      <c r="AG385" s="314">
        <v>1</v>
      </c>
      <c r="AH385" s="314">
        <f t="shared" si="89"/>
        <v>0</v>
      </c>
      <c r="AI385" s="314">
        <f t="shared" si="90"/>
        <v>0</v>
      </c>
      <c r="AJ385" s="317"/>
      <c r="AK385" s="315" t="e">
        <f t="shared" si="91"/>
        <v>#N/A</v>
      </c>
      <c r="AM385" s="553"/>
      <c r="AN385" s="553"/>
      <c r="AO385" s="553"/>
    </row>
    <row r="386" spans="2:41">
      <c r="B386" s="296"/>
      <c r="C386" s="299"/>
      <c r="D386" s="296"/>
      <c r="E386" s="298"/>
      <c r="F386" s="299"/>
      <c r="G386" s="300"/>
      <c r="H386" s="303"/>
      <c r="I386" s="303"/>
      <c r="J386" s="322">
        <f t="shared" ref="J386:J449" si="92">IF(E386=0,0,IF(OR(C386=$AQ$5,C386=$AQ$6),"Derivados Cap IV, Sec II - SIC &amp; BMV","Derivados Cap IX - No SIC"))</f>
        <v>0</v>
      </c>
      <c r="K386" s="305" t="e">
        <f>IF(F386="MXN",1/HLOOKUP(YEAR(G386)+(MONTH(G386)/100),TC!$5:$37,DAY(G386)+2,FALSE),VLOOKUP(F386,Equivalencia!$5:$23,((MAX(Equivalencia!$3:$3)-YEAR(G386))*14)+MONTH(G386)+2,FALSE))</f>
        <v>#N/A</v>
      </c>
      <c r="L386" s="306" t="e">
        <f t="shared" si="80"/>
        <v>#N/A</v>
      </c>
      <c r="M386" s="305">
        <f>IF(G386=0,0,HLOOKUP(YEAR(G386)+(MONTH(G386)/100),TC!$5:$37,DAY(G386)+2,FALSE))</f>
        <v>0</v>
      </c>
      <c r="N386" s="306" t="e">
        <f t="shared" si="81"/>
        <v>#N/A</v>
      </c>
      <c r="O386" s="308">
        <f>IF(G386=0,0,VLOOKUP(YEAR(G386),INPC!$B$4:$P$30,MONTH(G386)+2))</f>
        <v>0</v>
      </c>
      <c r="P386" s="308">
        <f>IF(W386=0,0,IF(OR(C386=$AQ$5,C386=AQ390),VLOOKUP(YEAR(W386),INPC!$B$4:$P$30,MONTH(W386)+1),VLOOKUP(YEAR(W386),INPC!$B$4:$P$30,MONTH(W386)+2)))</f>
        <v>0</v>
      </c>
      <c r="Q386" s="309">
        <f t="shared" si="82"/>
        <v>0</v>
      </c>
      <c r="R386" s="310" t="e">
        <f t="shared" si="83"/>
        <v>#N/A</v>
      </c>
      <c r="S386" s="310">
        <f t="shared" si="84"/>
        <v>0</v>
      </c>
      <c r="T386" s="559" t="str">
        <f t="shared" si="85"/>
        <v>NO</v>
      </c>
      <c r="U386" s="323"/>
      <c r="V386" s="299"/>
      <c r="W386" s="300"/>
      <c r="X386" s="299"/>
      <c r="Y386" s="303"/>
      <c r="Z386" s="305">
        <f>IF(Y386=0,0,IF(X386="MXN",1/HLOOKUP(YEAR(W386)+(MONTH(W386)/100),TC!$5:$37,DAY(W386)+2,FALSE),VLOOKUP(X386,Equivalencia!$1:$23,((MAX(Equivalencia!$3:$3)-YEAR(W386))*14)+MONTH(W386)+2,FALSE)))</f>
        <v>0</v>
      </c>
      <c r="AA386" s="306">
        <f t="shared" si="86"/>
        <v>0</v>
      </c>
      <c r="AB386" s="305">
        <f>+IF(W386=0,0,HLOOKUP(YEAR(W386)+(MONTH(W386)/100),TC!$5:$37,DAY(W386)+2,FALSE))</f>
        <v>0</v>
      </c>
      <c r="AC386" s="306">
        <f t="shared" si="87"/>
        <v>0</v>
      </c>
      <c r="AD386" s="314">
        <f t="shared" ref="AD386:AD449" si="93">+U386*S386</f>
        <v>0</v>
      </c>
      <c r="AE386" s="315">
        <f t="shared" si="88"/>
        <v>0</v>
      </c>
      <c r="AF386" s="316">
        <f t="shared" ref="AF386:AF449" si="94">+IF(OR(C386=$AQ$5,C386=$AQ$6),1,((W386-G386)/365))</f>
        <v>0</v>
      </c>
      <c r="AG386" s="314">
        <v>1</v>
      </c>
      <c r="AH386" s="314">
        <f t="shared" si="89"/>
        <v>0</v>
      </c>
      <c r="AI386" s="314">
        <f t="shared" si="90"/>
        <v>0</v>
      </c>
      <c r="AJ386" s="317"/>
      <c r="AK386" s="315" t="e">
        <f t="shared" si="91"/>
        <v>#N/A</v>
      </c>
      <c r="AM386" s="553"/>
      <c r="AN386" s="553"/>
      <c r="AO386" s="553"/>
    </row>
    <row r="387" spans="2:41">
      <c r="B387" s="296"/>
      <c r="C387" s="299"/>
      <c r="D387" s="296"/>
      <c r="E387" s="298"/>
      <c r="F387" s="299"/>
      <c r="G387" s="300"/>
      <c r="H387" s="303"/>
      <c r="I387" s="303"/>
      <c r="J387" s="322">
        <f t="shared" si="92"/>
        <v>0</v>
      </c>
      <c r="K387" s="305" t="e">
        <f>IF(F387="MXN",1/HLOOKUP(YEAR(G387)+(MONTH(G387)/100),TC!$5:$37,DAY(G387)+2,FALSE),VLOOKUP(F387,Equivalencia!$5:$23,((MAX(Equivalencia!$3:$3)-YEAR(G387))*14)+MONTH(G387)+2,FALSE))</f>
        <v>#N/A</v>
      </c>
      <c r="L387" s="306" t="e">
        <f t="shared" ref="L387:L450" si="95">+I387*K387</f>
        <v>#N/A</v>
      </c>
      <c r="M387" s="305">
        <f>IF(G387=0,0,HLOOKUP(YEAR(G387)+(MONTH(G387)/100),TC!$5:$37,DAY(G387)+2,FALSE))</f>
        <v>0</v>
      </c>
      <c r="N387" s="306" t="e">
        <f t="shared" ref="N387:N450" si="96">+L387*M387</f>
        <v>#N/A</v>
      </c>
      <c r="O387" s="308">
        <f>IF(G387=0,0,VLOOKUP(YEAR(G387),INPC!$B$4:$P$30,MONTH(G387)+2))</f>
        <v>0</v>
      </c>
      <c r="P387" s="308">
        <f>IF(W387=0,0,IF(OR(C387=$AQ$5,C387=AQ391),VLOOKUP(YEAR(W387),INPC!$B$4:$P$30,MONTH(W387)+1),VLOOKUP(YEAR(W387),INPC!$B$4:$P$30,MONTH(W387)+2)))</f>
        <v>0</v>
      </c>
      <c r="Q387" s="309">
        <f t="shared" ref="Q387:Q450" si="97">IF(W387=0,0,IF(TRUNC(P387/O387,4)&gt;=1,TRUNC(P387/O387,4),1))</f>
        <v>0</v>
      </c>
      <c r="R387" s="310" t="e">
        <f t="shared" ref="R387:R450" si="98">+Q387*N387</f>
        <v>#N/A</v>
      </c>
      <c r="S387" s="310">
        <f t="shared" ref="S387:S450" si="99">IF(U387=0,0,R387/U387)</f>
        <v>0</v>
      </c>
      <c r="T387" s="559" t="str">
        <f t="shared" ref="T387:T450" si="100">+IF(W387=0,"NO","SI")</f>
        <v>NO</v>
      </c>
      <c r="U387" s="323"/>
      <c r="V387" s="299"/>
      <c r="W387" s="300"/>
      <c r="X387" s="299"/>
      <c r="Y387" s="303"/>
      <c r="Z387" s="305">
        <f>IF(Y387=0,0,IF(X387="MXN",1/HLOOKUP(YEAR(W387)+(MONTH(W387)/100),TC!$5:$37,DAY(W387)+2,FALSE),VLOOKUP(X387,Equivalencia!$1:$23,((MAX(Equivalencia!$3:$3)-YEAR(W387))*14)+MONTH(W387)+2,FALSE)))</f>
        <v>0</v>
      </c>
      <c r="AA387" s="306">
        <f t="shared" ref="AA387:AA450" si="101">+Z387*Y387</f>
        <v>0</v>
      </c>
      <c r="AB387" s="305">
        <f>+IF(W387=0,0,HLOOKUP(YEAR(W387)+(MONTH(W387)/100),TC!$5:$37,DAY(W387)+2,FALSE))</f>
        <v>0</v>
      </c>
      <c r="AC387" s="306">
        <f t="shared" ref="AC387:AC450" si="102">+AB387*AA387</f>
        <v>0</v>
      </c>
      <c r="AD387" s="314">
        <f t="shared" si="93"/>
        <v>0</v>
      </c>
      <c r="AE387" s="315">
        <f t="shared" ref="AE387:AE450" si="103">AC387+AD387</f>
        <v>0</v>
      </c>
      <c r="AF387" s="316">
        <f t="shared" si="94"/>
        <v>0</v>
      </c>
      <c r="AG387" s="314">
        <v>1</v>
      </c>
      <c r="AH387" s="314">
        <f t="shared" ref="AH387:AH450" si="104">(AE387/AG387)</f>
        <v>0</v>
      </c>
      <c r="AI387" s="314">
        <f t="shared" ref="AI387:AI450" si="105">+AE387-AH387</f>
        <v>0</v>
      </c>
      <c r="AJ387" s="317"/>
      <c r="AK387" s="315" t="e">
        <f t="shared" ref="AK387:AK450" si="106">+AA387+L387</f>
        <v>#N/A</v>
      </c>
      <c r="AM387" s="553"/>
      <c r="AN387" s="553"/>
      <c r="AO387" s="553"/>
    </row>
    <row r="388" spans="2:41">
      <c r="B388" s="296"/>
      <c r="C388" s="299"/>
      <c r="D388" s="296"/>
      <c r="E388" s="298"/>
      <c r="F388" s="299"/>
      <c r="G388" s="300"/>
      <c r="H388" s="303"/>
      <c r="I388" s="303"/>
      <c r="J388" s="322">
        <f t="shared" si="92"/>
        <v>0</v>
      </c>
      <c r="K388" s="305" t="e">
        <f>IF(F388="MXN",1/HLOOKUP(YEAR(G388)+(MONTH(G388)/100),TC!$5:$37,DAY(G388)+2,FALSE),VLOOKUP(F388,Equivalencia!$5:$23,((MAX(Equivalencia!$3:$3)-YEAR(G388))*14)+MONTH(G388)+2,FALSE))</f>
        <v>#N/A</v>
      </c>
      <c r="L388" s="306" t="e">
        <f t="shared" si="95"/>
        <v>#N/A</v>
      </c>
      <c r="M388" s="305">
        <f>IF(G388=0,0,HLOOKUP(YEAR(G388)+(MONTH(G388)/100),TC!$5:$37,DAY(G388)+2,FALSE))</f>
        <v>0</v>
      </c>
      <c r="N388" s="306" t="e">
        <f t="shared" si="96"/>
        <v>#N/A</v>
      </c>
      <c r="O388" s="308">
        <f>IF(G388=0,0,VLOOKUP(YEAR(G388),INPC!$B$4:$P$30,MONTH(G388)+2))</f>
        <v>0</v>
      </c>
      <c r="P388" s="308">
        <f>IF(W388=0,0,IF(OR(C388=$AQ$5,C388=AQ392),VLOOKUP(YEAR(W388),INPC!$B$4:$P$30,MONTH(W388)+1),VLOOKUP(YEAR(W388),INPC!$B$4:$P$30,MONTH(W388)+2)))</f>
        <v>0</v>
      </c>
      <c r="Q388" s="309">
        <f t="shared" si="97"/>
        <v>0</v>
      </c>
      <c r="R388" s="310" t="e">
        <f t="shared" si="98"/>
        <v>#N/A</v>
      </c>
      <c r="S388" s="310">
        <f t="shared" si="99"/>
        <v>0</v>
      </c>
      <c r="T388" s="559" t="str">
        <f t="shared" si="100"/>
        <v>NO</v>
      </c>
      <c r="U388" s="323"/>
      <c r="V388" s="299"/>
      <c r="W388" s="300"/>
      <c r="X388" s="299"/>
      <c r="Y388" s="303"/>
      <c r="Z388" s="305">
        <f>IF(Y388=0,0,IF(X388="MXN",1/HLOOKUP(YEAR(W388)+(MONTH(W388)/100),TC!$5:$37,DAY(W388)+2,FALSE),VLOOKUP(X388,Equivalencia!$1:$23,((MAX(Equivalencia!$3:$3)-YEAR(W388))*14)+MONTH(W388)+2,FALSE)))</f>
        <v>0</v>
      </c>
      <c r="AA388" s="306">
        <f t="shared" si="101"/>
        <v>0</v>
      </c>
      <c r="AB388" s="305">
        <f>+IF(W388=0,0,HLOOKUP(YEAR(W388)+(MONTH(W388)/100),TC!$5:$37,DAY(W388)+2,FALSE))</f>
        <v>0</v>
      </c>
      <c r="AC388" s="306">
        <f t="shared" si="102"/>
        <v>0</v>
      </c>
      <c r="AD388" s="314">
        <f t="shared" si="93"/>
        <v>0</v>
      </c>
      <c r="AE388" s="315">
        <f t="shared" si="103"/>
        <v>0</v>
      </c>
      <c r="AF388" s="316">
        <f t="shared" si="94"/>
        <v>0</v>
      </c>
      <c r="AG388" s="314">
        <v>1</v>
      </c>
      <c r="AH388" s="314">
        <f t="shared" si="104"/>
        <v>0</v>
      </c>
      <c r="AI388" s="314">
        <f t="shared" si="105"/>
        <v>0</v>
      </c>
      <c r="AJ388" s="317"/>
      <c r="AK388" s="315" t="e">
        <f t="shared" si="106"/>
        <v>#N/A</v>
      </c>
      <c r="AM388" s="553"/>
      <c r="AN388" s="553"/>
      <c r="AO388" s="553"/>
    </row>
    <row r="389" spans="2:41">
      <c r="B389" s="296"/>
      <c r="C389" s="299"/>
      <c r="D389" s="296"/>
      <c r="E389" s="298"/>
      <c r="F389" s="299"/>
      <c r="G389" s="300"/>
      <c r="H389" s="303"/>
      <c r="I389" s="303"/>
      <c r="J389" s="322">
        <f t="shared" si="92"/>
        <v>0</v>
      </c>
      <c r="K389" s="305" t="e">
        <f>IF(F389="MXN",1/HLOOKUP(YEAR(G389)+(MONTH(G389)/100),TC!$5:$37,DAY(G389)+2,FALSE),VLOOKUP(F389,Equivalencia!$5:$23,((MAX(Equivalencia!$3:$3)-YEAR(G389))*14)+MONTH(G389)+2,FALSE))</f>
        <v>#N/A</v>
      </c>
      <c r="L389" s="306" t="e">
        <f t="shared" si="95"/>
        <v>#N/A</v>
      </c>
      <c r="M389" s="305">
        <f>IF(G389=0,0,HLOOKUP(YEAR(G389)+(MONTH(G389)/100),TC!$5:$37,DAY(G389)+2,FALSE))</f>
        <v>0</v>
      </c>
      <c r="N389" s="306" t="e">
        <f t="shared" si="96"/>
        <v>#N/A</v>
      </c>
      <c r="O389" s="308">
        <f>IF(G389=0,0,VLOOKUP(YEAR(G389),INPC!$B$4:$P$30,MONTH(G389)+2))</f>
        <v>0</v>
      </c>
      <c r="P389" s="308">
        <f>IF(W389=0,0,IF(OR(C389=$AQ$5,C389=AQ393),VLOOKUP(YEAR(W389),INPC!$B$4:$P$30,MONTH(W389)+1),VLOOKUP(YEAR(W389),INPC!$B$4:$P$30,MONTH(W389)+2)))</f>
        <v>0</v>
      </c>
      <c r="Q389" s="309">
        <f t="shared" si="97"/>
        <v>0</v>
      </c>
      <c r="R389" s="310" t="e">
        <f t="shared" si="98"/>
        <v>#N/A</v>
      </c>
      <c r="S389" s="310">
        <f t="shared" si="99"/>
        <v>0</v>
      </c>
      <c r="T389" s="559" t="str">
        <f t="shared" si="100"/>
        <v>NO</v>
      </c>
      <c r="U389" s="323"/>
      <c r="V389" s="299"/>
      <c r="W389" s="300"/>
      <c r="X389" s="299"/>
      <c r="Y389" s="303"/>
      <c r="Z389" s="305">
        <f>IF(Y389=0,0,IF(X389="MXN",1/HLOOKUP(YEAR(W389)+(MONTH(W389)/100),TC!$5:$37,DAY(W389)+2,FALSE),VLOOKUP(X389,Equivalencia!$1:$23,((MAX(Equivalencia!$3:$3)-YEAR(W389))*14)+MONTH(W389)+2,FALSE)))</f>
        <v>0</v>
      </c>
      <c r="AA389" s="306">
        <f t="shared" si="101"/>
        <v>0</v>
      </c>
      <c r="AB389" s="305">
        <f>+IF(W389=0,0,HLOOKUP(YEAR(W389)+(MONTH(W389)/100),TC!$5:$37,DAY(W389)+2,FALSE))</f>
        <v>0</v>
      </c>
      <c r="AC389" s="306">
        <f t="shared" si="102"/>
        <v>0</v>
      </c>
      <c r="AD389" s="314">
        <f t="shared" si="93"/>
        <v>0</v>
      </c>
      <c r="AE389" s="315">
        <f t="shared" si="103"/>
        <v>0</v>
      </c>
      <c r="AF389" s="316">
        <f t="shared" si="94"/>
        <v>0</v>
      </c>
      <c r="AG389" s="314">
        <v>1</v>
      </c>
      <c r="AH389" s="314">
        <f t="shared" si="104"/>
        <v>0</v>
      </c>
      <c r="AI389" s="314">
        <f t="shared" si="105"/>
        <v>0</v>
      </c>
      <c r="AJ389" s="317"/>
      <c r="AK389" s="315" t="e">
        <f t="shared" si="106"/>
        <v>#N/A</v>
      </c>
      <c r="AM389" s="553"/>
      <c r="AN389" s="553"/>
      <c r="AO389" s="553"/>
    </row>
    <row r="390" spans="2:41">
      <c r="B390" s="296"/>
      <c r="C390" s="299"/>
      <c r="D390" s="296"/>
      <c r="E390" s="298"/>
      <c r="F390" s="299"/>
      <c r="G390" s="300"/>
      <c r="H390" s="303"/>
      <c r="I390" s="303"/>
      <c r="J390" s="322">
        <f t="shared" si="92"/>
        <v>0</v>
      </c>
      <c r="K390" s="305" t="e">
        <f>IF(F390="MXN",1/HLOOKUP(YEAR(G390)+(MONTH(G390)/100),TC!$5:$37,DAY(G390)+2,FALSE),VLOOKUP(F390,Equivalencia!$5:$23,((MAX(Equivalencia!$3:$3)-YEAR(G390))*14)+MONTH(G390)+2,FALSE))</f>
        <v>#N/A</v>
      </c>
      <c r="L390" s="306" t="e">
        <f t="shared" si="95"/>
        <v>#N/A</v>
      </c>
      <c r="M390" s="305">
        <f>IF(G390=0,0,HLOOKUP(YEAR(G390)+(MONTH(G390)/100),TC!$5:$37,DAY(G390)+2,FALSE))</f>
        <v>0</v>
      </c>
      <c r="N390" s="306" t="e">
        <f t="shared" si="96"/>
        <v>#N/A</v>
      </c>
      <c r="O390" s="308">
        <f>IF(G390=0,0,VLOOKUP(YEAR(G390),INPC!$B$4:$P$30,MONTH(G390)+2))</f>
        <v>0</v>
      </c>
      <c r="P390" s="308">
        <f>IF(W390=0,0,IF(OR(C390=$AQ$5,C390=AQ394),VLOOKUP(YEAR(W390),INPC!$B$4:$P$30,MONTH(W390)+1),VLOOKUP(YEAR(W390),INPC!$B$4:$P$30,MONTH(W390)+2)))</f>
        <v>0</v>
      </c>
      <c r="Q390" s="309">
        <f t="shared" si="97"/>
        <v>0</v>
      </c>
      <c r="R390" s="310" t="e">
        <f t="shared" si="98"/>
        <v>#N/A</v>
      </c>
      <c r="S390" s="310">
        <f t="shared" si="99"/>
        <v>0</v>
      </c>
      <c r="T390" s="559" t="str">
        <f t="shared" si="100"/>
        <v>NO</v>
      </c>
      <c r="U390" s="323"/>
      <c r="V390" s="299"/>
      <c r="W390" s="300"/>
      <c r="X390" s="299"/>
      <c r="Y390" s="303"/>
      <c r="Z390" s="305">
        <f>IF(Y390=0,0,IF(X390="MXN",1/HLOOKUP(YEAR(W390)+(MONTH(W390)/100),TC!$5:$37,DAY(W390)+2,FALSE),VLOOKUP(X390,Equivalencia!$1:$23,((MAX(Equivalencia!$3:$3)-YEAR(W390))*14)+MONTH(W390)+2,FALSE)))</f>
        <v>0</v>
      </c>
      <c r="AA390" s="306">
        <f t="shared" si="101"/>
        <v>0</v>
      </c>
      <c r="AB390" s="305">
        <f>+IF(W390=0,0,HLOOKUP(YEAR(W390)+(MONTH(W390)/100),TC!$5:$37,DAY(W390)+2,FALSE))</f>
        <v>0</v>
      </c>
      <c r="AC390" s="306">
        <f t="shared" si="102"/>
        <v>0</v>
      </c>
      <c r="AD390" s="314">
        <f t="shared" si="93"/>
        <v>0</v>
      </c>
      <c r="AE390" s="315">
        <f t="shared" si="103"/>
        <v>0</v>
      </c>
      <c r="AF390" s="316">
        <f t="shared" si="94"/>
        <v>0</v>
      </c>
      <c r="AG390" s="314">
        <v>1</v>
      </c>
      <c r="AH390" s="314">
        <f t="shared" si="104"/>
        <v>0</v>
      </c>
      <c r="AI390" s="314">
        <f t="shared" si="105"/>
        <v>0</v>
      </c>
      <c r="AJ390" s="317"/>
      <c r="AK390" s="315" t="e">
        <f t="shared" si="106"/>
        <v>#N/A</v>
      </c>
      <c r="AM390" s="553"/>
      <c r="AN390" s="553"/>
      <c r="AO390" s="553"/>
    </row>
    <row r="391" spans="2:41">
      <c r="B391" s="296"/>
      <c r="C391" s="299"/>
      <c r="D391" s="296"/>
      <c r="E391" s="298"/>
      <c r="F391" s="299"/>
      <c r="G391" s="300"/>
      <c r="H391" s="303"/>
      <c r="I391" s="303"/>
      <c r="J391" s="322">
        <f t="shared" si="92"/>
        <v>0</v>
      </c>
      <c r="K391" s="305" t="e">
        <f>IF(F391="MXN",1/HLOOKUP(YEAR(G391)+(MONTH(G391)/100),TC!$5:$37,DAY(G391)+2,FALSE),VLOOKUP(F391,Equivalencia!$5:$23,((MAX(Equivalencia!$3:$3)-YEAR(G391))*14)+MONTH(G391)+2,FALSE))</f>
        <v>#N/A</v>
      </c>
      <c r="L391" s="306" t="e">
        <f t="shared" si="95"/>
        <v>#N/A</v>
      </c>
      <c r="M391" s="305">
        <f>IF(G391=0,0,HLOOKUP(YEAR(G391)+(MONTH(G391)/100),TC!$5:$37,DAY(G391)+2,FALSE))</f>
        <v>0</v>
      </c>
      <c r="N391" s="306" t="e">
        <f t="shared" si="96"/>
        <v>#N/A</v>
      </c>
      <c r="O391" s="308">
        <f>IF(G391=0,0,VLOOKUP(YEAR(G391),INPC!$B$4:$P$30,MONTH(G391)+2))</f>
        <v>0</v>
      </c>
      <c r="P391" s="308">
        <f>IF(W391=0,0,IF(OR(C391=$AQ$5,C391=AQ395),VLOOKUP(YEAR(W391),INPC!$B$4:$P$30,MONTH(W391)+1),VLOOKUP(YEAR(W391),INPC!$B$4:$P$30,MONTH(W391)+2)))</f>
        <v>0</v>
      </c>
      <c r="Q391" s="309">
        <f t="shared" si="97"/>
        <v>0</v>
      </c>
      <c r="R391" s="310" t="e">
        <f t="shared" si="98"/>
        <v>#N/A</v>
      </c>
      <c r="S391" s="310">
        <f t="shared" si="99"/>
        <v>0</v>
      </c>
      <c r="T391" s="559" t="str">
        <f t="shared" si="100"/>
        <v>NO</v>
      </c>
      <c r="U391" s="323"/>
      <c r="V391" s="299"/>
      <c r="W391" s="300"/>
      <c r="X391" s="299"/>
      <c r="Y391" s="303"/>
      <c r="Z391" s="305">
        <f>IF(Y391=0,0,IF(X391="MXN",1/HLOOKUP(YEAR(W391)+(MONTH(W391)/100),TC!$5:$37,DAY(W391)+2,FALSE),VLOOKUP(X391,Equivalencia!$1:$23,((MAX(Equivalencia!$3:$3)-YEAR(W391))*14)+MONTH(W391)+2,FALSE)))</f>
        <v>0</v>
      </c>
      <c r="AA391" s="306">
        <f t="shared" si="101"/>
        <v>0</v>
      </c>
      <c r="AB391" s="305">
        <f>+IF(W391=0,0,HLOOKUP(YEAR(W391)+(MONTH(W391)/100),TC!$5:$37,DAY(W391)+2,FALSE))</f>
        <v>0</v>
      </c>
      <c r="AC391" s="306">
        <f t="shared" si="102"/>
        <v>0</v>
      </c>
      <c r="AD391" s="314">
        <f t="shared" si="93"/>
        <v>0</v>
      </c>
      <c r="AE391" s="315">
        <f t="shared" si="103"/>
        <v>0</v>
      </c>
      <c r="AF391" s="316">
        <f t="shared" si="94"/>
        <v>0</v>
      </c>
      <c r="AG391" s="314">
        <v>1</v>
      </c>
      <c r="AH391" s="314">
        <f t="shared" si="104"/>
        <v>0</v>
      </c>
      <c r="AI391" s="314">
        <f t="shared" si="105"/>
        <v>0</v>
      </c>
      <c r="AJ391" s="317"/>
      <c r="AK391" s="315" t="e">
        <f t="shared" si="106"/>
        <v>#N/A</v>
      </c>
      <c r="AM391" s="553"/>
      <c r="AN391" s="553"/>
      <c r="AO391" s="553"/>
    </row>
    <row r="392" spans="2:41">
      <c r="B392" s="296"/>
      <c r="C392" s="299"/>
      <c r="D392" s="296"/>
      <c r="E392" s="298"/>
      <c r="F392" s="299"/>
      <c r="G392" s="300"/>
      <c r="H392" s="303"/>
      <c r="I392" s="303"/>
      <c r="J392" s="322">
        <f t="shared" si="92"/>
        <v>0</v>
      </c>
      <c r="K392" s="305" t="e">
        <f>IF(F392="MXN",1/HLOOKUP(YEAR(G392)+(MONTH(G392)/100),TC!$5:$37,DAY(G392)+2,FALSE),VLOOKUP(F392,Equivalencia!$5:$23,((MAX(Equivalencia!$3:$3)-YEAR(G392))*14)+MONTH(G392)+2,FALSE))</f>
        <v>#N/A</v>
      </c>
      <c r="L392" s="306" t="e">
        <f t="shared" si="95"/>
        <v>#N/A</v>
      </c>
      <c r="M392" s="305">
        <f>IF(G392=0,0,HLOOKUP(YEAR(G392)+(MONTH(G392)/100),TC!$5:$37,DAY(G392)+2,FALSE))</f>
        <v>0</v>
      </c>
      <c r="N392" s="306" t="e">
        <f t="shared" si="96"/>
        <v>#N/A</v>
      </c>
      <c r="O392" s="308">
        <f>IF(G392=0,0,VLOOKUP(YEAR(G392),INPC!$B$4:$P$30,MONTH(G392)+2))</f>
        <v>0</v>
      </c>
      <c r="P392" s="308">
        <f>IF(W392=0,0,IF(OR(C392=$AQ$5,C392=AQ396),VLOOKUP(YEAR(W392),INPC!$B$4:$P$30,MONTH(W392)+1),VLOOKUP(YEAR(W392),INPC!$B$4:$P$30,MONTH(W392)+2)))</f>
        <v>0</v>
      </c>
      <c r="Q392" s="309">
        <f t="shared" si="97"/>
        <v>0</v>
      </c>
      <c r="R392" s="310" t="e">
        <f t="shared" si="98"/>
        <v>#N/A</v>
      </c>
      <c r="S392" s="310">
        <f t="shared" si="99"/>
        <v>0</v>
      </c>
      <c r="T392" s="559" t="str">
        <f t="shared" si="100"/>
        <v>NO</v>
      </c>
      <c r="U392" s="323"/>
      <c r="V392" s="299"/>
      <c r="W392" s="300"/>
      <c r="X392" s="299"/>
      <c r="Y392" s="303"/>
      <c r="Z392" s="305">
        <f>IF(Y392=0,0,IF(X392="MXN",1/HLOOKUP(YEAR(W392)+(MONTH(W392)/100),TC!$5:$37,DAY(W392)+2,FALSE),VLOOKUP(X392,Equivalencia!$1:$23,((MAX(Equivalencia!$3:$3)-YEAR(W392))*14)+MONTH(W392)+2,FALSE)))</f>
        <v>0</v>
      </c>
      <c r="AA392" s="306">
        <f t="shared" si="101"/>
        <v>0</v>
      </c>
      <c r="AB392" s="305">
        <f>+IF(W392=0,0,HLOOKUP(YEAR(W392)+(MONTH(W392)/100),TC!$5:$37,DAY(W392)+2,FALSE))</f>
        <v>0</v>
      </c>
      <c r="AC392" s="306">
        <f t="shared" si="102"/>
        <v>0</v>
      </c>
      <c r="AD392" s="314">
        <f t="shared" si="93"/>
        <v>0</v>
      </c>
      <c r="AE392" s="315">
        <f t="shared" si="103"/>
        <v>0</v>
      </c>
      <c r="AF392" s="316">
        <f t="shared" si="94"/>
        <v>0</v>
      </c>
      <c r="AG392" s="314">
        <v>1</v>
      </c>
      <c r="AH392" s="314">
        <f t="shared" si="104"/>
        <v>0</v>
      </c>
      <c r="AI392" s="314">
        <f t="shared" si="105"/>
        <v>0</v>
      </c>
      <c r="AJ392" s="317"/>
      <c r="AK392" s="315" t="e">
        <f t="shared" si="106"/>
        <v>#N/A</v>
      </c>
      <c r="AM392" s="553"/>
      <c r="AN392" s="553"/>
      <c r="AO392" s="553"/>
    </row>
    <row r="393" spans="2:41">
      <c r="B393" s="296"/>
      <c r="C393" s="299"/>
      <c r="D393" s="296"/>
      <c r="E393" s="298"/>
      <c r="F393" s="299"/>
      <c r="G393" s="300"/>
      <c r="H393" s="303"/>
      <c r="I393" s="303"/>
      <c r="J393" s="322">
        <f t="shared" si="92"/>
        <v>0</v>
      </c>
      <c r="K393" s="305" t="e">
        <f>IF(F393="MXN",1/HLOOKUP(YEAR(G393)+(MONTH(G393)/100),TC!$5:$37,DAY(G393)+2,FALSE),VLOOKUP(F393,Equivalencia!$5:$23,((MAX(Equivalencia!$3:$3)-YEAR(G393))*14)+MONTH(G393)+2,FALSE))</f>
        <v>#N/A</v>
      </c>
      <c r="L393" s="306" t="e">
        <f t="shared" si="95"/>
        <v>#N/A</v>
      </c>
      <c r="M393" s="305">
        <f>IF(G393=0,0,HLOOKUP(YEAR(G393)+(MONTH(G393)/100),TC!$5:$37,DAY(G393)+2,FALSE))</f>
        <v>0</v>
      </c>
      <c r="N393" s="306" t="e">
        <f t="shared" si="96"/>
        <v>#N/A</v>
      </c>
      <c r="O393" s="308">
        <f>IF(G393=0,0,VLOOKUP(YEAR(G393),INPC!$B$4:$P$30,MONTH(G393)+2))</f>
        <v>0</v>
      </c>
      <c r="P393" s="308">
        <f>IF(W393=0,0,IF(OR(C393=$AQ$5,C393=AQ397),VLOOKUP(YEAR(W393),INPC!$B$4:$P$30,MONTH(W393)+1),VLOOKUP(YEAR(W393),INPC!$B$4:$P$30,MONTH(W393)+2)))</f>
        <v>0</v>
      </c>
      <c r="Q393" s="309">
        <f t="shared" si="97"/>
        <v>0</v>
      </c>
      <c r="R393" s="310" t="e">
        <f t="shared" si="98"/>
        <v>#N/A</v>
      </c>
      <c r="S393" s="310">
        <f t="shared" si="99"/>
        <v>0</v>
      </c>
      <c r="T393" s="559" t="str">
        <f t="shared" si="100"/>
        <v>NO</v>
      </c>
      <c r="U393" s="323"/>
      <c r="V393" s="299"/>
      <c r="W393" s="300"/>
      <c r="X393" s="299"/>
      <c r="Y393" s="303"/>
      <c r="Z393" s="305">
        <f>IF(Y393=0,0,IF(X393="MXN",1/HLOOKUP(YEAR(W393)+(MONTH(W393)/100),TC!$5:$37,DAY(W393)+2,FALSE),VLOOKUP(X393,Equivalencia!$1:$23,((MAX(Equivalencia!$3:$3)-YEAR(W393))*14)+MONTH(W393)+2,FALSE)))</f>
        <v>0</v>
      </c>
      <c r="AA393" s="306">
        <f t="shared" si="101"/>
        <v>0</v>
      </c>
      <c r="AB393" s="305">
        <f>+IF(W393=0,0,HLOOKUP(YEAR(W393)+(MONTH(W393)/100),TC!$5:$37,DAY(W393)+2,FALSE))</f>
        <v>0</v>
      </c>
      <c r="AC393" s="306">
        <f t="shared" si="102"/>
        <v>0</v>
      </c>
      <c r="AD393" s="314">
        <f t="shared" si="93"/>
        <v>0</v>
      </c>
      <c r="AE393" s="315">
        <f t="shared" si="103"/>
        <v>0</v>
      </c>
      <c r="AF393" s="316">
        <f t="shared" si="94"/>
        <v>0</v>
      </c>
      <c r="AG393" s="314">
        <v>1</v>
      </c>
      <c r="AH393" s="314">
        <f t="shared" si="104"/>
        <v>0</v>
      </c>
      <c r="AI393" s="314">
        <f t="shared" si="105"/>
        <v>0</v>
      </c>
      <c r="AJ393" s="317"/>
      <c r="AK393" s="315" t="e">
        <f t="shared" si="106"/>
        <v>#N/A</v>
      </c>
      <c r="AM393" s="553"/>
      <c r="AN393" s="553"/>
      <c r="AO393" s="553"/>
    </row>
    <row r="394" spans="2:41">
      <c r="B394" s="296"/>
      <c r="C394" s="299"/>
      <c r="D394" s="296"/>
      <c r="E394" s="298"/>
      <c r="F394" s="299"/>
      <c r="G394" s="300"/>
      <c r="H394" s="303"/>
      <c r="I394" s="303"/>
      <c r="J394" s="322">
        <f t="shared" si="92"/>
        <v>0</v>
      </c>
      <c r="K394" s="305" t="e">
        <f>IF(F394="MXN",1/HLOOKUP(YEAR(G394)+(MONTH(G394)/100),TC!$5:$37,DAY(G394)+2,FALSE),VLOOKUP(F394,Equivalencia!$5:$23,((MAX(Equivalencia!$3:$3)-YEAR(G394))*14)+MONTH(G394)+2,FALSE))</f>
        <v>#N/A</v>
      </c>
      <c r="L394" s="306" t="e">
        <f t="shared" si="95"/>
        <v>#N/A</v>
      </c>
      <c r="M394" s="305">
        <f>IF(G394=0,0,HLOOKUP(YEAR(G394)+(MONTH(G394)/100),TC!$5:$37,DAY(G394)+2,FALSE))</f>
        <v>0</v>
      </c>
      <c r="N394" s="306" t="e">
        <f t="shared" si="96"/>
        <v>#N/A</v>
      </c>
      <c r="O394" s="308">
        <f>IF(G394=0,0,VLOOKUP(YEAR(G394),INPC!$B$4:$P$30,MONTH(G394)+2))</f>
        <v>0</v>
      </c>
      <c r="P394" s="308">
        <f>IF(W394=0,0,IF(OR(C394=$AQ$5,C394=AQ398),VLOOKUP(YEAR(W394),INPC!$B$4:$P$30,MONTH(W394)+1),VLOOKUP(YEAR(W394),INPC!$B$4:$P$30,MONTH(W394)+2)))</f>
        <v>0</v>
      </c>
      <c r="Q394" s="309">
        <f t="shared" si="97"/>
        <v>0</v>
      </c>
      <c r="R394" s="310" t="e">
        <f t="shared" si="98"/>
        <v>#N/A</v>
      </c>
      <c r="S394" s="310">
        <f t="shared" si="99"/>
        <v>0</v>
      </c>
      <c r="T394" s="559" t="str">
        <f t="shared" si="100"/>
        <v>NO</v>
      </c>
      <c r="U394" s="323"/>
      <c r="V394" s="299"/>
      <c r="W394" s="300"/>
      <c r="X394" s="299"/>
      <c r="Y394" s="303"/>
      <c r="Z394" s="305">
        <f>IF(Y394=0,0,IF(X394="MXN",1/HLOOKUP(YEAR(W394)+(MONTH(W394)/100),TC!$5:$37,DAY(W394)+2,FALSE),VLOOKUP(X394,Equivalencia!$1:$23,((MAX(Equivalencia!$3:$3)-YEAR(W394))*14)+MONTH(W394)+2,FALSE)))</f>
        <v>0</v>
      </c>
      <c r="AA394" s="306">
        <f t="shared" si="101"/>
        <v>0</v>
      </c>
      <c r="AB394" s="305">
        <f>+IF(W394=0,0,HLOOKUP(YEAR(W394)+(MONTH(W394)/100),TC!$5:$37,DAY(W394)+2,FALSE))</f>
        <v>0</v>
      </c>
      <c r="AC394" s="306">
        <f t="shared" si="102"/>
        <v>0</v>
      </c>
      <c r="AD394" s="314">
        <f t="shared" si="93"/>
        <v>0</v>
      </c>
      <c r="AE394" s="315">
        <f t="shared" si="103"/>
        <v>0</v>
      </c>
      <c r="AF394" s="316">
        <f t="shared" si="94"/>
        <v>0</v>
      </c>
      <c r="AG394" s="314">
        <v>1</v>
      </c>
      <c r="AH394" s="314">
        <f t="shared" si="104"/>
        <v>0</v>
      </c>
      <c r="AI394" s="314">
        <f t="shared" si="105"/>
        <v>0</v>
      </c>
      <c r="AJ394" s="317"/>
      <c r="AK394" s="315" t="e">
        <f t="shared" si="106"/>
        <v>#N/A</v>
      </c>
      <c r="AM394" s="553"/>
      <c r="AN394" s="553"/>
      <c r="AO394" s="553"/>
    </row>
    <row r="395" spans="2:41">
      <c r="B395" s="296"/>
      <c r="C395" s="299"/>
      <c r="D395" s="296"/>
      <c r="E395" s="298"/>
      <c r="F395" s="299"/>
      <c r="G395" s="300"/>
      <c r="H395" s="303"/>
      <c r="I395" s="303"/>
      <c r="J395" s="322">
        <f t="shared" si="92"/>
        <v>0</v>
      </c>
      <c r="K395" s="305" t="e">
        <f>IF(F395="MXN",1/HLOOKUP(YEAR(G395)+(MONTH(G395)/100),TC!$5:$37,DAY(G395)+2,FALSE),VLOOKUP(F395,Equivalencia!$5:$23,((MAX(Equivalencia!$3:$3)-YEAR(G395))*14)+MONTH(G395)+2,FALSE))</f>
        <v>#N/A</v>
      </c>
      <c r="L395" s="306" t="e">
        <f t="shared" si="95"/>
        <v>#N/A</v>
      </c>
      <c r="M395" s="305">
        <f>IF(G395=0,0,HLOOKUP(YEAR(G395)+(MONTH(G395)/100),TC!$5:$37,DAY(G395)+2,FALSE))</f>
        <v>0</v>
      </c>
      <c r="N395" s="306" t="e">
        <f t="shared" si="96"/>
        <v>#N/A</v>
      </c>
      <c r="O395" s="308">
        <f>IF(G395=0,0,VLOOKUP(YEAR(G395),INPC!$B$4:$P$30,MONTH(G395)+2))</f>
        <v>0</v>
      </c>
      <c r="P395" s="308">
        <f>IF(W395=0,0,IF(OR(C395=$AQ$5,C395=AQ399),VLOOKUP(YEAR(W395),INPC!$B$4:$P$30,MONTH(W395)+1),VLOOKUP(YEAR(W395),INPC!$B$4:$P$30,MONTH(W395)+2)))</f>
        <v>0</v>
      </c>
      <c r="Q395" s="309">
        <f t="shared" si="97"/>
        <v>0</v>
      </c>
      <c r="R395" s="310" t="e">
        <f t="shared" si="98"/>
        <v>#N/A</v>
      </c>
      <c r="S395" s="310">
        <f t="shared" si="99"/>
        <v>0</v>
      </c>
      <c r="T395" s="559" t="str">
        <f t="shared" si="100"/>
        <v>NO</v>
      </c>
      <c r="U395" s="323"/>
      <c r="V395" s="299"/>
      <c r="W395" s="300"/>
      <c r="X395" s="299"/>
      <c r="Y395" s="303"/>
      <c r="Z395" s="305">
        <f>IF(Y395=0,0,IF(X395="MXN",1/HLOOKUP(YEAR(W395)+(MONTH(W395)/100),TC!$5:$37,DAY(W395)+2,FALSE),VLOOKUP(X395,Equivalencia!$1:$23,((MAX(Equivalencia!$3:$3)-YEAR(W395))*14)+MONTH(W395)+2,FALSE)))</f>
        <v>0</v>
      </c>
      <c r="AA395" s="306">
        <f t="shared" si="101"/>
        <v>0</v>
      </c>
      <c r="AB395" s="305">
        <f>+IF(W395=0,0,HLOOKUP(YEAR(W395)+(MONTH(W395)/100),TC!$5:$37,DAY(W395)+2,FALSE))</f>
        <v>0</v>
      </c>
      <c r="AC395" s="306">
        <f t="shared" si="102"/>
        <v>0</v>
      </c>
      <c r="AD395" s="314">
        <f t="shared" si="93"/>
        <v>0</v>
      </c>
      <c r="AE395" s="315">
        <f t="shared" si="103"/>
        <v>0</v>
      </c>
      <c r="AF395" s="316">
        <f t="shared" si="94"/>
        <v>0</v>
      </c>
      <c r="AG395" s="314">
        <v>1</v>
      </c>
      <c r="AH395" s="314">
        <f t="shared" si="104"/>
        <v>0</v>
      </c>
      <c r="AI395" s="314">
        <f t="shared" si="105"/>
        <v>0</v>
      </c>
      <c r="AJ395" s="317"/>
      <c r="AK395" s="315" t="e">
        <f t="shared" si="106"/>
        <v>#N/A</v>
      </c>
      <c r="AM395" s="553"/>
      <c r="AN395" s="553"/>
      <c r="AO395" s="553"/>
    </row>
    <row r="396" spans="2:41">
      <c r="B396" s="296"/>
      <c r="C396" s="299"/>
      <c r="D396" s="296"/>
      <c r="E396" s="298"/>
      <c r="F396" s="299"/>
      <c r="G396" s="300"/>
      <c r="H396" s="303"/>
      <c r="I396" s="303"/>
      <c r="J396" s="322">
        <f t="shared" si="92"/>
        <v>0</v>
      </c>
      <c r="K396" s="305" t="e">
        <f>IF(F396="MXN",1/HLOOKUP(YEAR(G396)+(MONTH(G396)/100),TC!$5:$37,DAY(G396)+2,FALSE),VLOOKUP(F396,Equivalencia!$5:$23,((MAX(Equivalencia!$3:$3)-YEAR(G396))*14)+MONTH(G396)+2,FALSE))</f>
        <v>#N/A</v>
      </c>
      <c r="L396" s="306" t="e">
        <f t="shared" si="95"/>
        <v>#N/A</v>
      </c>
      <c r="M396" s="305">
        <f>IF(G396=0,0,HLOOKUP(YEAR(G396)+(MONTH(G396)/100),TC!$5:$37,DAY(G396)+2,FALSE))</f>
        <v>0</v>
      </c>
      <c r="N396" s="306" t="e">
        <f t="shared" si="96"/>
        <v>#N/A</v>
      </c>
      <c r="O396" s="308">
        <f>IF(G396=0,0,VLOOKUP(YEAR(G396),INPC!$B$4:$P$30,MONTH(G396)+2))</f>
        <v>0</v>
      </c>
      <c r="P396" s="308">
        <f>IF(W396=0,0,IF(OR(C396=$AQ$5,C396=AQ400),VLOOKUP(YEAR(W396),INPC!$B$4:$P$30,MONTH(W396)+1),VLOOKUP(YEAR(W396),INPC!$B$4:$P$30,MONTH(W396)+2)))</f>
        <v>0</v>
      </c>
      <c r="Q396" s="309">
        <f t="shared" si="97"/>
        <v>0</v>
      </c>
      <c r="R396" s="310" t="e">
        <f t="shared" si="98"/>
        <v>#N/A</v>
      </c>
      <c r="S396" s="310">
        <f t="shared" si="99"/>
        <v>0</v>
      </c>
      <c r="T396" s="559" t="str">
        <f t="shared" si="100"/>
        <v>NO</v>
      </c>
      <c r="U396" s="323"/>
      <c r="V396" s="299"/>
      <c r="W396" s="300"/>
      <c r="X396" s="299"/>
      <c r="Y396" s="303"/>
      <c r="Z396" s="305">
        <f>IF(Y396=0,0,IF(X396="MXN",1/HLOOKUP(YEAR(W396)+(MONTH(W396)/100),TC!$5:$37,DAY(W396)+2,FALSE),VLOOKUP(X396,Equivalencia!$1:$23,((MAX(Equivalencia!$3:$3)-YEAR(W396))*14)+MONTH(W396)+2,FALSE)))</f>
        <v>0</v>
      </c>
      <c r="AA396" s="306">
        <f t="shared" si="101"/>
        <v>0</v>
      </c>
      <c r="AB396" s="305">
        <f>+IF(W396=0,0,HLOOKUP(YEAR(W396)+(MONTH(W396)/100),TC!$5:$37,DAY(W396)+2,FALSE))</f>
        <v>0</v>
      </c>
      <c r="AC396" s="306">
        <f t="shared" si="102"/>
        <v>0</v>
      </c>
      <c r="AD396" s="314">
        <f t="shared" si="93"/>
        <v>0</v>
      </c>
      <c r="AE396" s="315">
        <f t="shared" si="103"/>
        <v>0</v>
      </c>
      <c r="AF396" s="316">
        <f t="shared" si="94"/>
        <v>0</v>
      </c>
      <c r="AG396" s="314">
        <v>1</v>
      </c>
      <c r="AH396" s="314">
        <f t="shared" si="104"/>
        <v>0</v>
      </c>
      <c r="AI396" s="314">
        <f t="shared" si="105"/>
        <v>0</v>
      </c>
      <c r="AJ396" s="317"/>
      <c r="AK396" s="315" t="e">
        <f t="shared" si="106"/>
        <v>#N/A</v>
      </c>
      <c r="AM396" s="553"/>
      <c r="AN396" s="553"/>
      <c r="AO396" s="553"/>
    </row>
    <row r="397" spans="2:41">
      <c r="B397" s="296"/>
      <c r="C397" s="299"/>
      <c r="D397" s="296"/>
      <c r="E397" s="298"/>
      <c r="F397" s="299"/>
      <c r="G397" s="300"/>
      <c r="H397" s="303"/>
      <c r="I397" s="303"/>
      <c r="J397" s="322">
        <f t="shared" si="92"/>
        <v>0</v>
      </c>
      <c r="K397" s="305" t="e">
        <f>IF(F397="MXN",1/HLOOKUP(YEAR(G397)+(MONTH(G397)/100),TC!$5:$37,DAY(G397)+2,FALSE),VLOOKUP(F397,Equivalencia!$5:$23,((MAX(Equivalencia!$3:$3)-YEAR(G397))*14)+MONTH(G397)+2,FALSE))</f>
        <v>#N/A</v>
      </c>
      <c r="L397" s="306" t="e">
        <f t="shared" si="95"/>
        <v>#N/A</v>
      </c>
      <c r="M397" s="305">
        <f>IF(G397=0,0,HLOOKUP(YEAR(G397)+(MONTH(G397)/100),TC!$5:$37,DAY(G397)+2,FALSE))</f>
        <v>0</v>
      </c>
      <c r="N397" s="306" t="e">
        <f t="shared" si="96"/>
        <v>#N/A</v>
      </c>
      <c r="O397" s="308">
        <f>IF(G397=0,0,VLOOKUP(YEAR(G397),INPC!$B$4:$P$30,MONTH(G397)+2))</f>
        <v>0</v>
      </c>
      <c r="P397" s="308">
        <f>IF(W397=0,0,IF(OR(C397=$AQ$5,C397=AQ401),VLOOKUP(YEAR(W397),INPC!$B$4:$P$30,MONTH(W397)+1),VLOOKUP(YEAR(W397),INPC!$B$4:$P$30,MONTH(W397)+2)))</f>
        <v>0</v>
      </c>
      <c r="Q397" s="309">
        <f t="shared" si="97"/>
        <v>0</v>
      </c>
      <c r="R397" s="310" t="e">
        <f t="shared" si="98"/>
        <v>#N/A</v>
      </c>
      <c r="S397" s="310">
        <f t="shared" si="99"/>
        <v>0</v>
      </c>
      <c r="T397" s="559" t="str">
        <f t="shared" si="100"/>
        <v>NO</v>
      </c>
      <c r="U397" s="323"/>
      <c r="V397" s="299"/>
      <c r="W397" s="300"/>
      <c r="X397" s="299"/>
      <c r="Y397" s="303"/>
      <c r="Z397" s="305">
        <f>IF(Y397=0,0,IF(X397="MXN",1/HLOOKUP(YEAR(W397)+(MONTH(W397)/100),TC!$5:$37,DAY(W397)+2,FALSE),VLOOKUP(X397,Equivalencia!$1:$23,((MAX(Equivalencia!$3:$3)-YEAR(W397))*14)+MONTH(W397)+2,FALSE)))</f>
        <v>0</v>
      </c>
      <c r="AA397" s="306">
        <f t="shared" si="101"/>
        <v>0</v>
      </c>
      <c r="AB397" s="305">
        <f>+IF(W397=0,0,HLOOKUP(YEAR(W397)+(MONTH(W397)/100),TC!$5:$37,DAY(W397)+2,FALSE))</f>
        <v>0</v>
      </c>
      <c r="AC397" s="306">
        <f t="shared" si="102"/>
        <v>0</v>
      </c>
      <c r="AD397" s="314">
        <f t="shared" si="93"/>
        <v>0</v>
      </c>
      <c r="AE397" s="315">
        <f t="shared" si="103"/>
        <v>0</v>
      </c>
      <c r="AF397" s="316">
        <f t="shared" si="94"/>
        <v>0</v>
      </c>
      <c r="AG397" s="314">
        <v>1</v>
      </c>
      <c r="AH397" s="314">
        <f t="shared" si="104"/>
        <v>0</v>
      </c>
      <c r="AI397" s="314">
        <f t="shared" si="105"/>
        <v>0</v>
      </c>
      <c r="AJ397" s="317"/>
      <c r="AK397" s="315" t="e">
        <f t="shared" si="106"/>
        <v>#N/A</v>
      </c>
      <c r="AM397" s="553"/>
      <c r="AN397" s="553"/>
      <c r="AO397" s="553"/>
    </row>
    <row r="398" spans="2:41">
      <c r="B398" s="296"/>
      <c r="C398" s="299"/>
      <c r="D398" s="296"/>
      <c r="E398" s="298"/>
      <c r="F398" s="299"/>
      <c r="G398" s="300"/>
      <c r="H398" s="303"/>
      <c r="I398" s="303"/>
      <c r="J398" s="322">
        <f t="shared" si="92"/>
        <v>0</v>
      </c>
      <c r="K398" s="305" t="e">
        <f>IF(F398="MXN",1/HLOOKUP(YEAR(G398)+(MONTH(G398)/100),TC!$5:$37,DAY(G398)+2,FALSE),VLOOKUP(F398,Equivalencia!$5:$23,((MAX(Equivalencia!$3:$3)-YEAR(G398))*14)+MONTH(G398)+2,FALSE))</f>
        <v>#N/A</v>
      </c>
      <c r="L398" s="306" t="e">
        <f t="shared" si="95"/>
        <v>#N/A</v>
      </c>
      <c r="M398" s="305">
        <f>IF(G398=0,0,HLOOKUP(YEAR(G398)+(MONTH(G398)/100),TC!$5:$37,DAY(G398)+2,FALSE))</f>
        <v>0</v>
      </c>
      <c r="N398" s="306" t="e">
        <f t="shared" si="96"/>
        <v>#N/A</v>
      </c>
      <c r="O398" s="308">
        <f>IF(G398=0,0,VLOOKUP(YEAR(G398),INPC!$B$4:$P$30,MONTH(G398)+2))</f>
        <v>0</v>
      </c>
      <c r="P398" s="308">
        <f>IF(W398=0,0,IF(OR(C398=$AQ$5,C398=AQ402),VLOOKUP(YEAR(W398),INPC!$B$4:$P$30,MONTH(W398)+1),VLOOKUP(YEAR(W398),INPC!$B$4:$P$30,MONTH(W398)+2)))</f>
        <v>0</v>
      </c>
      <c r="Q398" s="309">
        <f t="shared" si="97"/>
        <v>0</v>
      </c>
      <c r="R398" s="310" t="e">
        <f t="shared" si="98"/>
        <v>#N/A</v>
      </c>
      <c r="S398" s="310">
        <f t="shared" si="99"/>
        <v>0</v>
      </c>
      <c r="T398" s="559" t="str">
        <f t="shared" si="100"/>
        <v>NO</v>
      </c>
      <c r="U398" s="323"/>
      <c r="V398" s="299"/>
      <c r="W398" s="300"/>
      <c r="X398" s="299"/>
      <c r="Y398" s="303"/>
      <c r="Z398" s="305">
        <f>IF(Y398=0,0,IF(X398="MXN",1/HLOOKUP(YEAR(W398)+(MONTH(W398)/100),TC!$5:$37,DAY(W398)+2,FALSE),VLOOKUP(X398,Equivalencia!$1:$23,((MAX(Equivalencia!$3:$3)-YEAR(W398))*14)+MONTH(W398)+2,FALSE)))</f>
        <v>0</v>
      </c>
      <c r="AA398" s="306">
        <f t="shared" si="101"/>
        <v>0</v>
      </c>
      <c r="AB398" s="305">
        <f>+IF(W398=0,0,HLOOKUP(YEAR(W398)+(MONTH(W398)/100),TC!$5:$37,DAY(W398)+2,FALSE))</f>
        <v>0</v>
      </c>
      <c r="AC398" s="306">
        <f t="shared" si="102"/>
        <v>0</v>
      </c>
      <c r="AD398" s="314">
        <f t="shared" si="93"/>
        <v>0</v>
      </c>
      <c r="AE398" s="315">
        <f t="shared" si="103"/>
        <v>0</v>
      </c>
      <c r="AF398" s="316">
        <f t="shared" si="94"/>
        <v>0</v>
      </c>
      <c r="AG398" s="314">
        <v>1</v>
      </c>
      <c r="AH398" s="314">
        <f t="shared" si="104"/>
        <v>0</v>
      </c>
      <c r="AI398" s="314">
        <f t="shared" si="105"/>
        <v>0</v>
      </c>
      <c r="AJ398" s="317"/>
      <c r="AK398" s="315" t="e">
        <f t="shared" si="106"/>
        <v>#N/A</v>
      </c>
      <c r="AM398" s="553"/>
      <c r="AN398" s="553"/>
      <c r="AO398" s="553"/>
    </row>
    <row r="399" spans="2:41">
      <c r="B399" s="296"/>
      <c r="C399" s="299"/>
      <c r="D399" s="296"/>
      <c r="E399" s="298"/>
      <c r="F399" s="299"/>
      <c r="G399" s="300"/>
      <c r="H399" s="303"/>
      <c r="I399" s="303"/>
      <c r="J399" s="322">
        <f t="shared" si="92"/>
        <v>0</v>
      </c>
      <c r="K399" s="305" t="e">
        <f>IF(F399="MXN",1/HLOOKUP(YEAR(G399)+(MONTH(G399)/100),TC!$5:$37,DAY(G399)+2,FALSE),VLOOKUP(F399,Equivalencia!$5:$23,((MAX(Equivalencia!$3:$3)-YEAR(G399))*14)+MONTH(G399)+2,FALSE))</f>
        <v>#N/A</v>
      </c>
      <c r="L399" s="306" t="e">
        <f t="shared" si="95"/>
        <v>#N/A</v>
      </c>
      <c r="M399" s="305">
        <f>IF(G399=0,0,HLOOKUP(YEAR(G399)+(MONTH(G399)/100),TC!$5:$37,DAY(G399)+2,FALSE))</f>
        <v>0</v>
      </c>
      <c r="N399" s="306" t="e">
        <f t="shared" si="96"/>
        <v>#N/A</v>
      </c>
      <c r="O399" s="308">
        <f>IF(G399=0,0,VLOOKUP(YEAR(G399),INPC!$B$4:$P$30,MONTH(G399)+2))</f>
        <v>0</v>
      </c>
      <c r="P399" s="308">
        <f>IF(W399=0,0,IF(OR(C399=$AQ$5,C399=AQ403),VLOOKUP(YEAR(W399),INPC!$B$4:$P$30,MONTH(W399)+1),VLOOKUP(YEAR(W399),INPC!$B$4:$P$30,MONTH(W399)+2)))</f>
        <v>0</v>
      </c>
      <c r="Q399" s="309">
        <f t="shared" si="97"/>
        <v>0</v>
      </c>
      <c r="R399" s="310" t="e">
        <f t="shared" si="98"/>
        <v>#N/A</v>
      </c>
      <c r="S399" s="310">
        <f t="shared" si="99"/>
        <v>0</v>
      </c>
      <c r="T399" s="559" t="str">
        <f t="shared" si="100"/>
        <v>NO</v>
      </c>
      <c r="U399" s="323"/>
      <c r="V399" s="299"/>
      <c r="W399" s="300"/>
      <c r="X399" s="299"/>
      <c r="Y399" s="303"/>
      <c r="Z399" s="305">
        <f>IF(Y399=0,0,IF(X399="MXN",1/HLOOKUP(YEAR(W399)+(MONTH(W399)/100),TC!$5:$37,DAY(W399)+2,FALSE),VLOOKUP(X399,Equivalencia!$1:$23,((MAX(Equivalencia!$3:$3)-YEAR(W399))*14)+MONTH(W399)+2,FALSE)))</f>
        <v>0</v>
      </c>
      <c r="AA399" s="306">
        <f t="shared" si="101"/>
        <v>0</v>
      </c>
      <c r="AB399" s="305">
        <f>+IF(W399=0,0,HLOOKUP(YEAR(W399)+(MONTH(W399)/100),TC!$5:$37,DAY(W399)+2,FALSE))</f>
        <v>0</v>
      </c>
      <c r="AC399" s="306">
        <f t="shared" si="102"/>
        <v>0</v>
      </c>
      <c r="AD399" s="314">
        <f t="shared" si="93"/>
        <v>0</v>
      </c>
      <c r="AE399" s="315">
        <f t="shared" si="103"/>
        <v>0</v>
      </c>
      <c r="AF399" s="316">
        <f t="shared" si="94"/>
        <v>0</v>
      </c>
      <c r="AG399" s="314">
        <v>1</v>
      </c>
      <c r="AH399" s="314">
        <f t="shared" si="104"/>
        <v>0</v>
      </c>
      <c r="AI399" s="314">
        <f t="shared" si="105"/>
        <v>0</v>
      </c>
      <c r="AJ399" s="317"/>
      <c r="AK399" s="315" t="e">
        <f t="shared" si="106"/>
        <v>#N/A</v>
      </c>
      <c r="AM399" s="553"/>
      <c r="AN399" s="553"/>
      <c r="AO399" s="553"/>
    </row>
    <row r="400" spans="2:41">
      <c r="B400" s="296"/>
      <c r="C400" s="299"/>
      <c r="D400" s="296"/>
      <c r="E400" s="298"/>
      <c r="F400" s="299"/>
      <c r="G400" s="300"/>
      <c r="H400" s="303"/>
      <c r="I400" s="303"/>
      <c r="J400" s="322">
        <f t="shared" si="92"/>
        <v>0</v>
      </c>
      <c r="K400" s="305" t="e">
        <f>IF(F400="MXN",1/HLOOKUP(YEAR(G400)+(MONTH(G400)/100),TC!$5:$37,DAY(G400)+2,FALSE),VLOOKUP(F400,Equivalencia!$5:$23,((MAX(Equivalencia!$3:$3)-YEAR(G400))*14)+MONTH(G400)+2,FALSE))</f>
        <v>#N/A</v>
      </c>
      <c r="L400" s="306" t="e">
        <f t="shared" si="95"/>
        <v>#N/A</v>
      </c>
      <c r="M400" s="305">
        <f>IF(G400=0,0,HLOOKUP(YEAR(G400)+(MONTH(G400)/100),TC!$5:$37,DAY(G400)+2,FALSE))</f>
        <v>0</v>
      </c>
      <c r="N400" s="306" t="e">
        <f t="shared" si="96"/>
        <v>#N/A</v>
      </c>
      <c r="O400" s="308">
        <f>IF(G400=0,0,VLOOKUP(YEAR(G400),INPC!$B$4:$P$30,MONTH(G400)+2))</f>
        <v>0</v>
      </c>
      <c r="P400" s="308">
        <f>IF(W400=0,0,IF(OR(C400=$AQ$5,C400=AQ404),VLOOKUP(YEAR(W400),INPC!$B$4:$P$30,MONTH(W400)+1),VLOOKUP(YEAR(W400),INPC!$B$4:$P$30,MONTH(W400)+2)))</f>
        <v>0</v>
      </c>
      <c r="Q400" s="309">
        <f t="shared" si="97"/>
        <v>0</v>
      </c>
      <c r="R400" s="310" t="e">
        <f t="shared" si="98"/>
        <v>#N/A</v>
      </c>
      <c r="S400" s="310">
        <f t="shared" si="99"/>
        <v>0</v>
      </c>
      <c r="T400" s="559" t="str">
        <f t="shared" si="100"/>
        <v>NO</v>
      </c>
      <c r="U400" s="323"/>
      <c r="V400" s="299"/>
      <c r="W400" s="300"/>
      <c r="X400" s="299"/>
      <c r="Y400" s="303"/>
      <c r="Z400" s="305">
        <f>IF(Y400=0,0,IF(X400="MXN",1/HLOOKUP(YEAR(W400)+(MONTH(W400)/100),TC!$5:$37,DAY(W400)+2,FALSE),VLOOKUP(X400,Equivalencia!$1:$23,((MAX(Equivalencia!$3:$3)-YEAR(W400))*14)+MONTH(W400)+2,FALSE)))</f>
        <v>0</v>
      </c>
      <c r="AA400" s="306">
        <f t="shared" si="101"/>
        <v>0</v>
      </c>
      <c r="AB400" s="305">
        <f>+IF(W400=0,0,HLOOKUP(YEAR(W400)+(MONTH(W400)/100),TC!$5:$37,DAY(W400)+2,FALSE))</f>
        <v>0</v>
      </c>
      <c r="AC400" s="306">
        <f t="shared" si="102"/>
        <v>0</v>
      </c>
      <c r="AD400" s="314">
        <f t="shared" si="93"/>
        <v>0</v>
      </c>
      <c r="AE400" s="315">
        <f t="shared" si="103"/>
        <v>0</v>
      </c>
      <c r="AF400" s="316">
        <f t="shared" si="94"/>
        <v>0</v>
      </c>
      <c r="AG400" s="314">
        <v>1</v>
      </c>
      <c r="AH400" s="314">
        <f t="shared" si="104"/>
        <v>0</v>
      </c>
      <c r="AI400" s="314">
        <f t="shared" si="105"/>
        <v>0</v>
      </c>
      <c r="AJ400" s="317"/>
      <c r="AK400" s="315" t="e">
        <f t="shared" si="106"/>
        <v>#N/A</v>
      </c>
      <c r="AM400" s="553"/>
      <c r="AN400" s="553"/>
      <c r="AO400" s="553"/>
    </row>
    <row r="401" spans="2:41">
      <c r="B401" s="296"/>
      <c r="C401" s="299"/>
      <c r="D401" s="296"/>
      <c r="E401" s="298"/>
      <c r="F401" s="299"/>
      <c r="G401" s="300"/>
      <c r="H401" s="303"/>
      <c r="I401" s="303"/>
      <c r="J401" s="322">
        <f t="shared" si="92"/>
        <v>0</v>
      </c>
      <c r="K401" s="305" t="e">
        <f>IF(F401="MXN",1/HLOOKUP(YEAR(G401)+(MONTH(G401)/100),TC!$5:$37,DAY(G401)+2,FALSE),VLOOKUP(F401,Equivalencia!$5:$23,((MAX(Equivalencia!$3:$3)-YEAR(G401))*14)+MONTH(G401)+2,FALSE))</f>
        <v>#N/A</v>
      </c>
      <c r="L401" s="306" t="e">
        <f t="shared" si="95"/>
        <v>#N/A</v>
      </c>
      <c r="M401" s="305">
        <f>IF(G401=0,0,HLOOKUP(YEAR(G401)+(MONTH(G401)/100),TC!$5:$37,DAY(G401)+2,FALSE))</f>
        <v>0</v>
      </c>
      <c r="N401" s="306" t="e">
        <f t="shared" si="96"/>
        <v>#N/A</v>
      </c>
      <c r="O401" s="308">
        <f>IF(G401=0,0,VLOOKUP(YEAR(G401),INPC!$B$4:$P$30,MONTH(G401)+2))</f>
        <v>0</v>
      </c>
      <c r="P401" s="308">
        <f>IF(W401=0,0,IF(OR(C401=$AQ$5,C401=AQ405),VLOOKUP(YEAR(W401),INPC!$B$4:$P$30,MONTH(W401)+1),VLOOKUP(YEAR(W401),INPC!$B$4:$P$30,MONTH(W401)+2)))</f>
        <v>0</v>
      </c>
      <c r="Q401" s="309">
        <f t="shared" si="97"/>
        <v>0</v>
      </c>
      <c r="R401" s="310" t="e">
        <f t="shared" si="98"/>
        <v>#N/A</v>
      </c>
      <c r="S401" s="310">
        <f t="shared" si="99"/>
        <v>0</v>
      </c>
      <c r="T401" s="559" t="str">
        <f t="shared" si="100"/>
        <v>NO</v>
      </c>
      <c r="U401" s="323"/>
      <c r="V401" s="299"/>
      <c r="W401" s="300"/>
      <c r="X401" s="299"/>
      <c r="Y401" s="303"/>
      <c r="Z401" s="305">
        <f>IF(Y401=0,0,IF(X401="MXN",1/HLOOKUP(YEAR(W401)+(MONTH(W401)/100),TC!$5:$37,DAY(W401)+2,FALSE),VLOOKUP(X401,Equivalencia!$1:$23,((MAX(Equivalencia!$3:$3)-YEAR(W401))*14)+MONTH(W401)+2,FALSE)))</f>
        <v>0</v>
      </c>
      <c r="AA401" s="306">
        <f t="shared" si="101"/>
        <v>0</v>
      </c>
      <c r="AB401" s="305">
        <f>+IF(W401=0,0,HLOOKUP(YEAR(W401)+(MONTH(W401)/100),TC!$5:$37,DAY(W401)+2,FALSE))</f>
        <v>0</v>
      </c>
      <c r="AC401" s="306">
        <f t="shared" si="102"/>
        <v>0</v>
      </c>
      <c r="AD401" s="314">
        <f t="shared" si="93"/>
        <v>0</v>
      </c>
      <c r="AE401" s="315">
        <f t="shared" si="103"/>
        <v>0</v>
      </c>
      <c r="AF401" s="316">
        <f t="shared" si="94"/>
        <v>0</v>
      </c>
      <c r="AG401" s="314">
        <v>1</v>
      </c>
      <c r="AH401" s="314">
        <f t="shared" si="104"/>
        <v>0</v>
      </c>
      <c r="AI401" s="314">
        <f t="shared" si="105"/>
        <v>0</v>
      </c>
      <c r="AJ401" s="317"/>
      <c r="AK401" s="315" t="e">
        <f t="shared" si="106"/>
        <v>#N/A</v>
      </c>
      <c r="AM401" s="553"/>
      <c r="AN401" s="553"/>
      <c r="AO401" s="553"/>
    </row>
    <row r="402" spans="2:41">
      <c r="B402" s="296"/>
      <c r="C402" s="299"/>
      <c r="D402" s="296"/>
      <c r="E402" s="298"/>
      <c r="F402" s="299"/>
      <c r="G402" s="300"/>
      <c r="H402" s="303"/>
      <c r="I402" s="303"/>
      <c r="J402" s="322">
        <f t="shared" si="92"/>
        <v>0</v>
      </c>
      <c r="K402" s="305" t="e">
        <f>IF(F402="MXN",1/HLOOKUP(YEAR(G402)+(MONTH(G402)/100),TC!$5:$37,DAY(G402)+2,FALSE),VLOOKUP(F402,Equivalencia!$5:$23,((MAX(Equivalencia!$3:$3)-YEAR(G402))*14)+MONTH(G402)+2,FALSE))</f>
        <v>#N/A</v>
      </c>
      <c r="L402" s="306" t="e">
        <f t="shared" si="95"/>
        <v>#N/A</v>
      </c>
      <c r="M402" s="305">
        <f>IF(G402=0,0,HLOOKUP(YEAR(G402)+(MONTH(G402)/100),TC!$5:$37,DAY(G402)+2,FALSE))</f>
        <v>0</v>
      </c>
      <c r="N402" s="306" t="e">
        <f t="shared" si="96"/>
        <v>#N/A</v>
      </c>
      <c r="O402" s="308">
        <f>IF(G402=0,0,VLOOKUP(YEAR(G402),INPC!$B$4:$P$30,MONTH(G402)+2))</f>
        <v>0</v>
      </c>
      <c r="P402" s="308">
        <f>IF(W402=0,0,IF(OR(C402=$AQ$5,C402=AQ406),VLOOKUP(YEAR(W402),INPC!$B$4:$P$30,MONTH(W402)+1),VLOOKUP(YEAR(W402),INPC!$B$4:$P$30,MONTH(W402)+2)))</f>
        <v>0</v>
      </c>
      <c r="Q402" s="309">
        <f t="shared" si="97"/>
        <v>0</v>
      </c>
      <c r="R402" s="310" t="e">
        <f t="shared" si="98"/>
        <v>#N/A</v>
      </c>
      <c r="S402" s="310">
        <f t="shared" si="99"/>
        <v>0</v>
      </c>
      <c r="T402" s="559" t="str">
        <f t="shared" si="100"/>
        <v>NO</v>
      </c>
      <c r="U402" s="323"/>
      <c r="V402" s="299"/>
      <c r="W402" s="300"/>
      <c r="X402" s="299"/>
      <c r="Y402" s="303"/>
      <c r="Z402" s="305">
        <f>IF(Y402=0,0,IF(X402="MXN",1/HLOOKUP(YEAR(W402)+(MONTH(W402)/100),TC!$5:$37,DAY(W402)+2,FALSE),VLOOKUP(X402,Equivalencia!$1:$23,((MAX(Equivalencia!$3:$3)-YEAR(W402))*14)+MONTH(W402)+2,FALSE)))</f>
        <v>0</v>
      </c>
      <c r="AA402" s="306">
        <f t="shared" si="101"/>
        <v>0</v>
      </c>
      <c r="AB402" s="305">
        <f>+IF(W402=0,0,HLOOKUP(YEAR(W402)+(MONTH(W402)/100),TC!$5:$37,DAY(W402)+2,FALSE))</f>
        <v>0</v>
      </c>
      <c r="AC402" s="306">
        <f t="shared" si="102"/>
        <v>0</v>
      </c>
      <c r="AD402" s="314">
        <f t="shared" si="93"/>
        <v>0</v>
      </c>
      <c r="AE402" s="315">
        <f t="shared" si="103"/>
        <v>0</v>
      </c>
      <c r="AF402" s="316">
        <f t="shared" si="94"/>
        <v>0</v>
      </c>
      <c r="AG402" s="314">
        <v>1</v>
      </c>
      <c r="AH402" s="314">
        <f t="shared" si="104"/>
        <v>0</v>
      </c>
      <c r="AI402" s="314">
        <f t="shared" si="105"/>
        <v>0</v>
      </c>
      <c r="AJ402" s="317"/>
      <c r="AK402" s="315" t="e">
        <f t="shared" si="106"/>
        <v>#N/A</v>
      </c>
      <c r="AM402" s="553"/>
      <c r="AN402" s="553"/>
      <c r="AO402" s="553"/>
    </row>
    <row r="403" spans="2:41">
      <c r="B403" s="296"/>
      <c r="C403" s="299"/>
      <c r="D403" s="296"/>
      <c r="E403" s="298"/>
      <c r="F403" s="299"/>
      <c r="G403" s="300"/>
      <c r="H403" s="303"/>
      <c r="I403" s="303"/>
      <c r="J403" s="322">
        <f t="shared" si="92"/>
        <v>0</v>
      </c>
      <c r="K403" s="305" t="e">
        <f>IF(F403="MXN",1/HLOOKUP(YEAR(G403)+(MONTH(G403)/100),TC!$5:$37,DAY(G403)+2,FALSE),VLOOKUP(F403,Equivalencia!$5:$23,((MAX(Equivalencia!$3:$3)-YEAR(G403))*14)+MONTH(G403)+2,FALSE))</f>
        <v>#N/A</v>
      </c>
      <c r="L403" s="306" t="e">
        <f t="shared" si="95"/>
        <v>#N/A</v>
      </c>
      <c r="M403" s="305">
        <f>IF(G403=0,0,HLOOKUP(YEAR(G403)+(MONTH(G403)/100),TC!$5:$37,DAY(G403)+2,FALSE))</f>
        <v>0</v>
      </c>
      <c r="N403" s="306" t="e">
        <f t="shared" si="96"/>
        <v>#N/A</v>
      </c>
      <c r="O403" s="308">
        <f>IF(G403=0,0,VLOOKUP(YEAR(G403),INPC!$B$4:$P$30,MONTH(G403)+2))</f>
        <v>0</v>
      </c>
      <c r="P403" s="308">
        <f>IF(W403=0,0,IF(OR(C403=$AQ$5,C403=AQ407),VLOOKUP(YEAR(W403),INPC!$B$4:$P$30,MONTH(W403)+1),VLOOKUP(YEAR(W403),INPC!$B$4:$P$30,MONTH(W403)+2)))</f>
        <v>0</v>
      </c>
      <c r="Q403" s="309">
        <f t="shared" si="97"/>
        <v>0</v>
      </c>
      <c r="R403" s="310" t="e">
        <f t="shared" si="98"/>
        <v>#N/A</v>
      </c>
      <c r="S403" s="310">
        <f t="shared" si="99"/>
        <v>0</v>
      </c>
      <c r="T403" s="559" t="str">
        <f t="shared" si="100"/>
        <v>NO</v>
      </c>
      <c r="U403" s="323"/>
      <c r="V403" s="299"/>
      <c r="W403" s="300"/>
      <c r="X403" s="299"/>
      <c r="Y403" s="303"/>
      <c r="Z403" s="305">
        <f>IF(Y403=0,0,IF(X403="MXN",1/HLOOKUP(YEAR(W403)+(MONTH(W403)/100),TC!$5:$37,DAY(W403)+2,FALSE),VLOOKUP(X403,Equivalencia!$1:$23,((MAX(Equivalencia!$3:$3)-YEAR(W403))*14)+MONTH(W403)+2,FALSE)))</f>
        <v>0</v>
      </c>
      <c r="AA403" s="306">
        <f t="shared" si="101"/>
        <v>0</v>
      </c>
      <c r="AB403" s="305">
        <f>+IF(W403=0,0,HLOOKUP(YEAR(W403)+(MONTH(W403)/100),TC!$5:$37,DAY(W403)+2,FALSE))</f>
        <v>0</v>
      </c>
      <c r="AC403" s="306">
        <f t="shared" si="102"/>
        <v>0</v>
      </c>
      <c r="AD403" s="314">
        <f t="shared" si="93"/>
        <v>0</v>
      </c>
      <c r="AE403" s="315">
        <f t="shared" si="103"/>
        <v>0</v>
      </c>
      <c r="AF403" s="316">
        <f t="shared" si="94"/>
        <v>0</v>
      </c>
      <c r="AG403" s="314">
        <v>1</v>
      </c>
      <c r="AH403" s="314">
        <f t="shared" si="104"/>
        <v>0</v>
      </c>
      <c r="AI403" s="314">
        <f t="shared" si="105"/>
        <v>0</v>
      </c>
      <c r="AJ403" s="317"/>
      <c r="AK403" s="315" t="e">
        <f t="shared" si="106"/>
        <v>#N/A</v>
      </c>
      <c r="AM403" s="553"/>
      <c r="AN403" s="553"/>
      <c r="AO403" s="553"/>
    </row>
    <row r="404" spans="2:41">
      <c r="B404" s="296"/>
      <c r="C404" s="299"/>
      <c r="D404" s="296"/>
      <c r="E404" s="298"/>
      <c r="F404" s="299"/>
      <c r="G404" s="300"/>
      <c r="H404" s="303"/>
      <c r="I404" s="303"/>
      <c r="J404" s="322">
        <f t="shared" si="92"/>
        <v>0</v>
      </c>
      <c r="K404" s="305" t="e">
        <f>IF(F404="MXN",1/HLOOKUP(YEAR(G404)+(MONTH(G404)/100),TC!$5:$37,DAY(G404)+2,FALSE),VLOOKUP(F404,Equivalencia!$5:$23,((MAX(Equivalencia!$3:$3)-YEAR(G404))*14)+MONTH(G404)+2,FALSE))</f>
        <v>#N/A</v>
      </c>
      <c r="L404" s="306" t="e">
        <f t="shared" si="95"/>
        <v>#N/A</v>
      </c>
      <c r="M404" s="305">
        <f>IF(G404=0,0,HLOOKUP(YEAR(G404)+(MONTH(G404)/100),TC!$5:$37,DAY(G404)+2,FALSE))</f>
        <v>0</v>
      </c>
      <c r="N404" s="306" t="e">
        <f t="shared" si="96"/>
        <v>#N/A</v>
      </c>
      <c r="O404" s="308">
        <f>IF(G404=0,0,VLOOKUP(YEAR(G404),INPC!$B$4:$P$30,MONTH(G404)+2))</f>
        <v>0</v>
      </c>
      <c r="P404" s="308">
        <f>IF(W404=0,0,IF(OR(C404=$AQ$5,C404=AQ408),VLOOKUP(YEAR(W404),INPC!$B$4:$P$30,MONTH(W404)+1),VLOOKUP(YEAR(W404),INPC!$B$4:$P$30,MONTH(W404)+2)))</f>
        <v>0</v>
      </c>
      <c r="Q404" s="309">
        <f t="shared" si="97"/>
        <v>0</v>
      </c>
      <c r="R404" s="310" t="e">
        <f t="shared" si="98"/>
        <v>#N/A</v>
      </c>
      <c r="S404" s="310">
        <f t="shared" si="99"/>
        <v>0</v>
      </c>
      <c r="T404" s="559" t="str">
        <f t="shared" si="100"/>
        <v>NO</v>
      </c>
      <c r="U404" s="323"/>
      <c r="V404" s="299"/>
      <c r="W404" s="300"/>
      <c r="X404" s="299"/>
      <c r="Y404" s="303"/>
      <c r="Z404" s="305">
        <f>IF(Y404=0,0,IF(X404="MXN",1/HLOOKUP(YEAR(W404)+(MONTH(W404)/100),TC!$5:$37,DAY(W404)+2,FALSE),VLOOKUP(X404,Equivalencia!$1:$23,((MAX(Equivalencia!$3:$3)-YEAR(W404))*14)+MONTH(W404)+2,FALSE)))</f>
        <v>0</v>
      </c>
      <c r="AA404" s="306">
        <f t="shared" si="101"/>
        <v>0</v>
      </c>
      <c r="AB404" s="305">
        <f>+IF(W404=0,0,HLOOKUP(YEAR(W404)+(MONTH(W404)/100),TC!$5:$37,DAY(W404)+2,FALSE))</f>
        <v>0</v>
      </c>
      <c r="AC404" s="306">
        <f t="shared" si="102"/>
        <v>0</v>
      </c>
      <c r="AD404" s="314">
        <f t="shared" si="93"/>
        <v>0</v>
      </c>
      <c r="AE404" s="315">
        <f t="shared" si="103"/>
        <v>0</v>
      </c>
      <c r="AF404" s="316">
        <f t="shared" si="94"/>
        <v>0</v>
      </c>
      <c r="AG404" s="314">
        <v>1</v>
      </c>
      <c r="AH404" s="314">
        <f t="shared" si="104"/>
        <v>0</v>
      </c>
      <c r="AI404" s="314">
        <f t="shared" si="105"/>
        <v>0</v>
      </c>
      <c r="AJ404" s="317"/>
      <c r="AK404" s="315" t="e">
        <f t="shared" si="106"/>
        <v>#N/A</v>
      </c>
      <c r="AM404" s="553"/>
      <c r="AN404" s="553"/>
      <c r="AO404" s="553"/>
    </row>
    <row r="405" spans="2:41">
      <c r="B405" s="296"/>
      <c r="C405" s="299"/>
      <c r="D405" s="296"/>
      <c r="E405" s="298"/>
      <c r="F405" s="299"/>
      <c r="G405" s="300"/>
      <c r="H405" s="303"/>
      <c r="I405" s="303"/>
      <c r="J405" s="322">
        <f t="shared" si="92"/>
        <v>0</v>
      </c>
      <c r="K405" s="305" t="e">
        <f>IF(F405="MXN",1/HLOOKUP(YEAR(G405)+(MONTH(G405)/100),TC!$5:$37,DAY(G405)+2,FALSE),VLOOKUP(F405,Equivalencia!$5:$23,((MAX(Equivalencia!$3:$3)-YEAR(G405))*14)+MONTH(G405)+2,FALSE))</f>
        <v>#N/A</v>
      </c>
      <c r="L405" s="306" t="e">
        <f t="shared" si="95"/>
        <v>#N/A</v>
      </c>
      <c r="M405" s="305">
        <f>IF(G405=0,0,HLOOKUP(YEAR(G405)+(MONTH(G405)/100),TC!$5:$37,DAY(G405)+2,FALSE))</f>
        <v>0</v>
      </c>
      <c r="N405" s="306" t="e">
        <f t="shared" si="96"/>
        <v>#N/A</v>
      </c>
      <c r="O405" s="308">
        <f>IF(G405=0,0,VLOOKUP(YEAR(G405),INPC!$B$4:$P$30,MONTH(G405)+2))</f>
        <v>0</v>
      </c>
      <c r="P405" s="308">
        <f>IF(W405=0,0,IF(OR(C405=$AQ$5,C405=AQ409),VLOOKUP(YEAR(W405),INPC!$B$4:$P$30,MONTH(W405)+1),VLOOKUP(YEAR(W405),INPC!$B$4:$P$30,MONTH(W405)+2)))</f>
        <v>0</v>
      </c>
      <c r="Q405" s="309">
        <f t="shared" si="97"/>
        <v>0</v>
      </c>
      <c r="R405" s="310" t="e">
        <f t="shared" si="98"/>
        <v>#N/A</v>
      </c>
      <c r="S405" s="310">
        <f t="shared" si="99"/>
        <v>0</v>
      </c>
      <c r="T405" s="559" t="str">
        <f t="shared" si="100"/>
        <v>NO</v>
      </c>
      <c r="U405" s="323"/>
      <c r="V405" s="299"/>
      <c r="W405" s="300"/>
      <c r="X405" s="299"/>
      <c r="Y405" s="303"/>
      <c r="Z405" s="305">
        <f>IF(Y405=0,0,IF(X405="MXN",1/HLOOKUP(YEAR(W405)+(MONTH(W405)/100),TC!$5:$37,DAY(W405)+2,FALSE),VLOOKUP(X405,Equivalencia!$1:$23,((MAX(Equivalencia!$3:$3)-YEAR(W405))*14)+MONTH(W405)+2,FALSE)))</f>
        <v>0</v>
      </c>
      <c r="AA405" s="306">
        <f t="shared" si="101"/>
        <v>0</v>
      </c>
      <c r="AB405" s="305">
        <f>+IF(W405=0,0,HLOOKUP(YEAR(W405)+(MONTH(W405)/100),TC!$5:$37,DAY(W405)+2,FALSE))</f>
        <v>0</v>
      </c>
      <c r="AC405" s="306">
        <f t="shared" si="102"/>
        <v>0</v>
      </c>
      <c r="AD405" s="314">
        <f t="shared" si="93"/>
        <v>0</v>
      </c>
      <c r="AE405" s="315">
        <f t="shared" si="103"/>
        <v>0</v>
      </c>
      <c r="AF405" s="316">
        <f t="shared" si="94"/>
        <v>0</v>
      </c>
      <c r="AG405" s="314">
        <v>1</v>
      </c>
      <c r="AH405" s="314">
        <f t="shared" si="104"/>
        <v>0</v>
      </c>
      <c r="AI405" s="314">
        <f t="shared" si="105"/>
        <v>0</v>
      </c>
      <c r="AJ405" s="317"/>
      <c r="AK405" s="315" t="e">
        <f t="shared" si="106"/>
        <v>#N/A</v>
      </c>
      <c r="AM405" s="553"/>
      <c r="AN405" s="553"/>
      <c r="AO405" s="553"/>
    </row>
    <row r="406" spans="2:41">
      <c r="B406" s="296"/>
      <c r="C406" s="299"/>
      <c r="D406" s="296"/>
      <c r="E406" s="298"/>
      <c r="F406" s="299"/>
      <c r="G406" s="300"/>
      <c r="H406" s="303"/>
      <c r="I406" s="303"/>
      <c r="J406" s="322">
        <f t="shared" si="92"/>
        <v>0</v>
      </c>
      <c r="K406" s="305" t="e">
        <f>IF(F406="MXN",1/HLOOKUP(YEAR(G406)+(MONTH(G406)/100),TC!$5:$37,DAY(G406)+2,FALSE),VLOOKUP(F406,Equivalencia!$5:$23,((MAX(Equivalencia!$3:$3)-YEAR(G406))*14)+MONTH(G406)+2,FALSE))</f>
        <v>#N/A</v>
      </c>
      <c r="L406" s="306" t="e">
        <f t="shared" si="95"/>
        <v>#N/A</v>
      </c>
      <c r="M406" s="305">
        <f>IF(G406=0,0,HLOOKUP(YEAR(G406)+(MONTH(G406)/100),TC!$5:$37,DAY(G406)+2,FALSE))</f>
        <v>0</v>
      </c>
      <c r="N406" s="306" t="e">
        <f t="shared" si="96"/>
        <v>#N/A</v>
      </c>
      <c r="O406" s="308">
        <f>IF(G406=0,0,VLOOKUP(YEAR(G406),INPC!$B$4:$P$30,MONTH(G406)+2))</f>
        <v>0</v>
      </c>
      <c r="P406" s="308">
        <f>IF(W406=0,0,IF(OR(C406=$AQ$5,C406=AQ410),VLOOKUP(YEAR(W406),INPC!$B$4:$P$30,MONTH(W406)+1),VLOOKUP(YEAR(W406),INPC!$B$4:$P$30,MONTH(W406)+2)))</f>
        <v>0</v>
      </c>
      <c r="Q406" s="309">
        <f t="shared" si="97"/>
        <v>0</v>
      </c>
      <c r="R406" s="310" t="e">
        <f t="shared" si="98"/>
        <v>#N/A</v>
      </c>
      <c r="S406" s="310">
        <f t="shared" si="99"/>
        <v>0</v>
      </c>
      <c r="T406" s="559" t="str">
        <f t="shared" si="100"/>
        <v>NO</v>
      </c>
      <c r="U406" s="323"/>
      <c r="V406" s="299"/>
      <c r="W406" s="300"/>
      <c r="X406" s="299"/>
      <c r="Y406" s="303"/>
      <c r="Z406" s="305">
        <f>IF(Y406=0,0,IF(X406="MXN",1/HLOOKUP(YEAR(W406)+(MONTH(W406)/100),TC!$5:$37,DAY(W406)+2,FALSE),VLOOKUP(X406,Equivalencia!$1:$23,((MAX(Equivalencia!$3:$3)-YEAR(W406))*14)+MONTH(W406)+2,FALSE)))</f>
        <v>0</v>
      </c>
      <c r="AA406" s="306">
        <f t="shared" si="101"/>
        <v>0</v>
      </c>
      <c r="AB406" s="305">
        <f>+IF(W406=0,0,HLOOKUP(YEAR(W406)+(MONTH(W406)/100),TC!$5:$37,DAY(W406)+2,FALSE))</f>
        <v>0</v>
      </c>
      <c r="AC406" s="306">
        <f t="shared" si="102"/>
        <v>0</v>
      </c>
      <c r="AD406" s="314">
        <f t="shared" si="93"/>
        <v>0</v>
      </c>
      <c r="AE406" s="315">
        <f t="shared" si="103"/>
        <v>0</v>
      </c>
      <c r="AF406" s="316">
        <f t="shared" si="94"/>
        <v>0</v>
      </c>
      <c r="AG406" s="314">
        <v>1</v>
      </c>
      <c r="AH406" s="314">
        <f t="shared" si="104"/>
        <v>0</v>
      </c>
      <c r="AI406" s="314">
        <f t="shared" si="105"/>
        <v>0</v>
      </c>
      <c r="AJ406" s="317"/>
      <c r="AK406" s="315" t="e">
        <f t="shared" si="106"/>
        <v>#N/A</v>
      </c>
      <c r="AM406" s="553"/>
      <c r="AN406" s="553"/>
      <c r="AO406" s="553"/>
    </row>
    <row r="407" spans="2:41">
      <c r="B407" s="296"/>
      <c r="C407" s="299"/>
      <c r="D407" s="296"/>
      <c r="E407" s="298"/>
      <c r="F407" s="299"/>
      <c r="G407" s="300"/>
      <c r="H407" s="303"/>
      <c r="I407" s="303"/>
      <c r="J407" s="322">
        <f t="shared" si="92"/>
        <v>0</v>
      </c>
      <c r="K407" s="305" t="e">
        <f>IF(F407="MXN",1/HLOOKUP(YEAR(G407)+(MONTH(G407)/100),TC!$5:$37,DAY(G407)+2,FALSE),VLOOKUP(F407,Equivalencia!$5:$23,((MAX(Equivalencia!$3:$3)-YEAR(G407))*14)+MONTH(G407)+2,FALSE))</f>
        <v>#N/A</v>
      </c>
      <c r="L407" s="306" t="e">
        <f t="shared" si="95"/>
        <v>#N/A</v>
      </c>
      <c r="M407" s="305">
        <f>IF(G407=0,0,HLOOKUP(YEAR(G407)+(MONTH(G407)/100),TC!$5:$37,DAY(G407)+2,FALSE))</f>
        <v>0</v>
      </c>
      <c r="N407" s="306" t="e">
        <f t="shared" si="96"/>
        <v>#N/A</v>
      </c>
      <c r="O407" s="308">
        <f>IF(G407=0,0,VLOOKUP(YEAR(G407),INPC!$B$4:$P$30,MONTH(G407)+2))</f>
        <v>0</v>
      </c>
      <c r="P407" s="308">
        <f>IF(W407=0,0,IF(OR(C407=$AQ$5,C407=AQ411),VLOOKUP(YEAR(W407),INPC!$B$4:$P$30,MONTH(W407)+1),VLOOKUP(YEAR(W407),INPC!$B$4:$P$30,MONTH(W407)+2)))</f>
        <v>0</v>
      </c>
      <c r="Q407" s="309">
        <f t="shared" si="97"/>
        <v>0</v>
      </c>
      <c r="R407" s="310" t="e">
        <f t="shared" si="98"/>
        <v>#N/A</v>
      </c>
      <c r="S407" s="310">
        <f t="shared" si="99"/>
        <v>0</v>
      </c>
      <c r="T407" s="559" t="str">
        <f t="shared" si="100"/>
        <v>NO</v>
      </c>
      <c r="U407" s="323"/>
      <c r="V407" s="299"/>
      <c r="W407" s="300"/>
      <c r="X407" s="299"/>
      <c r="Y407" s="303"/>
      <c r="Z407" s="305">
        <f>IF(Y407=0,0,IF(X407="MXN",1/HLOOKUP(YEAR(W407)+(MONTH(W407)/100),TC!$5:$37,DAY(W407)+2,FALSE),VLOOKUP(X407,Equivalencia!$1:$23,((MAX(Equivalencia!$3:$3)-YEAR(W407))*14)+MONTH(W407)+2,FALSE)))</f>
        <v>0</v>
      </c>
      <c r="AA407" s="306">
        <f t="shared" si="101"/>
        <v>0</v>
      </c>
      <c r="AB407" s="305">
        <f>+IF(W407=0,0,HLOOKUP(YEAR(W407)+(MONTH(W407)/100),TC!$5:$37,DAY(W407)+2,FALSE))</f>
        <v>0</v>
      </c>
      <c r="AC407" s="306">
        <f t="shared" si="102"/>
        <v>0</v>
      </c>
      <c r="AD407" s="314">
        <f t="shared" si="93"/>
        <v>0</v>
      </c>
      <c r="AE407" s="315">
        <f t="shared" si="103"/>
        <v>0</v>
      </c>
      <c r="AF407" s="316">
        <f t="shared" si="94"/>
        <v>0</v>
      </c>
      <c r="AG407" s="314">
        <v>1</v>
      </c>
      <c r="AH407" s="314">
        <f t="shared" si="104"/>
        <v>0</v>
      </c>
      <c r="AI407" s="314">
        <f t="shared" si="105"/>
        <v>0</v>
      </c>
      <c r="AJ407" s="317"/>
      <c r="AK407" s="315" t="e">
        <f t="shared" si="106"/>
        <v>#N/A</v>
      </c>
      <c r="AM407" s="553"/>
      <c r="AN407" s="553"/>
      <c r="AO407" s="553"/>
    </row>
    <row r="408" spans="2:41">
      <c r="B408" s="296"/>
      <c r="C408" s="299"/>
      <c r="D408" s="296"/>
      <c r="E408" s="298"/>
      <c r="F408" s="299"/>
      <c r="G408" s="300"/>
      <c r="H408" s="303"/>
      <c r="I408" s="303"/>
      <c r="J408" s="322">
        <f t="shared" si="92"/>
        <v>0</v>
      </c>
      <c r="K408" s="305" t="e">
        <f>IF(F408="MXN",1/HLOOKUP(YEAR(G408)+(MONTH(G408)/100),TC!$5:$37,DAY(G408)+2,FALSE),VLOOKUP(F408,Equivalencia!$5:$23,((MAX(Equivalencia!$3:$3)-YEAR(G408))*14)+MONTH(G408)+2,FALSE))</f>
        <v>#N/A</v>
      </c>
      <c r="L408" s="306" t="e">
        <f t="shared" si="95"/>
        <v>#N/A</v>
      </c>
      <c r="M408" s="305">
        <f>IF(G408=0,0,HLOOKUP(YEAR(G408)+(MONTH(G408)/100),TC!$5:$37,DAY(G408)+2,FALSE))</f>
        <v>0</v>
      </c>
      <c r="N408" s="306" t="e">
        <f t="shared" si="96"/>
        <v>#N/A</v>
      </c>
      <c r="O408" s="308">
        <f>IF(G408=0,0,VLOOKUP(YEAR(G408),INPC!$B$4:$P$30,MONTH(G408)+2))</f>
        <v>0</v>
      </c>
      <c r="P408" s="308">
        <f>IF(W408=0,0,IF(OR(C408=$AQ$5,C408=AQ412),VLOOKUP(YEAR(W408),INPC!$B$4:$P$30,MONTH(W408)+1),VLOOKUP(YEAR(W408),INPC!$B$4:$P$30,MONTH(W408)+2)))</f>
        <v>0</v>
      </c>
      <c r="Q408" s="309">
        <f t="shared" si="97"/>
        <v>0</v>
      </c>
      <c r="R408" s="310" t="e">
        <f t="shared" si="98"/>
        <v>#N/A</v>
      </c>
      <c r="S408" s="310">
        <f t="shared" si="99"/>
        <v>0</v>
      </c>
      <c r="T408" s="559" t="str">
        <f t="shared" si="100"/>
        <v>NO</v>
      </c>
      <c r="U408" s="323"/>
      <c r="V408" s="299"/>
      <c r="W408" s="300"/>
      <c r="X408" s="299"/>
      <c r="Y408" s="303"/>
      <c r="Z408" s="305">
        <f>IF(Y408=0,0,IF(X408="MXN",1/HLOOKUP(YEAR(W408)+(MONTH(W408)/100),TC!$5:$37,DAY(W408)+2,FALSE),VLOOKUP(X408,Equivalencia!$1:$23,((MAX(Equivalencia!$3:$3)-YEAR(W408))*14)+MONTH(W408)+2,FALSE)))</f>
        <v>0</v>
      </c>
      <c r="AA408" s="306">
        <f t="shared" si="101"/>
        <v>0</v>
      </c>
      <c r="AB408" s="305">
        <f>+IF(W408=0,0,HLOOKUP(YEAR(W408)+(MONTH(W408)/100),TC!$5:$37,DAY(W408)+2,FALSE))</f>
        <v>0</v>
      </c>
      <c r="AC408" s="306">
        <f t="shared" si="102"/>
        <v>0</v>
      </c>
      <c r="AD408" s="314">
        <f t="shared" si="93"/>
        <v>0</v>
      </c>
      <c r="AE408" s="315">
        <f t="shared" si="103"/>
        <v>0</v>
      </c>
      <c r="AF408" s="316">
        <f t="shared" si="94"/>
        <v>0</v>
      </c>
      <c r="AG408" s="314">
        <v>1</v>
      </c>
      <c r="AH408" s="314">
        <f t="shared" si="104"/>
        <v>0</v>
      </c>
      <c r="AI408" s="314">
        <f t="shared" si="105"/>
        <v>0</v>
      </c>
      <c r="AJ408" s="317"/>
      <c r="AK408" s="315" t="e">
        <f t="shared" si="106"/>
        <v>#N/A</v>
      </c>
      <c r="AM408" s="553"/>
      <c r="AN408" s="553"/>
      <c r="AO408" s="553"/>
    </row>
    <row r="409" spans="2:41">
      <c r="B409" s="296"/>
      <c r="C409" s="299"/>
      <c r="D409" s="296"/>
      <c r="E409" s="298"/>
      <c r="F409" s="299"/>
      <c r="G409" s="300"/>
      <c r="H409" s="303"/>
      <c r="I409" s="303"/>
      <c r="J409" s="322">
        <f t="shared" si="92"/>
        <v>0</v>
      </c>
      <c r="K409" s="305" t="e">
        <f>IF(F409="MXN",1/HLOOKUP(YEAR(G409)+(MONTH(G409)/100),TC!$5:$37,DAY(G409)+2,FALSE),VLOOKUP(F409,Equivalencia!$5:$23,((MAX(Equivalencia!$3:$3)-YEAR(G409))*14)+MONTH(G409)+2,FALSE))</f>
        <v>#N/A</v>
      </c>
      <c r="L409" s="306" t="e">
        <f t="shared" si="95"/>
        <v>#N/A</v>
      </c>
      <c r="M409" s="305">
        <f>IF(G409=0,0,HLOOKUP(YEAR(G409)+(MONTH(G409)/100),TC!$5:$37,DAY(G409)+2,FALSE))</f>
        <v>0</v>
      </c>
      <c r="N409" s="306" t="e">
        <f t="shared" si="96"/>
        <v>#N/A</v>
      </c>
      <c r="O409" s="308">
        <f>IF(G409=0,0,VLOOKUP(YEAR(G409),INPC!$B$4:$P$30,MONTH(G409)+2))</f>
        <v>0</v>
      </c>
      <c r="P409" s="308">
        <f>IF(W409=0,0,IF(OR(C409=$AQ$5,C409=AQ413),VLOOKUP(YEAR(W409),INPC!$B$4:$P$30,MONTH(W409)+1),VLOOKUP(YEAR(W409),INPC!$B$4:$P$30,MONTH(W409)+2)))</f>
        <v>0</v>
      </c>
      <c r="Q409" s="309">
        <f t="shared" si="97"/>
        <v>0</v>
      </c>
      <c r="R409" s="310" t="e">
        <f t="shared" si="98"/>
        <v>#N/A</v>
      </c>
      <c r="S409" s="310">
        <f t="shared" si="99"/>
        <v>0</v>
      </c>
      <c r="T409" s="559" t="str">
        <f t="shared" si="100"/>
        <v>NO</v>
      </c>
      <c r="U409" s="323"/>
      <c r="V409" s="299"/>
      <c r="W409" s="300"/>
      <c r="X409" s="299"/>
      <c r="Y409" s="303"/>
      <c r="Z409" s="305">
        <f>IF(Y409=0,0,IF(X409="MXN",1/HLOOKUP(YEAR(W409)+(MONTH(W409)/100),TC!$5:$37,DAY(W409)+2,FALSE),VLOOKUP(X409,Equivalencia!$1:$23,((MAX(Equivalencia!$3:$3)-YEAR(W409))*14)+MONTH(W409)+2,FALSE)))</f>
        <v>0</v>
      </c>
      <c r="AA409" s="306">
        <f t="shared" si="101"/>
        <v>0</v>
      </c>
      <c r="AB409" s="305">
        <f>+IF(W409=0,0,HLOOKUP(YEAR(W409)+(MONTH(W409)/100),TC!$5:$37,DAY(W409)+2,FALSE))</f>
        <v>0</v>
      </c>
      <c r="AC409" s="306">
        <f t="shared" si="102"/>
        <v>0</v>
      </c>
      <c r="AD409" s="314">
        <f t="shared" si="93"/>
        <v>0</v>
      </c>
      <c r="AE409" s="315">
        <f t="shared" si="103"/>
        <v>0</v>
      </c>
      <c r="AF409" s="316">
        <f t="shared" si="94"/>
        <v>0</v>
      </c>
      <c r="AG409" s="314">
        <v>1</v>
      </c>
      <c r="AH409" s="314">
        <f t="shared" si="104"/>
        <v>0</v>
      </c>
      <c r="AI409" s="314">
        <f t="shared" si="105"/>
        <v>0</v>
      </c>
      <c r="AJ409" s="317"/>
      <c r="AK409" s="315" t="e">
        <f t="shared" si="106"/>
        <v>#N/A</v>
      </c>
      <c r="AM409" s="553"/>
      <c r="AN409" s="553"/>
      <c r="AO409" s="553"/>
    </row>
    <row r="410" spans="2:41">
      <c r="B410" s="296"/>
      <c r="C410" s="299"/>
      <c r="D410" s="296"/>
      <c r="E410" s="298"/>
      <c r="F410" s="299"/>
      <c r="G410" s="300"/>
      <c r="H410" s="303"/>
      <c r="I410" s="303"/>
      <c r="J410" s="322">
        <f t="shared" si="92"/>
        <v>0</v>
      </c>
      <c r="K410" s="305" t="e">
        <f>IF(F410="MXN",1/HLOOKUP(YEAR(G410)+(MONTH(G410)/100),TC!$5:$37,DAY(G410)+2,FALSE),VLOOKUP(F410,Equivalencia!$5:$23,((MAX(Equivalencia!$3:$3)-YEAR(G410))*14)+MONTH(G410)+2,FALSE))</f>
        <v>#N/A</v>
      </c>
      <c r="L410" s="306" t="e">
        <f t="shared" si="95"/>
        <v>#N/A</v>
      </c>
      <c r="M410" s="305">
        <f>IF(G410=0,0,HLOOKUP(YEAR(G410)+(MONTH(G410)/100),TC!$5:$37,DAY(G410)+2,FALSE))</f>
        <v>0</v>
      </c>
      <c r="N410" s="306" t="e">
        <f t="shared" si="96"/>
        <v>#N/A</v>
      </c>
      <c r="O410" s="308">
        <f>IF(G410=0,0,VLOOKUP(YEAR(G410),INPC!$B$4:$P$30,MONTH(G410)+2))</f>
        <v>0</v>
      </c>
      <c r="P410" s="308">
        <f>IF(W410=0,0,IF(OR(C410=$AQ$5,C410=AQ414),VLOOKUP(YEAR(W410),INPC!$B$4:$P$30,MONTH(W410)+1),VLOOKUP(YEAR(W410),INPC!$B$4:$P$30,MONTH(W410)+2)))</f>
        <v>0</v>
      </c>
      <c r="Q410" s="309">
        <f t="shared" si="97"/>
        <v>0</v>
      </c>
      <c r="R410" s="310" t="e">
        <f t="shared" si="98"/>
        <v>#N/A</v>
      </c>
      <c r="S410" s="310">
        <f t="shared" si="99"/>
        <v>0</v>
      </c>
      <c r="T410" s="559" t="str">
        <f t="shared" si="100"/>
        <v>NO</v>
      </c>
      <c r="U410" s="323"/>
      <c r="V410" s="299"/>
      <c r="W410" s="300"/>
      <c r="X410" s="299"/>
      <c r="Y410" s="303"/>
      <c r="Z410" s="305">
        <f>IF(Y410=0,0,IF(X410="MXN",1/HLOOKUP(YEAR(W410)+(MONTH(W410)/100),TC!$5:$37,DAY(W410)+2,FALSE),VLOOKUP(X410,Equivalencia!$1:$23,((MAX(Equivalencia!$3:$3)-YEAR(W410))*14)+MONTH(W410)+2,FALSE)))</f>
        <v>0</v>
      </c>
      <c r="AA410" s="306">
        <f t="shared" si="101"/>
        <v>0</v>
      </c>
      <c r="AB410" s="305">
        <f>+IF(W410=0,0,HLOOKUP(YEAR(W410)+(MONTH(W410)/100),TC!$5:$37,DAY(W410)+2,FALSE))</f>
        <v>0</v>
      </c>
      <c r="AC410" s="306">
        <f t="shared" si="102"/>
        <v>0</v>
      </c>
      <c r="AD410" s="314">
        <f t="shared" si="93"/>
        <v>0</v>
      </c>
      <c r="AE410" s="315">
        <f t="shared" si="103"/>
        <v>0</v>
      </c>
      <c r="AF410" s="316">
        <f t="shared" si="94"/>
        <v>0</v>
      </c>
      <c r="AG410" s="314">
        <v>1</v>
      </c>
      <c r="AH410" s="314">
        <f t="shared" si="104"/>
        <v>0</v>
      </c>
      <c r="AI410" s="314">
        <f t="shared" si="105"/>
        <v>0</v>
      </c>
      <c r="AJ410" s="317"/>
      <c r="AK410" s="315" t="e">
        <f t="shared" si="106"/>
        <v>#N/A</v>
      </c>
      <c r="AM410" s="553"/>
      <c r="AN410" s="553"/>
      <c r="AO410" s="553"/>
    </row>
    <row r="411" spans="2:41">
      <c r="B411" s="296"/>
      <c r="C411" s="299"/>
      <c r="D411" s="296"/>
      <c r="E411" s="298"/>
      <c r="F411" s="299"/>
      <c r="G411" s="300"/>
      <c r="H411" s="303"/>
      <c r="I411" s="303"/>
      <c r="J411" s="322">
        <f t="shared" si="92"/>
        <v>0</v>
      </c>
      <c r="K411" s="305" t="e">
        <f>IF(F411="MXN",1/HLOOKUP(YEAR(G411)+(MONTH(G411)/100),TC!$5:$37,DAY(G411)+2,FALSE),VLOOKUP(F411,Equivalencia!$5:$23,((MAX(Equivalencia!$3:$3)-YEAR(G411))*14)+MONTH(G411)+2,FALSE))</f>
        <v>#N/A</v>
      </c>
      <c r="L411" s="306" t="e">
        <f t="shared" si="95"/>
        <v>#N/A</v>
      </c>
      <c r="M411" s="305">
        <f>IF(G411=0,0,HLOOKUP(YEAR(G411)+(MONTH(G411)/100),TC!$5:$37,DAY(G411)+2,FALSE))</f>
        <v>0</v>
      </c>
      <c r="N411" s="306" t="e">
        <f t="shared" si="96"/>
        <v>#N/A</v>
      </c>
      <c r="O411" s="308">
        <f>IF(G411=0,0,VLOOKUP(YEAR(G411),INPC!$B$4:$P$30,MONTH(G411)+2))</f>
        <v>0</v>
      </c>
      <c r="P411" s="308">
        <f>IF(W411=0,0,IF(OR(C411=$AQ$5,C411=AQ415),VLOOKUP(YEAR(W411),INPC!$B$4:$P$30,MONTH(W411)+1),VLOOKUP(YEAR(W411),INPC!$B$4:$P$30,MONTH(W411)+2)))</f>
        <v>0</v>
      </c>
      <c r="Q411" s="309">
        <f t="shared" si="97"/>
        <v>0</v>
      </c>
      <c r="R411" s="310" t="e">
        <f t="shared" si="98"/>
        <v>#N/A</v>
      </c>
      <c r="S411" s="310">
        <f t="shared" si="99"/>
        <v>0</v>
      </c>
      <c r="T411" s="559" t="str">
        <f t="shared" si="100"/>
        <v>NO</v>
      </c>
      <c r="U411" s="323"/>
      <c r="V411" s="299"/>
      <c r="W411" s="300"/>
      <c r="X411" s="299"/>
      <c r="Y411" s="303"/>
      <c r="Z411" s="305">
        <f>IF(Y411=0,0,IF(X411="MXN",1/HLOOKUP(YEAR(W411)+(MONTH(W411)/100),TC!$5:$37,DAY(W411)+2,FALSE),VLOOKUP(X411,Equivalencia!$1:$23,((MAX(Equivalencia!$3:$3)-YEAR(W411))*14)+MONTH(W411)+2,FALSE)))</f>
        <v>0</v>
      </c>
      <c r="AA411" s="306">
        <f t="shared" si="101"/>
        <v>0</v>
      </c>
      <c r="AB411" s="305">
        <f>+IF(W411=0,0,HLOOKUP(YEAR(W411)+(MONTH(W411)/100),TC!$5:$37,DAY(W411)+2,FALSE))</f>
        <v>0</v>
      </c>
      <c r="AC411" s="306">
        <f t="shared" si="102"/>
        <v>0</v>
      </c>
      <c r="AD411" s="314">
        <f t="shared" si="93"/>
        <v>0</v>
      </c>
      <c r="AE411" s="315">
        <f t="shared" si="103"/>
        <v>0</v>
      </c>
      <c r="AF411" s="316">
        <f t="shared" si="94"/>
        <v>0</v>
      </c>
      <c r="AG411" s="314">
        <v>1</v>
      </c>
      <c r="AH411" s="314">
        <f t="shared" si="104"/>
        <v>0</v>
      </c>
      <c r="AI411" s="314">
        <f t="shared" si="105"/>
        <v>0</v>
      </c>
      <c r="AJ411" s="317"/>
      <c r="AK411" s="315" t="e">
        <f t="shared" si="106"/>
        <v>#N/A</v>
      </c>
      <c r="AM411" s="553"/>
      <c r="AN411" s="553"/>
      <c r="AO411" s="553"/>
    </row>
    <row r="412" spans="2:41">
      <c r="B412" s="296"/>
      <c r="C412" s="299"/>
      <c r="D412" s="296"/>
      <c r="E412" s="298"/>
      <c r="F412" s="299"/>
      <c r="G412" s="300"/>
      <c r="H412" s="303"/>
      <c r="I412" s="303"/>
      <c r="J412" s="322">
        <f t="shared" si="92"/>
        <v>0</v>
      </c>
      <c r="K412" s="305" t="e">
        <f>IF(F412="MXN",1/HLOOKUP(YEAR(G412)+(MONTH(G412)/100),TC!$5:$37,DAY(G412)+2,FALSE),VLOOKUP(F412,Equivalencia!$5:$23,((MAX(Equivalencia!$3:$3)-YEAR(G412))*14)+MONTH(G412)+2,FALSE))</f>
        <v>#N/A</v>
      </c>
      <c r="L412" s="306" t="e">
        <f t="shared" si="95"/>
        <v>#N/A</v>
      </c>
      <c r="M412" s="305">
        <f>IF(G412=0,0,HLOOKUP(YEAR(G412)+(MONTH(G412)/100),TC!$5:$37,DAY(G412)+2,FALSE))</f>
        <v>0</v>
      </c>
      <c r="N412" s="306" t="e">
        <f t="shared" si="96"/>
        <v>#N/A</v>
      </c>
      <c r="O412" s="308">
        <f>IF(G412=0,0,VLOOKUP(YEAR(G412),INPC!$B$4:$P$30,MONTH(G412)+2))</f>
        <v>0</v>
      </c>
      <c r="P412" s="308">
        <f>IF(W412=0,0,IF(OR(C412=$AQ$5,C412=AQ416),VLOOKUP(YEAR(W412),INPC!$B$4:$P$30,MONTH(W412)+1),VLOOKUP(YEAR(W412),INPC!$B$4:$P$30,MONTH(W412)+2)))</f>
        <v>0</v>
      </c>
      <c r="Q412" s="309">
        <f t="shared" si="97"/>
        <v>0</v>
      </c>
      <c r="R412" s="310" t="e">
        <f t="shared" si="98"/>
        <v>#N/A</v>
      </c>
      <c r="S412" s="310">
        <f t="shared" si="99"/>
        <v>0</v>
      </c>
      <c r="T412" s="559" t="str">
        <f t="shared" si="100"/>
        <v>NO</v>
      </c>
      <c r="U412" s="323"/>
      <c r="V412" s="299"/>
      <c r="W412" s="300"/>
      <c r="X412" s="299"/>
      <c r="Y412" s="303"/>
      <c r="Z412" s="305">
        <f>IF(Y412=0,0,IF(X412="MXN",1/HLOOKUP(YEAR(W412)+(MONTH(W412)/100),TC!$5:$37,DAY(W412)+2,FALSE),VLOOKUP(X412,Equivalencia!$1:$23,((MAX(Equivalencia!$3:$3)-YEAR(W412))*14)+MONTH(W412)+2,FALSE)))</f>
        <v>0</v>
      </c>
      <c r="AA412" s="306">
        <f t="shared" si="101"/>
        <v>0</v>
      </c>
      <c r="AB412" s="305">
        <f>+IF(W412=0,0,HLOOKUP(YEAR(W412)+(MONTH(W412)/100),TC!$5:$37,DAY(W412)+2,FALSE))</f>
        <v>0</v>
      </c>
      <c r="AC412" s="306">
        <f t="shared" si="102"/>
        <v>0</v>
      </c>
      <c r="AD412" s="314">
        <f t="shared" si="93"/>
        <v>0</v>
      </c>
      <c r="AE412" s="315">
        <f t="shared" si="103"/>
        <v>0</v>
      </c>
      <c r="AF412" s="316">
        <f t="shared" si="94"/>
        <v>0</v>
      </c>
      <c r="AG412" s="314">
        <v>1</v>
      </c>
      <c r="AH412" s="314">
        <f t="shared" si="104"/>
        <v>0</v>
      </c>
      <c r="AI412" s="314">
        <f t="shared" si="105"/>
        <v>0</v>
      </c>
      <c r="AJ412" s="317"/>
      <c r="AK412" s="315" t="e">
        <f t="shared" si="106"/>
        <v>#N/A</v>
      </c>
      <c r="AM412" s="553"/>
      <c r="AN412" s="553"/>
      <c r="AO412" s="553"/>
    </row>
    <row r="413" spans="2:41">
      <c r="B413" s="296"/>
      <c r="C413" s="299"/>
      <c r="D413" s="296"/>
      <c r="E413" s="298"/>
      <c r="F413" s="299"/>
      <c r="G413" s="300"/>
      <c r="H413" s="303"/>
      <c r="I413" s="303"/>
      <c r="J413" s="322">
        <f t="shared" si="92"/>
        <v>0</v>
      </c>
      <c r="K413" s="305" t="e">
        <f>IF(F413="MXN",1/HLOOKUP(YEAR(G413)+(MONTH(G413)/100),TC!$5:$37,DAY(G413)+2,FALSE),VLOOKUP(F413,Equivalencia!$5:$23,((MAX(Equivalencia!$3:$3)-YEAR(G413))*14)+MONTH(G413)+2,FALSE))</f>
        <v>#N/A</v>
      </c>
      <c r="L413" s="306" t="e">
        <f t="shared" si="95"/>
        <v>#N/A</v>
      </c>
      <c r="M413" s="305">
        <f>IF(G413=0,0,HLOOKUP(YEAR(G413)+(MONTH(G413)/100),TC!$5:$37,DAY(G413)+2,FALSE))</f>
        <v>0</v>
      </c>
      <c r="N413" s="306" t="e">
        <f t="shared" si="96"/>
        <v>#N/A</v>
      </c>
      <c r="O413" s="308">
        <f>IF(G413=0,0,VLOOKUP(YEAR(G413),INPC!$B$4:$P$30,MONTH(G413)+2))</f>
        <v>0</v>
      </c>
      <c r="P413" s="308">
        <f>IF(W413=0,0,IF(OR(C413=$AQ$5,C413=AQ417),VLOOKUP(YEAR(W413),INPC!$B$4:$P$30,MONTH(W413)+1),VLOOKUP(YEAR(W413),INPC!$B$4:$P$30,MONTH(W413)+2)))</f>
        <v>0</v>
      </c>
      <c r="Q413" s="309">
        <f t="shared" si="97"/>
        <v>0</v>
      </c>
      <c r="R413" s="310" t="e">
        <f t="shared" si="98"/>
        <v>#N/A</v>
      </c>
      <c r="S413" s="310">
        <f t="shared" si="99"/>
        <v>0</v>
      </c>
      <c r="T413" s="559" t="str">
        <f t="shared" si="100"/>
        <v>NO</v>
      </c>
      <c r="U413" s="323"/>
      <c r="V413" s="299"/>
      <c r="W413" s="300"/>
      <c r="X413" s="299"/>
      <c r="Y413" s="303"/>
      <c r="Z413" s="305">
        <f>IF(Y413=0,0,IF(X413="MXN",1/HLOOKUP(YEAR(W413)+(MONTH(W413)/100),TC!$5:$37,DAY(W413)+2,FALSE),VLOOKUP(X413,Equivalencia!$1:$23,((MAX(Equivalencia!$3:$3)-YEAR(W413))*14)+MONTH(W413)+2,FALSE)))</f>
        <v>0</v>
      </c>
      <c r="AA413" s="306">
        <f t="shared" si="101"/>
        <v>0</v>
      </c>
      <c r="AB413" s="305">
        <f>+IF(W413=0,0,HLOOKUP(YEAR(W413)+(MONTH(W413)/100),TC!$5:$37,DAY(W413)+2,FALSE))</f>
        <v>0</v>
      </c>
      <c r="AC413" s="306">
        <f t="shared" si="102"/>
        <v>0</v>
      </c>
      <c r="AD413" s="314">
        <f t="shared" si="93"/>
        <v>0</v>
      </c>
      <c r="AE413" s="315">
        <f t="shared" si="103"/>
        <v>0</v>
      </c>
      <c r="AF413" s="316">
        <f t="shared" si="94"/>
        <v>0</v>
      </c>
      <c r="AG413" s="314">
        <v>1</v>
      </c>
      <c r="AH413" s="314">
        <f t="shared" si="104"/>
        <v>0</v>
      </c>
      <c r="AI413" s="314">
        <f t="shared" si="105"/>
        <v>0</v>
      </c>
      <c r="AJ413" s="317"/>
      <c r="AK413" s="315" t="e">
        <f t="shared" si="106"/>
        <v>#N/A</v>
      </c>
      <c r="AM413" s="553"/>
      <c r="AN413" s="553"/>
      <c r="AO413" s="553"/>
    </row>
    <row r="414" spans="2:41">
      <c r="B414" s="296"/>
      <c r="C414" s="299"/>
      <c r="D414" s="296"/>
      <c r="E414" s="298"/>
      <c r="F414" s="299"/>
      <c r="G414" s="300"/>
      <c r="H414" s="303"/>
      <c r="I414" s="303"/>
      <c r="J414" s="322">
        <f t="shared" si="92"/>
        <v>0</v>
      </c>
      <c r="K414" s="305" t="e">
        <f>IF(F414="MXN",1/HLOOKUP(YEAR(G414)+(MONTH(G414)/100),TC!$5:$37,DAY(G414)+2,FALSE),VLOOKUP(F414,Equivalencia!$5:$23,((MAX(Equivalencia!$3:$3)-YEAR(G414))*14)+MONTH(G414)+2,FALSE))</f>
        <v>#N/A</v>
      </c>
      <c r="L414" s="306" t="e">
        <f t="shared" si="95"/>
        <v>#N/A</v>
      </c>
      <c r="M414" s="305">
        <f>IF(G414=0,0,HLOOKUP(YEAR(G414)+(MONTH(G414)/100),TC!$5:$37,DAY(G414)+2,FALSE))</f>
        <v>0</v>
      </c>
      <c r="N414" s="306" t="e">
        <f t="shared" si="96"/>
        <v>#N/A</v>
      </c>
      <c r="O414" s="308">
        <f>IF(G414=0,0,VLOOKUP(YEAR(G414),INPC!$B$4:$P$30,MONTH(G414)+2))</f>
        <v>0</v>
      </c>
      <c r="P414" s="308">
        <f>IF(W414=0,0,IF(OR(C414=$AQ$5,C414=AQ418),VLOOKUP(YEAR(W414),INPC!$B$4:$P$30,MONTH(W414)+1),VLOOKUP(YEAR(W414),INPC!$B$4:$P$30,MONTH(W414)+2)))</f>
        <v>0</v>
      </c>
      <c r="Q414" s="309">
        <f t="shared" si="97"/>
        <v>0</v>
      </c>
      <c r="R414" s="310" t="e">
        <f t="shared" si="98"/>
        <v>#N/A</v>
      </c>
      <c r="S414" s="310">
        <f t="shared" si="99"/>
        <v>0</v>
      </c>
      <c r="T414" s="559" t="str">
        <f t="shared" si="100"/>
        <v>NO</v>
      </c>
      <c r="U414" s="323"/>
      <c r="V414" s="299"/>
      <c r="W414" s="300"/>
      <c r="X414" s="299"/>
      <c r="Y414" s="303"/>
      <c r="Z414" s="305">
        <f>IF(Y414=0,0,IF(X414="MXN",1/HLOOKUP(YEAR(W414)+(MONTH(W414)/100),TC!$5:$37,DAY(W414)+2,FALSE),VLOOKUP(X414,Equivalencia!$1:$23,((MAX(Equivalencia!$3:$3)-YEAR(W414))*14)+MONTH(W414)+2,FALSE)))</f>
        <v>0</v>
      </c>
      <c r="AA414" s="306">
        <f t="shared" si="101"/>
        <v>0</v>
      </c>
      <c r="AB414" s="305">
        <f>+IF(W414=0,0,HLOOKUP(YEAR(W414)+(MONTH(W414)/100),TC!$5:$37,DAY(W414)+2,FALSE))</f>
        <v>0</v>
      </c>
      <c r="AC414" s="306">
        <f t="shared" si="102"/>
        <v>0</v>
      </c>
      <c r="AD414" s="314">
        <f t="shared" si="93"/>
        <v>0</v>
      </c>
      <c r="AE414" s="315">
        <f t="shared" si="103"/>
        <v>0</v>
      </c>
      <c r="AF414" s="316">
        <f t="shared" si="94"/>
        <v>0</v>
      </c>
      <c r="AG414" s="314">
        <v>1</v>
      </c>
      <c r="AH414" s="314">
        <f t="shared" si="104"/>
        <v>0</v>
      </c>
      <c r="AI414" s="314">
        <f t="shared" si="105"/>
        <v>0</v>
      </c>
      <c r="AJ414" s="317"/>
      <c r="AK414" s="315" t="e">
        <f t="shared" si="106"/>
        <v>#N/A</v>
      </c>
      <c r="AM414" s="553"/>
      <c r="AN414" s="553"/>
      <c r="AO414" s="553"/>
    </row>
    <row r="415" spans="2:41">
      <c r="B415" s="296"/>
      <c r="C415" s="299"/>
      <c r="D415" s="296"/>
      <c r="E415" s="298"/>
      <c r="F415" s="299"/>
      <c r="G415" s="300"/>
      <c r="H415" s="303"/>
      <c r="I415" s="303"/>
      <c r="J415" s="322">
        <f t="shared" si="92"/>
        <v>0</v>
      </c>
      <c r="K415" s="305" t="e">
        <f>IF(F415="MXN",1/HLOOKUP(YEAR(G415)+(MONTH(G415)/100),TC!$5:$37,DAY(G415)+2,FALSE),VLOOKUP(F415,Equivalencia!$5:$23,((MAX(Equivalencia!$3:$3)-YEAR(G415))*14)+MONTH(G415)+2,FALSE))</f>
        <v>#N/A</v>
      </c>
      <c r="L415" s="306" t="e">
        <f t="shared" si="95"/>
        <v>#N/A</v>
      </c>
      <c r="M415" s="305">
        <f>IF(G415=0,0,HLOOKUP(YEAR(G415)+(MONTH(G415)/100),TC!$5:$37,DAY(G415)+2,FALSE))</f>
        <v>0</v>
      </c>
      <c r="N415" s="306" t="e">
        <f t="shared" si="96"/>
        <v>#N/A</v>
      </c>
      <c r="O415" s="308">
        <f>IF(G415=0,0,VLOOKUP(YEAR(G415),INPC!$B$4:$P$30,MONTH(G415)+2))</f>
        <v>0</v>
      </c>
      <c r="P415" s="308">
        <f>IF(W415=0,0,IF(OR(C415=$AQ$5,C415=AQ419),VLOOKUP(YEAR(W415),INPC!$B$4:$P$30,MONTH(W415)+1),VLOOKUP(YEAR(W415),INPC!$B$4:$P$30,MONTH(W415)+2)))</f>
        <v>0</v>
      </c>
      <c r="Q415" s="309">
        <f t="shared" si="97"/>
        <v>0</v>
      </c>
      <c r="R415" s="310" t="e">
        <f t="shared" si="98"/>
        <v>#N/A</v>
      </c>
      <c r="S415" s="310">
        <f t="shared" si="99"/>
        <v>0</v>
      </c>
      <c r="T415" s="559" t="str">
        <f t="shared" si="100"/>
        <v>NO</v>
      </c>
      <c r="U415" s="323"/>
      <c r="V415" s="299"/>
      <c r="W415" s="300"/>
      <c r="X415" s="299"/>
      <c r="Y415" s="303"/>
      <c r="Z415" s="305">
        <f>IF(Y415=0,0,IF(X415="MXN",1/HLOOKUP(YEAR(W415)+(MONTH(W415)/100),TC!$5:$37,DAY(W415)+2,FALSE),VLOOKUP(X415,Equivalencia!$1:$23,((MAX(Equivalencia!$3:$3)-YEAR(W415))*14)+MONTH(W415)+2,FALSE)))</f>
        <v>0</v>
      </c>
      <c r="AA415" s="306">
        <f t="shared" si="101"/>
        <v>0</v>
      </c>
      <c r="AB415" s="305">
        <f>+IF(W415=0,0,HLOOKUP(YEAR(W415)+(MONTH(W415)/100),TC!$5:$37,DAY(W415)+2,FALSE))</f>
        <v>0</v>
      </c>
      <c r="AC415" s="306">
        <f t="shared" si="102"/>
        <v>0</v>
      </c>
      <c r="AD415" s="314">
        <f t="shared" si="93"/>
        <v>0</v>
      </c>
      <c r="AE415" s="315">
        <f t="shared" si="103"/>
        <v>0</v>
      </c>
      <c r="AF415" s="316">
        <f t="shared" si="94"/>
        <v>0</v>
      </c>
      <c r="AG415" s="314">
        <v>1</v>
      </c>
      <c r="AH415" s="314">
        <f t="shared" si="104"/>
        <v>0</v>
      </c>
      <c r="AI415" s="314">
        <f t="shared" si="105"/>
        <v>0</v>
      </c>
      <c r="AJ415" s="317"/>
      <c r="AK415" s="315" t="e">
        <f t="shared" si="106"/>
        <v>#N/A</v>
      </c>
      <c r="AM415" s="553"/>
      <c r="AN415" s="553"/>
      <c r="AO415" s="553"/>
    </row>
    <row r="416" spans="2:41">
      <c r="B416" s="296"/>
      <c r="C416" s="299"/>
      <c r="D416" s="296"/>
      <c r="E416" s="298"/>
      <c r="F416" s="299"/>
      <c r="G416" s="300"/>
      <c r="H416" s="303"/>
      <c r="I416" s="303"/>
      <c r="J416" s="322">
        <f t="shared" si="92"/>
        <v>0</v>
      </c>
      <c r="K416" s="305" t="e">
        <f>IF(F416="MXN",1/HLOOKUP(YEAR(G416)+(MONTH(G416)/100),TC!$5:$37,DAY(G416)+2,FALSE),VLOOKUP(F416,Equivalencia!$5:$23,((MAX(Equivalencia!$3:$3)-YEAR(G416))*14)+MONTH(G416)+2,FALSE))</f>
        <v>#N/A</v>
      </c>
      <c r="L416" s="306" t="e">
        <f t="shared" si="95"/>
        <v>#N/A</v>
      </c>
      <c r="M416" s="305">
        <f>IF(G416=0,0,HLOOKUP(YEAR(G416)+(MONTH(G416)/100),TC!$5:$37,DAY(G416)+2,FALSE))</f>
        <v>0</v>
      </c>
      <c r="N416" s="306" t="e">
        <f t="shared" si="96"/>
        <v>#N/A</v>
      </c>
      <c r="O416" s="308">
        <f>IF(G416=0,0,VLOOKUP(YEAR(G416),INPC!$B$4:$P$30,MONTH(G416)+2))</f>
        <v>0</v>
      </c>
      <c r="P416" s="308">
        <f>IF(W416=0,0,IF(OR(C416=$AQ$5,C416=AQ420),VLOOKUP(YEAR(W416),INPC!$B$4:$P$30,MONTH(W416)+1),VLOOKUP(YEAR(W416),INPC!$B$4:$P$30,MONTH(W416)+2)))</f>
        <v>0</v>
      </c>
      <c r="Q416" s="309">
        <f t="shared" si="97"/>
        <v>0</v>
      </c>
      <c r="R416" s="310" t="e">
        <f t="shared" si="98"/>
        <v>#N/A</v>
      </c>
      <c r="S416" s="310">
        <f t="shared" si="99"/>
        <v>0</v>
      </c>
      <c r="T416" s="559" t="str">
        <f t="shared" si="100"/>
        <v>NO</v>
      </c>
      <c r="U416" s="323"/>
      <c r="V416" s="299"/>
      <c r="W416" s="300"/>
      <c r="X416" s="299"/>
      <c r="Y416" s="303"/>
      <c r="Z416" s="305">
        <f>IF(Y416=0,0,IF(X416="MXN",1/HLOOKUP(YEAR(W416)+(MONTH(W416)/100),TC!$5:$37,DAY(W416)+2,FALSE),VLOOKUP(X416,Equivalencia!$1:$23,((MAX(Equivalencia!$3:$3)-YEAR(W416))*14)+MONTH(W416)+2,FALSE)))</f>
        <v>0</v>
      </c>
      <c r="AA416" s="306">
        <f t="shared" si="101"/>
        <v>0</v>
      </c>
      <c r="AB416" s="305">
        <f>+IF(W416=0,0,HLOOKUP(YEAR(W416)+(MONTH(W416)/100),TC!$5:$37,DAY(W416)+2,FALSE))</f>
        <v>0</v>
      </c>
      <c r="AC416" s="306">
        <f t="shared" si="102"/>
        <v>0</v>
      </c>
      <c r="AD416" s="314">
        <f t="shared" si="93"/>
        <v>0</v>
      </c>
      <c r="AE416" s="315">
        <f t="shared" si="103"/>
        <v>0</v>
      </c>
      <c r="AF416" s="316">
        <f t="shared" si="94"/>
        <v>0</v>
      </c>
      <c r="AG416" s="314">
        <v>1</v>
      </c>
      <c r="AH416" s="314">
        <f t="shared" si="104"/>
        <v>0</v>
      </c>
      <c r="AI416" s="314">
        <f t="shared" si="105"/>
        <v>0</v>
      </c>
      <c r="AJ416" s="317"/>
      <c r="AK416" s="315" t="e">
        <f t="shared" si="106"/>
        <v>#N/A</v>
      </c>
      <c r="AM416" s="553"/>
      <c r="AN416" s="553"/>
      <c r="AO416" s="553"/>
    </row>
    <row r="417" spans="2:41">
      <c r="B417" s="296"/>
      <c r="C417" s="299"/>
      <c r="D417" s="296"/>
      <c r="E417" s="298"/>
      <c r="F417" s="299"/>
      <c r="G417" s="300"/>
      <c r="H417" s="303"/>
      <c r="I417" s="303"/>
      <c r="J417" s="322">
        <f t="shared" si="92"/>
        <v>0</v>
      </c>
      <c r="K417" s="305" t="e">
        <f>IF(F417="MXN",1/HLOOKUP(YEAR(G417)+(MONTH(G417)/100),TC!$5:$37,DAY(G417)+2,FALSE),VLOOKUP(F417,Equivalencia!$5:$23,((MAX(Equivalencia!$3:$3)-YEAR(G417))*14)+MONTH(G417)+2,FALSE))</f>
        <v>#N/A</v>
      </c>
      <c r="L417" s="306" t="e">
        <f t="shared" si="95"/>
        <v>#N/A</v>
      </c>
      <c r="M417" s="305">
        <f>IF(G417=0,0,HLOOKUP(YEAR(G417)+(MONTH(G417)/100),TC!$5:$37,DAY(G417)+2,FALSE))</f>
        <v>0</v>
      </c>
      <c r="N417" s="306" t="e">
        <f t="shared" si="96"/>
        <v>#N/A</v>
      </c>
      <c r="O417" s="308">
        <f>IF(G417=0,0,VLOOKUP(YEAR(G417),INPC!$B$4:$P$30,MONTH(G417)+2))</f>
        <v>0</v>
      </c>
      <c r="P417" s="308">
        <f>IF(W417=0,0,IF(OR(C417=$AQ$5,C417=AQ421),VLOOKUP(YEAR(W417),INPC!$B$4:$P$30,MONTH(W417)+1),VLOOKUP(YEAR(W417),INPC!$B$4:$P$30,MONTH(W417)+2)))</f>
        <v>0</v>
      </c>
      <c r="Q417" s="309">
        <f t="shared" si="97"/>
        <v>0</v>
      </c>
      <c r="R417" s="310" t="e">
        <f t="shared" si="98"/>
        <v>#N/A</v>
      </c>
      <c r="S417" s="310">
        <f t="shared" si="99"/>
        <v>0</v>
      </c>
      <c r="T417" s="559" t="str">
        <f t="shared" si="100"/>
        <v>NO</v>
      </c>
      <c r="U417" s="323"/>
      <c r="V417" s="299"/>
      <c r="W417" s="300"/>
      <c r="X417" s="299"/>
      <c r="Y417" s="303"/>
      <c r="Z417" s="305">
        <f>IF(Y417=0,0,IF(X417="MXN",1/HLOOKUP(YEAR(W417)+(MONTH(W417)/100),TC!$5:$37,DAY(W417)+2,FALSE),VLOOKUP(X417,Equivalencia!$1:$23,((MAX(Equivalencia!$3:$3)-YEAR(W417))*14)+MONTH(W417)+2,FALSE)))</f>
        <v>0</v>
      </c>
      <c r="AA417" s="306">
        <f t="shared" si="101"/>
        <v>0</v>
      </c>
      <c r="AB417" s="305">
        <f>+IF(W417=0,0,HLOOKUP(YEAR(W417)+(MONTH(W417)/100),TC!$5:$37,DAY(W417)+2,FALSE))</f>
        <v>0</v>
      </c>
      <c r="AC417" s="306">
        <f t="shared" si="102"/>
        <v>0</v>
      </c>
      <c r="AD417" s="314">
        <f t="shared" si="93"/>
        <v>0</v>
      </c>
      <c r="AE417" s="315">
        <f t="shared" si="103"/>
        <v>0</v>
      </c>
      <c r="AF417" s="316">
        <f t="shared" si="94"/>
        <v>0</v>
      </c>
      <c r="AG417" s="314">
        <v>1</v>
      </c>
      <c r="AH417" s="314">
        <f t="shared" si="104"/>
        <v>0</v>
      </c>
      <c r="AI417" s="314">
        <f t="shared" si="105"/>
        <v>0</v>
      </c>
      <c r="AJ417" s="317"/>
      <c r="AK417" s="315" t="e">
        <f t="shared" si="106"/>
        <v>#N/A</v>
      </c>
      <c r="AM417" s="553"/>
      <c r="AN417" s="553"/>
      <c r="AO417" s="553"/>
    </row>
    <row r="418" spans="2:41">
      <c r="B418" s="296"/>
      <c r="C418" s="299"/>
      <c r="D418" s="296"/>
      <c r="E418" s="298"/>
      <c r="F418" s="299"/>
      <c r="G418" s="300"/>
      <c r="H418" s="303"/>
      <c r="I418" s="303"/>
      <c r="J418" s="322">
        <f t="shared" si="92"/>
        <v>0</v>
      </c>
      <c r="K418" s="305" t="e">
        <f>IF(F418="MXN",1/HLOOKUP(YEAR(G418)+(MONTH(G418)/100),TC!$5:$37,DAY(G418)+2,FALSE),VLOOKUP(F418,Equivalencia!$5:$23,((MAX(Equivalencia!$3:$3)-YEAR(G418))*14)+MONTH(G418)+2,FALSE))</f>
        <v>#N/A</v>
      </c>
      <c r="L418" s="306" t="e">
        <f t="shared" si="95"/>
        <v>#N/A</v>
      </c>
      <c r="M418" s="305">
        <f>IF(G418=0,0,HLOOKUP(YEAR(G418)+(MONTH(G418)/100),TC!$5:$37,DAY(G418)+2,FALSE))</f>
        <v>0</v>
      </c>
      <c r="N418" s="306" t="e">
        <f t="shared" si="96"/>
        <v>#N/A</v>
      </c>
      <c r="O418" s="308">
        <f>IF(G418=0,0,VLOOKUP(YEAR(G418),INPC!$B$4:$P$30,MONTH(G418)+2))</f>
        <v>0</v>
      </c>
      <c r="P418" s="308">
        <f>IF(W418=0,0,IF(OR(C418=$AQ$5,C418=AQ422),VLOOKUP(YEAR(W418),INPC!$B$4:$P$30,MONTH(W418)+1),VLOOKUP(YEAR(W418),INPC!$B$4:$P$30,MONTH(W418)+2)))</f>
        <v>0</v>
      </c>
      <c r="Q418" s="309">
        <f t="shared" si="97"/>
        <v>0</v>
      </c>
      <c r="R418" s="310" t="e">
        <f t="shared" si="98"/>
        <v>#N/A</v>
      </c>
      <c r="S418" s="310">
        <f t="shared" si="99"/>
        <v>0</v>
      </c>
      <c r="T418" s="559" t="str">
        <f t="shared" si="100"/>
        <v>NO</v>
      </c>
      <c r="U418" s="323"/>
      <c r="V418" s="299"/>
      <c r="W418" s="300"/>
      <c r="X418" s="299"/>
      <c r="Y418" s="303"/>
      <c r="Z418" s="305">
        <f>IF(Y418=0,0,IF(X418="MXN",1/HLOOKUP(YEAR(W418)+(MONTH(W418)/100),TC!$5:$37,DAY(W418)+2,FALSE),VLOOKUP(X418,Equivalencia!$1:$23,((MAX(Equivalencia!$3:$3)-YEAR(W418))*14)+MONTH(W418)+2,FALSE)))</f>
        <v>0</v>
      </c>
      <c r="AA418" s="306">
        <f t="shared" si="101"/>
        <v>0</v>
      </c>
      <c r="AB418" s="305">
        <f>+IF(W418=0,0,HLOOKUP(YEAR(W418)+(MONTH(W418)/100),TC!$5:$37,DAY(W418)+2,FALSE))</f>
        <v>0</v>
      </c>
      <c r="AC418" s="306">
        <f t="shared" si="102"/>
        <v>0</v>
      </c>
      <c r="AD418" s="314">
        <f t="shared" si="93"/>
        <v>0</v>
      </c>
      <c r="AE418" s="315">
        <f t="shared" si="103"/>
        <v>0</v>
      </c>
      <c r="AF418" s="316">
        <f t="shared" si="94"/>
        <v>0</v>
      </c>
      <c r="AG418" s="314">
        <v>1</v>
      </c>
      <c r="AH418" s="314">
        <f t="shared" si="104"/>
        <v>0</v>
      </c>
      <c r="AI418" s="314">
        <f t="shared" si="105"/>
        <v>0</v>
      </c>
      <c r="AJ418" s="317"/>
      <c r="AK418" s="315" t="e">
        <f t="shared" si="106"/>
        <v>#N/A</v>
      </c>
      <c r="AM418" s="553"/>
      <c r="AN418" s="553"/>
      <c r="AO418" s="553"/>
    </row>
    <row r="419" spans="2:41">
      <c r="B419" s="296"/>
      <c r="C419" s="299"/>
      <c r="D419" s="296"/>
      <c r="E419" s="298"/>
      <c r="F419" s="299"/>
      <c r="G419" s="300"/>
      <c r="H419" s="303"/>
      <c r="I419" s="303"/>
      <c r="J419" s="322">
        <f t="shared" si="92"/>
        <v>0</v>
      </c>
      <c r="K419" s="305" t="e">
        <f>IF(F419="MXN",1/HLOOKUP(YEAR(G419)+(MONTH(G419)/100),TC!$5:$37,DAY(G419)+2,FALSE),VLOOKUP(F419,Equivalencia!$5:$23,((MAX(Equivalencia!$3:$3)-YEAR(G419))*14)+MONTH(G419)+2,FALSE))</f>
        <v>#N/A</v>
      </c>
      <c r="L419" s="306" t="e">
        <f t="shared" si="95"/>
        <v>#N/A</v>
      </c>
      <c r="M419" s="305">
        <f>IF(G419=0,0,HLOOKUP(YEAR(G419)+(MONTH(G419)/100),TC!$5:$37,DAY(G419)+2,FALSE))</f>
        <v>0</v>
      </c>
      <c r="N419" s="306" t="e">
        <f t="shared" si="96"/>
        <v>#N/A</v>
      </c>
      <c r="O419" s="308">
        <f>IF(G419=0,0,VLOOKUP(YEAR(G419),INPC!$B$4:$P$30,MONTH(G419)+2))</f>
        <v>0</v>
      </c>
      <c r="P419" s="308">
        <f>IF(W419=0,0,IF(OR(C419=$AQ$5,C419=AQ423),VLOOKUP(YEAR(W419),INPC!$B$4:$P$30,MONTH(W419)+1),VLOOKUP(YEAR(W419),INPC!$B$4:$P$30,MONTH(W419)+2)))</f>
        <v>0</v>
      </c>
      <c r="Q419" s="309">
        <f t="shared" si="97"/>
        <v>0</v>
      </c>
      <c r="R419" s="310" t="e">
        <f t="shared" si="98"/>
        <v>#N/A</v>
      </c>
      <c r="S419" s="310">
        <f t="shared" si="99"/>
        <v>0</v>
      </c>
      <c r="T419" s="559" t="str">
        <f t="shared" si="100"/>
        <v>NO</v>
      </c>
      <c r="U419" s="323"/>
      <c r="V419" s="299"/>
      <c r="W419" s="300"/>
      <c r="X419" s="299"/>
      <c r="Y419" s="303"/>
      <c r="Z419" s="305">
        <f>IF(Y419=0,0,IF(X419="MXN",1/HLOOKUP(YEAR(W419)+(MONTH(W419)/100),TC!$5:$37,DAY(W419)+2,FALSE),VLOOKUP(X419,Equivalencia!$1:$23,((MAX(Equivalencia!$3:$3)-YEAR(W419))*14)+MONTH(W419)+2,FALSE)))</f>
        <v>0</v>
      </c>
      <c r="AA419" s="306">
        <f t="shared" si="101"/>
        <v>0</v>
      </c>
      <c r="AB419" s="305">
        <f>+IF(W419=0,0,HLOOKUP(YEAR(W419)+(MONTH(W419)/100),TC!$5:$37,DAY(W419)+2,FALSE))</f>
        <v>0</v>
      </c>
      <c r="AC419" s="306">
        <f t="shared" si="102"/>
        <v>0</v>
      </c>
      <c r="AD419" s="314">
        <f t="shared" si="93"/>
        <v>0</v>
      </c>
      <c r="AE419" s="315">
        <f t="shared" si="103"/>
        <v>0</v>
      </c>
      <c r="AF419" s="316">
        <f t="shared" si="94"/>
        <v>0</v>
      </c>
      <c r="AG419" s="314">
        <v>1</v>
      </c>
      <c r="AH419" s="314">
        <f t="shared" si="104"/>
        <v>0</v>
      </c>
      <c r="AI419" s="314">
        <f t="shared" si="105"/>
        <v>0</v>
      </c>
      <c r="AJ419" s="317"/>
      <c r="AK419" s="315" t="e">
        <f t="shared" si="106"/>
        <v>#N/A</v>
      </c>
      <c r="AM419" s="553"/>
      <c r="AN419" s="553"/>
      <c r="AO419" s="553"/>
    </row>
    <row r="420" spans="2:41">
      <c r="B420" s="296"/>
      <c r="C420" s="299"/>
      <c r="D420" s="296"/>
      <c r="E420" s="298"/>
      <c r="F420" s="299"/>
      <c r="G420" s="300"/>
      <c r="H420" s="303"/>
      <c r="I420" s="303"/>
      <c r="J420" s="322">
        <f t="shared" si="92"/>
        <v>0</v>
      </c>
      <c r="K420" s="305" t="e">
        <f>IF(F420="MXN",1/HLOOKUP(YEAR(G420)+(MONTH(G420)/100),TC!$5:$37,DAY(G420)+2,FALSE),VLOOKUP(F420,Equivalencia!$5:$23,((MAX(Equivalencia!$3:$3)-YEAR(G420))*14)+MONTH(G420)+2,FALSE))</f>
        <v>#N/A</v>
      </c>
      <c r="L420" s="306" t="e">
        <f t="shared" si="95"/>
        <v>#N/A</v>
      </c>
      <c r="M420" s="305">
        <f>IF(G420=0,0,HLOOKUP(YEAR(G420)+(MONTH(G420)/100),TC!$5:$37,DAY(G420)+2,FALSE))</f>
        <v>0</v>
      </c>
      <c r="N420" s="306" t="e">
        <f t="shared" si="96"/>
        <v>#N/A</v>
      </c>
      <c r="O420" s="308">
        <f>IF(G420=0,0,VLOOKUP(YEAR(G420),INPC!$B$4:$P$30,MONTH(G420)+2))</f>
        <v>0</v>
      </c>
      <c r="P420" s="308">
        <f>IF(W420=0,0,IF(OR(C420=$AQ$5,C420=AQ424),VLOOKUP(YEAR(W420),INPC!$B$4:$P$30,MONTH(W420)+1),VLOOKUP(YEAR(W420),INPC!$B$4:$P$30,MONTH(W420)+2)))</f>
        <v>0</v>
      </c>
      <c r="Q420" s="309">
        <f t="shared" si="97"/>
        <v>0</v>
      </c>
      <c r="R420" s="310" t="e">
        <f t="shared" si="98"/>
        <v>#N/A</v>
      </c>
      <c r="S420" s="310">
        <f t="shared" si="99"/>
        <v>0</v>
      </c>
      <c r="T420" s="559" t="str">
        <f t="shared" si="100"/>
        <v>NO</v>
      </c>
      <c r="U420" s="323"/>
      <c r="V420" s="299"/>
      <c r="W420" s="300"/>
      <c r="X420" s="299"/>
      <c r="Y420" s="303"/>
      <c r="Z420" s="305">
        <f>IF(Y420=0,0,IF(X420="MXN",1/HLOOKUP(YEAR(W420)+(MONTH(W420)/100),TC!$5:$37,DAY(W420)+2,FALSE),VLOOKUP(X420,Equivalencia!$1:$23,((MAX(Equivalencia!$3:$3)-YEAR(W420))*14)+MONTH(W420)+2,FALSE)))</f>
        <v>0</v>
      </c>
      <c r="AA420" s="306">
        <f t="shared" si="101"/>
        <v>0</v>
      </c>
      <c r="AB420" s="305">
        <f>+IF(W420=0,0,HLOOKUP(YEAR(W420)+(MONTH(W420)/100),TC!$5:$37,DAY(W420)+2,FALSE))</f>
        <v>0</v>
      </c>
      <c r="AC420" s="306">
        <f t="shared" si="102"/>
        <v>0</v>
      </c>
      <c r="AD420" s="314">
        <f t="shared" si="93"/>
        <v>0</v>
      </c>
      <c r="AE420" s="315">
        <f t="shared" si="103"/>
        <v>0</v>
      </c>
      <c r="AF420" s="316">
        <f t="shared" si="94"/>
        <v>0</v>
      </c>
      <c r="AG420" s="314">
        <v>1</v>
      </c>
      <c r="AH420" s="314">
        <f t="shared" si="104"/>
        <v>0</v>
      </c>
      <c r="AI420" s="314">
        <f t="shared" si="105"/>
        <v>0</v>
      </c>
      <c r="AJ420" s="317"/>
      <c r="AK420" s="315" t="e">
        <f t="shared" si="106"/>
        <v>#N/A</v>
      </c>
      <c r="AM420" s="553"/>
      <c r="AN420" s="553"/>
      <c r="AO420" s="553"/>
    </row>
    <row r="421" spans="2:41">
      <c r="B421" s="296"/>
      <c r="C421" s="299"/>
      <c r="D421" s="296"/>
      <c r="E421" s="298"/>
      <c r="F421" s="299"/>
      <c r="G421" s="300"/>
      <c r="H421" s="303"/>
      <c r="I421" s="303"/>
      <c r="J421" s="322">
        <f t="shared" si="92"/>
        <v>0</v>
      </c>
      <c r="K421" s="305" t="e">
        <f>IF(F421="MXN",1/HLOOKUP(YEAR(G421)+(MONTH(G421)/100),TC!$5:$37,DAY(G421)+2,FALSE),VLOOKUP(F421,Equivalencia!$5:$23,((MAX(Equivalencia!$3:$3)-YEAR(G421))*14)+MONTH(G421)+2,FALSE))</f>
        <v>#N/A</v>
      </c>
      <c r="L421" s="306" t="e">
        <f t="shared" si="95"/>
        <v>#N/A</v>
      </c>
      <c r="M421" s="305">
        <f>IF(G421=0,0,HLOOKUP(YEAR(G421)+(MONTH(G421)/100),TC!$5:$37,DAY(G421)+2,FALSE))</f>
        <v>0</v>
      </c>
      <c r="N421" s="306" t="e">
        <f t="shared" si="96"/>
        <v>#N/A</v>
      </c>
      <c r="O421" s="308">
        <f>IF(G421=0,0,VLOOKUP(YEAR(G421),INPC!$B$4:$P$30,MONTH(G421)+2))</f>
        <v>0</v>
      </c>
      <c r="P421" s="308">
        <f>IF(W421=0,0,IF(OR(C421=$AQ$5,C421=AQ425),VLOOKUP(YEAR(W421),INPC!$B$4:$P$30,MONTH(W421)+1),VLOOKUP(YEAR(W421),INPC!$B$4:$P$30,MONTH(W421)+2)))</f>
        <v>0</v>
      </c>
      <c r="Q421" s="309">
        <f t="shared" si="97"/>
        <v>0</v>
      </c>
      <c r="R421" s="310" t="e">
        <f t="shared" si="98"/>
        <v>#N/A</v>
      </c>
      <c r="S421" s="310">
        <f t="shared" si="99"/>
        <v>0</v>
      </c>
      <c r="T421" s="559" t="str">
        <f t="shared" si="100"/>
        <v>NO</v>
      </c>
      <c r="U421" s="323"/>
      <c r="V421" s="299"/>
      <c r="W421" s="300"/>
      <c r="X421" s="299"/>
      <c r="Y421" s="303"/>
      <c r="Z421" s="305">
        <f>IF(Y421=0,0,IF(X421="MXN",1/HLOOKUP(YEAR(W421)+(MONTH(W421)/100),TC!$5:$37,DAY(W421)+2,FALSE),VLOOKUP(X421,Equivalencia!$1:$23,((MAX(Equivalencia!$3:$3)-YEAR(W421))*14)+MONTH(W421)+2,FALSE)))</f>
        <v>0</v>
      </c>
      <c r="AA421" s="306">
        <f t="shared" si="101"/>
        <v>0</v>
      </c>
      <c r="AB421" s="305">
        <f>+IF(W421=0,0,HLOOKUP(YEAR(W421)+(MONTH(W421)/100),TC!$5:$37,DAY(W421)+2,FALSE))</f>
        <v>0</v>
      </c>
      <c r="AC421" s="306">
        <f t="shared" si="102"/>
        <v>0</v>
      </c>
      <c r="AD421" s="314">
        <f t="shared" si="93"/>
        <v>0</v>
      </c>
      <c r="AE421" s="315">
        <f t="shared" si="103"/>
        <v>0</v>
      </c>
      <c r="AF421" s="316">
        <f t="shared" si="94"/>
        <v>0</v>
      </c>
      <c r="AG421" s="314">
        <v>1</v>
      </c>
      <c r="AH421" s="314">
        <f t="shared" si="104"/>
        <v>0</v>
      </c>
      <c r="AI421" s="314">
        <f t="shared" si="105"/>
        <v>0</v>
      </c>
      <c r="AJ421" s="317"/>
      <c r="AK421" s="315" t="e">
        <f t="shared" si="106"/>
        <v>#N/A</v>
      </c>
      <c r="AM421" s="553"/>
      <c r="AN421" s="553"/>
      <c r="AO421" s="553"/>
    </row>
    <row r="422" spans="2:41">
      <c r="B422" s="296"/>
      <c r="C422" s="299"/>
      <c r="D422" s="296"/>
      <c r="E422" s="298"/>
      <c r="F422" s="299"/>
      <c r="G422" s="300"/>
      <c r="H422" s="303"/>
      <c r="I422" s="303"/>
      <c r="J422" s="322">
        <f t="shared" si="92"/>
        <v>0</v>
      </c>
      <c r="K422" s="305" t="e">
        <f>IF(F422="MXN",1/HLOOKUP(YEAR(G422)+(MONTH(G422)/100),TC!$5:$37,DAY(G422)+2,FALSE),VLOOKUP(F422,Equivalencia!$5:$23,((MAX(Equivalencia!$3:$3)-YEAR(G422))*14)+MONTH(G422)+2,FALSE))</f>
        <v>#N/A</v>
      </c>
      <c r="L422" s="306" t="e">
        <f t="shared" si="95"/>
        <v>#N/A</v>
      </c>
      <c r="M422" s="305">
        <f>IF(G422=0,0,HLOOKUP(YEAR(G422)+(MONTH(G422)/100),TC!$5:$37,DAY(G422)+2,FALSE))</f>
        <v>0</v>
      </c>
      <c r="N422" s="306" t="e">
        <f t="shared" si="96"/>
        <v>#N/A</v>
      </c>
      <c r="O422" s="308">
        <f>IF(G422=0,0,VLOOKUP(YEAR(G422),INPC!$B$4:$P$30,MONTH(G422)+2))</f>
        <v>0</v>
      </c>
      <c r="P422" s="308">
        <f>IF(W422=0,0,IF(OR(C422=$AQ$5,C422=AQ426),VLOOKUP(YEAR(W422),INPC!$B$4:$P$30,MONTH(W422)+1),VLOOKUP(YEAR(W422),INPC!$B$4:$P$30,MONTH(W422)+2)))</f>
        <v>0</v>
      </c>
      <c r="Q422" s="309">
        <f t="shared" si="97"/>
        <v>0</v>
      </c>
      <c r="R422" s="310" t="e">
        <f t="shared" si="98"/>
        <v>#N/A</v>
      </c>
      <c r="S422" s="310">
        <f t="shared" si="99"/>
        <v>0</v>
      </c>
      <c r="T422" s="559" t="str">
        <f t="shared" si="100"/>
        <v>NO</v>
      </c>
      <c r="U422" s="323"/>
      <c r="V422" s="299"/>
      <c r="W422" s="300"/>
      <c r="X422" s="299"/>
      <c r="Y422" s="303"/>
      <c r="Z422" s="305">
        <f>IF(Y422=0,0,IF(X422="MXN",1/HLOOKUP(YEAR(W422)+(MONTH(W422)/100),TC!$5:$37,DAY(W422)+2,FALSE),VLOOKUP(X422,Equivalencia!$1:$23,((MAX(Equivalencia!$3:$3)-YEAR(W422))*14)+MONTH(W422)+2,FALSE)))</f>
        <v>0</v>
      </c>
      <c r="AA422" s="306">
        <f t="shared" si="101"/>
        <v>0</v>
      </c>
      <c r="AB422" s="305">
        <f>+IF(W422=0,0,HLOOKUP(YEAR(W422)+(MONTH(W422)/100),TC!$5:$37,DAY(W422)+2,FALSE))</f>
        <v>0</v>
      </c>
      <c r="AC422" s="306">
        <f t="shared" si="102"/>
        <v>0</v>
      </c>
      <c r="AD422" s="314">
        <f t="shared" si="93"/>
        <v>0</v>
      </c>
      <c r="AE422" s="315">
        <f t="shared" si="103"/>
        <v>0</v>
      </c>
      <c r="AF422" s="316">
        <f t="shared" si="94"/>
        <v>0</v>
      </c>
      <c r="AG422" s="314">
        <v>1</v>
      </c>
      <c r="AH422" s="314">
        <f t="shared" si="104"/>
        <v>0</v>
      </c>
      <c r="AI422" s="314">
        <f t="shared" si="105"/>
        <v>0</v>
      </c>
      <c r="AJ422" s="317"/>
      <c r="AK422" s="315" t="e">
        <f t="shared" si="106"/>
        <v>#N/A</v>
      </c>
      <c r="AM422" s="553"/>
      <c r="AN422" s="553"/>
      <c r="AO422" s="553"/>
    </row>
    <row r="423" spans="2:41">
      <c r="B423" s="296"/>
      <c r="C423" s="299"/>
      <c r="D423" s="296"/>
      <c r="E423" s="298"/>
      <c r="F423" s="299"/>
      <c r="G423" s="300"/>
      <c r="H423" s="303"/>
      <c r="I423" s="303"/>
      <c r="J423" s="322">
        <f t="shared" si="92"/>
        <v>0</v>
      </c>
      <c r="K423" s="305" t="e">
        <f>IF(F423="MXN",1/HLOOKUP(YEAR(G423)+(MONTH(G423)/100),TC!$5:$37,DAY(G423)+2,FALSE),VLOOKUP(F423,Equivalencia!$5:$23,((MAX(Equivalencia!$3:$3)-YEAR(G423))*14)+MONTH(G423)+2,FALSE))</f>
        <v>#N/A</v>
      </c>
      <c r="L423" s="306" t="e">
        <f t="shared" si="95"/>
        <v>#N/A</v>
      </c>
      <c r="M423" s="305">
        <f>IF(G423=0,0,HLOOKUP(YEAR(G423)+(MONTH(G423)/100),TC!$5:$37,DAY(G423)+2,FALSE))</f>
        <v>0</v>
      </c>
      <c r="N423" s="306" t="e">
        <f t="shared" si="96"/>
        <v>#N/A</v>
      </c>
      <c r="O423" s="308">
        <f>IF(G423=0,0,VLOOKUP(YEAR(G423),INPC!$B$4:$P$30,MONTH(G423)+2))</f>
        <v>0</v>
      </c>
      <c r="P423" s="308">
        <f>IF(W423=0,0,IF(OR(C423=$AQ$5,C423=AQ427),VLOOKUP(YEAR(W423),INPC!$B$4:$P$30,MONTH(W423)+1),VLOOKUP(YEAR(W423),INPC!$B$4:$P$30,MONTH(W423)+2)))</f>
        <v>0</v>
      </c>
      <c r="Q423" s="309">
        <f t="shared" si="97"/>
        <v>0</v>
      </c>
      <c r="R423" s="310" t="e">
        <f t="shared" si="98"/>
        <v>#N/A</v>
      </c>
      <c r="S423" s="310">
        <f t="shared" si="99"/>
        <v>0</v>
      </c>
      <c r="T423" s="559" t="str">
        <f t="shared" si="100"/>
        <v>NO</v>
      </c>
      <c r="U423" s="323"/>
      <c r="V423" s="299"/>
      <c r="W423" s="300"/>
      <c r="X423" s="299"/>
      <c r="Y423" s="303"/>
      <c r="Z423" s="305">
        <f>IF(Y423=0,0,IF(X423="MXN",1/HLOOKUP(YEAR(W423)+(MONTH(W423)/100),TC!$5:$37,DAY(W423)+2,FALSE),VLOOKUP(X423,Equivalencia!$1:$23,((MAX(Equivalencia!$3:$3)-YEAR(W423))*14)+MONTH(W423)+2,FALSE)))</f>
        <v>0</v>
      </c>
      <c r="AA423" s="306">
        <f t="shared" si="101"/>
        <v>0</v>
      </c>
      <c r="AB423" s="305">
        <f>+IF(W423=0,0,HLOOKUP(YEAR(W423)+(MONTH(W423)/100),TC!$5:$37,DAY(W423)+2,FALSE))</f>
        <v>0</v>
      </c>
      <c r="AC423" s="306">
        <f t="shared" si="102"/>
        <v>0</v>
      </c>
      <c r="AD423" s="314">
        <f t="shared" si="93"/>
        <v>0</v>
      </c>
      <c r="AE423" s="315">
        <f t="shared" si="103"/>
        <v>0</v>
      </c>
      <c r="AF423" s="316">
        <f t="shared" si="94"/>
        <v>0</v>
      </c>
      <c r="AG423" s="314">
        <v>1</v>
      </c>
      <c r="AH423" s="314">
        <f t="shared" si="104"/>
        <v>0</v>
      </c>
      <c r="AI423" s="314">
        <f t="shared" si="105"/>
        <v>0</v>
      </c>
      <c r="AJ423" s="317"/>
      <c r="AK423" s="315" t="e">
        <f t="shared" si="106"/>
        <v>#N/A</v>
      </c>
      <c r="AM423" s="553"/>
      <c r="AN423" s="553"/>
      <c r="AO423" s="553"/>
    </row>
    <row r="424" spans="2:41">
      <c r="B424" s="296"/>
      <c r="C424" s="299"/>
      <c r="D424" s="296"/>
      <c r="E424" s="298"/>
      <c r="F424" s="299"/>
      <c r="G424" s="300"/>
      <c r="H424" s="303"/>
      <c r="I424" s="303"/>
      <c r="J424" s="322">
        <f t="shared" si="92"/>
        <v>0</v>
      </c>
      <c r="K424" s="305" t="e">
        <f>IF(F424="MXN",1/HLOOKUP(YEAR(G424)+(MONTH(G424)/100),TC!$5:$37,DAY(G424)+2,FALSE),VLOOKUP(F424,Equivalencia!$5:$23,((MAX(Equivalencia!$3:$3)-YEAR(G424))*14)+MONTH(G424)+2,FALSE))</f>
        <v>#N/A</v>
      </c>
      <c r="L424" s="306" t="e">
        <f t="shared" si="95"/>
        <v>#N/A</v>
      </c>
      <c r="M424" s="305">
        <f>IF(G424=0,0,HLOOKUP(YEAR(G424)+(MONTH(G424)/100),TC!$5:$37,DAY(G424)+2,FALSE))</f>
        <v>0</v>
      </c>
      <c r="N424" s="306" t="e">
        <f t="shared" si="96"/>
        <v>#N/A</v>
      </c>
      <c r="O424" s="308">
        <f>IF(G424=0,0,VLOOKUP(YEAR(G424),INPC!$B$4:$P$30,MONTH(G424)+2))</f>
        <v>0</v>
      </c>
      <c r="P424" s="308">
        <f>IF(W424=0,0,IF(OR(C424=$AQ$5,C424=AQ428),VLOOKUP(YEAR(W424),INPC!$B$4:$P$30,MONTH(W424)+1),VLOOKUP(YEAR(W424),INPC!$B$4:$P$30,MONTH(W424)+2)))</f>
        <v>0</v>
      </c>
      <c r="Q424" s="309">
        <f t="shared" si="97"/>
        <v>0</v>
      </c>
      <c r="R424" s="310" t="e">
        <f t="shared" si="98"/>
        <v>#N/A</v>
      </c>
      <c r="S424" s="310">
        <f t="shared" si="99"/>
        <v>0</v>
      </c>
      <c r="T424" s="559" t="str">
        <f t="shared" si="100"/>
        <v>NO</v>
      </c>
      <c r="U424" s="323"/>
      <c r="V424" s="299"/>
      <c r="W424" s="300"/>
      <c r="X424" s="299"/>
      <c r="Y424" s="303"/>
      <c r="Z424" s="305">
        <f>IF(Y424=0,0,IF(X424="MXN",1/HLOOKUP(YEAR(W424)+(MONTH(W424)/100),TC!$5:$37,DAY(W424)+2,FALSE),VLOOKUP(X424,Equivalencia!$1:$23,((MAX(Equivalencia!$3:$3)-YEAR(W424))*14)+MONTH(W424)+2,FALSE)))</f>
        <v>0</v>
      </c>
      <c r="AA424" s="306">
        <f t="shared" si="101"/>
        <v>0</v>
      </c>
      <c r="AB424" s="305">
        <f>+IF(W424=0,0,HLOOKUP(YEAR(W424)+(MONTH(W424)/100),TC!$5:$37,DAY(W424)+2,FALSE))</f>
        <v>0</v>
      </c>
      <c r="AC424" s="306">
        <f t="shared" si="102"/>
        <v>0</v>
      </c>
      <c r="AD424" s="314">
        <f t="shared" si="93"/>
        <v>0</v>
      </c>
      <c r="AE424" s="315">
        <f t="shared" si="103"/>
        <v>0</v>
      </c>
      <c r="AF424" s="316">
        <f t="shared" si="94"/>
        <v>0</v>
      </c>
      <c r="AG424" s="314">
        <v>1</v>
      </c>
      <c r="AH424" s="314">
        <f t="shared" si="104"/>
        <v>0</v>
      </c>
      <c r="AI424" s="314">
        <f t="shared" si="105"/>
        <v>0</v>
      </c>
      <c r="AJ424" s="317"/>
      <c r="AK424" s="315" t="e">
        <f t="shared" si="106"/>
        <v>#N/A</v>
      </c>
      <c r="AM424" s="553"/>
      <c r="AN424" s="553"/>
      <c r="AO424" s="553"/>
    </row>
    <row r="425" spans="2:41">
      <c r="B425" s="296"/>
      <c r="C425" s="299"/>
      <c r="D425" s="296"/>
      <c r="E425" s="298"/>
      <c r="F425" s="299"/>
      <c r="G425" s="300"/>
      <c r="H425" s="303"/>
      <c r="I425" s="303"/>
      <c r="J425" s="322">
        <f t="shared" si="92"/>
        <v>0</v>
      </c>
      <c r="K425" s="305" t="e">
        <f>IF(F425="MXN",1/HLOOKUP(YEAR(G425)+(MONTH(G425)/100),TC!$5:$37,DAY(G425)+2,FALSE),VLOOKUP(F425,Equivalencia!$5:$23,((MAX(Equivalencia!$3:$3)-YEAR(G425))*14)+MONTH(G425)+2,FALSE))</f>
        <v>#N/A</v>
      </c>
      <c r="L425" s="306" t="e">
        <f t="shared" si="95"/>
        <v>#N/A</v>
      </c>
      <c r="M425" s="305">
        <f>IF(G425=0,0,HLOOKUP(YEAR(G425)+(MONTH(G425)/100),TC!$5:$37,DAY(G425)+2,FALSE))</f>
        <v>0</v>
      </c>
      <c r="N425" s="306" t="e">
        <f t="shared" si="96"/>
        <v>#N/A</v>
      </c>
      <c r="O425" s="308">
        <f>IF(G425=0,0,VLOOKUP(YEAR(G425),INPC!$B$4:$P$30,MONTH(G425)+2))</f>
        <v>0</v>
      </c>
      <c r="P425" s="308">
        <f>IF(W425=0,0,IF(OR(C425=$AQ$5,C425=AQ429),VLOOKUP(YEAR(W425),INPC!$B$4:$P$30,MONTH(W425)+1),VLOOKUP(YEAR(W425),INPC!$B$4:$P$30,MONTH(W425)+2)))</f>
        <v>0</v>
      </c>
      <c r="Q425" s="309">
        <f t="shared" si="97"/>
        <v>0</v>
      </c>
      <c r="R425" s="310" t="e">
        <f t="shared" si="98"/>
        <v>#N/A</v>
      </c>
      <c r="S425" s="310">
        <f t="shared" si="99"/>
        <v>0</v>
      </c>
      <c r="T425" s="559" t="str">
        <f t="shared" si="100"/>
        <v>NO</v>
      </c>
      <c r="U425" s="323"/>
      <c r="V425" s="299"/>
      <c r="W425" s="300"/>
      <c r="X425" s="299"/>
      <c r="Y425" s="303"/>
      <c r="Z425" s="305">
        <f>IF(Y425=0,0,IF(X425="MXN",1/HLOOKUP(YEAR(W425)+(MONTH(W425)/100),TC!$5:$37,DAY(W425)+2,FALSE),VLOOKUP(X425,Equivalencia!$1:$23,((MAX(Equivalencia!$3:$3)-YEAR(W425))*14)+MONTH(W425)+2,FALSE)))</f>
        <v>0</v>
      </c>
      <c r="AA425" s="306">
        <f t="shared" si="101"/>
        <v>0</v>
      </c>
      <c r="AB425" s="305">
        <f>+IF(W425=0,0,HLOOKUP(YEAR(W425)+(MONTH(W425)/100),TC!$5:$37,DAY(W425)+2,FALSE))</f>
        <v>0</v>
      </c>
      <c r="AC425" s="306">
        <f t="shared" si="102"/>
        <v>0</v>
      </c>
      <c r="AD425" s="314">
        <f t="shared" si="93"/>
        <v>0</v>
      </c>
      <c r="AE425" s="315">
        <f t="shared" si="103"/>
        <v>0</v>
      </c>
      <c r="AF425" s="316">
        <f t="shared" si="94"/>
        <v>0</v>
      </c>
      <c r="AG425" s="314">
        <v>1</v>
      </c>
      <c r="AH425" s="314">
        <f t="shared" si="104"/>
        <v>0</v>
      </c>
      <c r="AI425" s="314">
        <f t="shared" si="105"/>
        <v>0</v>
      </c>
      <c r="AJ425" s="317"/>
      <c r="AK425" s="315" t="e">
        <f t="shared" si="106"/>
        <v>#N/A</v>
      </c>
      <c r="AM425" s="553"/>
      <c r="AN425" s="553"/>
      <c r="AO425" s="553"/>
    </row>
    <row r="426" spans="2:41">
      <c r="B426" s="296"/>
      <c r="C426" s="299"/>
      <c r="D426" s="296"/>
      <c r="E426" s="298"/>
      <c r="F426" s="299"/>
      <c r="G426" s="300"/>
      <c r="H426" s="303"/>
      <c r="I426" s="303"/>
      <c r="J426" s="322">
        <f t="shared" si="92"/>
        <v>0</v>
      </c>
      <c r="K426" s="305" t="e">
        <f>IF(F426="MXN",1/HLOOKUP(YEAR(G426)+(MONTH(G426)/100),TC!$5:$37,DAY(G426)+2,FALSE),VLOOKUP(F426,Equivalencia!$5:$23,((MAX(Equivalencia!$3:$3)-YEAR(G426))*14)+MONTH(G426)+2,FALSE))</f>
        <v>#N/A</v>
      </c>
      <c r="L426" s="306" t="e">
        <f t="shared" si="95"/>
        <v>#N/A</v>
      </c>
      <c r="M426" s="305">
        <f>IF(G426=0,0,HLOOKUP(YEAR(G426)+(MONTH(G426)/100),TC!$5:$37,DAY(G426)+2,FALSE))</f>
        <v>0</v>
      </c>
      <c r="N426" s="306" t="e">
        <f t="shared" si="96"/>
        <v>#N/A</v>
      </c>
      <c r="O426" s="308">
        <f>IF(G426=0,0,VLOOKUP(YEAR(G426),INPC!$B$4:$P$30,MONTH(G426)+2))</f>
        <v>0</v>
      </c>
      <c r="P426" s="308">
        <f>IF(W426=0,0,IF(OR(C426=$AQ$5,C426=AQ430),VLOOKUP(YEAR(W426),INPC!$B$4:$P$30,MONTH(W426)+1),VLOOKUP(YEAR(W426),INPC!$B$4:$P$30,MONTH(W426)+2)))</f>
        <v>0</v>
      </c>
      <c r="Q426" s="309">
        <f t="shared" si="97"/>
        <v>0</v>
      </c>
      <c r="R426" s="310" t="e">
        <f t="shared" si="98"/>
        <v>#N/A</v>
      </c>
      <c r="S426" s="310">
        <f t="shared" si="99"/>
        <v>0</v>
      </c>
      <c r="T426" s="559" t="str">
        <f t="shared" si="100"/>
        <v>NO</v>
      </c>
      <c r="U426" s="323"/>
      <c r="V426" s="299"/>
      <c r="W426" s="300"/>
      <c r="X426" s="299"/>
      <c r="Y426" s="303"/>
      <c r="Z426" s="305">
        <f>IF(Y426=0,0,IF(X426="MXN",1/HLOOKUP(YEAR(W426)+(MONTH(W426)/100),TC!$5:$37,DAY(W426)+2,FALSE),VLOOKUP(X426,Equivalencia!$1:$23,((MAX(Equivalencia!$3:$3)-YEAR(W426))*14)+MONTH(W426)+2,FALSE)))</f>
        <v>0</v>
      </c>
      <c r="AA426" s="306">
        <f t="shared" si="101"/>
        <v>0</v>
      </c>
      <c r="AB426" s="305">
        <f>+IF(W426=0,0,HLOOKUP(YEAR(W426)+(MONTH(W426)/100),TC!$5:$37,DAY(W426)+2,FALSE))</f>
        <v>0</v>
      </c>
      <c r="AC426" s="306">
        <f t="shared" si="102"/>
        <v>0</v>
      </c>
      <c r="AD426" s="314">
        <f t="shared" si="93"/>
        <v>0</v>
      </c>
      <c r="AE426" s="315">
        <f t="shared" si="103"/>
        <v>0</v>
      </c>
      <c r="AF426" s="316">
        <f t="shared" si="94"/>
        <v>0</v>
      </c>
      <c r="AG426" s="314">
        <v>1</v>
      </c>
      <c r="AH426" s="314">
        <f t="shared" si="104"/>
        <v>0</v>
      </c>
      <c r="AI426" s="314">
        <f t="shared" si="105"/>
        <v>0</v>
      </c>
      <c r="AJ426" s="317"/>
      <c r="AK426" s="315" t="e">
        <f t="shared" si="106"/>
        <v>#N/A</v>
      </c>
      <c r="AM426" s="553"/>
      <c r="AN426" s="553"/>
      <c r="AO426" s="553"/>
    </row>
    <row r="427" spans="2:41">
      <c r="B427" s="296"/>
      <c r="C427" s="299"/>
      <c r="D427" s="296"/>
      <c r="E427" s="298"/>
      <c r="F427" s="299"/>
      <c r="G427" s="300"/>
      <c r="H427" s="303"/>
      <c r="I427" s="303"/>
      <c r="J427" s="322">
        <f t="shared" si="92"/>
        <v>0</v>
      </c>
      <c r="K427" s="305" t="e">
        <f>IF(F427="MXN",1/HLOOKUP(YEAR(G427)+(MONTH(G427)/100),TC!$5:$37,DAY(G427)+2,FALSE),VLOOKUP(F427,Equivalencia!$5:$23,((MAX(Equivalencia!$3:$3)-YEAR(G427))*14)+MONTH(G427)+2,FALSE))</f>
        <v>#N/A</v>
      </c>
      <c r="L427" s="306" t="e">
        <f t="shared" si="95"/>
        <v>#N/A</v>
      </c>
      <c r="M427" s="305">
        <f>IF(G427=0,0,HLOOKUP(YEAR(G427)+(MONTH(G427)/100),TC!$5:$37,DAY(G427)+2,FALSE))</f>
        <v>0</v>
      </c>
      <c r="N427" s="306" t="e">
        <f t="shared" si="96"/>
        <v>#N/A</v>
      </c>
      <c r="O427" s="308">
        <f>IF(G427=0,0,VLOOKUP(YEAR(G427),INPC!$B$4:$P$30,MONTH(G427)+2))</f>
        <v>0</v>
      </c>
      <c r="P427" s="308">
        <f>IF(W427=0,0,IF(OR(C427=$AQ$5,C427=AQ431),VLOOKUP(YEAR(W427),INPC!$B$4:$P$30,MONTH(W427)+1),VLOOKUP(YEAR(W427),INPC!$B$4:$P$30,MONTH(W427)+2)))</f>
        <v>0</v>
      </c>
      <c r="Q427" s="309">
        <f t="shared" si="97"/>
        <v>0</v>
      </c>
      <c r="R427" s="310" t="e">
        <f t="shared" si="98"/>
        <v>#N/A</v>
      </c>
      <c r="S427" s="310">
        <f t="shared" si="99"/>
        <v>0</v>
      </c>
      <c r="T427" s="559" t="str">
        <f t="shared" si="100"/>
        <v>NO</v>
      </c>
      <c r="U427" s="323"/>
      <c r="V427" s="299"/>
      <c r="W427" s="300"/>
      <c r="X427" s="299"/>
      <c r="Y427" s="303"/>
      <c r="Z427" s="305">
        <f>IF(Y427=0,0,IF(X427="MXN",1/HLOOKUP(YEAR(W427)+(MONTH(W427)/100),TC!$5:$37,DAY(W427)+2,FALSE),VLOOKUP(X427,Equivalencia!$1:$23,((MAX(Equivalencia!$3:$3)-YEAR(W427))*14)+MONTH(W427)+2,FALSE)))</f>
        <v>0</v>
      </c>
      <c r="AA427" s="306">
        <f t="shared" si="101"/>
        <v>0</v>
      </c>
      <c r="AB427" s="305">
        <f>+IF(W427=0,0,HLOOKUP(YEAR(W427)+(MONTH(W427)/100),TC!$5:$37,DAY(W427)+2,FALSE))</f>
        <v>0</v>
      </c>
      <c r="AC427" s="306">
        <f t="shared" si="102"/>
        <v>0</v>
      </c>
      <c r="AD427" s="314">
        <f t="shared" si="93"/>
        <v>0</v>
      </c>
      <c r="AE427" s="315">
        <f t="shared" si="103"/>
        <v>0</v>
      </c>
      <c r="AF427" s="316">
        <f t="shared" si="94"/>
        <v>0</v>
      </c>
      <c r="AG427" s="314">
        <v>1</v>
      </c>
      <c r="AH427" s="314">
        <f t="shared" si="104"/>
        <v>0</v>
      </c>
      <c r="AI427" s="314">
        <f t="shared" si="105"/>
        <v>0</v>
      </c>
      <c r="AJ427" s="317"/>
      <c r="AK427" s="315" t="e">
        <f t="shared" si="106"/>
        <v>#N/A</v>
      </c>
      <c r="AM427" s="553"/>
      <c r="AN427" s="553"/>
      <c r="AO427" s="553"/>
    </row>
    <row r="428" spans="2:41">
      <c r="B428" s="296"/>
      <c r="C428" s="299"/>
      <c r="D428" s="296"/>
      <c r="E428" s="298"/>
      <c r="F428" s="299"/>
      <c r="G428" s="300"/>
      <c r="H428" s="303"/>
      <c r="I428" s="303"/>
      <c r="J428" s="322">
        <f t="shared" si="92"/>
        <v>0</v>
      </c>
      <c r="K428" s="305" t="e">
        <f>IF(F428="MXN",1/HLOOKUP(YEAR(G428)+(MONTH(G428)/100),TC!$5:$37,DAY(G428)+2,FALSE),VLOOKUP(F428,Equivalencia!$5:$23,((MAX(Equivalencia!$3:$3)-YEAR(G428))*14)+MONTH(G428)+2,FALSE))</f>
        <v>#N/A</v>
      </c>
      <c r="L428" s="306" t="e">
        <f t="shared" si="95"/>
        <v>#N/A</v>
      </c>
      <c r="M428" s="305">
        <f>IF(G428=0,0,HLOOKUP(YEAR(G428)+(MONTH(G428)/100),TC!$5:$37,DAY(G428)+2,FALSE))</f>
        <v>0</v>
      </c>
      <c r="N428" s="306" t="e">
        <f t="shared" si="96"/>
        <v>#N/A</v>
      </c>
      <c r="O428" s="308">
        <f>IF(G428=0,0,VLOOKUP(YEAR(G428),INPC!$B$4:$P$30,MONTH(G428)+2))</f>
        <v>0</v>
      </c>
      <c r="P428" s="308">
        <f>IF(W428=0,0,IF(OR(C428=$AQ$5,C428=AQ432),VLOOKUP(YEAR(W428),INPC!$B$4:$P$30,MONTH(W428)+1),VLOOKUP(YEAR(W428),INPC!$B$4:$P$30,MONTH(W428)+2)))</f>
        <v>0</v>
      </c>
      <c r="Q428" s="309">
        <f t="shared" si="97"/>
        <v>0</v>
      </c>
      <c r="R428" s="310" t="e">
        <f t="shared" si="98"/>
        <v>#N/A</v>
      </c>
      <c r="S428" s="310">
        <f t="shared" si="99"/>
        <v>0</v>
      </c>
      <c r="T428" s="559" t="str">
        <f t="shared" si="100"/>
        <v>NO</v>
      </c>
      <c r="U428" s="323"/>
      <c r="V428" s="299"/>
      <c r="W428" s="300"/>
      <c r="X428" s="299"/>
      <c r="Y428" s="303"/>
      <c r="Z428" s="305">
        <f>IF(Y428=0,0,IF(X428="MXN",1/HLOOKUP(YEAR(W428)+(MONTH(W428)/100),TC!$5:$37,DAY(W428)+2,FALSE),VLOOKUP(X428,Equivalencia!$1:$23,((MAX(Equivalencia!$3:$3)-YEAR(W428))*14)+MONTH(W428)+2,FALSE)))</f>
        <v>0</v>
      </c>
      <c r="AA428" s="306">
        <f t="shared" si="101"/>
        <v>0</v>
      </c>
      <c r="AB428" s="305">
        <f>+IF(W428=0,0,HLOOKUP(YEAR(W428)+(MONTH(W428)/100),TC!$5:$37,DAY(W428)+2,FALSE))</f>
        <v>0</v>
      </c>
      <c r="AC428" s="306">
        <f t="shared" si="102"/>
        <v>0</v>
      </c>
      <c r="AD428" s="314">
        <f t="shared" si="93"/>
        <v>0</v>
      </c>
      <c r="AE428" s="315">
        <f t="shared" si="103"/>
        <v>0</v>
      </c>
      <c r="AF428" s="316">
        <f t="shared" si="94"/>
        <v>0</v>
      </c>
      <c r="AG428" s="314">
        <v>1</v>
      </c>
      <c r="AH428" s="314">
        <f t="shared" si="104"/>
        <v>0</v>
      </c>
      <c r="AI428" s="314">
        <f t="shared" si="105"/>
        <v>0</v>
      </c>
      <c r="AJ428" s="317"/>
      <c r="AK428" s="315" t="e">
        <f t="shared" si="106"/>
        <v>#N/A</v>
      </c>
      <c r="AM428" s="553"/>
      <c r="AN428" s="553"/>
      <c r="AO428" s="553"/>
    </row>
    <row r="429" spans="2:41">
      <c r="B429" s="296"/>
      <c r="C429" s="299"/>
      <c r="D429" s="296"/>
      <c r="E429" s="298"/>
      <c r="F429" s="299"/>
      <c r="G429" s="300"/>
      <c r="H429" s="303"/>
      <c r="I429" s="303"/>
      <c r="J429" s="322">
        <f t="shared" si="92"/>
        <v>0</v>
      </c>
      <c r="K429" s="305" t="e">
        <f>IF(F429="MXN",1/HLOOKUP(YEAR(G429)+(MONTH(G429)/100),TC!$5:$37,DAY(G429)+2,FALSE),VLOOKUP(F429,Equivalencia!$5:$23,((MAX(Equivalencia!$3:$3)-YEAR(G429))*14)+MONTH(G429)+2,FALSE))</f>
        <v>#N/A</v>
      </c>
      <c r="L429" s="306" t="e">
        <f t="shared" si="95"/>
        <v>#N/A</v>
      </c>
      <c r="M429" s="305">
        <f>IF(G429=0,0,HLOOKUP(YEAR(G429)+(MONTH(G429)/100),TC!$5:$37,DAY(G429)+2,FALSE))</f>
        <v>0</v>
      </c>
      <c r="N429" s="306" t="e">
        <f t="shared" si="96"/>
        <v>#N/A</v>
      </c>
      <c r="O429" s="308">
        <f>IF(G429=0,0,VLOOKUP(YEAR(G429),INPC!$B$4:$P$30,MONTH(G429)+2))</f>
        <v>0</v>
      </c>
      <c r="P429" s="308">
        <f>IF(W429=0,0,IF(OR(C429=$AQ$5,C429=AQ433),VLOOKUP(YEAR(W429),INPC!$B$4:$P$30,MONTH(W429)+1),VLOOKUP(YEAR(W429),INPC!$B$4:$P$30,MONTH(W429)+2)))</f>
        <v>0</v>
      </c>
      <c r="Q429" s="309">
        <f t="shared" si="97"/>
        <v>0</v>
      </c>
      <c r="R429" s="310" t="e">
        <f t="shared" si="98"/>
        <v>#N/A</v>
      </c>
      <c r="S429" s="310">
        <f t="shared" si="99"/>
        <v>0</v>
      </c>
      <c r="T429" s="559" t="str">
        <f t="shared" si="100"/>
        <v>NO</v>
      </c>
      <c r="U429" s="323"/>
      <c r="V429" s="299"/>
      <c r="W429" s="300"/>
      <c r="X429" s="299"/>
      <c r="Y429" s="303"/>
      <c r="Z429" s="305">
        <f>IF(Y429=0,0,IF(X429="MXN",1/HLOOKUP(YEAR(W429)+(MONTH(W429)/100),TC!$5:$37,DAY(W429)+2,FALSE),VLOOKUP(X429,Equivalencia!$1:$23,((MAX(Equivalencia!$3:$3)-YEAR(W429))*14)+MONTH(W429)+2,FALSE)))</f>
        <v>0</v>
      </c>
      <c r="AA429" s="306">
        <f t="shared" si="101"/>
        <v>0</v>
      </c>
      <c r="AB429" s="305">
        <f>+IF(W429=0,0,HLOOKUP(YEAR(W429)+(MONTH(W429)/100),TC!$5:$37,DAY(W429)+2,FALSE))</f>
        <v>0</v>
      </c>
      <c r="AC429" s="306">
        <f t="shared" si="102"/>
        <v>0</v>
      </c>
      <c r="AD429" s="314">
        <f t="shared" si="93"/>
        <v>0</v>
      </c>
      <c r="AE429" s="315">
        <f t="shared" si="103"/>
        <v>0</v>
      </c>
      <c r="AF429" s="316">
        <f t="shared" si="94"/>
        <v>0</v>
      </c>
      <c r="AG429" s="314">
        <v>1</v>
      </c>
      <c r="AH429" s="314">
        <f t="shared" si="104"/>
        <v>0</v>
      </c>
      <c r="AI429" s="314">
        <f t="shared" si="105"/>
        <v>0</v>
      </c>
      <c r="AJ429" s="317"/>
      <c r="AK429" s="315" t="e">
        <f t="shared" si="106"/>
        <v>#N/A</v>
      </c>
      <c r="AM429" s="553"/>
      <c r="AN429" s="553"/>
      <c r="AO429" s="553"/>
    </row>
    <row r="430" spans="2:41">
      <c r="B430" s="296"/>
      <c r="C430" s="299"/>
      <c r="D430" s="296"/>
      <c r="E430" s="298"/>
      <c r="F430" s="299"/>
      <c r="G430" s="300"/>
      <c r="H430" s="303"/>
      <c r="I430" s="303"/>
      <c r="J430" s="322">
        <f t="shared" si="92"/>
        <v>0</v>
      </c>
      <c r="K430" s="305" t="e">
        <f>IF(F430="MXN",1/HLOOKUP(YEAR(G430)+(MONTH(G430)/100),TC!$5:$37,DAY(G430)+2,FALSE),VLOOKUP(F430,Equivalencia!$5:$23,((MAX(Equivalencia!$3:$3)-YEAR(G430))*14)+MONTH(G430)+2,FALSE))</f>
        <v>#N/A</v>
      </c>
      <c r="L430" s="306" t="e">
        <f t="shared" si="95"/>
        <v>#N/A</v>
      </c>
      <c r="M430" s="305">
        <f>IF(G430=0,0,HLOOKUP(YEAR(G430)+(MONTH(G430)/100),TC!$5:$37,DAY(G430)+2,FALSE))</f>
        <v>0</v>
      </c>
      <c r="N430" s="306" t="e">
        <f t="shared" si="96"/>
        <v>#N/A</v>
      </c>
      <c r="O430" s="308">
        <f>IF(G430=0,0,VLOOKUP(YEAR(G430),INPC!$B$4:$P$30,MONTH(G430)+2))</f>
        <v>0</v>
      </c>
      <c r="P430" s="308">
        <f>IF(W430=0,0,IF(OR(C430=$AQ$5,C430=AQ434),VLOOKUP(YEAR(W430),INPC!$B$4:$P$30,MONTH(W430)+1),VLOOKUP(YEAR(W430),INPC!$B$4:$P$30,MONTH(W430)+2)))</f>
        <v>0</v>
      </c>
      <c r="Q430" s="309">
        <f t="shared" si="97"/>
        <v>0</v>
      </c>
      <c r="R430" s="310" t="e">
        <f t="shared" si="98"/>
        <v>#N/A</v>
      </c>
      <c r="S430" s="310">
        <f t="shared" si="99"/>
        <v>0</v>
      </c>
      <c r="T430" s="559" t="str">
        <f t="shared" si="100"/>
        <v>NO</v>
      </c>
      <c r="U430" s="323"/>
      <c r="V430" s="299"/>
      <c r="W430" s="300"/>
      <c r="X430" s="299"/>
      <c r="Y430" s="303"/>
      <c r="Z430" s="305">
        <f>IF(Y430=0,0,IF(X430="MXN",1/HLOOKUP(YEAR(W430)+(MONTH(W430)/100),TC!$5:$37,DAY(W430)+2,FALSE),VLOOKUP(X430,Equivalencia!$1:$23,((MAX(Equivalencia!$3:$3)-YEAR(W430))*14)+MONTH(W430)+2,FALSE)))</f>
        <v>0</v>
      </c>
      <c r="AA430" s="306">
        <f t="shared" si="101"/>
        <v>0</v>
      </c>
      <c r="AB430" s="305">
        <f>+IF(W430=0,0,HLOOKUP(YEAR(W430)+(MONTH(W430)/100),TC!$5:$37,DAY(W430)+2,FALSE))</f>
        <v>0</v>
      </c>
      <c r="AC430" s="306">
        <f t="shared" si="102"/>
        <v>0</v>
      </c>
      <c r="AD430" s="314">
        <f t="shared" si="93"/>
        <v>0</v>
      </c>
      <c r="AE430" s="315">
        <f t="shared" si="103"/>
        <v>0</v>
      </c>
      <c r="AF430" s="316">
        <f t="shared" si="94"/>
        <v>0</v>
      </c>
      <c r="AG430" s="314">
        <v>1</v>
      </c>
      <c r="AH430" s="314">
        <f t="shared" si="104"/>
        <v>0</v>
      </c>
      <c r="AI430" s="314">
        <f t="shared" si="105"/>
        <v>0</v>
      </c>
      <c r="AJ430" s="317"/>
      <c r="AK430" s="315" t="e">
        <f t="shared" si="106"/>
        <v>#N/A</v>
      </c>
      <c r="AM430" s="553"/>
      <c r="AN430" s="553"/>
      <c r="AO430" s="553"/>
    </row>
    <row r="431" spans="2:41">
      <c r="B431" s="296"/>
      <c r="C431" s="299"/>
      <c r="D431" s="296"/>
      <c r="E431" s="298"/>
      <c r="F431" s="299"/>
      <c r="G431" s="300"/>
      <c r="H431" s="303"/>
      <c r="I431" s="303"/>
      <c r="J431" s="322">
        <f t="shared" si="92"/>
        <v>0</v>
      </c>
      <c r="K431" s="305" t="e">
        <f>IF(F431="MXN",1/HLOOKUP(YEAR(G431)+(MONTH(G431)/100),TC!$5:$37,DAY(G431)+2,FALSE),VLOOKUP(F431,Equivalencia!$5:$23,((MAX(Equivalencia!$3:$3)-YEAR(G431))*14)+MONTH(G431)+2,FALSE))</f>
        <v>#N/A</v>
      </c>
      <c r="L431" s="306" t="e">
        <f t="shared" si="95"/>
        <v>#N/A</v>
      </c>
      <c r="M431" s="305">
        <f>IF(G431=0,0,HLOOKUP(YEAR(G431)+(MONTH(G431)/100),TC!$5:$37,DAY(G431)+2,FALSE))</f>
        <v>0</v>
      </c>
      <c r="N431" s="306" t="e">
        <f t="shared" si="96"/>
        <v>#N/A</v>
      </c>
      <c r="O431" s="308">
        <f>IF(G431=0,0,VLOOKUP(YEAR(G431),INPC!$B$4:$P$30,MONTH(G431)+2))</f>
        <v>0</v>
      </c>
      <c r="P431" s="308">
        <f>IF(W431=0,0,IF(OR(C431=$AQ$5,C431=AQ435),VLOOKUP(YEAR(W431),INPC!$B$4:$P$30,MONTH(W431)+1),VLOOKUP(YEAR(W431),INPC!$B$4:$P$30,MONTH(W431)+2)))</f>
        <v>0</v>
      </c>
      <c r="Q431" s="309">
        <f t="shared" si="97"/>
        <v>0</v>
      </c>
      <c r="R431" s="310" t="e">
        <f t="shared" si="98"/>
        <v>#N/A</v>
      </c>
      <c r="S431" s="310">
        <f t="shared" si="99"/>
        <v>0</v>
      </c>
      <c r="T431" s="559" t="str">
        <f t="shared" si="100"/>
        <v>NO</v>
      </c>
      <c r="U431" s="323"/>
      <c r="V431" s="299"/>
      <c r="W431" s="300"/>
      <c r="X431" s="299"/>
      <c r="Y431" s="303"/>
      <c r="Z431" s="305">
        <f>IF(Y431=0,0,IF(X431="MXN",1/HLOOKUP(YEAR(W431)+(MONTH(W431)/100),TC!$5:$37,DAY(W431)+2,FALSE),VLOOKUP(X431,Equivalencia!$1:$23,((MAX(Equivalencia!$3:$3)-YEAR(W431))*14)+MONTH(W431)+2,FALSE)))</f>
        <v>0</v>
      </c>
      <c r="AA431" s="306">
        <f t="shared" si="101"/>
        <v>0</v>
      </c>
      <c r="AB431" s="305">
        <f>+IF(W431=0,0,HLOOKUP(YEAR(W431)+(MONTH(W431)/100),TC!$5:$37,DAY(W431)+2,FALSE))</f>
        <v>0</v>
      </c>
      <c r="AC431" s="306">
        <f t="shared" si="102"/>
        <v>0</v>
      </c>
      <c r="AD431" s="314">
        <f t="shared" si="93"/>
        <v>0</v>
      </c>
      <c r="AE431" s="315">
        <f t="shared" si="103"/>
        <v>0</v>
      </c>
      <c r="AF431" s="316">
        <f t="shared" si="94"/>
        <v>0</v>
      </c>
      <c r="AG431" s="314">
        <v>1</v>
      </c>
      <c r="AH431" s="314">
        <f t="shared" si="104"/>
        <v>0</v>
      </c>
      <c r="AI431" s="314">
        <f t="shared" si="105"/>
        <v>0</v>
      </c>
      <c r="AJ431" s="317"/>
      <c r="AK431" s="315" t="e">
        <f t="shared" si="106"/>
        <v>#N/A</v>
      </c>
      <c r="AM431" s="553"/>
      <c r="AN431" s="553"/>
      <c r="AO431" s="553"/>
    </row>
    <row r="432" spans="2:41">
      <c r="B432" s="296"/>
      <c r="C432" s="299"/>
      <c r="D432" s="296"/>
      <c r="E432" s="298"/>
      <c r="F432" s="299"/>
      <c r="G432" s="300"/>
      <c r="H432" s="303"/>
      <c r="I432" s="303"/>
      <c r="J432" s="322">
        <f t="shared" si="92"/>
        <v>0</v>
      </c>
      <c r="K432" s="305" t="e">
        <f>IF(F432="MXN",1/HLOOKUP(YEAR(G432)+(MONTH(G432)/100),TC!$5:$37,DAY(G432)+2,FALSE),VLOOKUP(F432,Equivalencia!$5:$23,((MAX(Equivalencia!$3:$3)-YEAR(G432))*14)+MONTH(G432)+2,FALSE))</f>
        <v>#N/A</v>
      </c>
      <c r="L432" s="306" t="e">
        <f t="shared" si="95"/>
        <v>#N/A</v>
      </c>
      <c r="M432" s="305">
        <f>IF(G432=0,0,HLOOKUP(YEAR(G432)+(MONTH(G432)/100),TC!$5:$37,DAY(G432)+2,FALSE))</f>
        <v>0</v>
      </c>
      <c r="N432" s="306" t="e">
        <f t="shared" si="96"/>
        <v>#N/A</v>
      </c>
      <c r="O432" s="308">
        <f>IF(G432=0,0,VLOOKUP(YEAR(G432),INPC!$B$4:$P$30,MONTH(G432)+2))</f>
        <v>0</v>
      </c>
      <c r="P432" s="308">
        <f>IF(W432=0,0,IF(OR(C432=$AQ$5,C432=AQ436),VLOOKUP(YEAR(W432),INPC!$B$4:$P$30,MONTH(W432)+1),VLOOKUP(YEAR(W432),INPC!$B$4:$P$30,MONTH(W432)+2)))</f>
        <v>0</v>
      </c>
      <c r="Q432" s="309">
        <f t="shared" si="97"/>
        <v>0</v>
      </c>
      <c r="R432" s="310" t="e">
        <f t="shared" si="98"/>
        <v>#N/A</v>
      </c>
      <c r="S432" s="310">
        <f t="shared" si="99"/>
        <v>0</v>
      </c>
      <c r="T432" s="559" t="str">
        <f t="shared" si="100"/>
        <v>NO</v>
      </c>
      <c r="U432" s="323"/>
      <c r="V432" s="299"/>
      <c r="W432" s="300"/>
      <c r="X432" s="299"/>
      <c r="Y432" s="303"/>
      <c r="Z432" s="305">
        <f>IF(Y432=0,0,IF(X432="MXN",1/HLOOKUP(YEAR(W432)+(MONTH(W432)/100),TC!$5:$37,DAY(W432)+2,FALSE),VLOOKUP(X432,Equivalencia!$1:$23,((MAX(Equivalencia!$3:$3)-YEAR(W432))*14)+MONTH(W432)+2,FALSE)))</f>
        <v>0</v>
      </c>
      <c r="AA432" s="306">
        <f t="shared" si="101"/>
        <v>0</v>
      </c>
      <c r="AB432" s="305">
        <f>+IF(W432=0,0,HLOOKUP(YEAR(W432)+(MONTH(W432)/100),TC!$5:$37,DAY(W432)+2,FALSE))</f>
        <v>0</v>
      </c>
      <c r="AC432" s="306">
        <f t="shared" si="102"/>
        <v>0</v>
      </c>
      <c r="AD432" s="314">
        <f t="shared" si="93"/>
        <v>0</v>
      </c>
      <c r="AE432" s="315">
        <f t="shared" si="103"/>
        <v>0</v>
      </c>
      <c r="AF432" s="316">
        <f t="shared" si="94"/>
        <v>0</v>
      </c>
      <c r="AG432" s="314">
        <v>1</v>
      </c>
      <c r="AH432" s="314">
        <f t="shared" si="104"/>
        <v>0</v>
      </c>
      <c r="AI432" s="314">
        <f t="shared" si="105"/>
        <v>0</v>
      </c>
      <c r="AJ432" s="317"/>
      <c r="AK432" s="315" t="e">
        <f t="shared" si="106"/>
        <v>#N/A</v>
      </c>
      <c r="AM432" s="553"/>
      <c r="AN432" s="553"/>
      <c r="AO432" s="553"/>
    </row>
    <row r="433" spans="2:41">
      <c r="B433" s="296"/>
      <c r="C433" s="299"/>
      <c r="D433" s="296"/>
      <c r="E433" s="298"/>
      <c r="F433" s="299"/>
      <c r="G433" s="300"/>
      <c r="H433" s="303"/>
      <c r="I433" s="303"/>
      <c r="J433" s="322">
        <f t="shared" si="92"/>
        <v>0</v>
      </c>
      <c r="K433" s="305" t="e">
        <f>IF(F433="MXN",1/HLOOKUP(YEAR(G433)+(MONTH(G433)/100),TC!$5:$37,DAY(G433)+2,FALSE),VLOOKUP(F433,Equivalencia!$5:$23,((MAX(Equivalencia!$3:$3)-YEAR(G433))*14)+MONTH(G433)+2,FALSE))</f>
        <v>#N/A</v>
      </c>
      <c r="L433" s="306" t="e">
        <f t="shared" si="95"/>
        <v>#N/A</v>
      </c>
      <c r="M433" s="305">
        <f>IF(G433=0,0,HLOOKUP(YEAR(G433)+(MONTH(G433)/100),TC!$5:$37,DAY(G433)+2,FALSE))</f>
        <v>0</v>
      </c>
      <c r="N433" s="306" t="e">
        <f t="shared" si="96"/>
        <v>#N/A</v>
      </c>
      <c r="O433" s="308">
        <f>IF(G433=0,0,VLOOKUP(YEAR(G433),INPC!$B$4:$P$30,MONTH(G433)+2))</f>
        <v>0</v>
      </c>
      <c r="P433" s="308">
        <f>IF(W433=0,0,IF(OR(C433=$AQ$5,C433=AQ437),VLOOKUP(YEAR(W433),INPC!$B$4:$P$30,MONTH(W433)+1),VLOOKUP(YEAR(W433),INPC!$B$4:$P$30,MONTH(W433)+2)))</f>
        <v>0</v>
      </c>
      <c r="Q433" s="309">
        <f t="shared" si="97"/>
        <v>0</v>
      </c>
      <c r="R433" s="310" t="e">
        <f t="shared" si="98"/>
        <v>#N/A</v>
      </c>
      <c r="S433" s="310">
        <f t="shared" si="99"/>
        <v>0</v>
      </c>
      <c r="T433" s="559" t="str">
        <f t="shared" si="100"/>
        <v>NO</v>
      </c>
      <c r="U433" s="323"/>
      <c r="V433" s="299"/>
      <c r="W433" s="300"/>
      <c r="X433" s="299"/>
      <c r="Y433" s="303"/>
      <c r="Z433" s="305">
        <f>IF(Y433=0,0,IF(X433="MXN",1/HLOOKUP(YEAR(W433)+(MONTH(W433)/100),TC!$5:$37,DAY(W433)+2,FALSE),VLOOKUP(X433,Equivalencia!$1:$23,((MAX(Equivalencia!$3:$3)-YEAR(W433))*14)+MONTH(W433)+2,FALSE)))</f>
        <v>0</v>
      </c>
      <c r="AA433" s="306">
        <f t="shared" si="101"/>
        <v>0</v>
      </c>
      <c r="AB433" s="305">
        <f>+IF(W433=0,0,HLOOKUP(YEAR(W433)+(MONTH(W433)/100),TC!$5:$37,DAY(W433)+2,FALSE))</f>
        <v>0</v>
      </c>
      <c r="AC433" s="306">
        <f t="shared" si="102"/>
        <v>0</v>
      </c>
      <c r="AD433" s="314">
        <f t="shared" si="93"/>
        <v>0</v>
      </c>
      <c r="AE433" s="315">
        <f t="shared" si="103"/>
        <v>0</v>
      </c>
      <c r="AF433" s="316">
        <f t="shared" si="94"/>
        <v>0</v>
      </c>
      <c r="AG433" s="314">
        <v>1</v>
      </c>
      <c r="AH433" s="314">
        <f t="shared" si="104"/>
        <v>0</v>
      </c>
      <c r="AI433" s="314">
        <f t="shared" si="105"/>
        <v>0</v>
      </c>
      <c r="AJ433" s="317"/>
      <c r="AK433" s="315" t="e">
        <f t="shared" si="106"/>
        <v>#N/A</v>
      </c>
      <c r="AM433" s="553"/>
      <c r="AN433" s="553"/>
      <c r="AO433" s="553"/>
    </row>
    <row r="434" spans="2:41">
      <c r="B434" s="296"/>
      <c r="C434" s="299"/>
      <c r="D434" s="296"/>
      <c r="E434" s="298"/>
      <c r="F434" s="299"/>
      <c r="G434" s="300"/>
      <c r="H434" s="303"/>
      <c r="I434" s="303"/>
      <c r="J434" s="322">
        <f t="shared" si="92"/>
        <v>0</v>
      </c>
      <c r="K434" s="305" t="e">
        <f>IF(F434="MXN",1/HLOOKUP(YEAR(G434)+(MONTH(G434)/100),TC!$5:$37,DAY(G434)+2,FALSE),VLOOKUP(F434,Equivalencia!$5:$23,((MAX(Equivalencia!$3:$3)-YEAR(G434))*14)+MONTH(G434)+2,FALSE))</f>
        <v>#N/A</v>
      </c>
      <c r="L434" s="306" t="e">
        <f t="shared" si="95"/>
        <v>#N/A</v>
      </c>
      <c r="M434" s="305">
        <f>IF(G434=0,0,HLOOKUP(YEAR(G434)+(MONTH(G434)/100),TC!$5:$37,DAY(G434)+2,FALSE))</f>
        <v>0</v>
      </c>
      <c r="N434" s="306" t="e">
        <f t="shared" si="96"/>
        <v>#N/A</v>
      </c>
      <c r="O434" s="308">
        <f>IF(G434=0,0,VLOOKUP(YEAR(G434),INPC!$B$4:$P$30,MONTH(G434)+2))</f>
        <v>0</v>
      </c>
      <c r="P434" s="308">
        <f>IF(W434=0,0,IF(OR(C434=$AQ$5,C434=AQ438),VLOOKUP(YEAR(W434),INPC!$B$4:$P$30,MONTH(W434)+1),VLOOKUP(YEAR(W434),INPC!$B$4:$P$30,MONTH(W434)+2)))</f>
        <v>0</v>
      </c>
      <c r="Q434" s="309">
        <f t="shared" si="97"/>
        <v>0</v>
      </c>
      <c r="R434" s="310" t="e">
        <f t="shared" si="98"/>
        <v>#N/A</v>
      </c>
      <c r="S434" s="310">
        <f t="shared" si="99"/>
        <v>0</v>
      </c>
      <c r="T434" s="559" t="str">
        <f t="shared" si="100"/>
        <v>NO</v>
      </c>
      <c r="U434" s="323"/>
      <c r="V434" s="299"/>
      <c r="W434" s="300"/>
      <c r="X434" s="299"/>
      <c r="Y434" s="303"/>
      <c r="Z434" s="305">
        <f>IF(Y434=0,0,IF(X434="MXN",1/HLOOKUP(YEAR(W434)+(MONTH(W434)/100),TC!$5:$37,DAY(W434)+2,FALSE),VLOOKUP(X434,Equivalencia!$1:$23,((MAX(Equivalencia!$3:$3)-YEAR(W434))*14)+MONTH(W434)+2,FALSE)))</f>
        <v>0</v>
      </c>
      <c r="AA434" s="306">
        <f t="shared" si="101"/>
        <v>0</v>
      </c>
      <c r="AB434" s="305">
        <f>+IF(W434=0,0,HLOOKUP(YEAR(W434)+(MONTH(W434)/100),TC!$5:$37,DAY(W434)+2,FALSE))</f>
        <v>0</v>
      </c>
      <c r="AC434" s="306">
        <f t="shared" si="102"/>
        <v>0</v>
      </c>
      <c r="AD434" s="314">
        <f t="shared" si="93"/>
        <v>0</v>
      </c>
      <c r="AE434" s="315">
        <f t="shared" si="103"/>
        <v>0</v>
      </c>
      <c r="AF434" s="316">
        <f t="shared" si="94"/>
        <v>0</v>
      </c>
      <c r="AG434" s="314">
        <v>1</v>
      </c>
      <c r="AH434" s="314">
        <f t="shared" si="104"/>
        <v>0</v>
      </c>
      <c r="AI434" s="314">
        <f t="shared" si="105"/>
        <v>0</v>
      </c>
      <c r="AJ434" s="317"/>
      <c r="AK434" s="315" t="e">
        <f t="shared" si="106"/>
        <v>#N/A</v>
      </c>
      <c r="AM434" s="553"/>
      <c r="AN434" s="553"/>
      <c r="AO434" s="553"/>
    </row>
    <row r="435" spans="2:41">
      <c r="B435" s="296"/>
      <c r="C435" s="299"/>
      <c r="D435" s="296"/>
      <c r="E435" s="298"/>
      <c r="F435" s="299"/>
      <c r="G435" s="300"/>
      <c r="H435" s="303"/>
      <c r="I435" s="303"/>
      <c r="J435" s="322">
        <f t="shared" si="92"/>
        <v>0</v>
      </c>
      <c r="K435" s="305" t="e">
        <f>IF(F435="MXN",1/HLOOKUP(YEAR(G435)+(MONTH(G435)/100),TC!$5:$37,DAY(G435)+2,FALSE),VLOOKUP(F435,Equivalencia!$5:$23,((MAX(Equivalencia!$3:$3)-YEAR(G435))*14)+MONTH(G435)+2,FALSE))</f>
        <v>#N/A</v>
      </c>
      <c r="L435" s="306" t="e">
        <f t="shared" si="95"/>
        <v>#N/A</v>
      </c>
      <c r="M435" s="305">
        <f>IF(G435=0,0,HLOOKUP(YEAR(G435)+(MONTH(G435)/100),TC!$5:$37,DAY(G435)+2,FALSE))</f>
        <v>0</v>
      </c>
      <c r="N435" s="306" t="e">
        <f t="shared" si="96"/>
        <v>#N/A</v>
      </c>
      <c r="O435" s="308">
        <f>IF(G435=0,0,VLOOKUP(YEAR(G435),INPC!$B$4:$P$30,MONTH(G435)+2))</f>
        <v>0</v>
      </c>
      <c r="P435" s="308">
        <f>IF(W435=0,0,IF(OR(C435=$AQ$5,C435=AQ439),VLOOKUP(YEAR(W435),INPC!$B$4:$P$30,MONTH(W435)+1),VLOOKUP(YEAR(W435),INPC!$B$4:$P$30,MONTH(W435)+2)))</f>
        <v>0</v>
      </c>
      <c r="Q435" s="309">
        <f t="shared" si="97"/>
        <v>0</v>
      </c>
      <c r="R435" s="310" t="e">
        <f t="shared" si="98"/>
        <v>#N/A</v>
      </c>
      <c r="S435" s="310">
        <f t="shared" si="99"/>
        <v>0</v>
      </c>
      <c r="T435" s="559" t="str">
        <f t="shared" si="100"/>
        <v>NO</v>
      </c>
      <c r="U435" s="323"/>
      <c r="V435" s="299"/>
      <c r="W435" s="300"/>
      <c r="X435" s="299"/>
      <c r="Y435" s="303"/>
      <c r="Z435" s="305">
        <f>IF(Y435=0,0,IF(X435="MXN",1/HLOOKUP(YEAR(W435)+(MONTH(W435)/100),TC!$5:$37,DAY(W435)+2,FALSE),VLOOKUP(X435,Equivalencia!$1:$23,((MAX(Equivalencia!$3:$3)-YEAR(W435))*14)+MONTH(W435)+2,FALSE)))</f>
        <v>0</v>
      </c>
      <c r="AA435" s="306">
        <f t="shared" si="101"/>
        <v>0</v>
      </c>
      <c r="AB435" s="305">
        <f>+IF(W435=0,0,HLOOKUP(YEAR(W435)+(MONTH(W435)/100),TC!$5:$37,DAY(W435)+2,FALSE))</f>
        <v>0</v>
      </c>
      <c r="AC435" s="306">
        <f t="shared" si="102"/>
        <v>0</v>
      </c>
      <c r="AD435" s="314">
        <f t="shared" si="93"/>
        <v>0</v>
      </c>
      <c r="AE435" s="315">
        <f t="shared" si="103"/>
        <v>0</v>
      </c>
      <c r="AF435" s="316">
        <f t="shared" si="94"/>
        <v>0</v>
      </c>
      <c r="AG435" s="314">
        <v>1</v>
      </c>
      <c r="AH435" s="314">
        <f t="shared" si="104"/>
        <v>0</v>
      </c>
      <c r="AI435" s="314">
        <f t="shared" si="105"/>
        <v>0</v>
      </c>
      <c r="AJ435" s="317"/>
      <c r="AK435" s="315" t="e">
        <f t="shared" si="106"/>
        <v>#N/A</v>
      </c>
      <c r="AM435" s="553"/>
      <c r="AN435" s="553"/>
      <c r="AO435" s="553"/>
    </row>
    <row r="436" spans="2:41">
      <c r="B436" s="296"/>
      <c r="C436" s="299"/>
      <c r="D436" s="296"/>
      <c r="E436" s="298"/>
      <c r="F436" s="299"/>
      <c r="G436" s="300"/>
      <c r="H436" s="303"/>
      <c r="I436" s="303"/>
      <c r="J436" s="322">
        <f t="shared" si="92"/>
        <v>0</v>
      </c>
      <c r="K436" s="305" t="e">
        <f>IF(F436="MXN",1/HLOOKUP(YEAR(G436)+(MONTH(G436)/100),TC!$5:$37,DAY(G436)+2,FALSE),VLOOKUP(F436,Equivalencia!$5:$23,((MAX(Equivalencia!$3:$3)-YEAR(G436))*14)+MONTH(G436)+2,FALSE))</f>
        <v>#N/A</v>
      </c>
      <c r="L436" s="306" t="e">
        <f t="shared" si="95"/>
        <v>#N/A</v>
      </c>
      <c r="M436" s="305">
        <f>IF(G436=0,0,HLOOKUP(YEAR(G436)+(MONTH(G436)/100),TC!$5:$37,DAY(G436)+2,FALSE))</f>
        <v>0</v>
      </c>
      <c r="N436" s="306" t="e">
        <f t="shared" si="96"/>
        <v>#N/A</v>
      </c>
      <c r="O436" s="308">
        <f>IF(G436=0,0,VLOOKUP(YEAR(G436),INPC!$B$4:$P$30,MONTH(G436)+2))</f>
        <v>0</v>
      </c>
      <c r="P436" s="308">
        <f>IF(W436=0,0,IF(OR(C436=$AQ$5,C436=AQ440),VLOOKUP(YEAR(W436),INPC!$B$4:$P$30,MONTH(W436)+1),VLOOKUP(YEAR(W436),INPC!$B$4:$P$30,MONTH(W436)+2)))</f>
        <v>0</v>
      </c>
      <c r="Q436" s="309">
        <f t="shared" si="97"/>
        <v>0</v>
      </c>
      <c r="R436" s="310" t="e">
        <f t="shared" si="98"/>
        <v>#N/A</v>
      </c>
      <c r="S436" s="310">
        <f t="shared" si="99"/>
        <v>0</v>
      </c>
      <c r="T436" s="559" t="str">
        <f t="shared" si="100"/>
        <v>NO</v>
      </c>
      <c r="U436" s="323"/>
      <c r="V436" s="299"/>
      <c r="W436" s="300"/>
      <c r="X436" s="299"/>
      <c r="Y436" s="303"/>
      <c r="Z436" s="305">
        <f>IF(Y436=0,0,IF(X436="MXN",1/HLOOKUP(YEAR(W436)+(MONTH(W436)/100),TC!$5:$37,DAY(W436)+2,FALSE),VLOOKUP(X436,Equivalencia!$1:$23,((MAX(Equivalencia!$3:$3)-YEAR(W436))*14)+MONTH(W436)+2,FALSE)))</f>
        <v>0</v>
      </c>
      <c r="AA436" s="306">
        <f t="shared" si="101"/>
        <v>0</v>
      </c>
      <c r="AB436" s="305">
        <f>+IF(W436=0,0,HLOOKUP(YEAR(W436)+(MONTH(W436)/100),TC!$5:$37,DAY(W436)+2,FALSE))</f>
        <v>0</v>
      </c>
      <c r="AC436" s="306">
        <f t="shared" si="102"/>
        <v>0</v>
      </c>
      <c r="AD436" s="314">
        <f t="shared" si="93"/>
        <v>0</v>
      </c>
      <c r="AE436" s="315">
        <f t="shared" si="103"/>
        <v>0</v>
      </c>
      <c r="AF436" s="316">
        <f t="shared" si="94"/>
        <v>0</v>
      </c>
      <c r="AG436" s="314">
        <v>1</v>
      </c>
      <c r="AH436" s="314">
        <f t="shared" si="104"/>
        <v>0</v>
      </c>
      <c r="AI436" s="314">
        <f t="shared" si="105"/>
        <v>0</v>
      </c>
      <c r="AJ436" s="317"/>
      <c r="AK436" s="315" t="e">
        <f t="shared" si="106"/>
        <v>#N/A</v>
      </c>
      <c r="AM436" s="553"/>
      <c r="AN436" s="553"/>
      <c r="AO436" s="553"/>
    </row>
    <row r="437" spans="2:41">
      <c r="B437" s="296"/>
      <c r="C437" s="299"/>
      <c r="D437" s="296"/>
      <c r="E437" s="298"/>
      <c r="F437" s="299"/>
      <c r="G437" s="300"/>
      <c r="H437" s="303"/>
      <c r="I437" s="303"/>
      <c r="J437" s="322">
        <f t="shared" si="92"/>
        <v>0</v>
      </c>
      <c r="K437" s="305" t="e">
        <f>IF(F437="MXN",1/HLOOKUP(YEAR(G437)+(MONTH(G437)/100),TC!$5:$37,DAY(G437)+2,FALSE),VLOOKUP(F437,Equivalencia!$5:$23,((MAX(Equivalencia!$3:$3)-YEAR(G437))*14)+MONTH(G437)+2,FALSE))</f>
        <v>#N/A</v>
      </c>
      <c r="L437" s="306" t="e">
        <f t="shared" si="95"/>
        <v>#N/A</v>
      </c>
      <c r="M437" s="305">
        <f>IF(G437=0,0,HLOOKUP(YEAR(G437)+(MONTH(G437)/100),TC!$5:$37,DAY(G437)+2,FALSE))</f>
        <v>0</v>
      </c>
      <c r="N437" s="306" t="e">
        <f t="shared" si="96"/>
        <v>#N/A</v>
      </c>
      <c r="O437" s="308">
        <f>IF(G437=0,0,VLOOKUP(YEAR(G437),INPC!$B$4:$P$30,MONTH(G437)+2))</f>
        <v>0</v>
      </c>
      <c r="P437" s="308">
        <f>IF(W437=0,0,IF(OR(C437=$AQ$5,C437=AQ441),VLOOKUP(YEAR(W437),INPC!$B$4:$P$30,MONTH(W437)+1),VLOOKUP(YEAR(W437),INPC!$B$4:$P$30,MONTH(W437)+2)))</f>
        <v>0</v>
      </c>
      <c r="Q437" s="309">
        <f t="shared" si="97"/>
        <v>0</v>
      </c>
      <c r="R437" s="310" t="e">
        <f t="shared" si="98"/>
        <v>#N/A</v>
      </c>
      <c r="S437" s="310">
        <f t="shared" si="99"/>
        <v>0</v>
      </c>
      <c r="T437" s="559" t="str">
        <f t="shared" si="100"/>
        <v>NO</v>
      </c>
      <c r="U437" s="323"/>
      <c r="V437" s="299"/>
      <c r="W437" s="300"/>
      <c r="X437" s="299"/>
      <c r="Y437" s="303"/>
      <c r="Z437" s="305">
        <f>IF(Y437=0,0,IF(X437="MXN",1/HLOOKUP(YEAR(W437)+(MONTH(W437)/100),TC!$5:$37,DAY(W437)+2,FALSE),VLOOKUP(X437,Equivalencia!$1:$23,((MAX(Equivalencia!$3:$3)-YEAR(W437))*14)+MONTH(W437)+2,FALSE)))</f>
        <v>0</v>
      </c>
      <c r="AA437" s="306">
        <f t="shared" si="101"/>
        <v>0</v>
      </c>
      <c r="AB437" s="305">
        <f>+IF(W437=0,0,HLOOKUP(YEAR(W437)+(MONTH(W437)/100),TC!$5:$37,DAY(W437)+2,FALSE))</f>
        <v>0</v>
      </c>
      <c r="AC437" s="306">
        <f t="shared" si="102"/>
        <v>0</v>
      </c>
      <c r="AD437" s="314">
        <f t="shared" si="93"/>
        <v>0</v>
      </c>
      <c r="AE437" s="315">
        <f t="shared" si="103"/>
        <v>0</v>
      </c>
      <c r="AF437" s="316">
        <f t="shared" si="94"/>
        <v>0</v>
      </c>
      <c r="AG437" s="314">
        <v>1</v>
      </c>
      <c r="AH437" s="314">
        <f t="shared" si="104"/>
        <v>0</v>
      </c>
      <c r="AI437" s="314">
        <f t="shared" si="105"/>
        <v>0</v>
      </c>
      <c r="AJ437" s="317"/>
      <c r="AK437" s="315" t="e">
        <f t="shared" si="106"/>
        <v>#N/A</v>
      </c>
      <c r="AM437" s="553"/>
      <c r="AN437" s="553"/>
      <c r="AO437" s="553"/>
    </row>
    <row r="438" spans="2:41">
      <c r="B438" s="296"/>
      <c r="C438" s="299"/>
      <c r="D438" s="296"/>
      <c r="E438" s="298"/>
      <c r="F438" s="299"/>
      <c r="G438" s="300"/>
      <c r="H438" s="303"/>
      <c r="I438" s="303"/>
      <c r="J438" s="322">
        <f t="shared" si="92"/>
        <v>0</v>
      </c>
      <c r="K438" s="305" t="e">
        <f>IF(F438="MXN",1/HLOOKUP(YEAR(G438)+(MONTH(G438)/100),TC!$5:$37,DAY(G438)+2,FALSE),VLOOKUP(F438,Equivalencia!$5:$23,((MAX(Equivalencia!$3:$3)-YEAR(G438))*14)+MONTH(G438)+2,FALSE))</f>
        <v>#N/A</v>
      </c>
      <c r="L438" s="306" t="e">
        <f t="shared" si="95"/>
        <v>#N/A</v>
      </c>
      <c r="M438" s="305">
        <f>IF(G438=0,0,HLOOKUP(YEAR(G438)+(MONTH(G438)/100),TC!$5:$37,DAY(G438)+2,FALSE))</f>
        <v>0</v>
      </c>
      <c r="N438" s="306" t="e">
        <f t="shared" si="96"/>
        <v>#N/A</v>
      </c>
      <c r="O438" s="308">
        <f>IF(G438=0,0,VLOOKUP(YEAR(G438),INPC!$B$4:$P$30,MONTH(G438)+2))</f>
        <v>0</v>
      </c>
      <c r="P438" s="308">
        <f>IF(W438=0,0,IF(OR(C438=$AQ$5,C438=AQ442),VLOOKUP(YEAR(W438),INPC!$B$4:$P$30,MONTH(W438)+1),VLOOKUP(YEAR(W438),INPC!$B$4:$P$30,MONTH(W438)+2)))</f>
        <v>0</v>
      </c>
      <c r="Q438" s="309">
        <f t="shared" si="97"/>
        <v>0</v>
      </c>
      <c r="R438" s="310" t="e">
        <f t="shared" si="98"/>
        <v>#N/A</v>
      </c>
      <c r="S438" s="310">
        <f t="shared" si="99"/>
        <v>0</v>
      </c>
      <c r="T438" s="559" t="str">
        <f t="shared" si="100"/>
        <v>NO</v>
      </c>
      <c r="U438" s="323"/>
      <c r="V438" s="299"/>
      <c r="W438" s="300"/>
      <c r="X438" s="299"/>
      <c r="Y438" s="303"/>
      <c r="Z438" s="305">
        <f>IF(Y438=0,0,IF(X438="MXN",1/HLOOKUP(YEAR(W438)+(MONTH(W438)/100),TC!$5:$37,DAY(W438)+2,FALSE),VLOOKUP(X438,Equivalencia!$1:$23,((MAX(Equivalencia!$3:$3)-YEAR(W438))*14)+MONTH(W438)+2,FALSE)))</f>
        <v>0</v>
      </c>
      <c r="AA438" s="306">
        <f t="shared" si="101"/>
        <v>0</v>
      </c>
      <c r="AB438" s="305">
        <f>+IF(W438=0,0,HLOOKUP(YEAR(W438)+(MONTH(W438)/100),TC!$5:$37,DAY(W438)+2,FALSE))</f>
        <v>0</v>
      </c>
      <c r="AC438" s="306">
        <f t="shared" si="102"/>
        <v>0</v>
      </c>
      <c r="AD438" s="314">
        <f t="shared" si="93"/>
        <v>0</v>
      </c>
      <c r="AE438" s="315">
        <f t="shared" si="103"/>
        <v>0</v>
      </c>
      <c r="AF438" s="316">
        <f t="shared" si="94"/>
        <v>0</v>
      </c>
      <c r="AG438" s="314">
        <v>1</v>
      </c>
      <c r="AH438" s="314">
        <f t="shared" si="104"/>
        <v>0</v>
      </c>
      <c r="AI438" s="314">
        <f t="shared" si="105"/>
        <v>0</v>
      </c>
      <c r="AJ438" s="317"/>
      <c r="AK438" s="315" t="e">
        <f t="shared" si="106"/>
        <v>#N/A</v>
      </c>
      <c r="AM438" s="553"/>
      <c r="AN438" s="553"/>
      <c r="AO438" s="553"/>
    </row>
    <row r="439" spans="2:41">
      <c r="B439" s="296"/>
      <c r="C439" s="299"/>
      <c r="D439" s="296"/>
      <c r="E439" s="298"/>
      <c r="F439" s="299"/>
      <c r="G439" s="300"/>
      <c r="H439" s="303"/>
      <c r="I439" s="303"/>
      <c r="J439" s="322">
        <f t="shared" si="92"/>
        <v>0</v>
      </c>
      <c r="K439" s="305" t="e">
        <f>IF(F439="MXN",1/HLOOKUP(YEAR(G439)+(MONTH(G439)/100),TC!$5:$37,DAY(G439)+2,FALSE),VLOOKUP(F439,Equivalencia!$5:$23,((MAX(Equivalencia!$3:$3)-YEAR(G439))*14)+MONTH(G439)+2,FALSE))</f>
        <v>#N/A</v>
      </c>
      <c r="L439" s="306" t="e">
        <f t="shared" si="95"/>
        <v>#N/A</v>
      </c>
      <c r="M439" s="305">
        <f>IF(G439=0,0,HLOOKUP(YEAR(G439)+(MONTH(G439)/100),TC!$5:$37,DAY(G439)+2,FALSE))</f>
        <v>0</v>
      </c>
      <c r="N439" s="306" t="e">
        <f t="shared" si="96"/>
        <v>#N/A</v>
      </c>
      <c r="O439" s="308">
        <f>IF(G439=0,0,VLOOKUP(YEAR(G439),INPC!$B$4:$P$30,MONTH(G439)+2))</f>
        <v>0</v>
      </c>
      <c r="P439" s="308">
        <f>IF(W439=0,0,IF(OR(C439=$AQ$5,C439=AQ443),VLOOKUP(YEAR(W439),INPC!$B$4:$P$30,MONTH(W439)+1),VLOOKUP(YEAR(W439),INPC!$B$4:$P$30,MONTH(W439)+2)))</f>
        <v>0</v>
      </c>
      <c r="Q439" s="309">
        <f t="shared" si="97"/>
        <v>0</v>
      </c>
      <c r="R439" s="310" t="e">
        <f t="shared" si="98"/>
        <v>#N/A</v>
      </c>
      <c r="S439" s="310">
        <f t="shared" si="99"/>
        <v>0</v>
      </c>
      <c r="T439" s="559" t="str">
        <f t="shared" si="100"/>
        <v>NO</v>
      </c>
      <c r="U439" s="323"/>
      <c r="V439" s="299"/>
      <c r="W439" s="300"/>
      <c r="X439" s="299"/>
      <c r="Y439" s="303"/>
      <c r="Z439" s="305">
        <f>IF(Y439=0,0,IF(X439="MXN",1/HLOOKUP(YEAR(W439)+(MONTH(W439)/100),TC!$5:$37,DAY(W439)+2,FALSE),VLOOKUP(X439,Equivalencia!$1:$23,((MAX(Equivalencia!$3:$3)-YEAR(W439))*14)+MONTH(W439)+2,FALSE)))</f>
        <v>0</v>
      </c>
      <c r="AA439" s="306">
        <f t="shared" si="101"/>
        <v>0</v>
      </c>
      <c r="AB439" s="305">
        <f>+IF(W439=0,0,HLOOKUP(YEAR(W439)+(MONTH(W439)/100),TC!$5:$37,DAY(W439)+2,FALSE))</f>
        <v>0</v>
      </c>
      <c r="AC439" s="306">
        <f t="shared" si="102"/>
        <v>0</v>
      </c>
      <c r="AD439" s="314">
        <f t="shared" si="93"/>
        <v>0</v>
      </c>
      <c r="AE439" s="315">
        <f t="shared" si="103"/>
        <v>0</v>
      </c>
      <c r="AF439" s="316">
        <f t="shared" si="94"/>
        <v>0</v>
      </c>
      <c r="AG439" s="314">
        <v>1</v>
      </c>
      <c r="AH439" s="314">
        <f t="shared" si="104"/>
        <v>0</v>
      </c>
      <c r="AI439" s="314">
        <f t="shared" si="105"/>
        <v>0</v>
      </c>
      <c r="AJ439" s="317"/>
      <c r="AK439" s="315" t="e">
        <f t="shared" si="106"/>
        <v>#N/A</v>
      </c>
      <c r="AM439" s="553"/>
      <c r="AN439" s="553"/>
      <c r="AO439" s="553"/>
    </row>
    <row r="440" spans="2:41">
      <c r="B440" s="296"/>
      <c r="C440" s="299"/>
      <c r="D440" s="296"/>
      <c r="E440" s="298"/>
      <c r="F440" s="299"/>
      <c r="G440" s="300"/>
      <c r="H440" s="303"/>
      <c r="I440" s="303"/>
      <c r="J440" s="322">
        <f t="shared" si="92"/>
        <v>0</v>
      </c>
      <c r="K440" s="305" t="e">
        <f>IF(F440="MXN",1/HLOOKUP(YEAR(G440)+(MONTH(G440)/100),TC!$5:$37,DAY(G440)+2,FALSE),VLOOKUP(F440,Equivalencia!$5:$23,((MAX(Equivalencia!$3:$3)-YEAR(G440))*14)+MONTH(G440)+2,FALSE))</f>
        <v>#N/A</v>
      </c>
      <c r="L440" s="306" t="e">
        <f t="shared" si="95"/>
        <v>#N/A</v>
      </c>
      <c r="M440" s="305">
        <f>IF(G440=0,0,HLOOKUP(YEAR(G440)+(MONTH(G440)/100),TC!$5:$37,DAY(G440)+2,FALSE))</f>
        <v>0</v>
      </c>
      <c r="N440" s="306" t="e">
        <f t="shared" si="96"/>
        <v>#N/A</v>
      </c>
      <c r="O440" s="308">
        <f>IF(G440=0,0,VLOOKUP(YEAR(G440),INPC!$B$4:$P$30,MONTH(G440)+2))</f>
        <v>0</v>
      </c>
      <c r="P440" s="308">
        <f>IF(W440=0,0,IF(OR(C440=$AQ$5,C440=AQ444),VLOOKUP(YEAR(W440),INPC!$B$4:$P$30,MONTH(W440)+1),VLOOKUP(YEAR(W440),INPC!$B$4:$P$30,MONTH(W440)+2)))</f>
        <v>0</v>
      </c>
      <c r="Q440" s="309">
        <f t="shared" si="97"/>
        <v>0</v>
      </c>
      <c r="R440" s="310" t="e">
        <f t="shared" si="98"/>
        <v>#N/A</v>
      </c>
      <c r="S440" s="310">
        <f t="shared" si="99"/>
        <v>0</v>
      </c>
      <c r="T440" s="559" t="str">
        <f t="shared" si="100"/>
        <v>NO</v>
      </c>
      <c r="U440" s="323"/>
      <c r="V440" s="299"/>
      <c r="W440" s="300"/>
      <c r="X440" s="299"/>
      <c r="Y440" s="303"/>
      <c r="Z440" s="305">
        <f>IF(Y440=0,0,IF(X440="MXN",1/HLOOKUP(YEAR(W440)+(MONTH(W440)/100),TC!$5:$37,DAY(W440)+2,FALSE),VLOOKUP(X440,Equivalencia!$1:$23,((MAX(Equivalencia!$3:$3)-YEAR(W440))*14)+MONTH(W440)+2,FALSE)))</f>
        <v>0</v>
      </c>
      <c r="AA440" s="306">
        <f t="shared" si="101"/>
        <v>0</v>
      </c>
      <c r="AB440" s="305">
        <f>+IF(W440=0,0,HLOOKUP(YEAR(W440)+(MONTH(W440)/100),TC!$5:$37,DAY(W440)+2,FALSE))</f>
        <v>0</v>
      </c>
      <c r="AC440" s="306">
        <f t="shared" si="102"/>
        <v>0</v>
      </c>
      <c r="AD440" s="314">
        <f t="shared" si="93"/>
        <v>0</v>
      </c>
      <c r="AE440" s="315">
        <f t="shared" si="103"/>
        <v>0</v>
      </c>
      <c r="AF440" s="316">
        <f t="shared" si="94"/>
        <v>0</v>
      </c>
      <c r="AG440" s="314">
        <v>1</v>
      </c>
      <c r="AH440" s="314">
        <f t="shared" si="104"/>
        <v>0</v>
      </c>
      <c r="AI440" s="314">
        <f t="shared" si="105"/>
        <v>0</v>
      </c>
      <c r="AJ440" s="317"/>
      <c r="AK440" s="315" t="e">
        <f t="shared" si="106"/>
        <v>#N/A</v>
      </c>
      <c r="AM440" s="553"/>
      <c r="AN440" s="553"/>
      <c r="AO440" s="553"/>
    </row>
    <row r="441" spans="2:41">
      <c r="B441" s="296"/>
      <c r="C441" s="299"/>
      <c r="D441" s="296"/>
      <c r="E441" s="298"/>
      <c r="F441" s="299"/>
      <c r="G441" s="300"/>
      <c r="H441" s="303"/>
      <c r="I441" s="303"/>
      <c r="J441" s="322">
        <f t="shared" si="92"/>
        <v>0</v>
      </c>
      <c r="K441" s="305" t="e">
        <f>IF(F441="MXN",1/HLOOKUP(YEAR(G441)+(MONTH(G441)/100),TC!$5:$37,DAY(G441)+2,FALSE),VLOOKUP(F441,Equivalencia!$5:$23,((MAX(Equivalencia!$3:$3)-YEAR(G441))*14)+MONTH(G441)+2,FALSE))</f>
        <v>#N/A</v>
      </c>
      <c r="L441" s="306" t="e">
        <f t="shared" si="95"/>
        <v>#N/A</v>
      </c>
      <c r="M441" s="305">
        <f>IF(G441=0,0,HLOOKUP(YEAR(G441)+(MONTH(G441)/100),TC!$5:$37,DAY(G441)+2,FALSE))</f>
        <v>0</v>
      </c>
      <c r="N441" s="306" t="e">
        <f t="shared" si="96"/>
        <v>#N/A</v>
      </c>
      <c r="O441" s="308">
        <f>IF(G441=0,0,VLOOKUP(YEAR(G441),INPC!$B$4:$P$30,MONTH(G441)+2))</f>
        <v>0</v>
      </c>
      <c r="P441" s="308">
        <f>IF(W441=0,0,IF(OR(C441=$AQ$5,C441=AQ445),VLOOKUP(YEAR(W441),INPC!$B$4:$P$30,MONTH(W441)+1),VLOOKUP(YEAR(W441),INPC!$B$4:$P$30,MONTH(W441)+2)))</f>
        <v>0</v>
      </c>
      <c r="Q441" s="309">
        <f t="shared" si="97"/>
        <v>0</v>
      </c>
      <c r="R441" s="310" t="e">
        <f t="shared" si="98"/>
        <v>#N/A</v>
      </c>
      <c r="S441" s="310">
        <f t="shared" si="99"/>
        <v>0</v>
      </c>
      <c r="T441" s="559" t="str">
        <f t="shared" si="100"/>
        <v>NO</v>
      </c>
      <c r="U441" s="323"/>
      <c r="V441" s="299"/>
      <c r="W441" s="300"/>
      <c r="X441" s="299"/>
      <c r="Y441" s="303"/>
      <c r="Z441" s="305">
        <f>IF(Y441=0,0,IF(X441="MXN",1/HLOOKUP(YEAR(W441)+(MONTH(W441)/100),TC!$5:$37,DAY(W441)+2,FALSE),VLOOKUP(X441,Equivalencia!$1:$23,((MAX(Equivalencia!$3:$3)-YEAR(W441))*14)+MONTH(W441)+2,FALSE)))</f>
        <v>0</v>
      </c>
      <c r="AA441" s="306">
        <f t="shared" si="101"/>
        <v>0</v>
      </c>
      <c r="AB441" s="305">
        <f>+IF(W441=0,0,HLOOKUP(YEAR(W441)+(MONTH(W441)/100),TC!$5:$37,DAY(W441)+2,FALSE))</f>
        <v>0</v>
      </c>
      <c r="AC441" s="306">
        <f t="shared" si="102"/>
        <v>0</v>
      </c>
      <c r="AD441" s="314">
        <f t="shared" si="93"/>
        <v>0</v>
      </c>
      <c r="AE441" s="315">
        <f t="shared" si="103"/>
        <v>0</v>
      </c>
      <c r="AF441" s="316">
        <f t="shared" si="94"/>
        <v>0</v>
      </c>
      <c r="AG441" s="314">
        <v>1</v>
      </c>
      <c r="AH441" s="314">
        <f t="shared" si="104"/>
        <v>0</v>
      </c>
      <c r="AI441" s="314">
        <f t="shared" si="105"/>
        <v>0</v>
      </c>
      <c r="AJ441" s="317"/>
      <c r="AK441" s="315" t="e">
        <f t="shared" si="106"/>
        <v>#N/A</v>
      </c>
      <c r="AM441" s="553"/>
      <c r="AN441" s="553"/>
      <c r="AO441" s="553"/>
    </row>
    <row r="442" spans="2:41">
      <c r="B442" s="296"/>
      <c r="C442" s="299"/>
      <c r="D442" s="296"/>
      <c r="E442" s="298"/>
      <c r="F442" s="299"/>
      <c r="G442" s="300"/>
      <c r="H442" s="303"/>
      <c r="I442" s="303"/>
      <c r="J442" s="322">
        <f t="shared" si="92"/>
        <v>0</v>
      </c>
      <c r="K442" s="305" t="e">
        <f>IF(F442="MXN",1/HLOOKUP(YEAR(G442)+(MONTH(G442)/100),TC!$5:$37,DAY(G442)+2,FALSE),VLOOKUP(F442,Equivalencia!$5:$23,((MAX(Equivalencia!$3:$3)-YEAR(G442))*14)+MONTH(G442)+2,FALSE))</f>
        <v>#N/A</v>
      </c>
      <c r="L442" s="306" t="e">
        <f t="shared" si="95"/>
        <v>#N/A</v>
      </c>
      <c r="M442" s="305">
        <f>IF(G442=0,0,HLOOKUP(YEAR(G442)+(MONTH(G442)/100),TC!$5:$37,DAY(G442)+2,FALSE))</f>
        <v>0</v>
      </c>
      <c r="N442" s="306" t="e">
        <f t="shared" si="96"/>
        <v>#N/A</v>
      </c>
      <c r="O442" s="308">
        <f>IF(G442=0,0,VLOOKUP(YEAR(G442),INPC!$B$4:$P$30,MONTH(G442)+2))</f>
        <v>0</v>
      </c>
      <c r="P442" s="308">
        <f>IF(W442=0,0,IF(OR(C442=$AQ$5,C442=AQ446),VLOOKUP(YEAR(W442),INPC!$B$4:$P$30,MONTH(W442)+1),VLOOKUP(YEAR(W442),INPC!$B$4:$P$30,MONTH(W442)+2)))</f>
        <v>0</v>
      </c>
      <c r="Q442" s="309">
        <f t="shared" si="97"/>
        <v>0</v>
      </c>
      <c r="R442" s="310" t="e">
        <f t="shared" si="98"/>
        <v>#N/A</v>
      </c>
      <c r="S442" s="310">
        <f t="shared" si="99"/>
        <v>0</v>
      </c>
      <c r="T442" s="559" t="str">
        <f t="shared" si="100"/>
        <v>NO</v>
      </c>
      <c r="U442" s="323"/>
      <c r="V442" s="299"/>
      <c r="W442" s="300"/>
      <c r="X442" s="299"/>
      <c r="Y442" s="303"/>
      <c r="Z442" s="305">
        <f>IF(Y442=0,0,IF(X442="MXN",1/HLOOKUP(YEAR(W442)+(MONTH(W442)/100),TC!$5:$37,DAY(W442)+2,FALSE),VLOOKUP(X442,Equivalencia!$1:$23,((MAX(Equivalencia!$3:$3)-YEAR(W442))*14)+MONTH(W442)+2,FALSE)))</f>
        <v>0</v>
      </c>
      <c r="AA442" s="306">
        <f t="shared" si="101"/>
        <v>0</v>
      </c>
      <c r="AB442" s="305">
        <f>+IF(W442=0,0,HLOOKUP(YEAR(W442)+(MONTH(W442)/100),TC!$5:$37,DAY(W442)+2,FALSE))</f>
        <v>0</v>
      </c>
      <c r="AC442" s="306">
        <f t="shared" si="102"/>
        <v>0</v>
      </c>
      <c r="AD442" s="314">
        <f t="shared" si="93"/>
        <v>0</v>
      </c>
      <c r="AE442" s="315">
        <f t="shared" si="103"/>
        <v>0</v>
      </c>
      <c r="AF442" s="316">
        <f t="shared" si="94"/>
        <v>0</v>
      </c>
      <c r="AG442" s="314">
        <v>1</v>
      </c>
      <c r="AH442" s="314">
        <f t="shared" si="104"/>
        <v>0</v>
      </c>
      <c r="AI442" s="314">
        <f t="shared" si="105"/>
        <v>0</v>
      </c>
      <c r="AJ442" s="317"/>
      <c r="AK442" s="315" t="e">
        <f t="shared" si="106"/>
        <v>#N/A</v>
      </c>
      <c r="AM442" s="553"/>
      <c r="AN442" s="553"/>
      <c r="AO442" s="553"/>
    </row>
    <row r="443" spans="2:41">
      <c r="B443" s="296"/>
      <c r="C443" s="299"/>
      <c r="D443" s="296"/>
      <c r="E443" s="298"/>
      <c r="F443" s="299"/>
      <c r="G443" s="300"/>
      <c r="H443" s="303"/>
      <c r="I443" s="303"/>
      <c r="J443" s="322">
        <f t="shared" si="92"/>
        <v>0</v>
      </c>
      <c r="K443" s="305" t="e">
        <f>IF(F443="MXN",1/HLOOKUP(YEAR(G443)+(MONTH(G443)/100),TC!$5:$37,DAY(G443)+2,FALSE),VLOOKUP(F443,Equivalencia!$5:$23,((MAX(Equivalencia!$3:$3)-YEAR(G443))*14)+MONTH(G443)+2,FALSE))</f>
        <v>#N/A</v>
      </c>
      <c r="L443" s="306" t="e">
        <f t="shared" si="95"/>
        <v>#N/A</v>
      </c>
      <c r="M443" s="305">
        <f>IF(G443=0,0,HLOOKUP(YEAR(G443)+(MONTH(G443)/100),TC!$5:$37,DAY(G443)+2,FALSE))</f>
        <v>0</v>
      </c>
      <c r="N443" s="306" t="e">
        <f t="shared" si="96"/>
        <v>#N/A</v>
      </c>
      <c r="O443" s="308">
        <f>IF(G443=0,0,VLOOKUP(YEAR(G443),INPC!$B$4:$P$30,MONTH(G443)+2))</f>
        <v>0</v>
      </c>
      <c r="P443" s="308">
        <f>IF(W443=0,0,IF(OR(C443=$AQ$5,C443=AQ447),VLOOKUP(YEAR(W443),INPC!$B$4:$P$30,MONTH(W443)+1),VLOOKUP(YEAR(W443),INPC!$B$4:$P$30,MONTH(W443)+2)))</f>
        <v>0</v>
      </c>
      <c r="Q443" s="309">
        <f t="shared" si="97"/>
        <v>0</v>
      </c>
      <c r="R443" s="310" t="e">
        <f t="shared" si="98"/>
        <v>#N/A</v>
      </c>
      <c r="S443" s="310">
        <f t="shared" si="99"/>
        <v>0</v>
      </c>
      <c r="T443" s="559" t="str">
        <f t="shared" si="100"/>
        <v>NO</v>
      </c>
      <c r="U443" s="323"/>
      <c r="V443" s="299"/>
      <c r="W443" s="300"/>
      <c r="X443" s="299"/>
      <c r="Y443" s="303"/>
      <c r="Z443" s="305">
        <f>IF(Y443=0,0,IF(X443="MXN",1/HLOOKUP(YEAR(W443)+(MONTH(W443)/100),TC!$5:$37,DAY(W443)+2,FALSE),VLOOKUP(X443,Equivalencia!$1:$23,((MAX(Equivalencia!$3:$3)-YEAR(W443))*14)+MONTH(W443)+2,FALSE)))</f>
        <v>0</v>
      </c>
      <c r="AA443" s="306">
        <f t="shared" si="101"/>
        <v>0</v>
      </c>
      <c r="AB443" s="305">
        <f>+IF(W443=0,0,HLOOKUP(YEAR(W443)+(MONTH(W443)/100),TC!$5:$37,DAY(W443)+2,FALSE))</f>
        <v>0</v>
      </c>
      <c r="AC443" s="306">
        <f t="shared" si="102"/>
        <v>0</v>
      </c>
      <c r="AD443" s="314">
        <f t="shared" si="93"/>
        <v>0</v>
      </c>
      <c r="AE443" s="315">
        <f t="shared" si="103"/>
        <v>0</v>
      </c>
      <c r="AF443" s="316">
        <f t="shared" si="94"/>
        <v>0</v>
      </c>
      <c r="AG443" s="314">
        <v>1</v>
      </c>
      <c r="AH443" s="314">
        <f t="shared" si="104"/>
        <v>0</v>
      </c>
      <c r="AI443" s="314">
        <f t="shared" si="105"/>
        <v>0</v>
      </c>
      <c r="AJ443" s="317"/>
      <c r="AK443" s="315" t="e">
        <f t="shared" si="106"/>
        <v>#N/A</v>
      </c>
      <c r="AM443" s="553"/>
      <c r="AN443" s="553"/>
      <c r="AO443" s="553"/>
    </row>
    <row r="444" spans="2:41">
      <c r="B444" s="296"/>
      <c r="C444" s="299"/>
      <c r="D444" s="296"/>
      <c r="E444" s="298"/>
      <c r="F444" s="299"/>
      <c r="G444" s="300"/>
      <c r="H444" s="303"/>
      <c r="I444" s="303"/>
      <c r="J444" s="322">
        <f t="shared" si="92"/>
        <v>0</v>
      </c>
      <c r="K444" s="305" t="e">
        <f>IF(F444="MXN",1/HLOOKUP(YEAR(G444)+(MONTH(G444)/100),TC!$5:$37,DAY(G444)+2,FALSE),VLOOKUP(F444,Equivalencia!$5:$23,((MAX(Equivalencia!$3:$3)-YEAR(G444))*14)+MONTH(G444)+2,FALSE))</f>
        <v>#N/A</v>
      </c>
      <c r="L444" s="306" t="e">
        <f t="shared" si="95"/>
        <v>#N/A</v>
      </c>
      <c r="M444" s="305">
        <f>IF(G444=0,0,HLOOKUP(YEAR(G444)+(MONTH(G444)/100),TC!$5:$37,DAY(G444)+2,FALSE))</f>
        <v>0</v>
      </c>
      <c r="N444" s="306" t="e">
        <f t="shared" si="96"/>
        <v>#N/A</v>
      </c>
      <c r="O444" s="308">
        <f>IF(G444=0,0,VLOOKUP(YEAR(G444),INPC!$B$4:$P$30,MONTH(G444)+2))</f>
        <v>0</v>
      </c>
      <c r="P444" s="308">
        <f>IF(W444=0,0,IF(OR(C444=$AQ$5,C444=AQ448),VLOOKUP(YEAR(W444),INPC!$B$4:$P$30,MONTH(W444)+1),VLOOKUP(YEAR(W444),INPC!$B$4:$P$30,MONTH(W444)+2)))</f>
        <v>0</v>
      </c>
      <c r="Q444" s="309">
        <f t="shared" si="97"/>
        <v>0</v>
      </c>
      <c r="R444" s="310" t="e">
        <f t="shared" si="98"/>
        <v>#N/A</v>
      </c>
      <c r="S444" s="310">
        <f t="shared" si="99"/>
        <v>0</v>
      </c>
      <c r="T444" s="559" t="str">
        <f t="shared" si="100"/>
        <v>NO</v>
      </c>
      <c r="U444" s="323"/>
      <c r="V444" s="299"/>
      <c r="W444" s="300"/>
      <c r="X444" s="299"/>
      <c r="Y444" s="303"/>
      <c r="Z444" s="305">
        <f>IF(Y444=0,0,IF(X444="MXN",1/HLOOKUP(YEAR(W444)+(MONTH(W444)/100),TC!$5:$37,DAY(W444)+2,FALSE),VLOOKUP(X444,Equivalencia!$1:$23,((MAX(Equivalencia!$3:$3)-YEAR(W444))*14)+MONTH(W444)+2,FALSE)))</f>
        <v>0</v>
      </c>
      <c r="AA444" s="306">
        <f t="shared" si="101"/>
        <v>0</v>
      </c>
      <c r="AB444" s="305">
        <f>+IF(W444=0,0,HLOOKUP(YEAR(W444)+(MONTH(W444)/100),TC!$5:$37,DAY(W444)+2,FALSE))</f>
        <v>0</v>
      </c>
      <c r="AC444" s="306">
        <f t="shared" si="102"/>
        <v>0</v>
      </c>
      <c r="AD444" s="314">
        <f t="shared" si="93"/>
        <v>0</v>
      </c>
      <c r="AE444" s="315">
        <f t="shared" si="103"/>
        <v>0</v>
      </c>
      <c r="AF444" s="316">
        <f t="shared" si="94"/>
        <v>0</v>
      </c>
      <c r="AG444" s="314">
        <v>1</v>
      </c>
      <c r="AH444" s="314">
        <f t="shared" si="104"/>
        <v>0</v>
      </c>
      <c r="AI444" s="314">
        <f t="shared" si="105"/>
        <v>0</v>
      </c>
      <c r="AJ444" s="317"/>
      <c r="AK444" s="315" t="e">
        <f t="shared" si="106"/>
        <v>#N/A</v>
      </c>
      <c r="AM444" s="553"/>
      <c r="AN444" s="553"/>
      <c r="AO444" s="553"/>
    </row>
    <row r="445" spans="2:41">
      <c r="B445" s="296"/>
      <c r="C445" s="299"/>
      <c r="D445" s="296"/>
      <c r="E445" s="298"/>
      <c r="F445" s="299"/>
      <c r="G445" s="300"/>
      <c r="H445" s="303"/>
      <c r="I445" s="303"/>
      <c r="J445" s="322">
        <f t="shared" si="92"/>
        <v>0</v>
      </c>
      <c r="K445" s="305" t="e">
        <f>IF(F445="MXN",1/HLOOKUP(YEAR(G445)+(MONTH(G445)/100),TC!$5:$37,DAY(G445)+2,FALSE),VLOOKUP(F445,Equivalencia!$5:$23,((MAX(Equivalencia!$3:$3)-YEAR(G445))*14)+MONTH(G445)+2,FALSE))</f>
        <v>#N/A</v>
      </c>
      <c r="L445" s="306" t="e">
        <f t="shared" si="95"/>
        <v>#N/A</v>
      </c>
      <c r="M445" s="305">
        <f>IF(G445=0,0,HLOOKUP(YEAR(G445)+(MONTH(G445)/100),TC!$5:$37,DAY(G445)+2,FALSE))</f>
        <v>0</v>
      </c>
      <c r="N445" s="306" t="e">
        <f t="shared" si="96"/>
        <v>#N/A</v>
      </c>
      <c r="O445" s="308">
        <f>IF(G445=0,0,VLOOKUP(YEAR(G445),INPC!$B$4:$P$30,MONTH(G445)+2))</f>
        <v>0</v>
      </c>
      <c r="P445" s="308">
        <f>IF(W445=0,0,IF(OR(C445=$AQ$5,C445=AQ449),VLOOKUP(YEAR(W445),INPC!$B$4:$P$30,MONTH(W445)+1),VLOOKUP(YEAR(W445),INPC!$B$4:$P$30,MONTH(W445)+2)))</f>
        <v>0</v>
      </c>
      <c r="Q445" s="309">
        <f t="shared" si="97"/>
        <v>0</v>
      </c>
      <c r="R445" s="310" t="e">
        <f t="shared" si="98"/>
        <v>#N/A</v>
      </c>
      <c r="S445" s="310">
        <f t="shared" si="99"/>
        <v>0</v>
      </c>
      <c r="T445" s="559" t="str">
        <f t="shared" si="100"/>
        <v>NO</v>
      </c>
      <c r="U445" s="323"/>
      <c r="V445" s="299"/>
      <c r="W445" s="300"/>
      <c r="X445" s="299"/>
      <c r="Y445" s="303"/>
      <c r="Z445" s="305">
        <f>IF(Y445=0,0,IF(X445="MXN",1/HLOOKUP(YEAR(W445)+(MONTH(W445)/100),TC!$5:$37,DAY(W445)+2,FALSE),VLOOKUP(X445,Equivalencia!$1:$23,((MAX(Equivalencia!$3:$3)-YEAR(W445))*14)+MONTH(W445)+2,FALSE)))</f>
        <v>0</v>
      </c>
      <c r="AA445" s="306">
        <f t="shared" si="101"/>
        <v>0</v>
      </c>
      <c r="AB445" s="305">
        <f>+IF(W445=0,0,HLOOKUP(YEAR(W445)+(MONTH(W445)/100),TC!$5:$37,DAY(W445)+2,FALSE))</f>
        <v>0</v>
      </c>
      <c r="AC445" s="306">
        <f t="shared" si="102"/>
        <v>0</v>
      </c>
      <c r="AD445" s="314">
        <f t="shared" si="93"/>
        <v>0</v>
      </c>
      <c r="AE445" s="315">
        <f t="shared" si="103"/>
        <v>0</v>
      </c>
      <c r="AF445" s="316">
        <f t="shared" si="94"/>
        <v>0</v>
      </c>
      <c r="AG445" s="314">
        <v>1</v>
      </c>
      <c r="AH445" s="314">
        <f t="shared" si="104"/>
        <v>0</v>
      </c>
      <c r="AI445" s="314">
        <f t="shared" si="105"/>
        <v>0</v>
      </c>
      <c r="AJ445" s="317"/>
      <c r="AK445" s="315" t="e">
        <f t="shared" si="106"/>
        <v>#N/A</v>
      </c>
      <c r="AM445" s="553"/>
      <c r="AN445" s="553"/>
      <c r="AO445" s="553"/>
    </row>
    <row r="446" spans="2:41">
      <c r="B446" s="296"/>
      <c r="C446" s="299"/>
      <c r="D446" s="296"/>
      <c r="E446" s="298"/>
      <c r="F446" s="299"/>
      <c r="G446" s="300"/>
      <c r="H446" s="303"/>
      <c r="I446" s="303"/>
      <c r="J446" s="322">
        <f t="shared" si="92"/>
        <v>0</v>
      </c>
      <c r="K446" s="305" t="e">
        <f>IF(F446="MXN",1/HLOOKUP(YEAR(G446)+(MONTH(G446)/100),TC!$5:$37,DAY(G446)+2,FALSE),VLOOKUP(F446,Equivalencia!$5:$23,((MAX(Equivalencia!$3:$3)-YEAR(G446))*14)+MONTH(G446)+2,FALSE))</f>
        <v>#N/A</v>
      </c>
      <c r="L446" s="306" t="e">
        <f t="shared" si="95"/>
        <v>#N/A</v>
      </c>
      <c r="M446" s="305">
        <f>IF(G446=0,0,HLOOKUP(YEAR(G446)+(MONTH(G446)/100),TC!$5:$37,DAY(G446)+2,FALSE))</f>
        <v>0</v>
      </c>
      <c r="N446" s="306" t="e">
        <f t="shared" si="96"/>
        <v>#N/A</v>
      </c>
      <c r="O446" s="308">
        <f>IF(G446=0,0,VLOOKUP(YEAR(G446),INPC!$B$4:$P$30,MONTH(G446)+2))</f>
        <v>0</v>
      </c>
      <c r="P446" s="308">
        <f>IF(W446=0,0,IF(OR(C446=$AQ$5,C446=AQ450),VLOOKUP(YEAR(W446),INPC!$B$4:$P$30,MONTH(W446)+1),VLOOKUP(YEAR(W446),INPC!$B$4:$P$30,MONTH(W446)+2)))</f>
        <v>0</v>
      </c>
      <c r="Q446" s="309">
        <f t="shared" si="97"/>
        <v>0</v>
      </c>
      <c r="R446" s="310" t="e">
        <f t="shared" si="98"/>
        <v>#N/A</v>
      </c>
      <c r="S446" s="310">
        <f t="shared" si="99"/>
        <v>0</v>
      </c>
      <c r="T446" s="559" t="str">
        <f t="shared" si="100"/>
        <v>NO</v>
      </c>
      <c r="U446" s="323"/>
      <c r="V446" s="299"/>
      <c r="W446" s="300"/>
      <c r="X446" s="299"/>
      <c r="Y446" s="303"/>
      <c r="Z446" s="305">
        <f>IF(Y446=0,0,IF(X446="MXN",1/HLOOKUP(YEAR(W446)+(MONTH(W446)/100),TC!$5:$37,DAY(W446)+2,FALSE),VLOOKUP(X446,Equivalencia!$1:$23,((MAX(Equivalencia!$3:$3)-YEAR(W446))*14)+MONTH(W446)+2,FALSE)))</f>
        <v>0</v>
      </c>
      <c r="AA446" s="306">
        <f t="shared" si="101"/>
        <v>0</v>
      </c>
      <c r="AB446" s="305">
        <f>+IF(W446=0,0,HLOOKUP(YEAR(W446)+(MONTH(W446)/100),TC!$5:$37,DAY(W446)+2,FALSE))</f>
        <v>0</v>
      </c>
      <c r="AC446" s="306">
        <f t="shared" si="102"/>
        <v>0</v>
      </c>
      <c r="AD446" s="314">
        <f t="shared" si="93"/>
        <v>0</v>
      </c>
      <c r="AE446" s="315">
        <f t="shared" si="103"/>
        <v>0</v>
      </c>
      <c r="AF446" s="316">
        <f t="shared" si="94"/>
        <v>0</v>
      </c>
      <c r="AG446" s="314">
        <v>1</v>
      </c>
      <c r="AH446" s="314">
        <f t="shared" si="104"/>
        <v>0</v>
      </c>
      <c r="AI446" s="314">
        <f t="shared" si="105"/>
        <v>0</v>
      </c>
      <c r="AJ446" s="317"/>
      <c r="AK446" s="315" t="e">
        <f t="shared" si="106"/>
        <v>#N/A</v>
      </c>
      <c r="AM446" s="553"/>
      <c r="AN446" s="553"/>
      <c r="AO446" s="553"/>
    </row>
    <row r="447" spans="2:41">
      <c r="B447" s="296"/>
      <c r="C447" s="299"/>
      <c r="D447" s="296"/>
      <c r="E447" s="298"/>
      <c r="F447" s="299"/>
      <c r="G447" s="300"/>
      <c r="H447" s="303"/>
      <c r="I447" s="303"/>
      <c r="J447" s="322">
        <f t="shared" si="92"/>
        <v>0</v>
      </c>
      <c r="K447" s="305" t="e">
        <f>IF(F447="MXN",1/HLOOKUP(YEAR(G447)+(MONTH(G447)/100),TC!$5:$37,DAY(G447)+2,FALSE),VLOOKUP(F447,Equivalencia!$5:$23,((MAX(Equivalencia!$3:$3)-YEAR(G447))*14)+MONTH(G447)+2,FALSE))</f>
        <v>#N/A</v>
      </c>
      <c r="L447" s="306" t="e">
        <f t="shared" si="95"/>
        <v>#N/A</v>
      </c>
      <c r="M447" s="305">
        <f>IF(G447=0,0,HLOOKUP(YEAR(G447)+(MONTH(G447)/100),TC!$5:$37,DAY(G447)+2,FALSE))</f>
        <v>0</v>
      </c>
      <c r="N447" s="306" t="e">
        <f t="shared" si="96"/>
        <v>#N/A</v>
      </c>
      <c r="O447" s="308">
        <f>IF(G447=0,0,VLOOKUP(YEAR(G447),INPC!$B$4:$P$30,MONTH(G447)+2))</f>
        <v>0</v>
      </c>
      <c r="P447" s="308">
        <f>IF(W447=0,0,IF(OR(C447=$AQ$5,C447=AQ451),VLOOKUP(YEAR(W447),INPC!$B$4:$P$30,MONTH(W447)+1),VLOOKUP(YEAR(W447),INPC!$B$4:$P$30,MONTH(W447)+2)))</f>
        <v>0</v>
      </c>
      <c r="Q447" s="309">
        <f t="shared" si="97"/>
        <v>0</v>
      </c>
      <c r="R447" s="310" t="e">
        <f t="shared" si="98"/>
        <v>#N/A</v>
      </c>
      <c r="S447" s="310">
        <f t="shared" si="99"/>
        <v>0</v>
      </c>
      <c r="T447" s="559" t="str">
        <f t="shared" si="100"/>
        <v>NO</v>
      </c>
      <c r="U447" s="323"/>
      <c r="V447" s="299"/>
      <c r="W447" s="300"/>
      <c r="X447" s="299"/>
      <c r="Y447" s="303"/>
      <c r="Z447" s="305">
        <f>IF(Y447=0,0,IF(X447="MXN",1/HLOOKUP(YEAR(W447)+(MONTH(W447)/100),TC!$5:$37,DAY(W447)+2,FALSE),VLOOKUP(X447,Equivalencia!$1:$23,((MAX(Equivalencia!$3:$3)-YEAR(W447))*14)+MONTH(W447)+2,FALSE)))</f>
        <v>0</v>
      </c>
      <c r="AA447" s="306">
        <f t="shared" si="101"/>
        <v>0</v>
      </c>
      <c r="AB447" s="305">
        <f>+IF(W447=0,0,HLOOKUP(YEAR(W447)+(MONTH(W447)/100),TC!$5:$37,DAY(W447)+2,FALSE))</f>
        <v>0</v>
      </c>
      <c r="AC447" s="306">
        <f t="shared" si="102"/>
        <v>0</v>
      </c>
      <c r="AD447" s="314">
        <f t="shared" si="93"/>
        <v>0</v>
      </c>
      <c r="AE447" s="315">
        <f t="shared" si="103"/>
        <v>0</v>
      </c>
      <c r="AF447" s="316">
        <f t="shared" si="94"/>
        <v>0</v>
      </c>
      <c r="AG447" s="314">
        <v>1</v>
      </c>
      <c r="AH447" s="314">
        <f t="shared" si="104"/>
        <v>0</v>
      </c>
      <c r="AI447" s="314">
        <f t="shared" si="105"/>
        <v>0</v>
      </c>
      <c r="AJ447" s="317"/>
      <c r="AK447" s="315" t="e">
        <f t="shared" si="106"/>
        <v>#N/A</v>
      </c>
      <c r="AM447" s="553"/>
      <c r="AN447" s="553"/>
      <c r="AO447" s="553"/>
    </row>
    <row r="448" spans="2:41">
      <c r="B448" s="296"/>
      <c r="C448" s="299"/>
      <c r="D448" s="296"/>
      <c r="E448" s="298"/>
      <c r="F448" s="299"/>
      <c r="G448" s="300"/>
      <c r="H448" s="303"/>
      <c r="I448" s="303"/>
      <c r="J448" s="322">
        <f t="shared" si="92"/>
        <v>0</v>
      </c>
      <c r="K448" s="305" t="e">
        <f>IF(F448="MXN",1/HLOOKUP(YEAR(G448)+(MONTH(G448)/100),TC!$5:$37,DAY(G448)+2,FALSE),VLOOKUP(F448,Equivalencia!$5:$23,((MAX(Equivalencia!$3:$3)-YEAR(G448))*14)+MONTH(G448)+2,FALSE))</f>
        <v>#N/A</v>
      </c>
      <c r="L448" s="306" t="e">
        <f t="shared" si="95"/>
        <v>#N/A</v>
      </c>
      <c r="M448" s="305">
        <f>IF(G448=0,0,HLOOKUP(YEAR(G448)+(MONTH(G448)/100),TC!$5:$37,DAY(G448)+2,FALSE))</f>
        <v>0</v>
      </c>
      <c r="N448" s="306" t="e">
        <f t="shared" si="96"/>
        <v>#N/A</v>
      </c>
      <c r="O448" s="308">
        <f>IF(G448=0,0,VLOOKUP(YEAR(G448),INPC!$B$4:$P$30,MONTH(G448)+2))</f>
        <v>0</v>
      </c>
      <c r="P448" s="308">
        <f>IF(W448=0,0,IF(OR(C448=$AQ$5,C448=AQ452),VLOOKUP(YEAR(W448),INPC!$B$4:$P$30,MONTH(W448)+1),VLOOKUP(YEAR(W448),INPC!$B$4:$P$30,MONTH(W448)+2)))</f>
        <v>0</v>
      </c>
      <c r="Q448" s="309">
        <f t="shared" si="97"/>
        <v>0</v>
      </c>
      <c r="R448" s="310" t="e">
        <f t="shared" si="98"/>
        <v>#N/A</v>
      </c>
      <c r="S448" s="310">
        <f t="shared" si="99"/>
        <v>0</v>
      </c>
      <c r="T448" s="559" t="str">
        <f t="shared" si="100"/>
        <v>NO</v>
      </c>
      <c r="U448" s="323"/>
      <c r="V448" s="299"/>
      <c r="W448" s="300"/>
      <c r="X448" s="299"/>
      <c r="Y448" s="303"/>
      <c r="Z448" s="305">
        <f>IF(Y448=0,0,IF(X448="MXN",1/HLOOKUP(YEAR(W448)+(MONTH(W448)/100),TC!$5:$37,DAY(W448)+2,FALSE),VLOOKUP(X448,Equivalencia!$1:$23,((MAX(Equivalencia!$3:$3)-YEAR(W448))*14)+MONTH(W448)+2,FALSE)))</f>
        <v>0</v>
      </c>
      <c r="AA448" s="306">
        <f t="shared" si="101"/>
        <v>0</v>
      </c>
      <c r="AB448" s="305">
        <f>+IF(W448=0,0,HLOOKUP(YEAR(W448)+(MONTH(W448)/100),TC!$5:$37,DAY(W448)+2,FALSE))</f>
        <v>0</v>
      </c>
      <c r="AC448" s="306">
        <f t="shared" si="102"/>
        <v>0</v>
      </c>
      <c r="AD448" s="314">
        <f t="shared" si="93"/>
        <v>0</v>
      </c>
      <c r="AE448" s="315">
        <f t="shared" si="103"/>
        <v>0</v>
      </c>
      <c r="AF448" s="316">
        <f t="shared" si="94"/>
        <v>0</v>
      </c>
      <c r="AG448" s="314">
        <v>1</v>
      </c>
      <c r="AH448" s="314">
        <f t="shared" si="104"/>
        <v>0</v>
      </c>
      <c r="AI448" s="314">
        <f t="shared" si="105"/>
        <v>0</v>
      </c>
      <c r="AJ448" s="317"/>
      <c r="AK448" s="315" t="e">
        <f t="shared" si="106"/>
        <v>#N/A</v>
      </c>
      <c r="AM448" s="553"/>
      <c r="AN448" s="553"/>
      <c r="AO448" s="553"/>
    </row>
    <row r="449" spans="2:41">
      <c r="B449" s="296"/>
      <c r="C449" s="299"/>
      <c r="D449" s="296"/>
      <c r="E449" s="298"/>
      <c r="F449" s="299"/>
      <c r="G449" s="300"/>
      <c r="H449" s="303"/>
      <c r="I449" s="303"/>
      <c r="J449" s="322">
        <f t="shared" si="92"/>
        <v>0</v>
      </c>
      <c r="K449" s="305" t="e">
        <f>IF(F449="MXN",1/HLOOKUP(YEAR(G449)+(MONTH(G449)/100),TC!$5:$37,DAY(G449)+2,FALSE),VLOOKUP(F449,Equivalencia!$5:$23,((MAX(Equivalencia!$3:$3)-YEAR(G449))*14)+MONTH(G449)+2,FALSE))</f>
        <v>#N/A</v>
      </c>
      <c r="L449" s="306" t="e">
        <f t="shared" si="95"/>
        <v>#N/A</v>
      </c>
      <c r="M449" s="305">
        <f>IF(G449=0,0,HLOOKUP(YEAR(G449)+(MONTH(G449)/100),TC!$5:$37,DAY(G449)+2,FALSE))</f>
        <v>0</v>
      </c>
      <c r="N449" s="306" t="e">
        <f t="shared" si="96"/>
        <v>#N/A</v>
      </c>
      <c r="O449" s="308">
        <f>IF(G449=0,0,VLOOKUP(YEAR(G449),INPC!$B$4:$P$30,MONTH(G449)+2))</f>
        <v>0</v>
      </c>
      <c r="P449" s="308">
        <f>IF(W449=0,0,IF(OR(C449=$AQ$5,C449=AQ453),VLOOKUP(YEAR(W449),INPC!$B$4:$P$30,MONTH(W449)+1),VLOOKUP(YEAR(W449),INPC!$B$4:$P$30,MONTH(W449)+2)))</f>
        <v>0</v>
      </c>
      <c r="Q449" s="309">
        <f t="shared" si="97"/>
        <v>0</v>
      </c>
      <c r="R449" s="310" t="e">
        <f t="shared" si="98"/>
        <v>#N/A</v>
      </c>
      <c r="S449" s="310">
        <f t="shared" si="99"/>
        <v>0</v>
      </c>
      <c r="T449" s="559" t="str">
        <f t="shared" si="100"/>
        <v>NO</v>
      </c>
      <c r="U449" s="323"/>
      <c r="V449" s="299"/>
      <c r="W449" s="300"/>
      <c r="X449" s="299"/>
      <c r="Y449" s="303"/>
      <c r="Z449" s="305">
        <f>IF(Y449=0,0,IF(X449="MXN",1/HLOOKUP(YEAR(W449)+(MONTH(W449)/100),TC!$5:$37,DAY(W449)+2,FALSE),VLOOKUP(X449,Equivalencia!$1:$23,((MAX(Equivalencia!$3:$3)-YEAR(W449))*14)+MONTH(W449)+2,FALSE)))</f>
        <v>0</v>
      </c>
      <c r="AA449" s="306">
        <f t="shared" si="101"/>
        <v>0</v>
      </c>
      <c r="AB449" s="305">
        <f>+IF(W449=0,0,HLOOKUP(YEAR(W449)+(MONTH(W449)/100),TC!$5:$37,DAY(W449)+2,FALSE))</f>
        <v>0</v>
      </c>
      <c r="AC449" s="306">
        <f t="shared" si="102"/>
        <v>0</v>
      </c>
      <c r="AD449" s="314">
        <f t="shared" si="93"/>
        <v>0</v>
      </c>
      <c r="AE449" s="315">
        <f t="shared" si="103"/>
        <v>0</v>
      </c>
      <c r="AF449" s="316">
        <f t="shared" si="94"/>
        <v>0</v>
      </c>
      <c r="AG449" s="314">
        <v>1</v>
      </c>
      <c r="AH449" s="314">
        <f t="shared" si="104"/>
        <v>0</v>
      </c>
      <c r="AI449" s="314">
        <f t="shared" si="105"/>
        <v>0</v>
      </c>
      <c r="AJ449" s="317"/>
      <c r="AK449" s="315" t="e">
        <f t="shared" si="106"/>
        <v>#N/A</v>
      </c>
      <c r="AM449" s="553"/>
      <c r="AN449" s="553"/>
      <c r="AO449" s="553"/>
    </row>
    <row r="450" spans="2:41">
      <c r="B450" s="296"/>
      <c r="C450" s="299"/>
      <c r="D450" s="296"/>
      <c r="E450" s="298"/>
      <c r="F450" s="299"/>
      <c r="G450" s="300"/>
      <c r="H450" s="303"/>
      <c r="I450" s="303"/>
      <c r="J450" s="322">
        <f t="shared" ref="J450:J500" si="107">IF(E450=0,0,IF(OR(C450=$AQ$5,C450=$AQ$6),"Derivados Cap IV, Sec II - SIC &amp; BMV","Derivados Cap IX - No SIC"))</f>
        <v>0</v>
      </c>
      <c r="K450" s="305" t="e">
        <f>IF(F450="MXN",1/HLOOKUP(YEAR(G450)+(MONTH(G450)/100),TC!$5:$37,DAY(G450)+2,FALSE),VLOOKUP(F450,Equivalencia!$5:$23,((MAX(Equivalencia!$3:$3)-YEAR(G450))*14)+MONTH(G450)+2,FALSE))</f>
        <v>#N/A</v>
      </c>
      <c r="L450" s="306" t="e">
        <f t="shared" si="95"/>
        <v>#N/A</v>
      </c>
      <c r="M450" s="305">
        <f>IF(G450=0,0,HLOOKUP(YEAR(G450)+(MONTH(G450)/100),TC!$5:$37,DAY(G450)+2,FALSE))</f>
        <v>0</v>
      </c>
      <c r="N450" s="306" t="e">
        <f t="shared" si="96"/>
        <v>#N/A</v>
      </c>
      <c r="O450" s="308">
        <f>IF(G450=0,0,VLOOKUP(YEAR(G450),INPC!$B$4:$P$30,MONTH(G450)+2))</f>
        <v>0</v>
      </c>
      <c r="P450" s="308">
        <f>IF(W450=0,0,IF(OR(C450=$AQ$5,C450=AQ454),VLOOKUP(YEAR(W450),INPC!$B$4:$P$30,MONTH(W450)+1),VLOOKUP(YEAR(W450),INPC!$B$4:$P$30,MONTH(W450)+2)))</f>
        <v>0</v>
      </c>
      <c r="Q450" s="309">
        <f t="shared" si="97"/>
        <v>0</v>
      </c>
      <c r="R450" s="310" t="e">
        <f t="shared" si="98"/>
        <v>#N/A</v>
      </c>
      <c r="S450" s="310">
        <f t="shared" si="99"/>
        <v>0</v>
      </c>
      <c r="T450" s="559" t="str">
        <f t="shared" si="100"/>
        <v>NO</v>
      </c>
      <c r="U450" s="323"/>
      <c r="V450" s="299"/>
      <c r="W450" s="300"/>
      <c r="X450" s="299"/>
      <c r="Y450" s="303"/>
      <c r="Z450" s="305">
        <f>IF(Y450=0,0,IF(X450="MXN",1/HLOOKUP(YEAR(W450)+(MONTH(W450)/100),TC!$5:$37,DAY(W450)+2,FALSE),VLOOKUP(X450,Equivalencia!$1:$23,((MAX(Equivalencia!$3:$3)-YEAR(W450))*14)+MONTH(W450)+2,FALSE)))</f>
        <v>0</v>
      </c>
      <c r="AA450" s="306">
        <f t="shared" si="101"/>
        <v>0</v>
      </c>
      <c r="AB450" s="305">
        <f>+IF(W450=0,0,HLOOKUP(YEAR(W450)+(MONTH(W450)/100),TC!$5:$37,DAY(W450)+2,FALSE))</f>
        <v>0</v>
      </c>
      <c r="AC450" s="306">
        <f t="shared" si="102"/>
        <v>0</v>
      </c>
      <c r="AD450" s="314">
        <f t="shared" ref="AD450:AD500" si="108">+U450*S450</f>
        <v>0</v>
      </c>
      <c r="AE450" s="315">
        <f t="shared" si="103"/>
        <v>0</v>
      </c>
      <c r="AF450" s="316">
        <f t="shared" ref="AF450:AF500" si="109">+IF(OR(C450=$AQ$5,C450=$AQ$6),1,((W450-G450)/365))</f>
        <v>0</v>
      </c>
      <c r="AG450" s="314">
        <v>1</v>
      </c>
      <c r="AH450" s="314">
        <f t="shared" si="104"/>
        <v>0</v>
      </c>
      <c r="AI450" s="314">
        <f t="shared" si="105"/>
        <v>0</v>
      </c>
      <c r="AJ450" s="317"/>
      <c r="AK450" s="315" t="e">
        <f t="shared" si="106"/>
        <v>#N/A</v>
      </c>
      <c r="AM450" s="553"/>
      <c r="AN450" s="553"/>
      <c r="AO450" s="553"/>
    </row>
    <row r="451" spans="2:41">
      <c r="B451" s="296"/>
      <c r="C451" s="299"/>
      <c r="D451" s="296"/>
      <c r="E451" s="298"/>
      <c r="F451" s="299"/>
      <c r="G451" s="300"/>
      <c r="H451" s="303"/>
      <c r="I451" s="303"/>
      <c r="J451" s="322">
        <f t="shared" si="107"/>
        <v>0</v>
      </c>
      <c r="K451" s="305" t="e">
        <f>IF(F451="MXN",1/HLOOKUP(YEAR(G451)+(MONTH(G451)/100),TC!$5:$37,DAY(G451)+2,FALSE),VLOOKUP(F451,Equivalencia!$5:$23,((MAX(Equivalencia!$3:$3)-YEAR(G451))*14)+MONTH(G451)+2,FALSE))</f>
        <v>#N/A</v>
      </c>
      <c r="L451" s="306" t="e">
        <f t="shared" ref="L451:L500" si="110">+I451*K451</f>
        <v>#N/A</v>
      </c>
      <c r="M451" s="305">
        <f>IF(G451=0,0,HLOOKUP(YEAR(G451)+(MONTH(G451)/100),TC!$5:$37,DAY(G451)+2,FALSE))</f>
        <v>0</v>
      </c>
      <c r="N451" s="306" t="e">
        <f t="shared" ref="N451:N500" si="111">+L451*M451</f>
        <v>#N/A</v>
      </c>
      <c r="O451" s="308">
        <f>IF(G451=0,0,VLOOKUP(YEAR(G451),INPC!$B$4:$P$30,MONTH(G451)+2))</f>
        <v>0</v>
      </c>
      <c r="P451" s="308">
        <f>IF(W451=0,0,IF(OR(C451=$AQ$5,C451=AQ455),VLOOKUP(YEAR(W451),INPC!$B$4:$P$30,MONTH(W451)+1),VLOOKUP(YEAR(W451),INPC!$B$4:$P$30,MONTH(W451)+2)))</f>
        <v>0</v>
      </c>
      <c r="Q451" s="309">
        <f t="shared" ref="Q451:Q500" si="112">IF(W451=0,0,IF(TRUNC(P451/O451,4)&gt;=1,TRUNC(P451/O451,4),1))</f>
        <v>0</v>
      </c>
      <c r="R451" s="310" t="e">
        <f t="shared" ref="R451:R500" si="113">+Q451*N451</f>
        <v>#N/A</v>
      </c>
      <c r="S451" s="310">
        <f t="shared" ref="S451:S500" si="114">IF(U451=0,0,R451/U451)</f>
        <v>0</v>
      </c>
      <c r="T451" s="559" t="str">
        <f t="shared" ref="T451:T500" si="115">+IF(W451=0,"NO","SI")</f>
        <v>NO</v>
      </c>
      <c r="U451" s="323"/>
      <c r="V451" s="299"/>
      <c r="W451" s="300"/>
      <c r="X451" s="299"/>
      <c r="Y451" s="303"/>
      <c r="Z451" s="305">
        <f>IF(Y451=0,0,IF(X451="MXN",1/HLOOKUP(YEAR(W451)+(MONTH(W451)/100),TC!$5:$37,DAY(W451)+2,FALSE),VLOOKUP(X451,Equivalencia!$1:$23,((MAX(Equivalencia!$3:$3)-YEAR(W451))*14)+MONTH(W451)+2,FALSE)))</f>
        <v>0</v>
      </c>
      <c r="AA451" s="306">
        <f t="shared" ref="AA451:AA500" si="116">+Z451*Y451</f>
        <v>0</v>
      </c>
      <c r="AB451" s="305">
        <f>+IF(W451=0,0,HLOOKUP(YEAR(W451)+(MONTH(W451)/100),TC!$5:$37,DAY(W451)+2,FALSE))</f>
        <v>0</v>
      </c>
      <c r="AC451" s="306">
        <f t="shared" ref="AC451:AC500" si="117">+AB451*AA451</f>
        <v>0</v>
      </c>
      <c r="AD451" s="314">
        <f t="shared" si="108"/>
        <v>0</v>
      </c>
      <c r="AE451" s="315">
        <f t="shared" ref="AE451:AE500" si="118">AC451+AD451</f>
        <v>0</v>
      </c>
      <c r="AF451" s="316">
        <f t="shared" si="109"/>
        <v>0</v>
      </c>
      <c r="AG451" s="314">
        <v>1</v>
      </c>
      <c r="AH451" s="314">
        <f t="shared" ref="AH451:AH500" si="119">(AE451/AG451)</f>
        <v>0</v>
      </c>
      <c r="AI451" s="314">
        <f t="shared" ref="AI451:AI500" si="120">+AE451-AH451</f>
        <v>0</v>
      </c>
      <c r="AJ451" s="317"/>
      <c r="AK451" s="315" t="e">
        <f t="shared" ref="AK451:AK500" si="121">+AA451+L451</f>
        <v>#N/A</v>
      </c>
      <c r="AM451" s="553"/>
      <c r="AN451" s="553"/>
      <c r="AO451" s="553"/>
    </row>
    <row r="452" spans="2:41">
      <c r="B452" s="296"/>
      <c r="C452" s="299"/>
      <c r="D452" s="296"/>
      <c r="E452" s="298"/>
      <c r="F452" s="299"/>
      <c r="G452" s="300"/>
      <c r="H452" s="303"/>
      <c r="I452" s="303"/>
      <c r="J452" s="322">
        <f t="shared" si="107"/>
        <v>0</v>
      </c>
      <c r="K452" s="305" t="e">
        <f>IF(F452="MXN",1/HLOOKUP(YEAR(G452)+(MONTH(G452)/100),TC!$5:$37,DAY(G452)+2,FALSE),VLOOKUP(F452,Equivalencia!$5:$23,((MAX(Equivalencia!$3:$3)-YEAR(G452))*14)+MONTH(G452)+2,FALSE))</f>
        <v>#N/A</v>
      </c>
      <c r="L452" s="306" t="e">
        <f t="shared" si="110"/>
        <v>#N/A</v>
      </c>
      <c r="M452" s="305">
        <f>IF(G452=0,0,HLOOKUP(YEAR(G452)+(MONTH(G452)/100),TC!$5:$37,DAY(G452)+2,FALSE))</f>
        <v>0</v>
      </c>
      <c r="N452" s="306" t="e">
        <f t="shared" si="111"/>
        <v>#N/A</v>
      </c>
      <c r="O452" s="308">
        <f>IF(G452=0,0,VLOOKUP(YEAR(G452),INPC!$B$4:$P$30,MONTH(G452)+2))</f>
        <v>0</v>
      </c>
      <c r="P452" s="308">
        <f>IF(W452=0,0,IF(OR(C452=$AQ$5,C452=AQ456),VLOOKUP(YEAR(W452),INPC!$B$4:$P$30,MONTH(W452)+1),VLOOKUP(YEAR(W452),INPC!$B$4:$P$30,MONTH(W452)+2)))</f>
        <v>0</v>
      </c>
      <c r="Q452" s="309">
        <f t="shared" si="112"/>
        <v>0</v>
      </c>
      <c r="R452" s="310" t="e">
        <f t="shared" si="113"/>
        <v>#N/A</v>
      </c>
      <c r="S452" s="310">
        <f t="shared" si="114"/>
        <v>0</v>
      </c>
      <c r="T452" s="559" t="str">
        <f t="shared" si="115"/>
        <v>NO</v>
      </c>
      <c r="U452" s="323"/>
      <c r="V452" s="299"/>
      <c r="W452" s="300"/>
      <c r="X452" s="299"/>
      <c r="Y452" s="303"/>
      <c r="Z452" s="305">
        <f>IF(Y452=0,0,IF(X452="MXN",1/HLOOKUP(YEAR(W452)+(MONTH(W452)/100),TC!$5:$37,DAY(W452)+2,FALSE),VLOOKUP(X452,Equivalencia!$1:$23,((MAX(Equivalencia!$3:$3)-YEAR(W452))*14)+MONTH(W452)+2,FALSE)))</f>
        <v>0</v>
      </c>
      <c r="AA452" s="306">
        <f t="shared" si="116"/>
        <v>0</v>
      </c>
      <c r="AB452" s="305">
        <f>+IF(W452=0,0,HLOOKUP(YEAR(W452)+(MONTH(W452)/100),TC!$5:$37,DAY(W452)+2,FALSE))</f>
        <v>0</v>
      </c>
      <c r="AC452" s="306">
        <f t="shared" si="117"/>
        <v>0</v>
      </c>
      <c r="AD452" s="314">
        <f t="shared" si="108"/>
        <v>0</v>
      </c>
      <c r="AE452" s="315">
        <f t="shared" si="118"/>
        <v>0</v>
      </c>
      <c r="AF452" s="316">
        <f t="shared" si="109"/>
        <v>0</v>
      </c>
      <c r="AG452" s="314">
        <v>1</v>
      </c>
      <c r="AH452" s="314">
        <f t="shared" si="119"/>
        <v>0</v>
      </c>
      <c r="AI452" s="314">
        <f t="shared" si="120"/>
        <v>0</v>
      </c>
      <c r="AJ452" s="317"/>
      <c r="AK452" s="315" t="e">
        <f t="shared" si="121"/>
        <v>#N/A</v>
      </c>
      <c r="AM452" s="553"/>
      <c r="AN452" s="553"/>
      <c r="AO452" s="553"/>
    </row>
    <row r="453" spans="2:41">
      <c r="B453" s="296"/>
      <c r="C453" s="299"/>
      <c r="D453" s="296"/>
      <c r="E453" s="298"/>
      <c r="F453" s="299"/>
      <c r="G453" s="300"/>
      <c r="H453" s="303"/>
      <c r="I453" s="303"/>
      <c r="J453" s="322">
        <f t="shared" si="107"/>
        <v>0</v>
      </c>
      <c r="K453" s="305" t="e">
        <f>IF(F453="MXN",1/HLOOKUP(YEAR(G453)+(MONTH(G453)/100),TC!$5:$37,DAY(G453)+2,FALSE),VLOOKUP(F453,Equivalencia!$5:$23,((MAX(Equivalencia!$3:$3)-YEAR(G453))*14)+MONTH(G453)+2,FALSE))</f>
        <v>#N/A</v>
      </c>
      <c r="L453" s="306" t="e">
        <f t="shared" si="110"/>
        <v>#N/A</v>
      </c>
      <c r="M453" s="305">
        <f>IF(G453=0,0,HLOOKUP(YEAR(G453)+(MONTH(G453)/100),TC!$5:$37,DAY(G453)+2,FALSE))</f>
        <v>0</v>
      </c>
      <c r="N453" s="306" t="e">
        <f t="shared" si="111"/>
        <v>#N/A</v>
      </c>
      <c r="O453" s="308">
        <f>IF(G453=0,0,VLOOKUP(YEAR(G453),INPC!$B$4:$P$30,MONTH(G453)+2))</f>
        <v>0</v>
      </c>
      <c r="P453" s="308">
        <f>IF(W453=0,0,IF(OR(C453=$AQ$5,C453=AQ457),VLOOKUP(YEAR(W453),INPC!$B$4:$P$30,MONTH(W453)+1),VLOOKUP(YEAR(W453),INPC!$B$4:$P$30,MONTH(W453)+2)))</f>
        <v>0</v>
      </c>
      <c r="Q453" s="309">
        <f t="shared" si="112"/>
        <v>0</v>
      </c>
      <c r="R453" s="310" t="e">
        <f t="shared" si="113"/>
        <v>#N/A</v>
      </c>
      <c r="S453" s="310">
        <f t="shared" si="114"/>
        <v>0</v>
      </c>
      <c r="T453" s="559" t="str">
        <f t="shared" si="115"/>
        <v>NO</v>
      </c>
      <c r="U453" s="323"/>
      <c r="V453" s="299"/>
      <c r="W453" s="300"/>
      <c r="X453" s="299"/>
      <c r="Y453" s="303"/>
      <c r="Z453" s="305">
        <f>IF(Y453=0,0,IF(X453="MXN",1/HLOOKUP(YEAR(W453)+(MONTH(W453)/100),TC!$5:$37,DAY(W453)+2,FALSE),VLOOKUP(X453,Equivalencia!$1:$23,((MAX(Equivalencia!$3:$3)-YEAR(W453))*14)+MONTH(W453)+2,FALSE)))</f>
        <v>0</v>
      </c>
      <c r="AA453" s="306">
        <f t="shared" si="116"/>
        <v>0</v>
      </c>
      <c r="AB453" s="305">
        <f>+IF(W453=0,0,HLOOKUP(YEAR(W453)+(MONTH(W453)/100),TC!$5:$37,DAY(W453)+2,FALSE))</f>
        <v>0</v>
      </c>
      <c r="AC453" s="306">
        <f t="shared" si="117"/>
        <v>0</v>
      </c>
      <c r="AD453" s="314">
        <f t="shared" si="108"/>
        <v>0</v>
      </c>
      <c r="AE453" s="315">
        <f t="shared" si="118"/>
        <v>0</v>
      </c>
      <c r="AF453" s="316">
        <f t="shared" si="109"/>
        <v>0</v>
      </c>
      <c r="AG453" s="314">
        <v>1</v>
      </c>
      <c r="AH453" s="314">
        <f t="shared" si="119"/>
        <v>0</v>
      </c>
      <c r="AI453" s="314">
        <f t="shared" si="120"/>
        <v>0</v>
      </c>
      <c r="AJ453" s="317"/>
      <c r="AK453" s="315" t="e">
        <f t="shared" si="121"/>
        <v>#N/A</v>
      </c>
      <c r="AM453" s="553"/>
      <c r="AN453" s="553"/>
      <c r="AO453" s="553"/>
    </row>
    <row r="454" spans="2:41">
      <c r="B454" s="296"/>
      <c r="C454" s="299"/>
      <c r="D454" s="296"/>
      <c r="E454" s="298"/>
      <c r="F454" s="299"/>
      <c r="G454" s="300"/>
      <c r="H454" s="303"/>
      <c r="I454" s="303"/>
      <c r="J454" s="322">
        <f t="shared" si="107"/>
        <v>0</v>
      </c>
      <c r="K454" s="305" t="e">
        <f>IF(F454="MXN",1/HLOOKUP(YEAR(G454)+(MONTH(G454)/100),TC!$5:$37,DAY(G454)+2,FALSE),VLOOKUP(F454,Equivalencia!$5:$23,((MAX(Equivalencia!$3:$3)-YEAR(G454))*14)+MONTH(G454)+2,FALSE))</f>
        <v>#N/A</v>
      </c>
      <c r="L454" s="306" t="e">
        <f t="shared" si="110"/>
        <v>#N/A</v>
      </c>
      <c r="M454" s="305">
        <f>IF(G454=0,0,HLOOKUP(YEAR(G454)+(MONTH(G454)/100),TC!$5:$37,DAY(G454)+2,FALSE))</f>
        <v>0</v>
      </c>
      <c r="N454" s="306" t="e">
        <f t="shared" si="111"/>
        <v>#N/A</v>
      </c>
      <c r="O454" s="308">
        <f>IF(G454=0,0,VLOOKUP(YEAR(G454),INPC!$B$4:$P$30,MONTH(G454)+2))</f>
        <v>0</v>
      </c>
      <c r="P454" s="308">
        <f>IF(W454=0,0,IF(OR(C454=$AQ$5,C454=AQ458),VLOOKUP(YEAR(W454),INPC!$B$4:$P$30,MONTH(W454)+1),VLOOKUP(YEAR(W454),INPC!$B$4:$P$30,MONTH(W454)+2)))</f>
        <v>0</v>
      </c>
      <c r="Q454" s="309">
        <f t="shared" si="112"/>
        <v>0</v>
      </c>
      <c r="R454" s="310" t="e">
        <f t="shared" si="113"/>
        <v>#N/A</v>
      </c>
      <c r="S454" s="310">
        <f t="shared" si="114"/>
        <v>0</v>
      </c>
      <c r="T454" s="559" t="str">
        <f t="shared" si="115"/>
        <v>NO</v>
      </c>
      <c r="U454" s="323"/>
      <c r="V454" s="299"/>
      <c r="W454" s="300"/>
      <c r="X454" s="299"/>
      <c r="Y454" s="303"/>
      <c r="Z454" s="305">
        <f>IF(Y454=0,0,IF(X454="MXN",1/HLOOKUP(YEAR(W454)+(MONTH(W454)/100),TC!$5:$37,DAY(W454)+2,FALSE),VLOOKUP(X454,Equivalencia!$1:$23,((MAX(Equivalencia!$3:$3)-YEAR(W454))*14)+MONTH(W454)+2,FALSE)))</f>
        <v>0</v>
      </c>
      <c r="AA454" s="306">
        <f t="shared" si="116"/>
        <v>0</v>
      </c>
      <c r="AB454" s="305">
        <f>+IF(W454=0,0,HLOOKUP(YEAR(W454)+(MONTH(W454)/100),TC!$5:$37,DAY(W454)+2,FALSE))</f>
        <v>0</v>
      </c>
      <c r="AC454" s="306">
        <f t="shared" si="117"/>
        <v>0</v>
      </c>
      <c r="AD454" s="314">
        <f t="shared" si="108"/>
        <v>0</v>
      </c>
      <c r="AE454" s="315">
        <f t="shared" si="118"/>
        <v>0</v>
      </c>
      <c r="AF454" s="316">
        <f t="shared" si="109"/>
        <v>0</v>
      </c>
      <c r="AG454" s="314">
        <v>1</v>
      </c>
      <c r="AH454" s="314">
        <f t="shared" si="119"/>
        <v>0</v>
      </c>
      <c r="AI454" s="314">
        <f t="shared" si="120"/>
        <v>0</v>
      </c>
      <c r="AJ454" s="317"/>
      <c r="AK454" s="315" t="e">
        <f t="shared" si="121"/>
        <v>#N/A</v>
      </c>
      <c r="AM454" s="553"/>
      <c r="AN454" s="553"/>
      <c r="AO454" s="553"/>
    </row>
    <row r="455" spans="2:41">
      <c r="B455" s="296"/>
      <c r="C455" s="299"/>
      <c r="D455" s="296"/>
      <c r="E455" s="298"/>
      <c r="F455" s="299"/>
      <c r="G455" s="300"/>
      <c r="H455" s="303"/>
      <c r="I455" s="303"/>
      <c r="J455" s="322">
        <f t="shared" si="107"/>
        <v>0</v>
      </c>
      <c r="K455" s="305" t="e">
        <f>IF(F455="MXN",1/HLOOKUP(YEAR(G455)+(MONTH(G455)/100),TC!$5:$37,DAY(G455)+2,FALSE),VLOOKUP(F455,Equivalencia!$5:$23,((MAX(Equivalencia!$3:$3)-YEAR(G455))*14)+MONTH(G455)+2,FALSE))</f>
        <v>#N/A</v>
      </c>
      <c r="L455" s="306" t="e">
        <f t="shared" si="110"/>
        <v>#N/A</v>
      </c>
      <c r="M455" s="305">
        <f>IF(G455=0,0,HLOOKUP(YEAR(G455)+(MONTH(G455)/100),TC!$5:$37,DAY(G455)+2,FALSE))</f>
        <v>0</v>
      </c>
      <c r="N455" s="306" t="e">
        <f t="shared" si="111"/>
        <v>#N/A</v>
      </c>
      <c r="O455" s="308">
        <f>IF(G455=0,0,VLOOKUP(YEAR(G455),INPC!$B$4:$P$30,MONTH(G455)+2))</f>
        <v>0</v>
      </c>
      <c r="P455" s="308">
        <f>IF(W455=0,0,IF(OR(C455=$AQ$5,C455=AQ459),VLOOKUP(YEAR(W455),INPC!$B$4:$P$30,MONTH(W455)+1),VLOOKUP(YEAR(W455),INPC!$B$4:$P$30,MONTH(W455)+2)))</f>
        <v>0</v>
      </c>
      <c r="Q455" s="309">
        <f t="shared" si="112"/>
        <v>0</v>
      </c>
      <c r="R455" s="310" t="e">
        <f t="shared" si="113"/>
        <v>#N/A</v>
      </c>
      <c r="S455" s="310">
        <f t="shared" si="114"/>
        <v>0</v>
      </c>
      <c r="T455" s="559" t="str">
        <f t="shared" si="115"/>
        <v>NO</v>
      </c>
      <c r="U455" s="323"/>
      <c r="V455" s="299"/>
      <c r="W455" s="300"/>
      <c r="X455" s="299"/>
      <c r="Y455" s="303"/>
      <c r="Z455" s="305">
        <f>IF(Y455=0,0,IF(X455="MXN",1/HLOOKUP(YEAR(W455)+(MONTH(W455)/100),TC!$5:$37,DAY(W455)+2,FALSE),VLOOKUP(X455,Equivalencia!$1:$23,((MAX(Equivalencia!$3:$3)-YEAR(W455))*14)+MONTH(W455)+2,FALSE)))</f>
        <v>0</v>
      </c>
      <c r="AA455" s="306">
        <f t="shared" si="116"/>
        <v>0</v>
      </c>
      <c r="AB455" s="305">
        <f>+IF(W455=0,0,HLOOKUP(YEAR(W455)+(MONTH(W455)/100),TC!$5:$37,DAY(W455)+2,FALSE))</f>
        <v>0</v>
      </c>
      <c r="AC455" s="306">
        <f t="shared" si="117"/>
        <v>0</v>
      </c>
      <c r="AD455" s="314">
        <f t="shared" si="108"/>
        <v>0</v>
      </c>
      <c r="AE455" s="315">
        <f t="shared" si="118"/>
        <v>0</v>
      </c>
      <c r="AF455" s="316">
        <f t="shared" si="109"/>
        <v>0</v>
      </c>
      <c r="AG455" s="314">
        <v>1</v>
      </c>
      <c r="AH455" s="314">
        <f t="shared" si="119"/>
        <v>0</v>
      </c>
      <c r="AI455" s="314">
        <f t="shared" si="120"/>
        <v>0</v>
      </c>
      <c r="AJ455" s="317"/>
      <c r="AK455" s="315" t="e">
        <f t="shared" si="121"/>
        <v>#N/A</v>
      </c>
      <c r="AM455" s="553"/>
      <c r="AN455" s="553"/>
      <c r="AO455" s="553"/>
    </row>
    <row r="456" spans="2:41">
      <c r="B456" s="296"/>
      <c r="C456" s="299"/>
      <c r="D456" s="296"/>
      <c r="E456" s="298"/>
      <c r="F456" s="299"/>
      <c r="G456" s="300"/>
      <c r="H456" s="303"/>
      <c r="I456" s="303"/>
      <c r="J456" s="322">
        <f t="shared" si="107"/>
        <v>0</v>
      </c>
      <c r="K456" s="305" t="e">
        <f>IF(F456="MXN",1/HLOOKUP(YEAR(G456)+(MONTH(G456)/100),TC!$5:$37,DAY(G456)+2,FALSE),VLOOKUP(F456,Equivalencia!$5:$23,((MAX(Equivalencia!$3:$3)-YEAR(G456))*14)+MONTH(G456)+2,FALSE))</f>
        <v>#N/A</v>
      </c>
      <c r="L456" s="306" t="e">
        <f t="shared" si="110"/>
        <v>#N/A</v>
      </c>
      <c r="M456" s="305">
        <f>IF(G456=0,0,HLOOKUP(YEAR(G456)+(MONTH(G456)/100),TC!$5:$37,DAY(G456)+2,FALSE))</f>
        <v>0</v>
      </c>
      <c r="N456" s="306" t="e">
        <f t="shared" si="111"/>
        <v>#N/A</v>
      </c>
      <c r="O456" s="308">
        <f>IF(G456=0,0,VLOOKUP(YEAR(G456),INPC!$B$4:$P$30,MONTH(G456)+2))</f>
        <v>0</v>
      </c>
      <c r="P456" s="308">
        <f>IF(W456=0,0,IF(OR(C456=$AQ$5,C456=AQ460),VLOOKUP(YEAR(W456),INPC!$B$4:$P$30,MONTH(W456)+1),VLOOKUP(YEAR(W456),INPC!$B$4:$P$30,MONTH(W456)+2)))</f>
        <v>0</v>
      </c>
      <c r="Q456" s="309">
        <f t="shared" si="112"/>
        <v>0</v>
      </c>
      <c r="R456" s="310" t="e">
        <f t="shared" si="113"/>
        <v>#N/A</v>
      </c>
      <c r="S456" s="310">
        <f t="shared" si="114"/>
        <v>0</v>
      </c>
      <c r="T456" s="559" t="str">
        <f t="shared" si="115"/>
        <v>NO</v>
      </c>
      <c r="U456" s="323"/>
      <c r="V456" s="299"/>
      <c r="W456" s="300"/>
      <c r="X456" s="299"/>
      <c r="Y456" s="303"/>
      <c r="Z456" s="305">
        <f>IF(Y456=0,0,IF(X456="MXN",1/HLOOKUP(YEAR(W456)+(MONTH(W456)/100),TC!$5:$37,DAY(W456)+2,FALSE),VLOOKUP(X456,Equivalencia!$1:$23,((MAX(Equivalencia!$3:$3)-YEAR(W456))*14)+MONTH(W456)+2,FALSE)))</f>
        <v>0</v>
      </c>
      <c r="AA456" s="306">
        <f t="shared" si="116"/>
        <v>0</v>
      </c>
      <c r="AB456" s="305">
        <f>+IF(W456=0,0,HLOOKUP(YEAR(W456)+(MONTH(W456)/100),TC!$5:$37,DAY(W456)+2,FALSE))</f>
        <v>0</v>
      </c>
      <c r="AC456" s="306">
        <f t="shared" si="117"/>
        <v>0</v>
      </c>
      <c r="AD456" s="314">
        <f t="shared" si="108"/>
        <v>0</v>
      </c>
      <c r="AE456" s="315">
        <f t="shared" si="118"/>
        <v>0</v>
      </c>
      <c r="AF456" s="316">
        <f t="shared" si="109"/>
        <v>0</v>
      </c>
      <c r="AG456" s="314">
        <v>1</v>
      </c>
      <c r="AH456" s="314">
        <f t="shared" si="119"/>
        <v>0</v>
      </c>
      <c r="AI456" s="314">
        <f t="shared" si="120"/>
        <v>0</v>
      </c>
      <c r="AJ456" s="317"/>
      <c r="AK456" s="315" t="e">
        <f t="shared" si="121"/>
        <v>#N/A</v>
      </c>
      <c r="AM456" s="553"/>
      <c r="AN456" s="553"/>
      <c r="AO456" s="553"/>
    </row>
    <row r="457" spans="2:41">
      <c r="B457" s="296"/>
      <c r="C457" s="299"/>
      <c r="D457" s="296"/>
      <c r="E457" s="298"/>
      <c r="F457" s="299"/>
      <c r="G457" s="300"/>
      <c r="H457" s="303"/>
      <c r="I457" s="303"/>
      <c r="J457" s="322">
        <f t="shared" si="107"/>
        <v>0</v>
      </c>
      <c r="K457" s="305" t="e">
        <f>IF(F457="MXN",1/HLOOKUP(YEAR(G457)+(MONTH(G457)/100),TC!$5:$37,DAY(G457)+2,FALSE),VLOOKUP(F457,Equivalencia!$5:$23,((MAX(Equivalencia!$3:$3)-YEAR(G457))*14)+MONTH(G457)+2,FALSE))</f>
        <v>#N/A</v>
      </c>
      <c r="L457" s="306" t="e">
        <f t="shared" si="110"/>
        <v>#N/A</v>
      </c>
      <c r="M457" s="305">
        <f>IF(G457=0,0,HLOOKUP(YEAR(G457)+(MONTH(G457)/100),TC!$5:$37,DAY(G457)+2,FALSE))</f>
        <v>0</v>
      </c>
      <c r="N457" s="306" t="e">
        <f t="shared" si="111"/>
        <v>#N/A</v>
      </c>
      <c r="O457" s="308">
        <f>IF(G457=0,0,VLOOKUP(YEAR(G457),INPC!$B$4:$P$30,MONTH(G457)+2))</f>
        <v>0</v>
      </c>
      <c r="P457" s="308">
        <f>IF(W457=0,0,IF(OR(C457=$AQ$5,C457=AQ461),VLOOKUP(YEAR(W457),INPC!$B$4:$P$30,MONTH(W457)+1),VLOOKUP(YEAR(W457),INPC!$B$4:$P$30,MONTH(W457)+2)))</f>
        <v>0</v>
      </c>
      <c r="Q457" s="309">
        <f t="shared" si="112"/>
        <v>0</v>
      </c>
      <c r="R457" s="310" t="e">
        <f t="shared" si="113"/>
        <v>#N/A</v>
      </c>
      <c r="S457" s="310">
        <f t="shared" si="114"/>
        <v>0</v>
      </c>
      <c r="T457" s="559" t="str">
        <f t="shared" si="115"/>
        <v>NO</v>
      </c>
      <c r="U457" s="323"/>
      <c r="V457" s="299"/>
      <c r="W457" s="300"/>
      <c r="X457" s="299"/>
      <c r="Y457" s="303"/>
      <c r="Z457" s="305">
        <f>IF(Y457=0,0,IF(X457="MXN",1/HLOOKUP(YEAR(W457)+(MONTH(W457)/100),TC!$5:$37,DAY(W457)+2,FALSE),VLOOKUP(X457,Equivalencia!$1:$23,((MAX(Equivalencia!$3:$3)-YEAR(W457))*14)+MONTH(W457)+2,FALSE)))</f>
        <v>0</v>
      </c>
      <c r="AA457" s="306">
        <f t="shared" si="116"/>
        <v>0</v>
      </c>
      <c r="AB457" s="305">
        <f>+IF(W457=0,0,HLOOKUP(YEAR(W457)+(MONTH(W457)/100),TC!$5:$37,DAY(W457)+2,FALSE))</f>
        <v>0</v>
      </c>
      <c r="AC457" s="306">
        <f t="shared" si="117"/>
        <v>0</v>
      </c>
      <c r="AD457" s="314">
        <f t="shared" si="108"/>
        <v>0</v>
      </c>
      <c r="AE457" s="315">
        <f t="shared" si="118"/>
        <v>0</v>
      </c>
      <c r="AF457" s="316">
        <f t="shared" si="109"/>
        <v>0</v>
      </c>
      <c r="AG457" s="314">
        <v>1</v>
      </c>
      <c r="AH457" s="314">
        <f t="shared" si="119"/>
        <v>0</v>
      </c>
      <c r="AI457" s="314">
        <f t="shared" si="120"/>
        <v>0</v>
      </c>
      <c r="AJ457" s="317"/>
      <c r="AK457" s="315" t="e">
        <f t="shared" si="121"/>
        <v>#N/A</v>
      </c>
      <c r="AM457" s="553"/>
      <c r="AN457" s="553"/>
      <c r="AO457" s="553"/>
    </row>
    <row r="458" spans="2:41">
      <c r="B458" s="296"/>
      <c r="C458" s="299"/>
      <c r="D458" s="296"/>
      <c r="E458" s="298"/>
      <c r="F458" s="299"/>
      <c r="G458" s="300"/>
      <c r="H458" s="303"/>
      <c r="I458" s="303"/>
      <c r="J458" s="322">
        <f t="shared" si="107"/>
        <v>0</v>
      </c>
      <c r="K458" s="305" t="e">
        <f>IF(F458="MXN",1/HLOOKUP(YEAR(G458)+(MONTH(G458)/100),TC!$5:$37,DAY(G458)+2,FALSE),VLOOKUP(F458,Equivalencia!$5:$23,((MAX(Equivalencia!$3:$3)-YEAR(G458))*14)+MONTH(G458)+2,FALSE))</f>
        <v>#N/A</v>
      </c>
      <c r="L458" s="306" t="e">
        <f t="shared" si="110"/>
        <v>#N/A</v>
      </c>
      <c r="M458" s="305">
        <f>IF(G458=0,0,HLOOKUP(YEAR(G458)+(MONTH(G458)/100),TC!$5:$37,DAY(G458)+2,FALSE))</f>
        <v>0</v>
      </c>
      <c r="N458" s="306" t="e">
        <f t="shared" si="111"/>
        <v>#N/A</v>
      </c>
      <c r="O458" s="308">
        <f>IF(G458=0,0,VLOOKUP(YEAR(G458),INPC!$B$4:$P$30,MONTH(G458)+2))</f>
        <v>0</v>
      </c>
      <c r="P458" s="308">
        <f>IF(W458=0,0,IF(OR(C458=$AQ$5,C458=AQ462),VLOOKUP(YEAR(W458),INPC!$B$4:$P$30,MONTH(W458)+1),VLOOKUP(YEAR(W458),INPC!$B$4:$P$30,MONTH(W458)+2)))</f>
        <v>0</v>
      </c>
      <c r="Q458" s="309">
        <f t="shared" si="112"/>
        <v>0</v>
      </c>
      <c r="R458" s="310" t="e">
        <f t="shared" si="113"/>
        <v>#N/A</v>
      </c>
      <c r="S458" s="310">
        <f t="shared" si="114"/>
        <v>0</v>
      </c>
      <c r="T458" s="559" t="str">
        <f t="shared" si="115"/>
        <v>NO</v>
      </c>
      <c r="U458" s="323"/>
      <c r="V458" s="299"/>
      <c r="W458" s="300"/>
      <c r="X458" s="299"/>
      <c r="Y458" s="303"/>
      <c r="Z458" s="305">
        <f>IF(Y458=0,0,IF(X458="MXN",1/HLOOKUP(YEAR(W458)+(MONTH(W458)/100),TC!$5:$37,DAY(W458)+2,FALSE),VLOOKUP(X458,Equivalencia!$1:$23,((MAX(Equivalencia!$3:$3)-YEAR(W458))*14)+MONTH(W458)+2,FALSE)))</f>
        <v>0</v>
      </c>
      <c r="AA458" s="306">
        <f t="shared" si="116"/>
        <v>0</v>
      </c>
      <c r="AB458" s="305">
        <f>+IF(W458=0,0,HLOOKUP(YEAR(W458)+(MONTH(W458)/100),TC!$5:$37,DAY(W458)+2,FALSE))</f>
        <v>0</v>
      </c>
      <c r="AC458" s="306">
        <f t="shared" si="117"/>
        <v>0</v>
      </c>
      <c r="AD458" s="314">
        <f t="shared" si="108"/>
        <v>0</v>
      </c>
      <c r="AE458" s="315">
        <f t="shared" si="118"/>
        <v>0</v>
      </c>
      <c r="AF458" s="316">
        <f t="shared" si="109"/>
        <v>0</v>
      </c>
      <c r="AG458" s="314">
        <v>1</v>
      </c>
      <c r="AH458" s="314">
        <f t="shared" si="119"/>
        <v>0</v>
      </c>
      <c r="AI458" s="314">
        <f t="shared" si="120"/>
        <v>0</v>
      </c>
      <c r="AJ458" s="317"/>
      <c r="AK458" s="315" t="e">
        <f t="shared" si="121"/>
        <v>#N/A</v>
      </c>
      <c r="AM458" s="553"/>
      <c r="AN458" s="553"/>
      <c r="AO458" s="553"/>
    </row>
    <row r="459" spans="2:41">
      <c r="B459" s="296"/>
      <c r="C459" s="299"/>
      <c r="D459" s="296"/>
      <c r="E459" s="298"/>
      <c r="F459" s="299"/>
      <c r="G459" s="300"/>
      <c r="H459" s="303"/>
      <c r="I459" s="303"/>
      <c r="J459" s="322">
        <f t="shared" si="107"/>
        <v>0</v>
      </c>
      <c r="K459" s="305" t="e">
        <f>IF(F459="MXN",1/HLOOKUP(YEAR(G459)+(MONTH(G459)/100),TC!$5:$37,DAY(G459)+2,FALSE),VLOOKUP(F459,Equivalencia!$5:$23,((MAX(Equivalencia!$3:$3)-YEAR(G459))*14)+MONTH(G459)+2,FALSE))</f>
        <v>#N/A</v>
      </c>
      <c r="L459" s="306" t="e">
        <f t="shared" si="110"/>
        <v>#N/A</v>
      </c>
      <c r="M459" s="305">
        <f>IF(G459=0,0,HLOOKUP(YEAR(G459)+(MONTH(G459)/100),TC!$5:$37,DAY(G459)+2,FALSE))</f>
        <v>0</v>
      </c>
      <c r="N459" s="306" t="e">
        <f t="shared" si="111"/>
        <v>#N/A</v>
      </c>
      <c r="O459" s="308">
        <f>IF(G459=0,0,VLOOKUP(YEAR(G459),INPC!$B$4:$P$30,MONTH(G459)+2))</f>
        <v>0</v>
      </c>
      <c r="P459" s="308">
        <f>IF(W459=0,0,IF(OR(C459=$AQ$5,C459=AQ463),VLOOKUP(YEAR(W459),INPC!$B$4:$P$30,MONTH(W459)+1),VLOOKUP(YEAR(W459),INPC!$B$4:$P$30,MONTH(W459)+2)))</f>
        <v>0</v>
      </c>
      <c r="Q459" s="309">
        <f t="shared" si="112"/>
        <v>0</v>
      </c>
      <c r="R459" s="310" t="e">
        <f t="shared" si="113"/>
        <v>#N/A</v>
      </c>
      <c r="S459" s="310">
        <f t="shared" si="114"/>
        <v>0</v>
      </c>
      <c r="T459" s="559" t="str">
        <f t="shared" si="115"/>
        <v>NO</v>
      </c>
      <c r="U459" s="323"/>
      <c r="V459" s="299"/>
      <c r="W459" s="300"/>
      <c r="X459" s="299"/>
      <c r="Y459" s="303"/>
      <c r="Z459" s="305">
        <f>IF(Y459=0,0,IF(X459="MXN",1/HLOOKUP(YEAR(W459)+(MONTH(W459)/100),TC!$5:$37,DAY(W459)+2,FALSE),VLOOKUP(X459,Equivalencia!$1:$23,((MAX(Equivalencia!$3:$3)-YEAR(W459))*14)+MONTH(W459)+2,FALSE)))</f>
        <v>0</v>
      </c>
      <c r="AA459" s="306">
        <f t="shared" si="116"/>
        <v>0</v>
      </c>
      <c r="AB459" s="305">
        <f>+IF(W459=0,0,HLOOKUP(YEAR(W459)+(MONTH(W459)/100),TC!$5:$37,DAY(W459)+2,FALSE))</f>
        <v>0</v>
      </c>
      <c r="AC459" s="306">
        <f t="shared" si="117"/>
        <v>0</v>
      </c>
      <c r="AD459" s="314">
        <f t="shared" si="108"/>
        <v>0</v>
      </c>
      <c r="AE459" s="315">
        <f t="shared" si="118"/>
        <v>0</v>
      </c>
      <c r="AF459" s="316">
        <f t="shared" si="109"/>
        <v>0</v>
      </c>
      <c r="AG459" s="314">
        <v>1</v>
      </c>
      <c r="AH459" s="314">
        <f t="shared" si="119"/>
        <v>0</v>
      </c>
      <c r="AI459" s="314">
        <f t="shared" si="120"/>
        <v>0</v>
      </c>
      <c r="AJ459" s="317"/>
      <c r="AK459" s="315" t="e">
        <f t="shared" si="121"/>
        <v>#N/A</v>
      </c>
      <c r="AM459" s="553"/>
      <c r="AN459" s="553"/>
      <c r="AO459" s="553"/>
    </row>
    <row r="460" spans="2:41">
      <c r="B460" s="296"/>
      <c r="C460" s="299"/>
      <c r="D460" s="296"/>
      <c r="E460" s="298"/>
      <c r="F460" s="299"/>
      <c r="G460" s="300"/>
      <c r="H460" s="303"/>
      <c r="I460" s="303"/>
      <c r="J460" s="322">
        <f t="shared" si="107"/>
        <v>0</v>
      </c>
      <c r="K460" s="305" t="e">
        <f>IF(F460="MXN",1/HLOOKUP(YEAR(G460)+(MONTH(G460)/100),TC!$5:$37,DAY(G460)+2,FALSE),VLOOKUP(F460,Equivalencia!$5:$23,((MAX(Equivalencia!$3:$3)-YEAR(G460))*14)+MONTH(G460)+2,FALSE))</f>
        <v>#N/A</v>
      </c>
      <c r="L460" s="306" t="e">
        <f t="shared" si="110"/>
        <v>#N/A</v>
      </c>
      <c r="M460" s="305">
        <f>IF(G460=0,0,HLOOKUP(YEAR(G460)+(MONTH(G460)/100),TC!$5:$37,DAY(G460)+2,FALSE))</f>
        <v>0</v>
      </c>
      <c r="N460" s="306" t="e">
        <f t="shared" si="111"/>
        <v>#N/A</v>
      </c>
      <c r="O460" s="308">
        <f>IF(G460=0,0,VLOOKUP(YEAR(G460),INPC!$B$4:$P$30,MONTH(G460)+2))</f>
        <v>0</v>
      </c>
      <c r="P460" s="308">
        <f>IF(W460=0,0,IF(OR(C460=$AQ$5,C460=AQ464),VLOOKUP(YEAR(W460),INPC!$B$4:$P$30,MONTH(W460)+1),VLOOKUP(YEAR(W460),INPC!$B$4:$P$30,MONTH(W460)+2)))</f>
        <v>0</v>
      </c>
      <c r="Q460" s="309">
        <f t="shared" si="112"/>
        <v>0</v>
      </c>
      <c r="R460" s="310" t="e">
        <f t="shared" si="113"/>
        <v>#N/A</v>
      </c>
      <c r="S460" s="310">
        <f t="shared" si="114"/>
        <v>0</v>
      </c>
      <c r="T460" s="559" t="str">
        <f t="shared" si="115"/>
        <v>NO</v>
      </c>
      <c r="U460" s="323"/>
      <c r="V460" s="299"/>
      <c r="W460" s="300"/>
      <c r="X460" s="299"/>
      <c r="Y460" s="303"/>
      <c r="Z460" s="305">
        <f>IF(Y460=0,0,IF(X460="MXN",1/HLOOKUP(YEAR(W460)+(MONTH(W460)/100),TC!$5:$37,DAY(W460)+2,FALSE),VLOOKUP(X460,Equivalencia!$1:$23,((MAX(Equivalencia!$3:$3)-YEAR(W460))*14)+MONTH(W460)+2,FALSE)))</f>
        <v>0</v>
      </c>
      <c r="AA460" s="306">
        <f t="shared" si="116"/>
        <v>0</v>
      </c>
      <c r="AB460" s="305">
        <f>+IF(W460=0,0,HLOOKUP(YEAR(W460)+(MONTH(W460)/100),TC!$5:$37,DAY(W460)+2,FALSE))</f>
        <v>0</v>
      </c>
      <c r="AC460" s="306">
        <f t="shared" si="117"/>
        <v>0</v>
      </c>
      <c r="AD460" s="314">
        <f t="shared" si="108"/>
        <v>0</v>
      </c>
      <c r="AE460" s="315">
        <f t="shared" si="118"/>
        <v>0</v>
      </c>
      <c r="AF460" s="316">
        <f t="shared" si="109"/>
        <v>0</v>
      </c>
      <c r="AG460" s="314">
        <v>1</v>
      </c>
      <c r="AH460" s="314">
        <f t="shared" si="119"/>
        <v>0</v>
      </c>
      <c r="AI460" s="314">
        <f t="shared" si="120"/>
        <v>0</v>
      </c>
      <c r="AJ460" s="317"/>
      <c r="AK460" s="315" t="e">
        <f t="shared" si="121"/>
        <v>#N/A</v>
      </c>
      <c r="AM460" s="553"/>
      <c r="AN460" s="553"/>
      <c r="AO460" s="553"/>
    </row>
    <row r="461" spans="2:41">
      <c r="B461" s="296"/>
      <c r="C461" s="299"/>
      <c r="D461" s="296"/>
      <c r="E461" s="298"/>
      <c r="F461" s="299"/>
      <c r="G461" s="300"/>
      <c r="H461" s="303"/>
      <c r="I461" s="303"/>
      <c r="J461" s="322">
        <f t="shared" si="107"/>
        <v>0</v>
      </c>
      <c r="K461" s="305" t="e">
        <f>IF(F461="MXN",1/HLOOKUP(YEAR(G461)+(MONTH(G461)/100),TC!$5:$37,DAY(G461)+2,FALSE),VLOOKUP(F461,Equivalencia!$5:$23,((MAX(Equivalencia!$3:$3)-YEAR(G461))*14)+MONTH(G461)+2,FALSE))</f>
        <v>#N/A</v>
      </c>
      <c r="L461" s="306" t="e">
        <f t="shared" si="110"/>
        <v>#N/A</v>
      </c>
      <c r="M461" s="305">
        <f>IF(G461=0,0,HLOOKUP(YEAR(G461)+(MONTH(G461)/100),TC!$5:$37,DAY(G461)+2,FALSE))</f>
        <v>0</v>
      </c>
      <c r="N461" s="306" t="e">
        <f t="shared" si="111"/>
        <v>#N/A</v>
      </c>
      <c r="O461" s="308">
        <f>IF(G461=0,0,VLOOKUP(YEAR(G461),INPC!$B$4:$P$30,MONTH(G461)+2))</f>
        <v>0</v>
      </c>
      <c r="P461" s="308">
        <f>IF(W461=0,0,IF(OR(C461=$AQ$5,C461=AQ465),VLOOKUP(YEAR(W461),INPC!$B$4:$P$30,MONTH(W461)+1),VLOOKUP(YEAR(W461),INPC!$B$4:$P$30,MONTH(W461)+2)))</f>
        <v>0</v>
      </c>
      <c r="Q461" s="309">
        <f t="shared" si="112"/>
        <v>0</v>
      </c>
      <c r="R461" s="310" t="e">
        <f t="shared" si="113"/>
        <v>#N/A</v>
      </c>
      <c r="S461" s="310">
        <f t="shared" si="114"/>
        <v>0</v>
      </c>
      <c r="T461" s="559" t="str">
        <f t="shared" si="115"/>
        <v>NO</v>
      </c>
      <c r="U461" s="323"/>
      <c r="V461" s="299"/>
      <c r="W461" s="300"/>
      <c r="X461" s="299"/>
      <c r="Y461" s="303"/>
      <c r="Z461" s="305">
        <f>IF(Y461=0,0,IF(X461="MXN",1/HLOOKUP(YEAR(W461)+(MONTH(W461)/100),TC!$5:$37,DAY(W461)+2,FALSE),VLOOKUP(X461,Equivalencia!$1:$23,((MAX(Equivalencia!$3:$3)-YEAR(W461))*14)+MONTH(W461)+2,FALSE)))</f>
        <v>0</v>
      </c>
      <c r="AA461" s="306">
        <f t="shared" si="116"/>
        <v>0</v>
      </c>
      <c r="AB461" s="305">
        <f>+IF(W461=0,0,HLOOKUP(YEAR(W461)+(MONTH(W461)/100),TC!$5:$37,DAY(W461)+2,FALSE))</f>
        <v>0</v>
      </c>
      <c r="AC461" s="306">
        <f t="shared" si="117"/>
        <v>0</v>
      </c>
      <c r="AD461" s="314">
        <f t="shared" si="108"/>
        <v>0</v>
      </c>
      <c r="AE461" s="315">
        <f t="shared" si="118"/>
        <v>0</v>
      </c>
      <c r="AF461" s="316">
        <f t="shared" si="109"/>
        <v>0</v>
      </c>
      <c r="AG461" s="314">
        <v>1</v>
      </c>
      <c r="AH461" s="314">
        <f t="shared" si="119"/>
        <v>0</v>
      </c>
      <c r="AI461" s="314">
        <f t="shared" si="120"/>
        <v>0</v>
      </c>
      <c r="AJ461" s="317"/>
      <c r="AK461" s="315" t="e">
        <f t="shared" si="121"/>
        <v>#N/A</v>
      </c>
      <c r="AM461" s="553"/>
      <c r="AN461" s="553"/>
      <c r="AO461" s="553"/>
    </row>
    <row r="462" spans="2:41">
      <c r="B462" s="296"/>
      <c r="C462" s="299"/>
      <c r="D462" s="296"/>
      <c r="E462" s="298"/>
      <c r="F462" s="299"/>
      <c r="G462" s="300"/>
      <c r="H462" s="303"/>
      <c r="I462" s="303"/>
      <c r="J462" s="322">
        <f t="shared" si="107"/>
        <v>0</v>
      </c>
      <c r="K462" s="305" t="e">
        <f>IF(F462="MXN",1/HLOOKUP(YEAR(G462)+(MONTH(G462)/100),TC!$5:$37,DAY(G462)+2,FALSE),VLOOKUP(F462,Equivalencia!$5:$23,((MAX(Equivalencia!$3:$3)-YEAR(G462))*14)+MONTH(G462)+2,FALSE))</f>
        <v>#N/A</v>
      </c>
      <c r="L462" s="306" t="e">
        <f t="shared" si="110"/>
        <v>#N/A</v>
      </c>
      <c r="M462" s="305">
        <f>IF(G462=0,0,HLOOKUP(YEAR(G462)+(MONTH(G462)/100),TC!$5:$37,DAY(G462)+2,FALSE))</f>
        <v>0</v>
      </c>
      <c r="N462" s="306" t="e">
        <f t="shared" si="111"/>
        <v>#N/A</v>
      </c>
      <c r="O462" s="308">
        <f>IF(G462=0,0,VLOOKUP(YEAR(G462),INPC!$B$4:$P$30,MONTH(G462)+2))</f>
        <v>0</v>
      </c>
      <c r="P462" s="308">
        <f>IF(W462=0,0,IF(OR(C462=$AQ$5,C462=AQ466),VLOOKUP(YEAR(W462),INPC!$B$4:$P$30,MONTH(W462)+1),VLOOKUP(YEAR(W462),INPC!$B$4:$P$30,MONTH(W462)+2)))</f>
        <v>0</v>
      </c>
      <c r="Q462" s="309">
        <f t="shared" si="112"/>
        <v>0</v>
      </c>
      <c r="R462" s="310" t="e">
        <f t="shared" si="113"/>
        <v>#N/A</v>
      </c>
      <c r="S462" s="310">
        <f t="shared" si="114"/>
        <v>0</v>
      </c>
      <c r="T462" s="559" t="str">
        <f t="shared" si="115"/>
        <v>NO</v>
      </c>
      <c r="U462" s="323"/>
      <c r="V462" s="299"/>
      <c r="W462" s="300"/>
      <c r="X462" s="299"/>
      <c r="Y462" s="303"/>
      <c r="Z462" s="305">
        <f>IF(Y462=0,0,IF(X462="MXN",1/HLOOKUP(YEAR(W462)+(MONTH(W462)/100),TC!$5:$37,DAY(W462)+2,FALSE),VLOOKUP(X462,Equivalencia!$1:$23,((MAX(Equivalencia!$3:$3)-YEAR(W462))*14)+MONTH(W462)+2,FALSE)))</f>
        <v>0</v>
      </c>
      <c r="AA462" s="306">
        <f t="shared" si="116"/>
        <v>0</v>
      </c>
      <c r="AB462" s="305">
        <f>+IF(W462=0,0,HLOOKUP(YEAR(W462)+(MONTH(W462)/100),TC!$5:$37,DAY(W462)+2,FALSE))</f>
        <v>0</v>
      </c>
      <c r="AC462" s="306">
        <f t="shared" si="117"/>
        <v>0</v>
      </c>
      <c r="AD462" s="314">
        <f t="shared" si="108"/>
        <v>0</v>
      </c>
      <c r="AE462" s="315">
        <f t="shared" si="118"/>
        <v>0</v>
      </c>
      <c r="AF462" s="316">
        <f t="shared" si="109"/>
        <v>0</v>
      </c>
      <c r="AG462" s="314">
        <v>1</v>
      </c>
      <c r="AH462" s="314">
        <f t="shared" si="119"/>
        <v>0</v>
      </c>
      <c r="AI462" s="314">
        <f t="shared" si="120"/>
        <v>0</v>
      </c>
      <c r="AJ462" s="317"/>
      <c r="AK462" s="315" t="e">
        <f t="shared" si="121"/>
        <v>#N/A</v>
      </c>
      <c r="AM462" s="553"/>
      <c r="AN462" s="553"/>
      <c r="AO462" s="553"/>
    </row>
    <row r="463" spans="2:41">
      <c r="B463" s="296"/>
      <c r="C463" s="299"/>
      <c r="D463" s="296"/>
      <c r="E463" s="298"/>
      <c r="F463" s="299"/>
      <c r="G463" s="300"/>
      <c r="H463" s="303"/>
      <c r="I463" s="303"/>
      <c r="J463" s="322">
        <f t="shared" si="107"/>
        <v>0</v>
      </c>
      <c r="K463" s="305" t="e">
        <f>IF(F463="MXN",1/HLOOKUP(YEAR(G463)+(MONTH(G463)/100),TC!$5:$37,DAY(G463)+2,FALSE),VLOOKUP(F463,Equivalencia!$5:$23,((MAX(Equivalencia!$3:$3)-YEAR(G463))*14)+MONTH(G463)+2,FALSE))</f>
        <v>#N/A</v>
      </c>
      <c r="L463" s="306" t="e">
        <f t="shared" si="110"/>
        <v>#N/A</v>
      </c>
      <c r="M463" s="305">
        <f>IF(G463=0,0,HLOOKUP(YEAR(G463)+(MONTH(G463)/100),TC!$5:$37,DAY(G463)+2,FALSE))</f>
        <v>0</v>
      </c>
      <c r="N463" s="306" t="e">
        <f t="shared" si="111"/>
        <v>#N/A</v>
      </c>
      <c r="O463" s="308">
        <f>IF(G463=0,0,VLOOKUP(YEAR(G463),INPC!$B$4:$P$30,MONTH(G463)+2))</f>
        <v>0</v>
      </c>
      <c r="P463" s="308">
        <f>IF(W463=0,0,IF(OR(C463=$AQ$5,C463=AQ467),VLOOKUP(YEAR(W463),INPC!$B$4:$P$30,MONTH(W463)+1),VLOOKUP(YEAR(W463),INPC!$B$4:$P$30,MONTH(W463)+2)))</f>
        <v>0</v>
      </c>
      <c r="Q463" s="309">
        <f t="shared" si="112"/>
        <v>0</v>
      </c>
      <c r="R463" s="310" t="e">
        <f t="shared" si="113"/>
        <v>#N/A</v>
      </c>
      <c r="S463" s="310">
        <f t="shared" si="114"/>
        <v>0</v>
      </c>
      <c r="T463" s="559" t="str">
        <f t="shared" si="115"/>
        <v>NO</v>
      </c>
      <c r="U463" s="323"/>
      <c r="V463" s="299"/>
      <c r="W463" s="300"/>
      <c r="X463" s="299"/>
      <c r="Y463" s="303"/>
      <c r="Z463" s="305">
        <f>IF(Y463=0,0,IF(X463="MXN",1/HLOOKUP(YEAR(W463)+(MONTH(W463)/100),TC!$5:$37,DAY(W463)+2,FALSE),VLOOKUP(X463,Equivalencia!$1:$23,((MAX(Equivalencia!$3:$3)-YEAR(W463))*14)+MONTH(W463)+2,FALSE)))</f>
        <v>0</v>
      </c>
      <c r="AA463" s="306">
        <f t="shared" si="116"/>
        <v>0</v>
      </c>
      <c r="AB463" s="305">
        <f>+IF(W463=0,0,HLOOKUP(YEAR(W463)+(MONTH(W463)/100),TC!$5:$37,DAY(W463)+2,FALSE))</f>
        <v>0</v>
      </c>
      <c r="AC463" s="306">
        <f t="shared" si="117"/>
        <v>0</v>
      </c>
      <c r="AD463" s="314">
        <f t="shared" si="108"/>
        <v>0</v>
      </c>
      <c r="AE463" s="315">
        <f t="shared" si="118"/>
        <v>0</v>
      </c>
      <c r="AF463" s="316">
        <f t="shared" si="109"/>
        <v>0</v>
      </c>
      <c r="AG463" s="314">
        <v>1</v>
      </c>
      <c r="AH463" s="314">
        <f t="shared" si="119"/>
        <v>0</v>
      </c>
      <c r="AI463" s="314">
        <f t="shared" si="120"/>
        <v>0</v>
      </c>
      <c r="AJ463" s="317"/>
      <c r="AK463" s="315" t="e">
        <f t="shared" si="121"/>
        <v>#N/A</v>
      </c>
      <c r="AM463" s="553"/>
      <c r="AN463" s="553"/>
      <c r="AO463" s="553"/>
    </row>
    <row r="464" spans="2:41">
      <c r="B464" s="296"/>
      <c r="C464" s="299"/>
      <c r="D464" s="296"/>
      <c r="E464" s="298"/>
      <c r="F464" s="299"/>
      <c r="G464" s="300"/>
      <c r="H464" s="303"/>
      <c r="I464" s="303"/>
      <c r="J464" s="322">
        <f t="shared" si="107"/>
        <v>0</v>
      </c>
      <c r="K464" s="305" t="e">
        <f>IF(F464="MXN",1/HLOOKUP(YEAR(G464)+(MONTH(G464)/100),TC!$5:$37,DAY(G464)+2,FALSE),VLOOKUP(F464,Equivalencia!$5:$23,((MAX(Equivalencia!$3:$3)-YEAR(G464))*14)+MONTH(G464)+2,FALSE))</f>
        <v>#N/A</v>
      </c>
      <c r="L464" s="306" t="e">
        <f t="shared" si="110"/>
        <v>#N/A</v>
      </c>
      <c r="M464" s="305">
        <f>IF(G464=0,0,HLOOKUP(YEAR(G464)+(MONTH(G464)/100),TC!$5:$37,DAY(G464)+2,FALSE))</f>
        <v>0</v>
      </c>
      <c r="N464" s="306" t="e">
        <f t="shared" si="111"/>
        <v>#N/A</v>
      </c>
      <c r="O464" s="308">
        <f>IF(G464=0,0,VLOOKUP(YEAR(G464),INPC!$B$4:$P$30,MONTH(G464)+2))</f>
        <v>0</v>
      </c>
      <c r="P464" s="308">
        <f>IF(W464=0,0,IF(OR(C464=$AQ$5,C464=AQ468),VLOOKUP(YEAR(W464),INPC!$B$4:$P$30,MONTH(W464)+1),VLOOKUP(YEAR(W464),INPC!$B$4:$P$30,MONTH(W464)+2)))</f>
        <v>0</v>
      </c>
      <c r="Q464" s="309">
        <f t="shared" si="112"/>
        <v>0</v>
      </c>
      <c r="R464" s="310" t="e">
        <f t="shared" si="113"/>
        <v>#N/A</v>
      </c>
      <c r="S464" s="310">
        <f t="shared" si="114"/>
        <v>0</v>
      </c>
      <c r="T464" s="559" t="str">
        <f t="shared" si="115"/>
        <v>NO</v>
      </c>
      <c r="U464" s="323"/>
      <c r="V464" s="299"/>
      <c r="W464" s="300"/>
      <c r="X464" s="299"/>
      <c r="Y464" s="303"/>
      <c r="Z464" s="305">
        <f>IF(Y464=0,0,IF(X464="MXN",1/HLOOKUP(YEAR(W464)+(MONTH(W464)/100),TC!$5:$37,DAY(W464)+2,FALSE),VLOOKUP(X464,Equivalencia!$1:$23,((MAX(Equivalencia!$3:$3)-YEAR(W464))*14)+MONTH(W464)+2,FALSE)))</f>
        <v>0</v>
      </c>
      <c r="AA464" s="306">
        <f t="shared" si="116"/>
        <v>0</v>
      </c>
      <c r="AB464" s="305">
        <f>+IF(W464=0,0,HLOOKUP(YEAR(W464)+(MONTH(W464)/100),TC!$5:$37,DAY(W464)+2,FALSE))</f>
        <v>0</v>
      </c>
      <c r="AC464" s="306">
        <f t="shared" si="117"/>
        <v>0</v>
      </c>
      <c r="AD464" s="314">
        <f t="shared" si="108"/>
        <v>0</v>
      </c>
      <c r="AE464" s="315">
        <f t="shared" si="118"/>
        <v>0</v>
      </c>
      <c r="AF464" s="316">
        <f t="shared" si="109"/>
        <v>0</v>
      </c>
      <c r="AG464" s="314">
        <v>1</v>
      </c>
      <c r="AH464" s="314">
        <f t="shared" si="119"/>
        <v>0</v>
      </c>
      <c r="AI464" s="314">
        <f t="shared" si="120"/>
        <v>0</v>
      </c>
      <c r="AJ464" s="317"/>
      <c r="AK464" s="315" t="e">
        <f t="shared" si="121"/>
        <v>#N/A</v>
      </c>
      <c r="AM464" s="553"/>
      <c r="AN464" s="553"/>
      <c r="AO464" s="553"/>
    </row>
    <row r="465" spans="2:41">
      <c r="B465" s="296"/>
      <c r="C465" s="299"/>
      <c r="D465" s="296"/>
      <c r="E465" s="298"/>
      <c r="F465" s="299"/>
      <c r="G465" s="300"/>
      <c r="H465" s="303"/>
      <c r="I465" s="303"/>
      <c r="J465" s="322">
        <f t="shared" si="107"/>
        <v>0</v>
      </c>
      <c r="K465" s="305" t="e">
        <f>IF(F465="MXN",1/HLOOKUP(YEAR(G465)+(MONTH(G465)/100),TC!$5:$37,DAY(G465)+2,FALSE),VLOOKUP(F465,Equivalencia!$5:$23,((MAX(Equivalencia!$3:$3)-YEAR(G465))*14)+MONTH(G465)+2,FALSE))</f>
        <v>#N/A</v>
      </c>
      <c r="L465" s="306" t="e">
        <f t="shared" si="110"/>
        <v>#N/A</v>
      </c>
      <c r="M465" s="305">
        <f>IF(G465=0,0,HLOOKUP(YEAR(G465)+(MONTH(G465)/100),TC!$5:$37,DAY(G465)+2,FALSE))</f>
        <v>0</v>
      </c>
      <c r="N465" s="306" t="e">
        <f t="shared" si="111"/>
        <v>#N/A</v>
      </c>
      <c r="O465" s="308">
        <f>IF(G465=0,0,VLOOKUP(YEAR(G465),INPC!$B$4:$P$30,MONTH(G465)+2))</f>
        <v>0</v>
      </c>
      <c r="P465" s="308">
        <f>IF(W465=0,0,IF(OR(C465=$AQ$5,C465=AQ469),VLOOKUP(YEAR(W465),INPC!$B$4:$P$30,MONTH(W465)+1),VLOOKUP(YEAR(W465),INPC!$B$4:$P$30,MONTH(W465)+2)))</f>
        <v>0</v>
      </c>
      <c r="Q465" s="309">
        <f t="shared" si="112"/>
        <v>0</v>
      </c>
      <c r="R465" s="310" t="e">
        <f t="shared" si="113"/>
        <v>#N/A</v>
      </c>
      <c r="S465" s="310">
        <f t="shared" si="114"/>
        <v>0</v>
      </c>
      <c r="T465" s="559" t="str">
        <f t="shared" si="115"/>
        <v>NO</v>
      </c>
      <c r="U465" s="323"/>
      <c r="V465" s="299"/>
      <c r="W465" s="300"/>
      <c r="X465" s="299"/>
      <c r="Y465" s="303"/>
      <c r="Z465" s="305">
        <f>IF(Y465=0,0,IF(X465="MXN",1/HLOOKUP(YEAR(W465)+(MONTH(W465)/100),TC!$5:$37,DAY(W465)+2,FALSE),VLOOKUP(X465,Equivalencia!$1:$23,((MAX(Equivalencia!$3:$3)-YEAR(W465))*14)+MONTH(W465)+2,FALSE)))</f>
        <v>0</v>
      </c>
      <c r="AA465" s="306">
        <f t="shared" si="116"/>
        <v>0</v>
      </c>
      <c r="AB465" s="305">
        <f>+IF(W465=0,0,HLOOKUP(YEAR(W465)+(MONTH(W465)/100),TC!$5:$37,DAY(W465)+2,FALSE))</f>
        <v>0</v>
      </c>
      <c r="AC465" s="306">
        <f t="shared" si="117"/>
        <v>0</v>
      </c>
      <c r="AD465" s="314">
        <f t="shared" si="108"/>
        <v>0</v>
      </c>
      <c r="AE465" s="315">
        <f t="shared" si="118"/>
        <v>0</v>
      </c>
      <c r="AF465" s="316">
        <f t="shared" si="109"/>
        <v>0</v>
      </c>
      <c r="AG465" s="314">
        <v>1</v>
      </c>
      <c r="AH465" s="314">
        <f t="shared" si="119"/>
        <v>0</v>
      </c>
      <c r="AI465" s="314">
        <f t="shared" si="120"/>
        <v>0</v>
      </c>
      <c r="AJ465" s="317"/>
      <c r="AK465" s="315" t="e">
        <f t="shared" si="121"/>
        <v>#N/A</v>
      </c>
      <c r="AM465" s="553"/>
      <c r="AN465" s="553"/>
      <c r="AO465" s="553"/>
    </row>
    <row r="466" spans="2:41">
      <c r="B466" s="296"/>
      <c r="C466" s="299"/>
      <c r="D466" s="296"/>
      <c r="E466" s="298"/>
      <c r="F466" s="299"/>
      <c r="G466" s="300"/>
      <c r="H466" s="303"/>
      <c r="I466" s="303"/>
      <c r="J466" s="322">
        <f t="shared" si="107"/>
        <v>0</v>
      </c>
      <c r="K466" s="305" t="e">
        <f>IF(F466="MXN",1/HLOOKUP(YEAR(G466)+(MONTH(G466)/100),TC!$5:$37,DAY(G466)+2,FALSE),VLOOKUP(F466,Equivalencia!$5:$23,((MAX(Equivalencia!$3:$3)-YEAR(G466))*14)+MONTH(G466)+2,FALSE))</f>
        <v>#N/A</v>
      </c>
      <c r="L466" s="306" t="e">
        <f t="shared" si="110"/>
        <v>#N/A</v>
      </c>
      <c r="M466" s="305">
        <f>IF(G466=0,0,HLOOKUP(YEAR(G466)+(MONTH(G466)/100),TC!$5:$37,DAY(G466)+2,FALSE))</f>
        <v>0</v>
      </c>
      <c r="N466" s="306" t="e">
        <f t="shared" si="111"/>
        <v>#N/A</v>
      </c>
      <c r="O466" s="308">
        <f>IF(G466=0,0,VLOOKUP(YEAR(G466),INPC!$B$4:$P$30,MONTH(G466)+2))</f>
        <v>0</v>
      </c>
      <c r="P466" s="308">
        <f>IF(W466=0,0,IF(OR(C466=$AQ$5,C466=AQ470),VLOOKUP(YEAR(W466),INPC!$B$4:$P$30,MONTH(W466)+1),VLOOKUP(YEAR(W466),INPC!$B$4:$P$30,MONTH(W466)+2)))</f>
        <v>0</v>
      </c>
      <c r="Q466" s="309">
        <f t="shared" si="112"/>
        <v>0</v>
      </c>
      <c r="R466" s="310" t="e">
        <f t="shared" si="113"/>
        <v>#N/A</v>
      </c>
      <c r="S466" s="310">
        <f t="shared" si="114"/>
        <v>0</v>
      </c>
      <c r="T466" s="559" t="str">
        <f t="shared" si="115"/>
        <v>NO</v>
      </c>
      <c r="U466" s="323"/>
      <c r="V466" s="299"/>
      <c r="W466" s="300"/>
      <c r="X466" s="299"/>
      <c r="Y466" s="303"/>
      <c r="Z466" s="305">
        <f>IF(Y466=0,0,IF(X466="MXN",1/HLOOKUP(YEAR(W466)+(MONTH(W466)/100),TC!$5:$37,DAY(W466)+2,FALSE),VLOOKUP(X466,Equivalencia!$1:$23,((MAX(Equivalencia!$3:$3)-YEAR(W466))*14)+MONTH(W466)+2,FALSE)))</f>
        <v>0</v>
      </c>
      <c r="AA466" s="306">
        <f t="shared" si="116"/>
        <v>0</v>
      </c>
      <c r="AB466" s="305">
        <f>+IF(W466=0,0,HLOOKUP(YEAR(W466)+(MONTH(W466)/100),TC!$5:$37,DAY(W466)+2,FALSE))</f>
        <v>0</v>
      </c>
      <c r="AC466" s="306">
        <f t="shared" si="117"/>
        <v>0</v>
      </c>
      <c r="AD466" s="314">
        <f t="shared" si="108"/>
        <v>0</v>
      </c>
      <c r="AE466" s="315">
        <f t="shared" si="118"/>
        <v>0</v>
      </c>
      <c r="AF466" s="316">
        <f t="shared" si="109"/>
        <v>0</v>
      </c>
      <c r="AG466" s="314">
        <v>1</v>
      </c>
      <c r="AH466" s="314">
        <f t="shared" si="119"/>
        <v>0</v>
      </c>
      <c r="AI466" s="314">
        <f t="shared" si="120"/>
        <v>0</v>
      </c>
      <c r="AJ466" s="317"/>
      <c r="AK466" s="315" t="e">
        <f t="shared" si="121"/>
        <v>#N/A</v>
      </c>
      <c r="AM466" s="553"/>
      <c r="AN466" s="553"/>
      <c r="AO466" s="553"/>
    </row>
    <row r="467" spans="2:41">
      <c r="B467" s="296"/>
      <c r="C467" s="299"/>
      <c r="D467" s="296"/>
      <c r="E467" s="298"/>
      <c r="F467" s="299"/>
      <c r="G467" s="300"/>
      <c r="H467" s="303"/>
      <c r="I467" s="303"/>
      <c r="J467" s="322">
        <f t="shared" si="107"/>
        <v>0</v>
      </c>
      <c r="K467" s="305" t="e">
        <f>IF(F467="MXN",1/HLOOKUP(YEAR(G467)+(MONTH(G467)/100),TC!$5:$37,DAY(G467)+2,FALSE),VLOOKUP(F467,Equivalencia!$5:$23,((MAX(Equivalencia!$3:$3)-YEAR(G467))*14)+MONTH(G467)+2,FALSE))</f>
        <v>#N/A</v>
      </c>
      <c r="L467" s="306" t="e">
        <f t="shared" si="110"/>
        <v>#N/A</v>
      </c>
      <c r="M467" s="305">
        <f>IF(G467=0,0,HLOOKUP(YEAR(G467)+(MONTH(G467)/100),TC!$5:$37,DAY(G467)+2,FALSE))</f>
        <v>0</v>
      </c>
      <c r="N467" s="306" t="e">
        <f t="shared" si="111"/>
        <v>#N/A</v>
      </c>
      <c r="O467" s="308">
        <f>IF(G467=0,0,VLOOKUP(YEAR(G467),INPC!$B$4:$P$30,MONTH(G467)+2))</f>
        <v>0</v>
      </c>
      <c r="P467" s="308">
        <f>IF(W467=0,0,IF(OR(C467=$AQ$5,C467=AQ471),VLOOKUP(YEAR(W467),INPC!$B$4:$P$30,MONTH(W467)+1),VLOOKUP(YEAR(W467),INPC!$B$4:$P$30,MONTH(W467)+2)))</f>
        <v>0</v>
      </c>
      <c r="Q467" s="309">
        <f t="shared" si="112"/>
        <v>0</v>
      </c>
      <c r="R467" s="310" t="e">
        <f t="shared" si="113"/>
        <v>#N/A</v>
      </c>
      <c r="S467" s="310">
        <f t="shared" si="114"/>
        <v>0</v>
      </c>
      <c r="T467" s="559" t="str">
        <f t="shared" si="115"/>
        <v>NO</v>
      </c>
      <c r="U467" s="323"/>
      <c r="V467" s="299"/>
      <c r="W467" s="300"/>
      <c r="X467" s="299"/>
      <c r="Y467" s="303"/>
      <c r="Z467" s="305">
        <f>IF(Y467=0,0,IF(X467="MXN",1/HLOOKUP(YEAR(W467)+(MONTH(W467)/100),TC!$5:$37,DAY(W467)+2,FALSE),VLOOKUP(X467,Equivalencia!$1:$23,((MAX(Equivalencia!$3:$3)-YEAR(W467))*14)+MONTH(W467)+2,FALSE)))</f>
        <v>0</v>
      </c>
      <c r="AA467" s="306">
        <f t="shared" si="116"/>
        <v>0</v>
      </c>
      <c r="AB467" s="305">
        <f>+IF(W467=0,0,HLOOKUP(YEAR(W467)+(MONTH(W467)/100),TC!$5:$37,DAY(W467)+2,FALSE))</f>
        <v>0</v>
      </c>
      <c r="AC467" s="306">
        <f t="shared" si="117"/>
        <v>0</v>
      </c>
      <c r="AD467" s="314">
        <f t="shared" si="108"/>
        <v>0</v>
      </c>
      <c r="AE467" s="315">
        <f t="shared" si="118"/>
        <v>0</v>
      </c>
      <c r="AF467" s="316">
        <f t="shared" si="109"/>
        <v>0</v>
      </c>
      <c r="AG467" s="314">
        <v>1</v>
      </c>
      <c r="AH467" s="314">
        <f t="shared" si="119"/>
        <v>0</v>
      </c>
      <c r="AI467" s="314">
        <f t="shared" si="120"/>
        <v>0</v>
      </c>
      <c r="AJ467" s="317"/>
      <c r="AK467" s="315" t="e">
        <f t="shared" si="121"/>
        <v>#N/A</v>
      </c>
      <c r="AM467" s="553"/>
      <c r="AN467" s="553"/>
      <c r="AO467" s="553"/>
    </row>
    <row r="468" spans="2:41">
      <c r="B468" s="296"/>
      <c r="C468" s="299"/>
      <c r="D468" s="296"/>
      <c r="E468" s="298"/>
      <c r="F468" s="299"/>
      <c r="G468" s="300"/>
      <c r="H468" s="303"/>
      <c r="I468" s="303"/>
      <c r="J468" s="322">
        <f t="shared" si="107"/>
        <v>0</v>
      </c>
      <c r="K468" s="305" t="e">
        <f>IF(F468="MXN",1/HLOOKUP(YEAR(G468)+(MONTH(G468)/100),TC!$5:$37,DAY(G468)+2,FALSE),VLOOKUP(F468,Equivalencia!$5:$23,((MAX(Equivalencia!$3:$3)-YEAR(G468))*14)+MONTH(G468)+2,FALSE))</f>
        <v>#N/A</v>
      </c>
      <c r="L468" s="306" t="e">
        <f t="shared" si="110"/>
        <v>#N/A</v>
      </c>
      <c r="M468" s="305">
        <f>IF(G468=0,0,HLOOKUP(YEAR(G468)+(MONTH(G468)/100),TC!$5:$37,DAY(G468)+2,FALSE))</f>
        <v>0</v>
      </c>
      <c r="N468" s="306" t="e">
        <f t="shared" si="111"/>
        <v>#N/A</v>
      </c>
      <c r="O468" s="308">
        <f>IF(G468=0,0,VLOOKUP(YEAR(G468),INPC!$B$4:$P$30,MONTH(G468)+2))</f>
        <v>0</v>
      </c>
      <c r="P468" s="308">
        <f>IF(W468=0,0,IF(OR(C468=$AQ$5,C468=AQ472),VLOOKUP(YEAR(W468),INPC!$B$4:$P$30,MONTH(W468)+1),VLOOKUP(YEAR(W468),INPC!$B$4:$P$30,MONTH(W468)+2)))</f>
        <v>0</v>
      </c>
      <c r="Q468" s="309">
        <f t="shared" si="112"/>
        <v>0</v>
      </c>
      <c r="R468" s="310" t="e">
        <f t="shared" si="113"/>
        <v>#N/A</v>
      </c>
      <c r="S468" s="310">
        <f t="shared" si="114"/>
        <v>0</v>
      </c>
      <c r="T468" s="559" t="str">
        <f t="shared" si="115"/>
        <v>NO</v>
      </c>
      <c r="U468" s="323"/>
      <c r="V468" s="299"/>
      <c r="W468" s="300"/>
      <c r="X468" s="299"/>
      <c r="Y468" s="303"/>
      <c r="Z468" s="305">
        <f>IF(Y468=0,0,IF(X468="MXN",1/HLOOKUP(YEAR(W468)+(MONTH(W468)/100),TC!$5:$37,DAY(W468)+2,FALSE),VLOOKUP(X468,Equivalencia!$1:$23,((MAX(Equivalencia!$3:$3)-YEAR(W468))*14)+MONTH(W468)+2,FALSE)))</f>
        <v>0</v>
      </c>
      <c r="AA468" s="306">
        <f t="shared" si="116"/>
        <v>0</v>
      </c>
      <c r="AB468" s="305">
        <f>+IF(W468=0,0,HLOOKUP(YEAR(W468)+(MONTH(W468)/100),TC!$5:$37,DAY(W468)+2,FALSE))</f>
        <v>0</v>
      </c>
      <c r="AC468" s="306">
        <f t="shared" si="117"/>
        <v>0</v>
      </c>
      <c r="AD468" s="314">
        <f t="shared" si="108"/>
        <v>0</v>
      </c>
      <c r="AE468" s="315">
        <f t="shared" si="118"/>
        <v>0</v>
      </c>
      <c r="AF468" s="316">
        <f t="shared" si="109"/>
        <v>0</v>
      </c>
      <c r="AG468" s="314">
        <v>1</v>
      </c>
      <c r="AH468" s="314">
        <f t="shared" si="119"/>
        <v>0</v>
      </c>
      <c r="AI468" s="314">
        <f t="shared" si="120"/>
        <v>0</v>
      </c>
      <c r="AJ468" s="317"/>
      <c r="AK468" s="315" t="e">
        <f t="shared" si="121"/>
        <v>#N/A</v>
      </c>
      <c r="AM468" s="553"/>
      <c r="AN468" s="553"/>
      <c r="AO468" s="553"/>
    </row>
    <row r="469" spans="2:41">
      <c r="B469" s="296"/>
      <c r="C469" s="299"/>
      <c r="D469" s="296"/>
      <c r="E469" s="298"/>
      <c r="F469" s="299"/>
      <c r="G469" s="300"/>
      <c r="H469" s="303"/>
      <c r="I469" s="303"/>
      <c r="J469" s="322">
        <f t="shared" si="107"/>
        <v>0</v>
      </c>
      <c r="K469" s="305" t="e">
        <f>IF(F469="MXN",1/HLOOKUP(YEAR(G469)+(MONTH(G469)/100),TC!$5:$37,DAY(G469)+2,FALSE),VLOOKUP(F469,Equivalencia!$5:$23,((MAX(Equivalencia!$3:$3)-YEAR(G469))*14)+MONTH(G469)+2,FALSE))</f>
        <v>#N/A</v>
      </c>
      <c r="L469" s="306" t="e">
        <f t="shared" si="110"/>
        <v>#N/A</v>
      </c>
      <c r="M469" s="305">
        <f>IF(G469=0,0,HLOOKUP(YEAR(G469)+(MONTH(G469)/100),TC!$5:$37,DAY(G469)+2,FALSE))</f>
        <v>0</v>
      </c>
      <c r="N469" s="306" t="e">
        <f t="shared" si="111"/>
        <v>#N/A</v>
      </c>
      <c r="O469" s="308">
        <f>IF(G469=0,0,VLOOKUP(YEAR(G469),INPC!$B$4:$P$30,MONTH(G469)+2))</f>
        <v>0</v>
      </c>
      <c r="P469" s="308">
        <f>IF(W469=0,0,IF(OR(C469=$AQ$5,C469=AQ473),VLOOKUP(YEAR(W469),INPC!$B$4:$P$30,MONTH(W469)+1),VLOOKUP(YEAR(W469),INPC!$B$4:$P$30,MONTH(W469)+2)))</f>
        <v>0</v>
      </c>
      <c r="Q469" s="309">
        <f t="shared" si="112"/>
        <v>0</v>
      </c>
      <c r="R469" s="310" t="e">
        <f t="shared" si="113"/>
        <v>#N/A</v>
      </c>
      <c r="S469" s="310">
        <f t="shared" si="114"/>
        <v>0</v>
      </c>
      <c r="T469" s="559" t="str">
        <f t="shared" si="115"/>
        <v>NO</v>
      </c>
      <c r="U469" s="323"/>
      <c r="V469" s="299"/>
      <c r="W469" s="300"/>
      <c r="X469" s="299"/>
      <c r="Y469" s="303"/>
      <c r="Z469" s="305">
        <f>IF(Y469=0,0,IF(X469="MXN",1/HLOOKUP(YEAR(W469)+(MONTH(W469)/100),TC!$5:$37,DAY(W469)+2,FALSE),VLOOKUP(X469,Equivalencia!$1:$23,((MAX(Equivalencia!$3:$3)-YEAR(W469))*14)+MONTH(W469)+2,FALSE)))</f>
        <v>0</v>
      </c>
      <c r="AA469" s="306">
        <f t="shared" si="116"/>
        <v>0</v>
      </c>
      <c r="AB469" s="305">
        <f>+IF(W469=0,0,HLOOKUP(YEAR(W469)+(MONTH(W469)/100),TC!$5:$37,DAY(W469)+2,FALSE))</f>
        <v>0</v>
      </c>
      <c r="AC469" s="306">
        <f t="shared" si="117"/>
        <v>0</v>
      </c>
      <c r="AD469" s="314">
        <f t="shared" si="108"/>
        <v>0</v>
      </c>
      <c r="AE469" s="315">
        <f t="shared" si="118"/>
        <v>0</v>
      </c>
      <c r="AF469" s="316">
        <f t="shared" si="109"/>
        <v>0</v>
      </c>
      <c r="AG469" s="314">
        <v>1</v>
      </c>
      <c r="AH469" s="314">
        <f t="shared" si="119"/>
        <v>0</v>
      </c>
      <c r="AI469" s="314">
        <f t="shared" si="120"/>
        <v>0</v>
      </c>
      <c r="AJ469" s="317"/>
      <c r="AK469" s="315" t="e">
        <f t="shared" si="121"/>
        <v>#N/A</v>
      </c>
      <c r="AM469" s="553"/>
      <c r="AN469" s="553"/>
      <c r="AO469" s="553"/>
    </row>
    <row r="470" spans="2:41">
      <c r="B470" s="296"/>
      <c r="C470" s="299"/>
      <c r="D470" s="296"/>
      <c r="E470" s="298"/>
      <c r="F470" s="299"/>
      <c r="G470" s="300"/>
      <c r="H470" s="303"/>
      <c r="I470" s="303"/>
      <c r="J470" s="322">
        <f t="shared" si="107"/>
        <v>0</v>
      </c>
      <c r="K470" s="305" t="e">
        <f>IF(F470="MXN",1/HLOOKUP(YEAR(G470)+(MONTH(G470)/100),TC!$5:$37,DAY(G470)+2,FALSE),VLOOKUP(F470,Equivalencia!$5:$23,((MAX(Equivalencia!$3:$3)-YEAR(G470))*14)+MONTH(G470)+2,FALSE))</f>
        <v>#N/A</v>
      </c>
      <c r="L470" s="306" t="e">
        <f t="shared" si="110"/>
        <v>#N/A</v>
      </c>
      <c r="M470" s="305">
        <f>IF(G470=0,0,HLOOKUP(YEAR(G470)+(MONTH(G470)/100),TC!$5:$37,DAY(G470)+2,FALSE))</f>
        <v>0</v>
      </c>
      <c r="N470" s="306" t="e">
        <f t="shared" si="111"/>
        <v>#N/A</v>
      </c>
      <c r="O470" s="308">
        <f>IF(G470=0,0,VLOOKUP(YEAR(G470),INPC!$B$4:$P$30,MONTH(G470)+2))</f>
        <v>0</v>
      </c>
      <c r="P470" s="308">
        <f>IF(W470=0,0,IF(OR(C470=$AQ$5,C470=AQ474),VLOOKUP(YEAR(W470),INPC!$B$4:$P$30,MONTH(W470)+1),VLOOKUP(YEAR(W470),INPC!$B$4:$P$30,MONTH(W470)+2)))</f>
        <v>0</v>
      </c>
      <c r="Q470" s="309">
        <f t="shared" si="112"/>
        <v>0</v>
      </c>
      <c r="R470" s="310" t="e">
        <f t="shared" si="113"/>
        <v>#N/A</v>
      </c>
      <c r="S470" s="310">
        <f t="shared" si="114"/>
        <v>0</v>
      </c>
      <c r="T470" s="559" t="str">
        <f t="shared" si="115"/>
        <v>NO</v>
      </c>
      <c r="U470" s="323"/>
      <c r="V470" s="299"/>
      <c r="W470" s="300"/>
      <c r="X470" s="299"/>
      <c r="Y470" s="303"/>
      <c r="Z470" s="305">
        <f>IF(Y470=0,0,IF(X470="MXN",1/HLOOKUP(YEAR(W470)+(MONTH(W470)/100),TC!$5:$37,DAY(W470)+2,FALSE),VLOOKUP(X470,Equivalencia!$1:$23,((MAX(Equivalencia!$3:$3)-YEAR(W470))*14)+MONTH(W470)+2,FALSE)))</f>
        <v>0</v>
      </c>
      <c r="AA470" s="306">
        <f t="shared" si="116"/>
        <v>0</v>
      </c>
      <c r="AB470" s="305">
        <f>+IF(W470=0,0,HLOOKUP(YEAR(W470)+(MONTH(W470)/100),TC!$5:$37,DAY(W470)+2,FALSE))</f>
        <v>0</v>
      </c>
      <c r="AC470" s="306">
        <f t="shared" si="117"/>
        <v>0</v>
      </c>
      <c r="AD470" s="314">
        <f t="shared" si="108"/>
        <v>0</v>
      </c>
      <c r="AE470" s="315">
        <f t="shared" si="118"/>
        <v>0</v>
      </c>
      <c r="AF470" s="316">
        <f t="shared" si="109"/>
        <v>0</v>
      </c>
      <c r="AG470" s="314">
        <v>1</v>
      </c>
      <c r="AH470" s="314">
        <f t="shared" si="119"/>
        <v>0</v>
      </c>
      <c r="AI470" s="314">
        <f t="shared" si="120"/>
        <v>0</v>
      </c>
      <c r="AJ470" s="317"/>
      <c r="AK470" s="315" t="e">
        <f t="shared" si="121"/>
        <v>#N/A</v>
      </c>
      <c r="AM470" s="553"/>
      <c r="AN470" s="553"/>
      <c r="AO470" s="553"/>
    </row>
    <row r="471" spans="2:41">
      <c r="B471" s="296"/>
      <c r="C471" s="299"/>
      <c r="D471" s="296"/>
      <c r="E471" s="298"/>
      <c r="F471" s="299"/>
      <c r="G471" s="300"/>
      <c r="H471" s="303"/>
      <c r="I471" s="303"/>
      <c r="J471" s="322">
        <f t="shared" si="107"/>
        <v>0</v>
      </c>
      <c r="K471" s="305" t="e">
        <f>IF(F471="MXN",1/HLOOKUP(YEAR(G471)+(MONTH(G471)/100),TC!$5:$37,DAY(G471)+2,FALSE),VLOOKUP(F471,Equivalencia!$5:$23,((MAX(Equivalencia!$3:$3)-YEAR(G471))*14)+MONTH(G471)+2,FALSE))</f>
        <v>#N/A</v>
      </c>
      <c r="L471" s="306" t="e">
        <f t="shared" si="110"/>
        <v>#N/A</v>
      </c>
      <c r="M471" s="305">
        <f>IF(G471=0,0,HLOOKUP(YEAR(G471)+(MONTH(G471)/100),TC!$5:$37,DAY(G471)+2,FALSE))</f>
        <v>0</v>
      </c>
      <c r="N471" s="306" t="e">
        <f t="shared" si="111"/>
        <v>#N/A</v>
      </c>
      <c r="O471" s="308">
        <f>IF(G471=0,0,VLOOKUP(YEAR(G471),INPC!$B$4:$P$30,MONTH(G471)+2))</f>
        <v>0</v>
      </c>
      <c r="P471" s="308">
        <f>IF(W471=0,0,IF(OR(C471=$AQ$5,C471=AQ475),VLOOKUP(YEAR(W471),INPC!$B$4:$P$30,MONTH(W471)+1),VLOOKUP(YEAR(W471),INPC!$B$4:$P$30,MONTH(W471)+2)))</f>
        <v>0</v>
      </c>
      <c r="Q471" s="309">
        <f t="shared" si="112"/>
        <v>0</v>
      </c>
      <c r="R471" s="310" t="e">
        <f t="shared" si="113"/>
        <v>#N/A</v>
      </c>
      <c r="S471" s="310">
        <f t="shared" si="114"/>
        <v>0</v>
      </c>
      <c r="T471" s="559" t="str">
        <f t="shared" si="115"/>
        <v>NO</v>
      </c>
      <c r="U471" s="323"/>
      <c r="V471" s="299"/>
      <c r="W471" s="300"/>
      <c r="X471" s="299"/>
      <c r="Y471" s="303"/>
      <c r="Z471" s="305">
        <f>IF(Y471=0,0,IF(X471="MXN",1/HLOOKUP(YEAR(W471)+(MONTH(W471)/100),TC!$5:$37,DAY(W471)+2,FALSE),VLOOKUP(X471,Equivalencia!$1:$23,((MAX(Equivalencia!$3:$3)-YEAR(W471))*14)+MONTH(W471)+2,FALSE)))</f>
        <v>0</v>
      </c>
      <c r="AA471" s="306">
        <f t="shared" si="116"/>
        <v>0</v>
      </c>
      <c r="AB471" s="305">
        <f>+IF(W471=0,0,HLOOKUP(YEAR(W471)+(MONTH(W471)/100),TC!$5:$37,DAY(W471)+2,FALSE))</f>
        <v>0</v>
      </c>
      <c r="AC471" s="306">
        <f t="shared" si="117"/>
        <v>0</v>
      </c>
      <c r="AD471" s="314">
        <f t="shared" si="108"/>
        <v>0</v>
      </c>
      <c r="AE471" s="315">
        <f t="shared" si="118"/>
        <v>0</v>
      </c>
      <c r="AF471" s="316">
        <f t="shared" si="109"/>
        <v>0</v>
      </c>
      <c r="AG471" s="314">
        <v>1</v>
      </c>
      <c r="AH471" s="314">
        <f t="shared" si="119"/>
        <v>0</v>
      </c>
      <c r="AI471" s="314">
        <f t="shared" si="120"/>
        <v>0</v>
      </c>
      <c r="AJ471" s="317"/>
      <c r="AK471" s="315" t="e">
        <f t="shared" si="121"/>
        <v>#N/A</v>
      </c>
      <c r="AM471" s="553"/>
      <c r="AN471" s="553"/>
      <c r="AO471" s="553"/>
    </row>
    <row r="472" spans="2:41">
      <c r="B472" s="296"/>
      <c r="C472" s="299"/>
      <c r="D472" s="296"/>
      <c r="E472" s="298"/>
      <c r="F472" s="299"/>
      <c r="G472" s="300"/>
      <c r="H472" s="303"/>
      <c r="I472" s="303"/>
      <c r="J472" s="322">
        <f t="shared" si="107"/>
        <v>0</v>
      </c>
      <c r="K472" s="305" t="e">
        <f>IF(F472="MXN",1/HLOOKUP(YEAR(G472)+(MONTH(G472)/100),TC!$5:$37,DAY(G472)+2,FALSE),VLOOKUP(F472,Equivalencia!$5:$23,((MAX(Equivalencia!$3:$3)-YEAR(G472))*14)+MONTH(G472)+2,FALSE))</f>
        <v>#N/A</v>
      </c>
      <c r="L472" s="306" t="e">
        <f t="shared" si="110"/>
        <v>#N/A</v>
      </c>
      <c r="M472" s="305">
        <f>IF(G472=0,0,HLOOKUP(YEAR(G472)+(MONTH(G472)/100),TC!$5:$37,DAY(G472)+2,FALSE))</f>
        <v>0</v>
      </c>
      <c r="N472" s="306" t="e">
        <f t="shared" si="111"/>
        <v>#N/A</v>
      </c>
      <c r="O472" s="308">
        <f>IF(G472=0,0,VLOOKUP(YEAR(G472),INPC!$B$4:$P$30,MONTH(G472)+2))</f>
        <v>0</v>
      </c>
      <c r="P472" s="308">
        <f>IF(W472=0,0,IF(OR(C472=$AQ$5,C472=AQ476),VLOOKUP(YEAR(W472),INPC!$B$4:$P$30,MONTH(W472)+1),VLOOKUP(YEAR(W472),INPC!$B$4:$P$30,MONTH(W472)+2)))</f>
        <v>0</v>
      </c>
      <c r="Q472" s="309">
        <f t="shared" si="112"/>
        <v>0</v>
      </c>
      <c r="R472" s="310" t="e">
        <f t="shared" si="113"/>
        <v>#N/A</v>
      </c>
      <c r="S472" s="310">
        <f t="shared" si="114"/>
        <v>0</v>
      </c>
      <c r="T472" s="559" t="str">
        <f t="shared" si="115"/>
        <v>NO</v>
      </c>
      <c r="U472" s="323"/>
      <c r="V472" s="299"/>
      <c r="W472" s="300"/>
      <c r="X472" s="299"/>
      <c r="Y472" s="303"/>
      <c r="Z472" s="305">
        <f>IF(Y472=0,0,IF(X472="MXN",1/HLOOKUP(YEAR(W472)+(MONTH(W472)/100),TC!$5:$37,DAY(W472)+2,FALSE),VLOOKUP(X472,Equivalencia!$1:$23,((MAX(Equivalencia!$3:$3)-YEAR(W472))*14)+MONTH(W472)+2,FALSE)))</f>
        <v>0</v>
      </c>
      <c r="AA472" s="306">
        <f t="shared" si="116"/>
        <v>0</v>
      </c>
      <c r="AB472" s="305">
        <f>+IF(W472=0,0,HLOOKUP(YEAR(W472)+(MONTH(W472)/100),TC!$5:$37,DAY(W472)+2,FALSE))</f>
        <v>0</v>
      </c>
      <c r="AC472" s="306">
        <f t="shared" si="117"/>
        <v>0</v>
      </c>
      <c r="AD472" s="314">
        <f t="shared" si="108"/>
        <v>0</v>
      </c>
      <c r="AE472" s="315">
        <f t="shared" si="118"/>
        <v>0</v>
      </c>
      <c r="AF472" s="316">
        <f t="shared" si="109"/>
        <v>0</v>
      </c>
      <c r="AG472" s="314">
        <v>1</v>
      </c>
      <c r="AH472" s="314">
        <f t="shared" si="119"/>
        <v>0</v>
      </c>
      <c r="AI472" s="314">
        <f t="shared" si="120"/>
        <v>0</v>
      </c>
      <c r="AJ472" s="317"/>
      <c r="AK472" s="315" t="e">
        <f t="shared" si="121"/>
        <v>#N/A</v>
      </c>
      <c r="AM472" s="553"/>
      <c r="AN472" s="553"/>
      <c r="AO472" s="553"/>
    </row>
    <row r="473" spans="2:41">
      <c r="B473" s="296"/>
      <c r="C473" s="299"/>
      <c r="D473" s="296"/>
      <c r="E473" s="298"/>
      <c r="F473" s="299"/>
      <c r="G473" s="300"/>
      <c r="H473" s="303"/>
      <c r="I473" s="303"/>
      <c r="J473" s="322">
        <f t="shared" si="107"/>
        <v>0</v>
      </c>
      <c r="K473" s="305" t="e">
        <f>IF(F473="MXN",1/HLOOKUP(YEAR(G473)+(MONTH(G473)/100),TC!$5:$37,DAY(G473)+2,FALSE),VLOOKUP(F473,Equivalencia!$5:$23,((MAX(Equivalencia!$3:$3)-YEAR(G473))*14)+MONTH(G473)+2,FALSE))</f>
        <v>#N/A</v>
      </c>
      <c r="L473" s="306" t="e">
        <f t="shared" si="110"/>
        <v>#N/A</v>
      </c>
      <c r="M473" s="305">
        <f>IF(G473=0,0,HLOOKUP(YEAR(G473)+(MONTH(G473)/100),TC!$5:$37,DAY(G473)+2,FALSE))</f>
        <v>0</v>
      </c>
      <c r="N473" s="306" t="e">
        <f t="shared" si="111"/>
        <v>#N/A</v>
      </c>
      <c r="O473" s="308">
        <f>IF(G473=0,0,VLOOKUP(YEAR(G473),INPC!$B$4:$P$30,MONTH(G473)+2))</f>
        <v>0</v>
      </c>
      <c r="P473" s="308">
        <f>IF(W473=0,0,IF(OR(C473=$AQ$5,C473=AQ477),VLOOKUP(YEAR(W473),INPC!$B$4:$P$30,MONTH(W473)+1),VLOOKUP(YEAR(W473),INPC!$B$4:$P$30,MONTH(W473)+2)))</f>
        <v>0</v>
      </c>
      <c r="Q473" s="309">
        <f t="shared" si="112"/>
        <v>0</v>
      </c>
      <c r="R473" s="310" t="e">
        <f t="shared" si="113"/>
        <v>#N/A</v>
      </c>
      <c r="S473" s="310">
        <f t="shared" si="114"/>
        <v>0</v>
      </c>
      <c r="T473" s="559" t="str">
        <f t="shared" si="115"/>
        <v>NO</v>
      </c>
      <c r="U473" s="323"/>
      <c r="V473" s="299"/>
      <c r="W473" s="300"/>
      <c r="X473" s="299"/>
      <c r="Y473" s="303"/>
      <c r="Z473" s="305">
        <f>IF(Y473=0,0,IF(X473="MXN",1/HLOOKUP(YEAR(W473)+(MONTH(W473)/100),TC!$5:$37,DAY(W473)+2,FALSE),VLOOKUP(X473,Equivalencia!$1:$23,((MAX(Equivalencia!$3:$3)-YEAR(W473))*14)+MONTH(W473)+2,FALSE)))</f>
        <v>0</v>
      </c>
      <c r="AA473" s="306">
        <f t="shared" si="116"/>
        <v>0</v>
      </c>
      <c r="AB473" s="305">
        <f>+IF(W473=0,0,HLOOKUP(YEAR(W473)+(MONTH(W473)/100),TC!$5:$37,DAY(W473)+2,FALSE))</f>
        <v>0</v>
      </c>
      <c r="AC473" s="306">
        <f t="shared" si="117"/>
        <v>0</v>
      </c>
      <c r="AD473" s="314">
        <f t="shared" si="108"/>
        <v>0</v>
      </c>
      <c r="AE473" s="315">
        <f t="shared" si="118"/>
        <v>0</v>
      </c>
      <c r="AF473" s="316">
        <f t="shared" si="109"/>
        <v>0</v>
      </c>
      <c r="AG473" s="314">
        <v>1</v>
      </c>
      <c r="AH473" s="314">
        <f t="shared" si="119"/>
        <v>0</v>
      </c>
      <c r="AI473" s="314">
        <f t="shared" si="120"/>
        <v>0</v>
      </c>
      <c r="AJ473" s="317"/>
      <c r="AK473" s="315" t="e">
        <f t="shared" si="121"/>
        <v>#N/A</v>
      </c>
      <c r="AM473" s="553"/>
      <c r="AN473" s="553"/>
      <c r="AO473" s="553"/>
    </row>
    <row r="474" spans="2:41">
      <c r="B474" s="296"/>
      <c r="C474" s="299"/>
      <c r="D474" s="296"/>
      <c r="E474" s="298"/>
      <c r="F474" s="299"/>
      <c r="G474" s="300"/>
      <c r="H474" s="303"/>
      <c r="I474" s="303"/>
      <c r="J474" s="322">
        <f t="shared" si="107"/>
        <v>0</v>
      </c>
      <c r="K474" s="305" t="e">
        <f>IF(F474="MXN",1/HLOOKUP(YEAR(G474)+(MONTH(G474)/100),TC!$5:$37,DAY(G474)+2,FALSE),VLOOKUP(F474,Equivalencia!$5:$23,((MAX(Equivalencia!$3:$3)-YEAR(G474))*14)+MONTH(G474)+2,FALSE))</f>
        <v>#N/A</v>
      </c>
      <c r="L474" s="306" t="e">
        <f t="shared" si="110"/>
        <v>#N/A</v>
      </c>
      <c r="M474" s="305">
        <f>IF(G474=0,0,HLOOKUP(YEAR(G474)+(MONTH(G474)/100),TC!$5:$37,DAY(G474)+2,FALSE))</f>
        <v>0</v>
      </c>
      <c r="N474" s="306" t="e">
        <f t="shared" si="111"/>
        <v>#N/A</v>
      </c>
      <c r="O474" s="308">
        <f>IF(G474=0,0,VLOOKUP(YEAR(G474),INPC!$B$4:$P$30,MONTH(G474)+2))</f>
        <v>0</v>
      </c>
      <c r="P474" s="308">
        <f>IF(W474=0,0,IF(OR(C474=$AQ$5,C474=AQ478),VLOOKUP(YEAR(W474),INPC!$B$4:$P$30,MONTH(W474)+1),VLOOKUP(YEAR(W474),INPC!$B$4:$P$30,MONTH(W474)+2)))</f>
        <v>0</v>
      </c>
      <c r="Q474" s="309">
        <f t="shared" si="112"/>
        <v>0</v>
      </c>
      <c r="R474" s="310" t="e">
        <f t="shared" si="113"/>
        <v>#N/A</v>
      </c>
      <c r="S474" s="310">
        <f t="shared" si="114"/>
        <v>0</v>
      </c>
      <c r="T474" s="559" t="str">
        <f t="shared" si="115"/>
        <v>NO</v>
      </c>
      <c r="U474" s="323"/>
      <c r="V474" s="299"/>
      <c r="W474" s="300"/>
      <c r="X474" s="299"/>
      <c r="Y474" s="303"/>
      <c r="Z474" s="305">
        <f>IF(Y474=0,0,IF(X474="MXN",1/HLOOKUP(YEAR(W474)+(MONTH(W474)/100),TC!$5:$37,DAY(W474)+2,FALSE),VLOOKUP(X474,Equivalencia!$1:$23,((MAX(Equivalencia!$3:$3)-YEAR(W474))*14)+MONTH(W474)+2,FALSE)))</f>
        <v>0</v>
      </c>
      <c r="AA474" s="306">
        <f t="shared" si="116"/>
        <v>0</v>
      </c>
      <c r="AB474" s="305">
        <f>+IF(W474=0,0,HLOOKUP(YEAR(W474)+(MONTH(W474)/100),TC!$5:$37,DAY(W474)+2,FALSE))</f>
        <v>0</v>
      </c>
      <c r="AC474" s="306">
        <f t="shared" si="117"/>
        <v>0</v>
      </c>
      <c r="AD474" s="314">
        <f t="shared" si="108"/>
        <v>0</v>
      </c>
      <c r="AE474" s="315">
        <f t="shared" si="118"/>
        <v>0</v>
      </c>
      <c r="AF474" s="316">
        <f t="shared" si="109"/>
        <v>0</v>
      </c>
      <c r="AG474" s="314">
        <v>1</v>
      </c>
      <c r="AH474" s="314">
        <f t="shared" si="119"/>
        <v>0</v>
      </c>
      <c r="AI474" s="314">
        <f t="shared" si="120"/>
        <v>0</v>
      </c>
      <c r="AJ474" s="317"/>
      <c r="AK474" s="315" t="e">
        <f t="shared" si="121"/>
        <v>#N/A</v>
      </c>
      <c r="AM474" s="553"/>
      <c r="AN474" s="553"/>
      <c r="AO474" s="553"/>
    </row>
    <row r="475" spans="2:41">
      <c r="B475" s="296"/>
      <c r="C475" s="299"/>
      <c r="D475" s="296"/>
      <c r="E475" s="298"/>
      <c r="F475" s="299"/>
      <c r="G475" s="300"/>
      <c r="H475" s="303"/>
      <c r="I475" s="303"/>
      <c r="J475" s="322">
        <f t="shared" si="107"/>
        <v>0</v>
      </c>
      <c r="K475" s="305" t="e">
        <f>IF(F475="MXN",1/HLOOKUP(YEAR(G475)+(MONTH(G475)/100),TC!$5:$37,DAY(G475)+2,FALSE),VLOOKUP(F475,Equivalencia!$5:$23,((MAX(Equivalencia!$3:$3)-YEAR(G475))*14)+MONTH(G475)+2,FALSE))</f>
        <v>#N/A</v>
      </c>
      <c r="L475" s="306" t="e">
        <f t="shared" si="110"/>
        <v>#N/A</v>
      </c>
      <c r="M475" s="305">
        <f>IF(G475=0,0,HLOOKUP(YEAR(G475)+(MONTH(G475)/100),TC!$5:$37,DAY(G475)+2,FALSE))</f>
        <v>0</v>
      </c>
      <c r="N475" s="306" t="e">
        <f t="shared" si="111"/>
        <v>#N/A</v>
      </c>
      <c r="O475" s="308">
        <f>IF(G475=0,0,VLOOKUP(YEAR(G475),INPC!$B$4:$P$30,MONTH(G475)+2))</f>
        <v>0</v>
      </c>
      <c r="P475" s="308">
        <f>IF(W475=0,0,IF(OR(C475=$AQ$5,C475=AQ479),VLOOKUP(YEAR(W475),INPC!$B$4:$P$30,MONTH(W475)+1),VLOOKUP(YEAR(W475),INPC!$B$4:$P$30,MONTH(W475)+2)))</f>
        <v>0</v>
      </c>
      <c r="Q475" s="309">
        <f t="shared" si="112"/>
        <v>0</v>
      </c>
      <c r="R475" s="310" t="e">
        <f t="shared" si="113"/>
        <v>#N/A</v>
      </c>
      <c r="S475" s="310">
        <f t="shared" si="114"/>
        <v>0</v>
      </c>
      <c r="T475" s="559" t="str">
        <f t="shared" si="115"/>
        <v>NO</v>
      </c>
      <c r="U475" s="323"/>
      <c r="V475" s="299"/>
      <c r="W475" s="300"/>
      <c r="X475" s="299"/>
      <c r="Y475" s="303"/>
      <c r="Z475" s="305">
        <f>IF(Y475=0,0,IF(X475="MXN",1/HLOOKUP(YEAR(W475)+(MONTH(W475)/100),TC!$5:$37,DAY(W475)+2,FALSE),VLOOKUP(X475,Equivalencia!$1:$23,((MAX(Equivalencia!$3:$3)-YEAR(W475))*14)+MONTH(W475)+2,FALSE)))</f>
        <v>0</v>
      </c>
      <c r="AA475" s="306">
        <f t="shared" si="116"/>
        <v>0</v>
      </c>
      <c r="AB475" s="305">
        <f>+IF(W475=0,0,HLOOKUP(YEAR(W475)+(MONTH(W475)/100),TC!$5:$37,DAY(W475)+2,FALSE))</f>
        <v>0</v>
      </c>
      <c r="AC475" s="306">
        <f t="shared" si="117"/>
        <v>0</v>
      </c>
      <c r="AD475" s="314">
        <f t="shared" si="108"/>
        <v>0</v>
      </c>
      <c r="AE475" s="315">
        <f t="shared" si="118"/>
        <v>0</v>
      </c>
      <c r="AF475" s="316">
        <f t="shared" si="109"/>
        <v>0</v>
      </c>
      <c r="AG475" s="314">
        <v>1</v>
      </c>
      <c r="AH475" s="314">
        <f t="shared" si="119"/>
        <v>0</v>
      </c>
      <c r="AI475" s="314">
        <f t="shared" si="120"/>
        <v>0</v>
      </c>
      <c r="AJ475" s="317"/>
      <c r="AK475" s="315" t="e">
        <f t="shared" si="121"/>
        <v>#N/A</v>
      </c>
      <c r="AM475" s="553"/>
      <c r="AN475" s="553"/>
      <c r="AO475" s="553"/>
    </row>
    <row r="476" spans="2:41">
      <c r="B476" s="296"/>
      <c r="C476" s="299"/>
      <c r="D476" s="296"/>
      <c r="E476" s="298"/>
      <c r="F476" s="299"/>
      <c r="G476" s="300"/>
      <c r="H476" s="303"/>
      <c r="I476" s="303"/>
      <c r="J476" s="322">
        <f t="shared" si="107"/>
        <v>0</v>
      </c>
      <c r="K476" s="305" t="e">
        <f>IF(F476="MXN",1/HLOOKUP(YEAR(G476)+(MONTH(G476)/100),TC!$5:$37,DAY(G476)+2,FALSE),VLOOKUP(F476,Equivalencia!$5:$23,((MAX(Equivalencia!$3:$3)-YEAR(G476))*14)+MONTH(G476)+2,FALSE))</f>
        <v>#N/A</v>
      </c>
      <c r="L476" s="306" t="e">
        <f t="shared" si="110"/>
        <v>#N/A</v>
      </c>
      <c r="M476" s="305">
        <f>IF(G476=0,0,HLOOKUP(YEAR(G476)+(MONTH(G476)/100),TC!$5:$37,DAY(G476)+2,FALSE))</f>
        <v>0</v>
      </c>
      <c r="N476" s="306" t="e">
        <f t="shared" si="111"/>
        <v>#N/A</v>
      </c>
      <c r="O476" s="308">
        <f>IF(G476=0,0,VLOOKUP(YEAR(G476),INPC!$B$4:$P$30,MONTH(G476)+2))</f>
        <v>0</v>
      </c>
      <c r="P476" s="308">
        <f>IF(W476=0,0,IF(OR(C476=$AQ$5,C476=AQ480),VLOOKUP(YEAR(W476),INPC!$B$4:$P$30,MONTH(W476)+1),VLOOKUP(YEAR(W476),INPC!$B$4:$P$30,MONTH(W476)+2)))</f>
        <v>0</v>
      </c>
      <c r="Q476" s="309">
        <f t="shared" si="112"/>
        <v>0</v>
      </c>
      <c r="R476" s="310" t="e">
        <f t="shared" si="113"/>
        <v>#N/A</v>
      </c>
      <c r="S476" s="310">
        <f t="shared" si="114"/>
        <v>0</v>
      </c>
      <c r="T476" s="559" t="str">
        <f t="shared" si="115"/>
        <v>NO</v>
      </c>
      <c r="U476" s="323"/>
      <c r="V476" s="299"/>
      <c r="W476" s="300"/>
      <c r="X476" s="299"/>
      <c r="Y476" s="303"/>
      <c r="Z476" s="305">
        <f>IF(Y476=0,0,IF(X476="MXN",1/HLOOKUP(YEAR(W476)+(MONTH(W476)/100),TC!$5:$37,DAY(W476)+2,FALSE),VLOOKUP(X476,Equivalencia!$1:$23,((MAX(Equivalencia!$3:$3)-YEAR(W476))*14)+MONTH(W476)+2,FALSE)))</f>
        <v>0</v>
      </c>
      <c r="AA476" s="306">
        <f t="shared" si="116"/>
        <v>0</v>
      </c>
      <c r="AB476" s="305">
        <f>+IF(W476=0,0,HLOOKUP(YEAR(W476)+(MONTH(W476)/100),TC!$5:$37,DAY(W476)+2,FALSE))</f>
        <v>0</v>
      </c>
      <c r="AC476" s="306">
        <f t="shared" si="117"/>
        <v>0</v>
      </c>
      <c r="AD476" s="314">
        <f t="shared" si="108"/>
        <v>0</v>
      </c>
      <c r="AE476" s="315">
        <f t="shared" si="118"/>
        <v>0</v>
      </c>
      <c r="AF476" s="316">
        <f t="shared" si="109"/>
        <v>0</v>
      </c>
      <c r="AG476" s="314">
        <v>1</v>
      </c>
      <c r="AH476" s="314">
        <f t="shared" si="119"/>
        <v>0</v>
      </c>
      <c r="AI476" s="314">
        <f t="shared" si="120"/>
        <v>0</v>
      </c>
      <c r="AJ476" s="317"/>
      <c r="AK476" s="315" t="e">
        <f t="shared" si="121"/>
        <v>#N/A</v>
      </c>
      <c r="AM476" s="553"/>
      <c r="AN476" s="553"/>
      <c r="AO476" s="553"/>
    </row>
    <row r="477" spans="2:41">
      <c r="B477" s="296"/>
      <c r="C477" s="299"/>
      <c r="D477" s="296"/>
      <c r="E477" s="298"/>
      <c r="F477" s="299"/>
      <c r="G477" s="300"/>
      <c r="H477" s="303"/>
      <c r="I477" s="303"/>
      <c r="J477" s="322">
        <f t="shared" si="107"/>
        <v>0</v>
      </c>
      <c r="K477" s="305" t="e">
        <f>IF(F477="MXN",1/HLOOKUP(YEAR(G477)+(MONTH(G477)/100),TC!$5:$37,DAY(G477)+2,FALSE),VLOOKUP(F477,Equivalencia!$5:$23,((MAX(Equivalencia!$3:$3)-YEAR(G477))*14)+MONTH(G477)+2,FALSE))</f>
        <v>#N/A</v>
      </c>
      <c r="L477" s="306" t="e">
        <f t="shared" si="110"/>
        <v>#N/A</v>
      </c>
      <c r="M477" s="305">
        <f>IF(G477=0,0,HLOOKUP(YEAR(G477)+(MONTH(G477)/100),TC!$5:$37,DAY(G477)+2,FALSE))</f>
        <v>0</v>
      </c>
      <c r="N477" s="306" t="e">
        <f t="shared" si="111"/>
        <v>#N/A</v>
      </c>
      <c r="O477" s="308">
        <f>IF(G477=0,0,VLOOKUP(YEAR(G477),INPC!$B$4:$P$30,MONTH(G477)+2))</f>
        <v>0</v>
      </c>
      <c r="P477" s="308">
        <f>IF(W477=0,0,IF(OR(C477=$AQ$5,C477=AQ481),VLOOKUP(YEAR(W477),INPC!$B$4:$P$30,MONTH(W477)+1),VLOOKUP(YEAR(W477),INPC!$B$4:$P$30,MONTH(W477)+2)))</f>
        <v>0</v>
      </c>
      <c r="Q477" s="309">
        <f t="shared" si="112"/>
        <v>0</v>
      </c>
      <c r="R477" s="310" t="e">
        <f t="shared" si="113"/>
        <v>#N/A</v>
      </c>
      <c r="S477" s="310">
        <f t="shared" si="114"/>
        <v>0</v>
      </c>
      <c r="T477" s="559" t="str">
        <f t="shared" si="115"/>
        <v>NO</v>
      </c>
      <c r="U477" s="323"/>
      <c r="V477" s="299"/>
      <c r="W477" s="300"/>
      <c r="X477" s="299"/>
      <c r="Y477" s="303"/>
      <c r="Z477" s="305">
        <f>IF(Y477=0,0,IF(X477="MXN",1/HLOOKUP(YEAR(W477)+(MONTH(W477)/100),TC!$5:$37,DAY(W477)+2,FALSE),VLOOKUP(X477,Equivalencia!$1:$23,((MAX(Equivalencia!$3:$3)-YEAR(W477))*14)+MONTH(W477)+2,FALSE)))</f>
        <v>0</v>
      </c>
      <c r="AA477" s="306">
        <f t="shared" si="116"/>
        <v>0</v>
      </c>
      <c r="AB477" s="305">
        <f>+IF(W477=0,0,HLOOKUP(YEAR(W477)+(MONTH(W477)/100),TC!$5:$37,DAY(W477)+2,FALSE))</f>
        <v>0</v>
      </c>
      <c r="AC477" s="306">
        <f t="shared" si="117"/>
        <v>0</v>
      </c>
      <c r="AD477" s="314">
        <f t="shared" si="108"/>
        <v>0</v>
      </c>
      <c r="AE477" s="315">
        <f t="shared" si="118"/>
        <v>0</v>
      </c>
      <c r="AF477" s="316">
        <f t="shared" si="109"/>
        <v>0</v>
      </c>
      <c r="AG477" s="314">
        <v>1</v>
      </c>
      <c r="AH477" s="314">
        <f t="shared" si="119"/>
        <v>0</v>
      </c>
      <c r="AI477" s="314">
        <f t="shared" si="120"/>
        <v>0</v>
      </c>
      <c r="AJ477" s="317"/>
      <c r="AK477" s="315" t="e">
        <f t="shared" si="121"/>
        <v>#N/A</v>
      </c>
      <c r="AM477" s="553"/>
      <c r="AN477" s="553"/>
      <c r="AO477" s="553"/>
    </row>
    <row r="478" spans="2:41">
      <c r="B478" s="296"/>
      <c r="C478" s="299"/>
      <c r="D478" s="296"/>
      <c r="E478" s="298"/>
      <c r="F478" s="299"/>
      <c r="G478" s="300"/>
      <c r="H478" s="303"/>
      <c r="I478" s="303"/>
      <c r="J478" s="322">
        <f t="shared" si="107"/>
        <v>0</v>
      </c>
      <c r="K478" s="305" t="e">
        <f>IF(F478="MXN",1/HLOOKUP(YEAR(G478)+(MONTH(G478)/100),TC!$5:$37,DAY(G478)+2,FALSE),VLOOKUP(F478,Equivalencia!$5:$23,((MAX(Equivalencia!$3:$3)-YEAR(G478))*14)+MONTH(G478)+2,FALSE))</f>
        <v>#N/A</v>
      </c>
      <c r="L478" s="306" t="e">
        <f t="shared" si="110"/>
        <v>#N/A</v>
      </c>
      <c r="M478" s="305">
        <f>IF(G478=0,0,HLOOKUP(YEAR(G478)+(MONTH(G478)/100),TC!$5:$37,DAY(G478)+2,FALSE))</f>
        <v>0</v>
      </c>
      <c r="N478" s="306" t="e">
        <f t="shared" si="111"/>
        <v>#N/A</v>
      </c>
      <c r="O478" s="308">
        <f>IF(G478=0,0,VLOOKUP(YEAR(G478),INPC!$B$4:$P$30,MONTH(G478)+2))</f>
        <v>0</v>
      </c>
      <c r="P478" s="308">
        <f>IF(W478=0,0,IF(OR(C478=$AQ$5,C478=AQ482),VLOOKUP(YEAR(W478),INPC!$B$4:$P$30,MONTH(W478)+1),VLOOKUP(YEAR(W478),INPC!$B$4:$P$30,MONTH(W478)+2)))</f>
        <v>0</v>
      </c>
      <c r="Q478" s="309">
        <f t="shared" si="112"/>
        <v>0</v>
      </c>
      <c r="R478" s="310" t="e">
        <f t="shared" si="113"/>
        <v>#N/A</v>
      </c>
      <c r="S478" s="310">
        <f t="shared" si="114"/>
        <v>0</v>
      </c>
      <c r="T478" s="559" t="str">
        <f t="shared" si="115"/>
        <v>NO</v>
      </c>
      <c r="U478" s="323"/>
      <c r="V478" s="299"/>
      <c r="W478" s="300"/>
      <c r="X478" s="299"/>
      <c r="Y478" s="303"/>
      <c r="Z478" s="305">
        <f>IF(Y478=0,0,IF(X478="MXN",1/HLOOKUP(YEAR(W478)+(MONTH(W478)/100),TC!$5:$37,DAY(W478)+2,FALSE),VLOOKUP(X478,Equivalencia!$1:$23,((MAX(Equivalencia!$3:$3)-YEAR(W478))*14)+MONTH(W478)+2,FALSE)))</f>
        <v>0</v>
      </c>
      <c r="AA478" s="306">
        <f t="shared" si="116"/>
        <v>0</v>
      </c>
      <c r="AB478" s="305">
        <f>+IF(W478=0,0,HLOOKUP(YEAR(W478)+(MONTH(W478)/100),TC!$5:$37,DAY(W478)+2,FALSE))</f>
        <v>0</v>
      </c>
      <c r="AC478" s="306">
        <f t="shared" si="117"/>
        <v>0</v>
      </c>
      <c r="AD478" s="314">
        <f t="shared" si="108"/>
        <v>0</v>
      </c>
      <c r="AE478" s="315">
        <f t="shared" si="118"/>
        <v>0</v>
      </c>
      <c r="AF478" s="316">
        <f t="shared" si="109"/>
        <v>0</v>
      </c>
      <c r="AG478" s="314">
        <v>1</v>
      </c>
      <c r="AH478" s="314">
        <f t="shared" si="119"/>
        <v>0</v>
      </c>
      <c r="AI478" s="314">
        <f t="shared" si="120"/>
        <v>0</v>
      </c>
      <c r="AJ478" s="317"/>
      <c r="AK478" s="315" t="e">
        <f t="shared" si="121"/>
        <v>#N/A</v>
      </c>
      <c r="AM478" s="553"/>
      <c r="AN478" s="553"/>
      <c r="AO478" s="553"/>
    </row>
    <row r="479" spans="2:41">
      <c r="B479" s="296"/>
      <c r="C479" s="299"/>
      <c r="D479" s="296"/>
      <c r="E479" s="298"/>
      <c r="F479" s="299"/>
      <c r="G479" s="300"/>
      <c r="H479" s="303"/>
      <c r="I479" s="303"/>
      <c r="J479" s="322">
        <f t="shared" si="107"/>
        <v>0</v>
      </c>
      <c r="K479" s="305" t="e">
        <f>IF(F479="MXN",1/HLOOKUP(YEAR(G479)+(MONTH(G479)/100),TC!$5:$37,DAY(G479)+2,FALSE),VLOOKUP(F479,Equivalencia!$5:$23,((MAX(Equivalencia!$3:$3)-YEAR(G479))*14)+MONTH(G479)+2,FALSE))</f>
        <v>#N/A</v>
      </c>
      <c r="L479" s="306" t="e">
        <f t="shared" si="110"/>
        <v>#N/A</v>
      </c>
      <c r="M479" s="305">
        <f>IF(G479=0,0,HLOOKUP(YEAR(G479)+(MONTH(G479)/100),TC!$5:$37,DAY(G479)+2,FALSE))</f>
        <v>0</v>
      </c>
      <c r="N479" s="306" t="e">
        <f t="shared" si="111"/>
        <v>#N/A</v>
      </c>
      <c r="O479" s="308">
        <f>IF(G479=0,0,VLOOKUP(YEAR(G479),INPC!$B$4:$P$30,MONTH(G479)+2))</f>
        <v>0</v>
      </c>
      <c r="P479" s="308">
        <f>IF(W479=0,0,IF(OR(C479=$AQ$5,C479=AQ483),VLOOKUP(YEAR(W479),INPC!$B$4:$P$30,MONTH(W479)+1),VLOOKUP(YEAR(W479),INPC!$B$4:$P$30,MONTH(W479)+2)))</f>
        <v>0</v>
      </c>
      <c r="Q479" s="309">
        <f t="shared" si="112"/>
        <v>0</v>
      </c>
      <c r="R479" s="310" t="e">
        <f t="shared" si="113"/>
        <v>#N/A</v>
      </c>
      <c r="S479" s="310">
        <f t="shared" si="114"/>
        <v>0</v>
      </c>
      <c r="T479" s="559" t="str">
        <f t="shared" si="115"/>
        <v>NO</v>
      </c>
      <c r="U479" s="323"/>
      <c r="V479" s="299"/>
      <c r="W479" s="300"/>
      <c r="X479" s="299"/>
      <c r="Y479" s="303"/>
      <c r="Z479" s="305">
        <f>IF(Y479=0,0,IF(X479="MXN",1/HLOOKUP(YEAR(W479)+(MONTH(W479)/100),TC!$5:$37,DAY(W479)+2,FALSE),VLOOKUP(X479,Equivalencia!$1:$23,((MAX(Equivalencia!$3:$3)-YEAR(W479))*14)+MONTH(W479)+2,FALSE)))</f>
        <v>0</v>
      </c>
      <c r="AA479" s="306">
        <f t="shared" si="116"/>
        <v>0</v>
      </c>
      <c r="AB479" s="305">
        <f>+IF(W479=0,0,HLOOKUP(YEAR(W479)+(MONTH(W479)/100),TC!$5:$37,DAY(W479)+2,FALSE))</f>
        <v>0</v>
      </c>
      <c r="AC479" s="306">
        <f t="shared" si="117"/>
        <v>0</v>
      </c>
      <c r="AD479" s="314">
        <f t="shared" si="108"/>
        <v>0</v>
      </c>
      <c r="AE479" s="315">
        <f t="shared" si="118"/>
        <v>0</v>
      </c>
      <c r="AF479" s="316">
        <f t="shared" si="109"/>
        <v>0</v>
      </c>
      <c r="AG479" s="314">
        <v>1</v>
      </c>
      <c r="AH479" s="314">
        <f t="shared" si="119"/>
        <v>0</v>
      </c>
      <c r="AI479" s="314">
        <f t="shared" si="120"/>
        <v>0</v>
      </c>
      <c r="AJ479" s="317"/>
      <c r="AK479" s="315" t="e">
        <f t="shared" si="121"/>
        <v>#N/A</v>
      </c>
      <c r="AM479" s="553"/>
      <c r="AN479" s="553"/>
      <c r="AO479" s="553"/>
    </row>
    <row r="480" spans="2:41">
      <c r="B480" s="296"/>
      <c r="C480" s="299"/>
      <c r="D480" s="296"/>
      <c r="E480" s="298"/>
      <c r="F480" s="299"/>
      <c r="G480" s="300"/>
      <c r="H480" s="303"/>
      <c r="I480" s="303"/>
      <c r="J480" s="322">
        <f t="shared" si="107"/>
        <v>0</v>
      </c>
      <c r="K480" s="305" t="e">
        <f>IF(F480="MXN",1/HLOOKUP(YEAR(G480)+(MONTH(G480)/100),TC!$5:$37,DAY(G480)+2,FALSE),VLOOKUP(F480,Equivalencia!$5:$23,((MAX(Equivalencia!$3:$3)-YEAR(G480))*14)+MONTH(G480)+2,FALSE))</f>
        <v>#N/A</v>
      </c>
      <c r="L480" s="306" t="e">
        <f t="shared" si="110"/>
        <v>#N/A</v>
      </c>
      <c r="M480" s="305">
        <f>IF(G480=0,0,HLOOKUP(YEAR(G480)+(MONTH(G480)/100),TC!$5:$37,DAY(G480)+2,FALSE))</f>
        <v>0</v>
      </c>
      <c r="N480" s="306" t="e">
        <f t="shared" si="111"/>
        <v>#N/A</v>
      </c>
      <c r="O480" s="308">
        <f>IF(G480=0,0,VLOOKUP(YEAR(G480),INPC!$B$4:$P$30,MONTH(G480)+2))</f>
        <v>0</v>
      </c>
      <c r="P480" s="308">
        <f>IF(W480=0,0,IF(OR(C480=$AQ$5,C480=AQ484),VLOOKUP(YEAR(W480),INPC!$B$4:$P$30,MONTH(W480)+1),VLOOKUP(YEAR(W480),INPC!$B$4:$P$30,MONTH(W480)+2)))</f>
        <v>0</v>
      </c>
      <c r="Q480" s="309">
        <f t="shared" si="112"/>
        <v>0</v>
      </c>
      <c r="R480" s="310" t="e">
        <f t="shared" si="113"/>
        <v>#N/A</v>
      </c>
      <c r="S480" s="310">
        <f t="shared" si="114"/>
        <v>0</v>
      </c>
      <c r="T480" s="559" t="str">
        <f t="shared" si="115"/>
        <v>NO</v>
      </c>
      <c r="U480" s="323"/>
      <c r="V480" s="299"/>
      <c r="W480" s="300"/>
      <c r="X480" s="299"/>
      <c r="Y480" s="303"/>
      <c r="Z480" s="305">
        <f>IF(Y480=0,0,IF(X480="MXN",1/HLOOKUP(YEAR(W480)+(MONTH(W480)/100),TC!$5:$37,DAY(W480)+2,FALSE),VLOOKUP(X480,Equivalencia!$1:$23,((MAX(Equivalencia!$3:$3)-YEAR(W480))*14)+MONTH(W480)+2,FALSE)))</f>
        <v>0</v>
      </c>
      <c r="AA480" s="306">
        <f t="shared" si="116"/>
        <v>0</v>
      </c>
      <c r="AB480" s="305">
        <f>+IF(W480=0,0,HLOOKUP(YEAR(W480)+(MONTH(W480)/100),TC!$5:$37,DAY(W480)+2,FALSE))</f>
        <v>0</v>
      </c>
      <c r="AC480" s="306">
        <f t="shared" si="117"/>
        <v>0</v>
      </c>
      <c r="AD480" s="314">
        <f t="shared" si="108"/>
        <v>0</v>
      </c>
      <c r="AE480" s="315">
        <f t="shared" si="118"/>
        <v>0</v>
      </c>
      <c r="AF480" s="316">
        <f t="shared" si="109"/>
        <v>0</v>
      </c>
      <c r="AG480" s="314">
        <v>1</v>
      </c>
      <c r="AH480" s="314">
        <f t="shared" si="119"/>
        <v>0</v>
      </c>
      <c r="AI480" s="314">
        <f t="shared" si="120"/>
        <v>0</v>
      </c>
      <c r="AJ480" s="317"/>
      <c r="AK480" s="315" t="e">
        <f t="shared" si="121"/>
        <v>#N/A</v>
      </c>
      <c r="AM480" s="553"/>
      <c r="AN480" s="553"/>
      <c r="AO480" s="553"/>
    </row>
    <row r="481" spans="2:41">
      <c r="B481" s="296"/>
      <c r="C481" s="299"/>
      <c r="D481" s="296"/>
      <c r="E481" s="298"/>
      <c r="F481" s="299"/>
      <c r="G481" s="300"/>
      <c r="H481" s="303"/>
      <c r="I481" s="303"/>
      <c r="J481" s="322">
        <f t="shared" si="107"/>
        <v>0</v>
      </c>
      <c r="K481" s="305" t="e">
        <f>IF(F481="MXN",1/HLOOKUP(YEAR(G481)+(MONTH(G481)/100),TC!$5:$37,DAY(G481)+2,FALSE),VLOOKUP(F481,Equivalencia!$5:$23,((MAX(Equivalencia!$3:$3)-YEAR(G481))*14)+MONTH(G481)+2,FALSE))</f>
        <v>#N/A</v>
      </c>
      <c r="L481" s="306" t="e">
        <f t="shared" si="110"/>
        <v>#N/A</v>
      </c>
      <c r="M481" s="305">
        <f>IF(G481=0,0,HLOOKUP(YEAR(G481)+(MONTH(G481)/100),TC!$5:$37,DAY(G481)+2,FALSE))</f>
        <v>0</v>
      </c>
      <c r="N481" s="306" t="e">
        <f t="shared" si="111"/>
        <v>#N/A</v>
      </c>
      <c r="O481" s="308">
        <f>IF(G481=0,0,VLOOKUP(YEAR(G481),INPC!$B$4:$P$30,MONTH(G481)+2))</f>
        <v>0</v>
      </c>
      <c r="P481" s="308">
        <f>IF(W481=0,0,IF(OR(C481=$AQ$5,C481=AQ485),VLOOKUP(YEAR(W481),INPC!$B$4:$P$30,MONTH(W481)+1),VLOOKUP(YEAR(W481),INPC!$B$4:$P$30,MONTH(W481)+2)))</f>
        <v>0</v>
      </c>
      <c r="Q481" s="309">
        <f t="shared" si="112"/>
        <v>0</v>
      </c>
      <c r="R481" s="310" t="e">
        <f t="shared" si="113"/>
        <v>#N/A</v>
      </c>
      <c r="S481" s="310">
        <f t="shared" si="114"/>
        <v>0</v>
      </c>
      <c r="T481" s="559" t="str">
        <f t="shared" si="115"/>
        <v>NO</v>
      </c>
      <c r="U481" s="323"/>
      <c r="V481" s="299"/>
      <c r="W481" s="300"/>
      <c r="X481" s="299"/>
      <c r="Y481" s="303"/>
      <c r="Z481" s="305">
        <f>IF(Y481=0,0,IF(X481="MXN",1/HLOOKUP(YEAR(W481)+(MONTH(W481)/100),TC!$5:$37,DAY(W481)+2,FALSE),VLOOKUP(X481,Equivalencia!$1:$23,((MAX(Equivalencia!$3:$3)-YEAR(W481))*14)+MONTH(W481)+2,FALSE)))</f>
        <v>0</v>
      </c>
      <c r="AA481" s="306">
        <f t="shared" si="116"/>
        <v>0</v>
      </c>
      <c r="AB481" s="305">
        <f>+IF(W481=0,0,HLOOKUP(YEAR(W481)+(MONTH(W481)/100),TC!$5:$37,DAY(W481)+2,FALSE))</f>
        <v>0</v>
      </c>
      <c r="AC481" s="306">
        <f t="shared" si="117"/>
        <v>0</v>
      </c>
      <c r="AD481" s="314">
        <f t="shared" si="108"/>
        <v>0</v>
      </c>
      <c r="AE481" s="315">
        <f t="shared" si="118"/>
        <v>0</v>
      </c>
      <c r="AF481" s="316">
        <f t="shared" si="109"/>
        <v>0</v>
      </c>
      <c r="AG481" s="314">
        <v>1</v>
      </c>
      <c r="AH481" s="314">
        <f t="shared" si="119"/>
        <v>0</v>
      </c>
      <c r="AI481" s="314">
        <f t="shared" si="120"/>
        <v>0</v>
      </c>
      <c r="AJ481" s="317"/>
      <c r="AK481" s="315" t="e">
        <f t="shared" si="121"/>
        <v>#N/A</v>
      </c>
      <c r="AM481" s="553"/>
      <c r="AN481" s="553"/>
      <c r="AO481" s="553"/>
    </row>
    <row r="482" spans="2:41">
      <c r="B482" s="296"/>
      <c r="C482" s="299"/>
      <c r="D482" s="296"/>
      <c r="E482" s="298"/>
      <c r="F482" s="299"/>
      <c r="G482" s="300"/>
      <c r="H482" s="303"/>
      <c r="I482" s="303"/>
      <c r="J482" s="322">
        <f t="shared" si="107"/>
        <v>0</v>
      </c>
      <c r="K482" s="305" t="e">
        <f>IF(F482="MXN",1/HLOOKUP(YEAR(G482)+(MONTH(G482)/100),TC!$5:$37,DAY(G482)+2,FALSE),VLOOKUP(F482,Equivalencia!$5:$23,((MAX(Equivalencia!$3:$3)-YEAR(G482))*14)+MONTH(G482)+2,FALSE))</f>
        <v>#N/A</v>
      </c>
      <c r="L482" s="306" t="e">
        <f t="shared" si="110"/>
        <v>#N/A</v>
      </c>
      <c r="M482" s="305">
        <f>IF(G482=0,0,HLOOKUP(YEAR(G482)+(MONTH(G482)/100),TC!$5:$37,DAY(G482)+2,FALSE))</f>
        <v>0</v>
      </c>
      <c r="N482" s="306" t="e">
        <f t="shared" si="111"/>
        <v>#N/A</v>
      </c>
      <c r="O482" s="308">
        <f>IF(G482=0,0,VLOOKUP(YEAR(G482),INPC!$B$4:$P$30,MONTH(G482)+2))</f>
        <v>0</v>
      </c>
      <c r="P482" s="308">
        <f>IF(W482=0,0,IF(OR(C482=$AQ$5,C482=AQ486),VLOOKUP(YEAR(W482),INPC!$B$4:$P$30,MONTH(W482)+1),VLOOKUP(YEAR(W482),INPC!$B$4:$P$30,MONTH(W482)+2)))</f>
        <v>0</v>
      </c>
      <c r="Q482" s="309">
        <f t="shared" si="112"/>
        <v>0</v>
      </c>
      <c r="R482" s="310" t="e">
        <f t="shared" si="113"/>
        <v>#N/A</v>
      </c>
      <c r="S482" s="310">
        <f t="shared" si="114"/>
        <v>0</v>
      </c>
      <c r="T482" s="559" t="str">
        <f t="shared" si="115"/>
        <v>NO</v>
      </c>
      <c r="U482" s="323"/>
      <c r="V482" s="299"/>
      <c r="W482" s="300"/>
      <c r="X482" s="299"/>
      <c r="Y482" s="303"/>
      <c r="Z482" s="305">
        <f>IF(Y482=0,0,IF(X482="MXN",1/HLOOKUP(YEAR(W482)+(MONTH(W482)/100),TC!$5:$37,DAY(W482)+2,FALSE),VLOOKUP(X482,Equivalencia!$1:$23,((MAX(Equivalencia!$3:$3)-YEAR(W482))*14)+MONTH(W482)+2,FALSE)))</f>
        <v>0</v>
      </c>
      <c r="AA482" s="306">
        <f t="shared" si="116"/>
        <v>0</v>
      </c>
      <c r="AB482" s="305">
        <f>+IF(W482=0,0,HLOOKUP(YEAR(W482)+(MONTH(W482)/100),TC!$5:$37,DAY(W482)+2,FALSE))</f>
        <v>0</v>
      </c>
      <c r="AC482" s="306">
        <f t="shared" si="117"/>
        <v>0</v>
      </c>
      <c r="AD482" s="314">
        <f t="shared" si="108"/>
        <v>0</v>
      </c>
      <c r="AE482" s="315">
        <f t="shared" si="118"/>
        <v>0</v>
      </c>
      <c r="AF482" s="316">
        <f t="shared" si="109"/>
        <v>0</v>
      </c>
      <c r="AG482" s="314">
        <v>1</v>
      </c>
      <c r="AH482" s="314">
        <f t="shared" si="119"/>
        <v>0</v>
      </c>
      <c r="AI482" s="314">
        <f t="shared" si="120"/>
        <v>0</v>
      </c>
      <c r="AJ482" s="317"/>
      <c r="AK482" s="315" t="e">
        <f t="shared" si="121"/>
        <v>#N/A</v>
      </c>
      <c r="AM482" s="553"/>
      <c r="AN482" s="553"/>
      <c r="AO482" s="553"/>
    </row>
    <row r="483" spans="2:41">
      <c r="B483" s="296"/>
      <c r="C483" s="299"/>
      <c r="D483" s="296"/>
      <c r="E483" s="298"/>
      <c r="F483" s="299"/>
      <c r="G483" s="300"/>
      <c r="H483" s="303"/>
      <c r="I483" s="303"/>
      <c r="J483" s="322">
        <f t="shared" si="107"/>
        <v>0</v>
      </c>
      <c r="K483" s="305" t="e">
        <f>IF(F483="MXN",1/HLOOKUP(YEAR(G483)+(MONTH(G483)/100),TC!$5:$37,DAY(G483)+2,FALSE),VLOOKUP(F483,Equivalencia!$5:$23,((MAX(Equivalencia!$3:$3)-YEAR(G483))*14)+MONTH(G483)+2,FALSE))</f>
        <v>#N/A</v>
      </c>
      <c r="L483" s="306" t="e">
        <f t="shared" si="110"/>
        <v>#N/A</v>
      </c>
      <c r="M483" s="305">
        <f>IF(G483=0,0,HLOOKUP(YEAR(G483)+(MONTH(G483)/100),TC!$5:$37,DAY(G483)+2,FALSE))</f>
        <v>0</v>
      </c>
      <c r="N483" s="306" t="e">
        <f t="shared" si="111"/>
        <v>#N/A</v>
      </c>
      <c r="O483" s="308">
        <f>IF(G483=0,0,VLOOKUP(YEAR(G483),INPC!$B$4:$P$30,MONTH(G483)+2))</f>
        <v>0</v>
      </c>
      <c r="P483" s="308">
        <f>IF(W483=0,0,IF(OR(C483=$AQ$5,C483=AQ487),VLOOKUP(YEAR(W483),INPC!$B$4:$P$30,MONTH(W483)+1),VLOOKUP(YEAR(W483),INPC!$B$4:$P$30,MONTH(W483)+2)))</f>
        <v>0</v>
      </c>
      <c r="Q483" s="309">
        <f t="shared" si="112"/>
        <v>0</v>
      </c>
      <c r="R483" s="310" t="e">
        <f t="shared" si="113"/>
        <v>#N/A</v>
      </c>
      <c r="S483" s="310">
        <f t="shared" si="114"/>
        <v>0</v>
      </c>
      <c r="T483" s="559" t="str">
        <f t="shared" si="115"/>
        <v>NO</v>
      </c>
      <c r="U483" s="323"/>
      <c r="V483" s="299"/>
      <c r="W483" s="300"/>
      <c r="X483" s="299"/>
      <c r="Y483" s="303"/>
      <c r="Z483" s="305">
        <f>IF(Y483=0,0,IF(X483="MXN",1/HLOOKUP(YEAR(W483)+(MONTH(W483)/100),TC!$5:$37,DAY(W483)+2,FALSE),VLOOKUP(X483,Equivalencia!$1:$23,((MAX(Equivalencia!$3:$3)-YEAR(W483))*14)+MONTH(W483)+2,FALSE)))</f>
        <v>0</v>
      </c>
      <c r="AA483" s="306">
        <f t="shared" si="116"/>
        <v>0</v>
      </c>
      <c r="AB483" s="305">
        <f>+IF(W483=0,0,HLOOKUP(YEAR(W483)+(MONTH(W483)/100),TC!$5:$37,DAY(W483)+2,FALSE))</f>
        <v>0</v>
      </c>
      <c r="AC483" s="306">
        <f t="shared" si="117"/>
        <v>0</v>
      </c>
      <c r="AD483" s="314">
        <f t="shared" si="108"/>
        <v>0</v>
      </c>
      <c r="AE483" s="315">
        <f t="shared" si="118"/>
        <v>0</v>
      </c>
      <c r="AF483" s="316">
        <f t="shared" si="109"/>
        <v>0</v>
      </c>
      <c r="AG483" s="314">
        <v>1</v>
      </c>
      <c r="AH483" s="314">
        <f t="shared" si="119"/>
        <v>0</v>
      </c>
      <c r="AI483" s="314">
        <f t="shared" si="120"/>
        <v>0</v>
      </c>
      <c r="AJ483" s="317"/>
      <c r="AK483" s="315" t="e">
        <f t="shared" si="121"/>
        <v>#N/A</v>
      </c>
      <c r="AM483" s="553"/>
      <c r="AN483" s="553"/>
      <c r="AO483" s="553"/>
    </row>
    <row r="484" spans="2:41">
      <c r="B484" s="296"/>
      <c r="C484" s="299"/>
      <c r="D484" s="296"/>
      <c r="E484" s="298"/>
      <c r="F484" s="299"/>
      <c r="G484" s="300"/>
      <c r="H484" s="303"/>
      <c r="I484" s="303"/>
      <c r="J484" s="322">
        <f t="shared" si="107"/>
        <v>0</v>
      </c>
      <c r="K484" s="305" t="e">
        <f>IF(F484="MXN",1/HLOOKUP(YEAR(G484)+(MONTH(G484)/100),TC!$5:$37,DAY(G484)+2,FALSE),VLOOKUP(F484,Equivalencia!$5:$23,((MAX(Equivalencia!$3:$3)-YEAR(G484))*14)+MONTH(G484)+2,FALSE))</f>
        <v>#N/A</v>
      </c>
      <c r="L484" s="306" t="e">
        <f t="shared" si="110"/>
        <v>#N/A</v>
      </c>
      <c r="M484" s="305">
        <f>IF(G484=0,0,HLOOKUP(YEAR(G484)+(MONTH(G484)/100),TC!$5:$37,DAY(G484)+2,FALSE))</f>
        <v>0</v>
      </c>
      <c r="N484" s="306" t="e">
        <f t="shared" si="111"/>
        <v>#N/A</v>
      </c>
      <c r="O484" s="308">
        <f>IF(G484=0,0,VLOOKUP(YEAR(G484),INPC!$B$4:$P$30,MONTH(G484)+2))</f>
        <v>0</v>
      </c>
      <c r="P484" s="308">
        <f>IF(W484=0,0,IF(OR(C484=$AQ$5,C484=AQ488),VLOOKUP(YEAR(W484),INPC!$B$4:$P$30,MONTH(W484)+1),VLOOKUP(YEAR(W484),INPC!$B$4:$P$30,MONTH(W484)+2)))</f>
        <v>0</v>
      </c>
      <c r="Q484" s="309">
        <f t="shared" si="112"/>
        <v>0</v>
      </c>
      <c r="R484" s="310" t="e">
        <f t="shared" si="113"/>
        <v>#N/A</v>
      </c>
      <c r="S484" s="310">
        <f t="shared" si="114"/>
        <v>0</v>
      </c>
      <c r="T484" s="559" t="str">
        <f t="shared" si="115"/>
        <v>NO</v>
      </c>
      <c r="U484" s="323"/>
      <c r="V484" s="299"/>
      <c r="W484" s="300"/>
      <c r="X484" s="299"/>
      <c r="Y484" s="303"/>
      <c r="Z484" s="305">
        <f>IF(Y484=0,0,IF(X484="MXN",1/HLOOKUP(YEAR(W484)+(MONTH(W484)/100),TC!$5:$37,DAY(W484)+2,FALSE),VLOOKUP(X484,Equivalencia!$1:$23,((MAX(Equivalencia!$3:$3)-YEAR(W484))*14)+MONTH(W484)+2,FALSE)))</f>
        <v>0</v>
      </c>
      <c r="AA484" s="306">
        <f t="shared" si="116"/>
        <v>0</v>
      </c>
      <c r="AB484" s="305">
        <f>+IF(W484=0,0,HLOOKUP(YEAR(W484)+(MONTH(W484)/100),TC!$5:$37,DAY(W484)+2,FALSE))</f>
        <v>0</v>
      </c>
      <c r="AC484" s="306">
        <f t="shared" si="117"/>
        <v>0</v>
      </c>
      <c r="AD484" s="314">
        <f t="shared" si="108"/>
        <v>0</v>
      </c>
      <c r="AE484" s="315">
        <f t="shared" si="118"/>
        <v>0</v>
      </c>
      <c r="AF484" s="316">
        <f t="shared" si="109"/>
        <v>0</v>
      </c>
      <c r="AG484" s="314">
        <v>1</v>
      </c>
      <c r="AH484" s="314">
        <f t="shared" si="119"/>
        <v>0</v>
      </c>
      <c r="AI484" s="314">
        <f t="shared" si="120"/>
        <v>0</v>
      </c>
      <c r="AJ484" s="317"/>
      <c r="AK484" s="315" t="e">
        <f t="shared" si="121"/>
        <v>#N/A</v>
      </c>
      <c r="AM484" s="553"/>
      <c r="AN484" s="553"/>
      <c r="AO484" s="553"/>
    </row>
    <row r="485" spans="2:41">
      <c r="B485" s="296"/>
      <c r="C485" s="299"/>
      <c r="D485" s="296"/>
      <c r="E485" s="298"/>
      <c r="F485" s="299"/>
      <c r="G485" s="300"/>
      <c r="H485" s="303"/>
      <c r="I485" s="303"/>
      <c r="J485" s="322">
        <f t="shared" si="107"/>
        <v>0</v>
      </c>
      <c r="K485" s="305" t="e">
        <f>IF(F485="MXN",1/HLOOKUP(YEAR(G485)+(MONTH(G485)/100),TC!$5:$37,DAY(G485)+2,FALSE),VLOOKUP(F485,Equivalencia!$5:$23,((MAX(Equivalencia!$3:$3)-YEAR(G485))*14)+MONTH(G485)+2,FALSE))</f>
        <v>#N/A</v>
      </c>
      <c r="L485" s="306" t="e">
        <f t="shared" si="110"/>
        <v>#N/A</v>
      </c>
      <c r="M485" s="305">
        <f>IF(G485=0,0,HLOOKUP(YEAR(G485)+(MONTH(G485)/100),TC!$5:$37,DAY(G485)+2,FALSE))</f>
        <v>0</v>
      </c>
      <c r="N485" s="306" t="e">
        <f t="shared" si="111"/>
        <v>#N/A</v>
      </c>
      <c r="O485" s="308">
        <f>IF(G485=0,0,VLOOKUP(YEAR(G485),INPC!$B$4:$P$30,MONTH(G485)+2))</f>
        <v>0</v>
      </c>
      <c r="P485" s="308">
        <f>IF(W485=0,0,IF(OR(C485=$AQ$5,C485=AQ489),VLOOKUP(YEAR(W485),INPC!$B$4:$P$30,MONTH(W485)+1),VLOOKUP(YEAR(W485),INPC!$B$4:$P$30,MONTH(W485)+2)))</f>
        <v>0</v>
      </c>
      <c r="Q485" s="309">
        <f t="shared" si="112"/>
        <v>0</v>
      </c>
      <c r="R485" s="310" t="e">
        <f t="shared" si="113"/>
        <v>#N/A</v>
      </c>
      <c r="S485" s="310">
        <f t="shared" si="114"/>
        <v>0</v>
      </c>
      <c r="T485" s="559" t="str">
        <f t="shared" si="115"/>
        <v>NO</v>
      </c>
      <c r="U485" s="323"/>
      <c r="V485" s="299"/>
      <c r="W485" s="300"/>
      <c r="X485" s="299"/>
      <c r="Y485" s="303"/>
      <c r="Z485" s="305">
        <f>IF(Y485=0,0,IF(X485="MXN",1/HLOOKUP(YEAR(W485)+(MONTH(W485)/100),TC!$5:$37,DAY(W485)+2,FALSE),VLOOKUP(X485,Equivalencia!$1:$23,((MAX(Equivalencia!$3:$3)-YEAR(W485))*14)+MONTH(W485)+2,FALSE)))</f>
        <v>0</v>
      </c>
      <c r="AA485" s="306">
        <f t="shared" si="116"/>
        <v>0</v>
      </c>
      <c r="AB485" s="305">
        <f>+IF(W485=0,0,HLOOKUP(YEAR(W485)+(MONTH(W485)/100),TC!$5:$37,DAY(W485)+2,FALSE))</f>
        <v>0</v>
      </c>
      <c r="AC485" s="306">
        <f t="shared" si="117"/>
        <v>0</v>
      </c>
      <c r="AD485" s="314">
        <f t="shared" si="108"/>
        <v>0</v>
      </c>
      <c r="AE485" s="315">
        <f t="shared" si="118"/>
        <v>0</v>
      </c>
      <c r="AF485" s="316">
        <f t="shared" si="109"/>
        <v>0</v>
      </c>
      <c r="AG485" s="314">
        <v>1</v>
      </c>
      <c r="AH485" s="314">
        <f t="shared" si="119"/>
        <v>0</v>
      </c>
      <c r="AI485" s="314">
        <f t="shared" si="120"/>
        <v>0</v>
      </c>
      <c r="AJ485" s="317"/>
      <c r="AK485" s="315" t="e">
        <f t="shared" si="121"/>
        <v>#N/A</v>
      </c>
      <c r="AM485" s="553"/>
      <c r="AN485" s="553"/>
      <c r="AO485" s="553"/>
    </row>
    <row r="486" spans="2:41">
      <c r="B486" s="296"/>
      <c r="C486" s="299"/>
      <c r="D486" s="296"/>
      <c r="E486" s="298"/>
      <c r="F486" s="299"/>
      <c r="G486" s="300"/>
      <c r="H486" s="303"/>
      <c r="I486" s="303"/>
      <c r="J486" s="322">
        <f t="shared" si="107"/>
        <v>0</v>
      </c>
      <c r="K486" s="305" t="e">
        <f>IF(F486="MXN",1/HLOOKUP(YEAR(G486)+(MONTH(G486)/100),TC!$5:$37,DAY(G486)+2,FALSE),VLOOKUP(F486,Equivalencia!$5:$23,((MAX(Equivalencia!$3:$3)-YEAR(G486))*14)+MONTH(G486)+2,FALSE))</f>
        <v>#N/A</v>
      </c>
      <c r="L486" s="306" t="e">
        <f t="shared" si="110"/>
        <v>#N/A</v>
      </c>
      <c r="M486" s="305">
        <f>IF(G486=0,0,HLOOKUP(YEAR(G486)+(MONTH(G486)/100),TC!$5:$37,DAY(G486)+2,FALSE))</f>
        <v>0</v>
      </c>
      <c r="N486" s="306" t="e">
        <f t="shared" si="111"/>
        <v>#N/A</v>
      </c>
      <c r="O486" s="308">
        <f>IF(G486=0,0,VLOOKUP(YEAR(G486),INPC!$B$4:$P$30,MONTH(G486)+2))</f>
        <v>0</v>
      </c>
      <c r="P486" s="308">
        <f>IF(W486=0,0,IF(OR(C486=$AQ$5,C486=AQ490),VLOOKUP(YEAR(W486),INPC!$B$4:$P$30,MONTH(W486)+1),VLOOKUP(YEAR(W486),INPC!$B$4:$P$30,MONTH(W486)+2)))</f>
        <v>0</v>
      </c>
      <c r="Q486" s="309">
        <f t="shared" si="112"/>
        <v>0</v>
      </c>
      <c r="R486" s="310" t="e">
        <f t="shared" si="113"/>
        <v>#N/A</v>
      </c>
      <c r="S486" s="310">
        <f t="shared" si="114"/>
        <v>0</v>
      </c>
      <c r="T486" s="559" t="str">
        <f t="shared" si="115"/>
        <v>NO</v>
      </c>
      <c r="U486" s="323"/>
      <c r="V486" s="299"/>
      <c r="W486" s="300"/>
      <c r="X486" s="299"/>
      <c r="Y486" s="303"/>
      <c r="Z486" s="305">
        <f>IF(Y486=0,0,IF(X486="MXN",1/HLOOKUP(YEAR(W486)+(MONTH(W486)/100),TC!$5:$37,DAY(W486)+2,FALSE),VLOOKUP(X486,Equivalencia!$1:$23,((MAX(Equivalencia!$3:$3)-YEAR(W486))*14)+MONTH(W486)+2,FALSE)))</f>
        <v>0</v>
      </c>
      <c r="AA486" s="306">
        <f t="shared" si="116"/>
        <v>0</v>
      </c>
      <c r="AB486" s="305">
        <f>+IF(W486=0,0,HLOOKUP(YEAR(W486)+(MONTH(W486)/100),TC!$5:$37,DAY(W486)+2,FALSE))</f>
        <v>0</v>
      </c>
      <c r="AC486" s="306">
        <f t="shared" si="117"/>
        <v>0</v>
      </c>
      <c r="AD486" s="314">
        <f t="shared" si="108"/>
        <v>0</v>
      </c>
      <c r="AE486" s="315">
        <f t="shared" si="118"/>
        <v>0</v>
      </c>
      <c r="AF486" s="316">
        <f t="shared" si="109"/>
        <v>0</v>
      </c>
      <c r="AG486" s="314">
        <v>1</v>
      </c>
      <c r="AH486" s="314">
        <f t="shared" si="119"/>
        <v>0</v>
      </c>
      <c r="AI486" s="314">
        <f t="shared" si="120"/>
        <v>0</v>
      </c>
      <c r="AJ486" s="317"/>
      <c r="AK486" s="315" t="e">
        <f t="shared" si="121"/>
        <v>#N/A</v>
      </c>
      <c r="AM486" s="553"/>
      <c r="AN486" s="553"/>
      <c r="AO486" s="553"/>
    </row>
    <row r="487" spans="2:41">
      <c r="B487" s="296"/>
      <c r="C487" s="299"/>
      <c r="D487" s="296"/>
      <c r="E487" s="298"/>
      <c r="F487" s="299"/>
      <c r="G487" s="300"/>
      <c r="H487" s="303"/>
      <c r="I487" s="303"/>
      <c r="J487" s="322">
        <f t="shared" si="107"/>
        <v>0</v>
      </c>
      <c r="K487" s="305" t="e">
        <f>IF(F487="MXN",1/HLOOKUP(YEAR(G487)+(MONTH(G487)/100),TC!$5:$37,DAY(G487)+2,FALSE),VLOOKUP(F487,Equivalencia!$5:$23,((MAX(Equivalencia!$3:$3)-YEAR(G487))*14)+MONTH(G487)+2,FALSE))</f>
        <v>#N/A</v>
      </c>
      <c r="L487" s="306" t="e">
        <f t="shared" si="110"/>
        <v>#N/A</v>
      </c>
      <c r="M487" s="305">
        <f>IF(G487=0,0,HLOOKUP(YEAR(G487)+(MONTH(G487)/100),TC!$5:$37,DAY(G487)+2,FALSE))</f>
        <v>0</v>
      </c>
      <c r="N487" s="306" t="e">
        <f t="shared" si="111"/>
        <v>#N/A</v>
      </c>
      <c r="O487" s="308">
        <f>IF(G487=0,0,VLOOKUP(YEAR(G487),INPC!$B$4:$P$30,MONTH(G487)+2))</f>
        <v>0</v>
      </c>
      <c r="P487" s="308">
        <f>IF(W487=0,0,IF(OR(C487=$AQ$5,C487=AQ491),VLOOKUP(YEAR(W487),INPC!$B$4:$P$30,MONTH(W487)+1),VLOOKUP(YEAR(W487),INPC!$B$4:$P$30,MONTH(W487)+2)))</f>
        <v>0</v>
      </c>
      <c r="Q487" s="309">
        <f t="shared" si="112"/>
        <v>0</v>
      </c>
      <c r="R487" s="310" t="e">
        <f t="shared" si="113"/>
        <v>#N/A</v>
      </c>
      <c r="S487" s="310">
        <f t="shared" si="114"/>
        <v>0</v>
      </c>
      <c r="T487" s="559" t="str">
        <f t="shared" si="115"/>
        <v>NO</v>
      </c>
      <c r="U487" s="323"/>
      <c r="V487" s="299"/>
      <c r="W487" s="300"/>
      <c r="X487" s="299"/>
      <c r="Y487" s="303"/>
      <c r="Z487" s="305">
        <f>IF(Y487=0,0,IF(X487="MXN",1/HLOOKUP(YEAR(W487)+(MONTH(W487)/100),TC!$5:$37,DAY(W487)+2,FALSE),VLOOKUP(X487,Equivalencia!$1:$23,((MAX(Equivalencia!$3:$3)-YEAR(W487))*14)+MONTH(W487)+2,FALSE)))</f>
        <v>0</v>
      </c>
      <c r="AA487" s="306">
        <f t="shared" si="116"/>
        <v>0</v>
      </c>
      <c r="AB487" s="305">
        <f>+IF(W487=0,0,HLOOKUP(YEAR(W487)+(MONTH(W487)/100),TC!$5:$37,DAY(W487)+2,FALSE))</f>
        <v>0</v>
      </c>
      <c r="AC487" s="306">
        <f t="shared" si="117"/>
        <v>0</v>
      </c>
      <c r="AD487" s="314">
        <f t="shared" si="108"/>
        <v>0</v>
      </c>
      <c r="AE487" s="315">
        <f t="shared" si="118"/>
        <v>0</v>
      </c>
      <c r="AF487" s="316">
        <f t="shared" si="109"/>
        <v>0</v>
      </c>
      <c r="AG487" s="314">
        <v>1</v>
      </c>
      <c r="AH487" s="314">
        <f t="shared" si="119"/>
        <v>0</v>
      </c>
      <c r="AI487" s="314">
        <f t="shared" si="120"/>
        <v>0</v>
      </c>
      <c r="AJ487" s="317"/>
      <c r="AK487" s="315" t="e">
        <f t="shared" si="121"/>
        <v>#N/A</v>
      </c>
      <c r="AM487" s="553"/>
      <c r="AN487" s="553"/>
      <c r="AO487" s="553"/>
    </row>
    <row r="488" spans="2:41">
      <c r="B488" s="296"/>
      <c r="C488" s="299"/>
      <c r="D488" s="296"/>
      <c r="E488" s="298"/>
      <c r="F488" s="299"/>
      <c r="G488" s="300"/>
      <c r="H488" s="303"/>
      <c r="I488" s="303"/>
      <c r="J488" s="322">
        <f t="shared" si="107"/>
        <v>0</v>
      </c>
      <c r="K488" s="305" t="e">
        <f>IF(F488="MXN",1/HLOOKUP(YEAR(G488)+(MONTH(G488)/100),TC!$5:$37,DAY(G488)+2,FALSE),VLOOKUP(F488,Equivalencia!$5:$23,((MAX(Equivalencia!$3:$3)-YEAR(G488))*14)+MONTH(G488)+2,FALSE))</f>
        <v>#N/A</v>
      </c>
      <c r="L488" s="306" t="e">
        <f t="shared" si="110"/>
        <v>#N/A</v>
      </c>
      <c r="M488" s="305">
        <f>IF(G488=0,0,HLOOKUP(YEAR(G488)+(MONTH(G488)/100),TC!$5:$37,DAY(G488)+2,FALSE))</f>
        <v>0</v>
      </c>
      <c r="N488" s="306" t="e">
        <f t="shared" si="111"/>
        <v>#N/A</v>
      </c>
      <c r="O488" s="308">
        <f>IF(G488=0,0,VLOOKUP(YEAR(G488),INPC!$B$4:$P$30,MONTH(G488)+2))</f>
        <v>0</v>
      </c>
      <c r="P488" s="308">
        <f>IF(W488=0,0,IF(OR(C488=$AQ$5,C488=AQ492),VLOOKUP(YEAR(W488),INPC!$B$4:$P$30,MONTH(W488)+1),VLOOKUP(YEAR(W488),INPC!$B$4:$P$30,MONTH(W488)+2)))</f>
        <v>0</v>
      </c>
      <c r="Q488" s="309">
        <f t="shared" si="112"/>
        <v>0</v>
      </c>
      <c r="R488" s="310" t="e">
        <f t="shared" si="113"/>
        <v>#N/A</v>
      </c>
      <c r="S488" s="310">
        <f t="shared" si="114"/>
        <v>0</v>
      </c>
      <c r="T488" s="559" t="str">
        <f t="shared" si="115"/>
        <v>NO</v>
      </c>
      <c r="U488" s="323"/>
      <c r="V488" s="299"/>
      <c r="W488" s="300"/>
      <c r="X488" s="299"/>
      <c r="Y488" s="303"/>
      <c r="Z488" s="305">
        <f>IF(Y488=0,0,IF(X488="MXN",1/HLOOKUP(YEAR(W488)+(MONTH(W488)/100),TC!$5:$37,DAY(W488)+2,FALSE),VLOOKUP(X488,Equivalencia!$1:$23,((MAX(Equivalencia!$3:$3)-YEAR(W488))*14)+MONTH(W488)+2,FALSE)))</f>
        <v>0</v>
      </c>
      <c r="AA488" s="306">
        <f t="shared" si="116"/>
        <v>0</v>
      </c>
      <c r="AB488" s="305">
        <f>+IF(W488=0,0,HLOOKUP(YEAR(W488)+(MONTH(W488)/100),TC!$5:$37,DAY(W488)+2,FALSE))</f>
        <v>0</v>
      </c>
      <c r="AC488" s="306">
        <f t="shared" si="117"/>
        <v>0</v>
      </c>
      <c r="AD488" s="314">
        <f t="shared" si="108"/>
        <v>0</v>
      </c>
      <c r="AE488" s="315">
        <f t="shared" si="118"/>
        <v>0</v>
      </c>
      <c r="AF488" s="316">
        <f t="shared" si="109"/>
        <v>0</v>
      </c>
      <c r="AG488" s="314">
        <v>1</v>
      </c>
      <c r="AH488" s="314">
        <f t="shared" si="119"/>
        <v>0</v>
      </c>
      <c r="AI488" s="314">
        <f t="shared" si="120"/>
        <v>0</v>
      </c>
      <c r="AJ488" s="317"/>
      <c r="AK488" s="315" t="e">
        <f t="shared" si="121"/>
        <v>#N/A</v>
      </c>
      <c r="AM488" s="553"/>
      <c r="AN488" s="553"/>
      <c r="AO488" s="553"/>
    </row>
    <row r="489" spans="2:41">
      <c r="B489" s="296"/>
      <c r="C489" s="299"/>
      <c r="D489" s="296"/>
      <c r="E489" s="298"/>
      <c r="F489" s="299"/>
      <c r="G489" s="300"/>
      <c r="H489" s="303"/>
      <c r="I489" s="303"/>
      <c r="J489" s="322">
        <f t="shared" si="107"/>
        <v>0</v>
      </c>
      <c r="K489" s="305" t="e">
        <f>IF(F489="MXN",1/HLOOKUP(YEAR(G489)+(MONTH(G489)/100),TC!$5:$37,DAY(G489)+2,FALSE),VLOOKUP(F489,Equivalencia!$5:$23,((MAX(Equivalencia!$3:$3)-YEAR(G489))*14)+MONTH(G489)+2,FALSE))</f>
        <v>#N/A</v>
      </c>
      <c r="L489" s="306" t="e">
        <f t="shared" si="110"/>
        <v>#N/A</v>
      </c>
      <c r="M489" s="305">
        <f>IF(G489=0,0,HLOOKUP(YEAR(G489)+(MONTH(G489)/100),TC!$5:$37,DAY(G489)+2,FALSE))</f>
        <v>0</v>
      </c>
      <c r="N489" s="306" t="e">
        <f t="shared" si="111"/>
        <v>#N/A</v>
      </c>
      <c r="O489" s="308">
        <f>IF(G489=0,0,VLOOKUP(YEAR(G489),INPC!$B$4:$P$30,MONTH(G489)+2))</f>
        <v>0</v>
      </c>
      <c r="P489" s="308">
        <f>IF(W489=0,0,IF(OR(C489=$AQ$5,C489=AQ493),VLOOKUP(YEAR(W489),INPC!$B$4:$P$30,MONTH(W489)+1),VLOOKUP(YEAR(W489),INPC!$B$4:$P$30,MONTH(W489)+2)))</f>
        <v>0</v>
      </c>
      <c r="Q489" s="309">
        <f t="shared" si="112"/>
        <v>0</v>
      </c>
      <c r="R489" s="310" t="e">
        <f t="shared" si="113"/>
        <v>#N/A</v>
      </c>
      <c r="S489" s="310">
        <f t="shared" si="114"/>
        <v>0</v>
      </c>
      <c r="T489" s="559" t="str">
        <f t="shared" si="115"/>
        <v>NO</v>
      </c>
      <c r="U489" s="323"/>
      <c r="V489" s="299"/>
      <c r="W489" s="300"/>
      <c r="X489" s="299"/>
      <c r="Y489" s="303"/>
      <c r="Z489" s="305">
        <f>IF(Y489=0,0,IF(X489="MXN",1/HLOOKUP(YEAR(W489)+(MONTH(W489)/100),TC!$5:$37,DAY(W489)+2,FALSE),VLOOKUP(X489,Equivalencia!$1:$23,((MAX(Equivalencia!$3:$3)-YEAR(W489))*14)+MONTH(W489)+2,FALSE)))</f>
        <v>0</v>
      </c>
      <c r="AA489" s="306">
        <f t="shared" si="116"/>
        <v>0</v>
      </c>
      <c r="AB489" s="305">
        <f>+IF(W489=0,0,HLOOKUP(YEAR(W489)+(MONTH(W489)/100),TC!$5:$37,DAY(W489)+2,FALSE))</f>
        <v>0</v>
      </c>
      <c r="AC489" s="306">
        <f t="shared" si="117"/>
        <v>0</v>
      </c>
      <c r="AD489" s="314">
        <f t="shared" si="108"/>
        <v>0</v>
      </c>
      <c r="AE489" s="315">
        <f t="shared" si="118"/>
        <v>0</v>
      </c>
      <c r="AF489" s="316">
        <f t="shared" si="109"/>
        <v>0</v>
      </c>
      <c r="AG489" s="314">
        <v>1</v>
      </c>
      <c r="AH489" s="314">
        <f t="shared" si="119"/>
        <v>0</v>
      </c>
      <c r="AI489" s="314">
        <f t="shared" si="120"/>
        <v>0</v>
      </c>
      <c r="AJ489" s="317"/>
      <c r="AK489" s="315" t="e">
        <f t="shared" si="121"/>
        <v>#N/A</v>
      </c>
      <c r="AM489" s="553"/>
      <c r="AN489" s="553"/>
      <c r="AO489" s="553"/>
    </row>
    <row r="490" spans="2:41">
      <c r="B490" s="296"/>
      <c r="C490" s="299"/>
      <c r="D490" s="296"/>
      <c r="E490" s="298"/>
      <c r="F490" s="299"/>
      <c r="G490" s="300"/>
      <c r="H490" s="303"/>
      <c r="I490" s="303"/>
      <c r="J490" s="322">
        <f t="shared" si="107"/>
        <v>0</v>
      </c>
      <c r="K490" s="305" t="e">
        <f>IF(F490="MXN",1/HLOOKUP(YEAR(G490)+(MONTH(G490)/100),TC!$5:$37,DAY(G490)+2,FALSE),VLOOKUP(F490,Equivalencia!$5:$23,((MAX(Equivalencia!$3:$3)-YEAR(G490))*14)+MONTH(G490)+2,FALSE))</f>
        <v>#N/A</v>
      </c>
      <c r="L490" s="306" t="e">
        <f t="shared" si="110"/>
        <v>#N/A</v>
      </c>
      <c r="M490" s="305">
        <f>IF(G490=0,0,HLOOKUP(YEAR(G490)+(MONTH(G490)/100),TC!$5:$37,DAY(G490)+2,FALSE))</f>
        <v>0</v>
      </c>
      <c r="N490" s="306" t="e">
        <f t="shared" si="111"/>
        <v>#N/A</v>
      </c>
      <c r="O490" s="308">
        <f>IF(G490=0,0,VLOOKUP(YEAR(G490),INPC!$B$4:$P$30,MONTH(G490)+2))</f>
        <v>0</v>
      </c>
      <c r="P490" s="308">
        <f>IF(W490=0,0,IF(OR(C490=$AQ$5,C490=AQ494),VLOOKUP(YEAR(W490),INPC!$B$4:$P$30,MONTH(W490)+1),VLOOKUP(YEAR(W490),INPC!$B$4:$P$30,MONTH(W490)+2)))</f>
        <v>0</v>
      </c>
      <c r="Q490" s="309">
        <f t="shared" si="112"/>
        <v>0</v>
      </c>
      <c r="R490" s="310" t="e">
        <f t="shared" si="113"/>
        <v>#N/A</v>
      </c>
      <c r="S490" s="310">
        <f t="shared" si="114"/>
        <v>0</v>
      </c>
      <c r="T490" s="559" t="str">
        <f t="shared" si="115"/>
        <v>NO</v>
      </c>
      <c r="U490" s="323"/>
      <c r="V490" s="299"/>
      <c r="W490" s="300"/>
      <c r="X490" s="299"/>
      <c r="Y490" s="303"/>
      <c r="Z490" s="305">
        <f>IF(Y490=0,0,IF(X490="MXN",1/HLOOKUP(YEAR(W490)+(MONTH(W490)/100),TC!$5:$37,DAY(W490)+2,FALSE),VLOOKUP(X490,Equivalencia!$1:$23,((MAX(Equivalencia!$3:$3)-YEAR(W490))*14)+MONTH(W490)+2,FALSE)))</f>
        <v>0</v>
      </c>
      <c r="AA490" s="306">
        <f t="shared" si="116"/>
        <v>0</v>
      </c>
      <c r="AB490" s="305">
        <f>+IF(W490=0,0,HLOOKUP(YEAR(W490)+(MONTH(W490)/100),TC!$5:$37,DAY(W490)+2,FALSE))</f>
        <v>0</v>
      </c>
      <c r="AC490" s="306">
        <f t="shared" si="117"/>
        <v>0</v>
      </c>
      <c r="AD490" s="314">
        <f t="shared" si="108"/>
        <v>0</v>
      </c>
      <c r="AE490" s="315">
        <f t="shared" si="118"/>
        <v>0</v>
      </c>
      <c r="AF490" s="316">
        <f t="shared" si="109"/>
        <v>0</v>
      </c>
      <c r="AG490" s="314">
        <v>1</v>
      </c>
      <c r="AH490" s="314">
        <f t="shared" si="119"/>
        <v>0</v>
      </c>
      <c r="AI490" s="314">
        <f t="shared" si="120"/>
        <v>0</v>
      </c>
      <c r="AJ490" s="317"/>
      <c r="AK490" s="315" t="e">
        <f t="shared" si="121"/>
        <v>#N/A</v>
      </c>
      <c r="AM490" s="553"/>
      <c r="AN490" s="553"/>
      <c r="AO490" s="553"/>
    </row>
    <row r="491" spans="2:41">
      <c r="B491" s="296"/>
      <c r="C491" s="299"/>
      <c r="D491" s="296"/>
      <c r="E491" s="298"/>
      <c r="F491" s="299"/>
      <c r="G491" s="300"/>
      <c r="H491" s="303"/>
      <c r="I491" s="303"/>
      <c r="J491" s="322">
        <f t="shared" si="107"/>
        <v>0</v>
      </c>
      <c r="K491" s="305" t="e">
        <f>IF(F491="MXN",1/HLOOKUP(YEAR(G491)+(MONTH(G491)/100),TC!$5:$37,DAY(G491)+2,FALSE),VLOOKUP(F491,Equivalencia!$5:$23,((MAX(Equivalencia!$3:$3)-YEAR(G491))*14)+MONTH(G491)+2,FALSE))</f>
        <v>#N/A</v>
      </c>
      <c r="L491" s="306" t="e">
        <f t="shared" si="110"/>
        <v>#N/A</v>
      </c>
      <c r="M491" s="305">
        <f>IF(G491=0,0,HLOOKUP(YEAR(G491)+(MONTH(G491)/100),TC!$5:$37,DAY(G491)+2,FALSE))</f>
        <v>0</v>
      </c>
      <c r="N491" s="306" t="e">
        <f t="shared" si="111"/>
        <v>#N/A</v>
      </c>
      <c r="O491" s="308">
        <f>IF(G491=0,0,VLOOKUP(YEAR(G491),INPC!$B$4:$P$30,MONTH(G491)+2))</f>
        <v>0</v>
      </c>
      <c r="P491" s="308">
        <f>IF(W491=0,0,IF(OR(C491=$AQ$5,C491=AQ495),VLOOKUP(YEAR(W491),INPC!$B$4:$P$30,MONTH(W491)+1),VLOOKUP(YEAR(W491),INPC!$B$4:$P$30,MONTH(W491)+2)))</f>
        <v>0</v>
      </c>
      <c r="Q491" s="309">
        <f t="shared" si="112"/>
        <v>0</v>
      </c>
      <c r="R491" s="310" t="e">
        <f t="shared" si="113"/>
        <v>#N/A</v>
      </c>
      <c r="S491" s="310">
        <f t="shared" si="114"/>
        <v>0</v>
      </c>
      <c r="T491" s="559" t="str">
        <f t="shared" si="115"/>
        <v>NO</v>
      </c>
      <c r="U491" s="323"/>
      <c r="V491" s="299"/>
      <c r="W491" s="300"/>
      <c r="X491" s="299"/>
      <c r="Y491" s="303"/>
      <c r="Z491" s="305">
        <f>IF(Y491=0,0,IF(X491="MXN",1/HLOOKUP(YEAR(W491)+(MONTH(W491)/100),TC!$5:$37,DAY(W491)+2,FALSE),VLOOKUP(X491,Equivalencia!$1:$23,((MAX(Equivalencia!$3:$3)-YEAR(W491))*14)+MONTH(W491)+2,FALSE)))</f>
        <v>0</v>
      </c>
      <c r="AA491" s="306">
        <f t="shared" si="116"/>
        <v>0</v>
      </c>
      <c r="AB491" s="305">
        <f>+IF(W491=0,0,HLOOKUP(YEAR(W491)+(MONTH(W491)/100),TC!$5:$37,DAY(W491)+2,FALSE))</f>
        <v>0</v>
      </c>
      <c r="AC491" s="306">
        <f t="shared" si="117"/>
        <v>0</v>
      </c>
      <c r="AD491" s="314">
        <f t="shared" si="108"/>
        <v>0</v>
      </c>
      <c r="AE491" s="315">
        <f t="shared" si="118"/>
        <v>0</v>
      </c>
      <c r="AF491" s="316">
        <f t="shared" si="109"/>
        <v>0</v>
      </c>
      <c r="AG491" s="314">
        <v>1</v>
      </c>
      <c r="AH491" s="314">
        <f t="shared" si="119"/>
        <v>0</v>
      </c>
      <c r="AI491" s="314">
        <f t="shared" si="120"/>
        <v>0</v>
      </c>
      <c r="AJ491" s="317"/>
      <c r="AK491" s="315" t="e">
        <f t="shared" si="121"/>
        <v>#N/A</v>
      </c>
      <c r="AM491" s="553"/>
      <c r="AN491" s="553"/>
      <c r="AO491" s="553"/>
    </row>
    <row r="492" spans="2:41">
      <c r="B492" s="296"/>
      <c r="C492" s="299"/>
      <c r="D492" s="296"/>
      <c r="E492" s="298"/>
      <c r="F492" s="299"/>
      <c r="G492" s="300"/>
      <c r="H492" s="303"/>
      <c r="I492" s="303"/>
      <c r="J492" s="322">
        <f t="shared" si="107"/>
        <v>0</v>
      </c>
      <c r="K492" s="305" t="e">
        <f>IF(F492="MXN",1/HLOOKUP(YEAR(G492)+(MONTH(G492)/100),TC!$5:$37,DAY(G492)+2,FALSE),VLOOKUP(F492,Equivalencia!$5:$23,((MAX(Equivalencia!$3:$3)-YEAR(G492))*14)+MONTH(G492)+2,FALSE))</f>
        <v>#N/A</v>
      </c>
      <c r="L492" s="306" t="e">
        <f t="shared" si="110"/>
        <v>#N/A</v>
      </c>
      <c r="M492" s="305">
        <f>IF(G492=0,0,HLOOKUP(YEAR(G492)+(MONTH(G492)/100),TC!$5:$37,DAY(G492)+2,FALSE))</f>
        <v>0</v>
      </c>
      <c r="N492" s="306" t="e">
        <f t="shared" si="111"/>
        <v>#N/A</v>
      </c>
      <c r="O492" s="308">
        <f>IF(G492=0,0,VLOOKUP(YEAR(G492),INPC!$B$4:$P$30,MONTH(G492)+2))</f>
        <v>0</v>
      </c>
      <c r="P492" s="308">
        <f>IF(W492=0,0,IF(OR(C492=$AQ$5,C492=AQ496),VLOOKUP(YEAR(W492),INPC!$B$4:$P$30,MONTH(W492)+1),VLOOKUP(YEAR(W492),INPC!$B$4:$P$30,MONTH(W492)+2)))</f>
        <v>0</v>
      </c>
      <c r="Q492" s="309">
        <f t="shared" si="112"/>
        <v>0</v>
      </c>
      <c r="R492" s="310" t="e">
        <f t="shared" si="113"/>
        <v>#N/A</v>
      </c>
      <c r="S492" s="310">
        <f t="shared" si="114"/>
        <v>0</v>
      </c>
      <c r="T492" s="559" t="str">
        <f t="shared" si="115"/>
        <v>NO</v>
      </c>
      <c r="U492" s="323"/>
      <c r="V492" s="299"/>
      <c r="W492" s="300"/>
      <c r="X492" s="299"/>
      <c r="Y492" s="303"/>
      <c r="Z492" s="305">
        <f>IF(Y492=0,0,IF(X492="MXN",1/HLOOKUP(YEAR(W492)+(MONTH(W492)/100),TC!$5:$37,DAY(W492)+2,FALSE),VLOOKUP(X492,Equivalencia!$1:$23,((MAX(Equivalencia!$3:$3)-YEAR(W492))*14)+MONTH(W492)+2,FALSE)))</f>
        <v>0</v>
      </c>
      <c r="AA492" s="306">
        <f t="shared" si="116"/>
        <v>0</v>
      </c>
      <c r="AB492" s="305">
        <f>+IF(W492=0,0,HLOOKUP(YEAR(W492)+(MONTH(W492)/100),TC!$5:$37,DAY(W492)+2,FALSE))</f>
        <v>0</v>
      </c>
      <c r="AC492" s="306">
        <f t="shared" si="117"/>
        <v>0</v>
      </c>
      <c r="AD492" s="314">
        <f t="shared" si="108"/>
        <v>0</v>
      </c>
      <c r="AE492" s="315">
        <f t="shared" si="118"/>
        <v>0</v>
      </c>
      <c r="AF492" s="316">
        <f t="shared" si="109"/>
        <v>0</v>
      </c>
      <c r="AG492" s="314">
        <v>1</v>
      </c>
      <c r="AH492" s="314">
        <f t="shared" si="119"/>
        <v>0</v>
      </c>
      <c r="AI492" s="314">
        <f t="shared" si="120"/>
        <v>0</v>
      </c>
      <c r="AJ492" s="317"/>
      <c r="AK492" s="315" t="e">
        <f t="shared" si="121"/>
        <v>#N/A</v>
      </c>
      <c r="AM492" s="553"/>
      <c r="AN492" s="553"/>
      <c r="AO492" s="553"/>
    </row>
    <row r="493" spans="2:41">
      <c r="B493" s="296"/>
      <c r="C493" s="299"/>
      <c r="D493" s="296"/>
      <c r="E493" s="298"/>
      <c r="F493" s="299"/>
      <c r="G493" s="300"/>
      <c r="H493" s="303"/>
      <c r="I493" s="303"/>
      <c r="J493" s="322">
        <f t="shared" si="107"/>
        <v>0</v>
      </c>
      <c r="K493" s="305" t="e">
        <f>IF(F493="MXN",1/HLOOKUP(YEAR(G493)+(MONTH(G493)/100),TC!$5:$37,DAY(G493)+2,FALSE),VLOOKUP(F493,Equivalencia!$5:$23,((MAX(Equivalencia!$3:$3)-YEAR(G493))*14)+MONTH(G493)+2,FALSE))</f>
        <v>#N/A</v>
      </c>
      <c r="L493" s="306" t="e">
        <f t="shared" si="110"/>
        <v>#N/A</v>
      </c>
      <c r="M493" s="305">
        <f>IF(G493=0,0,HLOOKUP(YEAR(G493)+(MONTH(G493)/100),TC!$5:$37,DAY(G493)+2,FALSE))</f>
        <v>0</v>
      </c>
      <c r="N493" s="306" t="e">
        <f t="shared" si="111"/>
        <v>#N/A</v>
      </c>
      <c r="O493" s="308">
        <f>IF(G493=0,0,VLOOKUP(YEAR(G493),INPC!$B$4:$P$30,MONTH(G493)+2))</f>
        <v>0</v>
      </c>
      <c r="P493" s="308">
        <f>IF(W493=0,0,IF(OR(C493=$AQ$5,C493=AQ497),VLOOKUP(YEAR(W493),INPC!$B$4:$P$30,MONTH(W493)+1),VLOOKUP(YEAR(W493),INPC!$B$4:$P$30,MONTH(W493)+2)))</f>
        <v>0</v>
      </c>
      <c r="Q493" s="309">
        <f t="shared" si="112"/>
        <v>0</v>
      </c>
      <c r="R493" s="310" t="e">
        <f t="shared" si="113"/>
        <v>#N/A</v>
      </c>
      <c r="S493" s="310">
        <f t="shared" si="114"/>
        <v>0</v>
      </c>
      <c r="T493" s="559" t="str">
        <f t="shared" si="115"/>
        <v>NO</v>
      </c>
      <c r="U493" s="323"/>
      <c r="V493" s="299"/>
      <c r="W493" s="300"/>
      <c r="X493" s="299"/>
      <c r="Y493" s="303"/>
      <c r="Z493" s="305">
        <f>IF(Y493=0,0,IF(X493="MXN",1/HLOOKUP(YEAR(W493)+(MONTH(W493)/100),TC!$5:$37,DAY(W493)+2,FALSE),VLOOKUP(X493,Equivalencia!$1:$23,((MAX(Equivalencia!$3:$3)-YEAR(W493))*14)+MONTH(W493)+2,FALSE)))</f>
        <v>0</v>
      </c>
      <c r="AA493" s="306">
        <f t="shared" si="116"/>
        <v>0</v>
      </c>
      <c r="AB493" s="305">
        <f>+IF(W493=0,0,HLOOKUP(YEAR(W493)+(MONTH(W493)/100),TC!$5:$37,DAY(W493)+2,FALSE))</f>
        <v>0</v>
      </c>
      <c r="AC493" s="306">
        <f t="shared" si="117"/>
        <v>0</v>
      </c>
      <c r="AD493" s="314">
        <f t="shared" si="108"/>
        <v>0</v>
      </c>
      <c r="AE493" s="315">
        <f t="shared" si="118"/>
        <v>0</v>
      </c>
      <c r="AF493" s="316">
        <f t="shared" si="109"/>
        <v>0</v>
      </c>
      <c r="AG493" s="314">
        <v>1</v>
      </c>
      <c r="AH493" s="314">
        <f t="shared" si="119"/>
        <v>0</v>
      </c>
      <c r="AI493" s="314">
        <f t="shared" si="120"/>
        <v>0</v>
      </c>
      <c r="AJ493" s="317"/>
      <c r="AK493" s="315" t="e">
        <f t="shared" si="121"/>
        <v>#N/A</v>
      </c>
      <c r="AM493" s="553"/>
      <c r="AN493" s="553"/>
      <c r="AO493" s="553"/>
    </row>
    <row r="494" spans="2:41">
      <c r="B494" s="296"/>
      <c r="C494" s="299"/>
      <c r="D494" s="296"/>
      <c r="E494" s="298"/>
      <c r="F494" s="299"/>
      <c r="G494" s="300"/>
      <c r="H494" s="303"/>
      <c r="I494" s="303"/>
      <c r="J494" s="322">
        <f t="shared" si="107"/>
        <v>0</v>
      </c>
      <c r="K494" s="305" t="e">
        <f>IF(F494="MXN",1/HLOOKUP(YEAR(G494)+(MONTH(G494)/100),TC!$5:$37,DAY(G494)+2,FALSE),VLOOKUP(F494,Equivalencia!$5:$23,((MAX(Equivalencia!$3:$3)-YEAR(G494))*14)+MONTH(G494)+2,FALSE))</f>
        <v>#N/A</v>
      </c>
      <c r="L494" s="306" t="e">
        <f t="shared" si="110"/>
        <v>#N/A</v>
      </c>
      <c r="M494" s="305">
        <f>IF(G494=0,0,HLOOKUP(YEAR(G494)+(MONTH(G494)/100),TC!$5:$37,DAY(G494)+2,FALSE))</f>
        <v>0</v>
      </c>
      <c r="N494" s="306" t="e">
        <f t="shared" si="111"/>
        <v>#N/A</v>
      </c>
      <c r="O494" s="308">
        <f>IF(G494=0,0,VLOOKUP(YEAR(G494),INPC!$B$4:$P$30,MONTH(G494)+2))</f>
        <v>0</v>
      </c>
      <c r="P494" s="308">
        <f>IF(W494=0,0,IF(OR(C494=$AQ$5,C494=AQ498),VLOOKUP(YEAR(W494),INPC!$B$4:$P$30,MONTH(W494)+1),VLOOKUP(YEAR(W494),INPC!$B$4:$P$30,MONTH(W494)+2)))</f>
        <v>0</v>
      </c>
      <c r="Q494" s="309">
        <f t="shared" si="112"/>
        <v>0</v>
      </c>
      <c r="R494" s="310" t="e">
        <f t="shared" si="113"/>
        <v>#N/A</v>
      </c>
      <c r="S494" s="310">
        <f t="shared" si="114"/>
        <v>0</v>
      </c>
      <c r="T494" s="559" t="str">
        <f t="shared" si="115"/>
        <v>NO</v>
      </c>
      <c r="U494" s="323"/>
      <c r="V494" s="299"/>
      <c r="W494" s="300"/>
      <c r="X494" s="299"/>
      <c r="Y494" s="303"/>
      <c r="Z494" s="305">
        <f>IF(Y494=0,0,IF(X494="MXN",1/HLOOKUP(YEAR(W494)+(MONTH(W494)/100),TC!$5:$37,DAY(W494)+2,FALSE),VLOOKUP(X494,Equivalencia!$1:$23,((MAX(Equivalencia!$3:$3)-YEAR(W494))*14)+MONTH(W494)+2,FALSE)))</f>
        <v>0</v>
      </c>
      <c r="AA494" s="306">
        <f t="shared" si="116"/>
        <v>0</v>
      </c>
      <c r="AB494" s="305">
        <f>+IF(W494=0,0,HLOOKUP(YEAR(W494)+(MONTH(W494)/100),TC!$5:$37,DAY(W494)+2,FALSE))</f>
        <v>0</v>
      </c>
      <c r="AC494" s="306">
        <f t="shared" si="117"/>
        <v>0</v>
      </c>
      <c r="AD494" s="314">
        <f t="shared" si="108"/>
        <v>0</v>
      </c>
      <c r="AE494" s="315">
        <f t="shared" si="118"/>
        <v>0</v>
      </c>
      <c r="AF494" s="316">
        <f t="shared" si="109"/>
        <v>0</v>
      </c>
      <c r="AG494" s="314">
        <v>1</v>
      </c>
      <c r="AH494" s="314">
        <f t="shared" si="119"/>
        <v>0</v>
      </c>
      <c r="AI494" s="314">
        <f t="shared" si="120"/>
        <v>0</v>
      </c>
      <c r="AJ494" s="317"/>
      <c r="AK494" s="315" t="e">
        <f t="shared" si="121"/>
        <v>#N/A</v>
      </c>
      <c r="AM494" s="553"/>
      <c r="AN494" s="553"/>
      <c r="AO494" s="553"/>
    </row>
    <row r="495" spans="2:41">
      <c r="B495" s="296"/>
      <c r="C495" s="299"/>
      <c r="D495" s="296"/>
      <c r="E495" s="298"/>
      <c r="F495" s="299"/>
      <c r="G495" s="300"/>
      <c r="H495" s="303"/>
      <c r="I495" s="303"/>
      <c r="J495" s="322">
        <f t="shared" si="107"/>
        <v>0</v>
      </c>
      <c r="K495" s="305" t="e">
        <f>IF(F495="MXN",1/HLOOKUP(YEAR(G495)+(MONTH(G495)/100),TC!$5:$37,DAY(G495)+2,FALSE),VLOOKUP(F495,Equivalencia!$5:$23,((MAX(Equivalencia!$3:$3)-YEAR(G495))*14)+MONTH(G495)+2,FALSE))</f>
        <v>#N/A</v>
      </c>
      <c r="L495" s="306" t="e">
        <f t="shared" si="110"/>
        <v>#N/A</v>
      </c>
      <c r="M495" s="305">
        <f>IF(G495=0,0,HLOOKUP(YEAR(G495)+(MONTH(G495)/100),TC!$5:$37,DAY(G495)+2,FALSE))</f>
        <v>0</v>
      </c>
      <c r="N495" s="306" t="e">
        <f t="shared" si="111"/>
        <v>#N/A</v>
      </c>
      <c r="O495" s="308">
        <f>IF(G495=0,0,VLOOKUP(YEAR(G495),INPC!$B$4:$P$30,MONTH(G495)+2))</f>
        <v>0</v>
      </c>
      <c r="P495" s="308">
        <f>IF(W495=0,0,IF(OR(C495=$AQ$5,C495=AQ499),VLOOKUP(YEAR(W495),INPC!$B$4:$P$30,MONTH(W495)+1),VLOOKUP(YEAR(W495),INPC!$B$4:$P$30,MONTH(W495)+2)))</f>
        <v>0</v>
      </c>
      <c r="Q495" s="309">
        <f t="shared" si="112"/>
        <v>0</v>
      </c>
      <c r="R495" s="310" t="e">
        <f t="shared" si="113"/>
        <v>#N/A</v>
      </c>
      <c r="S495" s="310">
        <f t="shared" si="114"/>
        <v>0</v>
      </c>
      <c r="T495" s="559" t="str">
        <f t="shared" si="115"/>
        <v>NO</v>
      </c>
      <c r="U495" s="323"/>
      <c r="V495" s="299"/>
      <c r="W495" s="300"/>
      <c r="X495" s="299"/>
      <c r="Y495" s="303"/>
      <c r="Z495" s="305">
        <f>IF(Y495=0,0,IF(X495="MXN",1/HLOOKUP(YEAR(W495)+(MONTH(W495)/100),TC!$5:$37,DAY(W495)+2,FALSE),VLOOKUP(X495,Equivalencia!$1:$23,((MAX(Equivalencia!$3:$3)-YEAR(W495))*14)+MONTH(W495)+2,FALSE)))</f>
        <v>0</v>
      </c>
      <c r="AA495" s="306">
        <f t="shared" si="116"/>
        <v>0</v>
      </c>
      <c r="AB495" s="305">
        <f>+IF(W495=0,0,HLOOKUP(YEAR(W495)+(MONTH(W495)/100),TC!$5:$37,DAY(W495)+2,FALSE))</f>
        <v>0</v>
      </c>
      <c r="AC495" s="306">
        <f t="shared" si="117"/>
        <v>0</v>
      </c>
      <c r="AD495" s="314">
        <f t="shared" si="108"/>
        <v>0</v>
      </c>
      <c r="AE495" s="315">
        <f t="shared" si="118"/>
        <v>0</v>
      </c>
      <c r="AF495" s="316">
        <f t="shared" si="109"/>
        <v>0</v>
      </c>
      <c r="AG495" s="314">
        <v>1</v>
      </c>
      <c r="AH495" s="314">
        <f t="shared" si="119"/>
        <v>0</v>
      </c>
      <c r="AI495" s="314">
        <f t="shared" si="120"/>
        <v>0</v>
      </c>
      <c r="AJ495" s="317"/>
      <c r="AK495" s="315" t="e">
        <f t="shared" si="121"/>
        <v>#N/A</v>
      </c>
      <c r="AM495" s="553"/>
      <c r="AN495" s="553"/>
      <c r="AO495" s="553"/>
    </row>
    <row r="496" spans="2:41">
      <c r="B496" s="296"/>
      <c r="C496" s="299"/>
      <c r="D496" s="296"/>
      <c r="E496" s="298"/>
      <c r="F496" s="299"/>
      <c r="G496" s="300"/>
      <c r="H496" s="303"/>
      <c r="I496" s="303"/>
      <c r="J496" s="322">
        <f t="shared" si="107"/>
        <v>0</v>
      </c>
      <c r="K496" s="305" t="e">
        <f>IF(F496="MXN",1/HLOOKUP(YEAR(G496)+(MONTH(G496)/100),TC!$5:$37,DAY(G496)+2,FALSE),VLOOKUP(F496,Equivalencia!$5:$23,((MAX(Equivalencia!$3:$3)-YEAR(G496))*14)+MONTH(G496)+2,FALSE))</f>
        <v>#N/A</v>
      </c>
      <c r="L496" s="306" t="e">
        <f t="shared" si="110"/>
        <v>#N/A</v>
      </c>
      <c r="M496" s="305">
        <f>IF(G496=0,0,HLOOKUP(YEAR(G496)+(MONTH(G496)/100),TC!$5:$37,DAY(G496)+2,FALSE))</f>
        <v>0</v>
      </c>
      <c r="N496" s="306" t="e">
        <f t="shared" si="111"/>
        <v>#N/A</v>
      </c>
      <c r="O496" s="308">
        <f>IF(G496=0,0,VLOOKUP(YEAR(G496),INPC!$B$4:$P$30,MONTH(G496)+2))</f>
        <v>0</v>
      </c>
      <c r="P496" s="308">
        <f>IF(W496=0,0,IF(OR(C496=$AQ$5,C496=AQ500),VLOOKUP(YEAR(W496),INPC!$B$4:$P$30,MONTH(W496)+1),VLOOKUP(YEAR(W496),INPC!$B$4:$P$30,MONTH(W496)+2)))</f>
        <v>0</v>
      </c>
      <c r="Q496" s="309">
        <f t="shared" si="112"/>
        <v>0</v>
      </c>
      <c r="R496" s="310" t="e">
        <f t="shared" si="113"/>
        <v>#N/A</v>
      </c>
      <c r="S496" s="310">
        <f t="shared" si="114"/>
        <v>0</v>
      </c>
      <c r="T496" s="559" t="str">
        <f t="shared" si="115"/>
        <v>NO</v>
      </c>
      <c r="U496" s="323"/>
      <c r="V496" s="299"/>
      <c r="W496" s="300"/>
      <c r="X496" s="299"/>
      <c r="Y496" s="303"/>
      <c r="Z496" s="305">
        <f>IF(Y496=0,0,IF(X496="MXN",1/HLOOKUP(YEAR(W496)+(MONTH(W496)/100),TC!$5:$37,DAY(W496)+2,FALSE),VLOOKUP(X496,Equivalencia!$1:$23,((MAX(Equivalencia!$3:$3)-YEAR(W496))*14)+MONTH(W496)+2,FALSE)))</f>
        <v>0</v>
      </c>
      <c r="AA496" s="306">
        <f t="shared" si="116"/>
        <v>0</v>
      </c>
      <c r="AB496" s="305">
        <f>+IF(W496=0,0,HLOOKUP(YEAR(W496)+(MONTH(W496)/100),TC!$5:$37,DAY(W496)+2,FALSE))</f>
        <v>0</v>
      </c>
      <c r="AC496" s="306">
        <f t="shared" si="117"/>
        <v>0</v>
      </c>
      <c r="AD496" s="314">
        <f t="shared" si="108"/>
        <v>0</v>
      </c>
      <c r="AE496" s="315">
        <f t="shared" si="118"/>
        <v>0</v>
      </c>
      <c r="AF496" s="316">
        <f t="shared" si="109"/>
        <v>0</v>
      </c>
      <c r="AG496" s="314">
        <v>1</v>
      </c>
      <c r="AH496" s="314">
        <f t="shared" si="119"/>
        <v>0</v>
      </c>
      <c r="AI496" s="314">
        <f t="shared" si="120"/>
        <v>0</v>
      </c>
      <c r="AJ496" s="317"/>
      <c r="AK496" s="315" t="e">
        <f t="shared" si="121"/>
        <v>#N/A</v>
      </c>
      <c r="AM496" s="553"/>
      <c r="AN496" s="553"/>
      <c r="AO496" s="553"/>
    </row>
    <row r="497" spans="2:41">
      <c r="B497" s="296"/>
      <c r="C497" s="299"/>
      <c r="D497" s="296"/>
      <c r="E497" s="298"/>
      <c r="F497" s="299"/>
      <c r="G497" s="300"/>
      <c r="H497" s="303"/>
      <c r="I497" s="303"/>
      <c r="J497" s="322">
        <f t="shared" si="107"/>
        <v>0</v>
      </c>
      <c r="K497" s="305" t="e">
        <f>IF(F497="MXN",1/HLOOKUP(YEAR(G497)+(MONTH(G497)/100),TC!$5:$37,DAY(G497)+2,FALSE),VLOOKUP(F497,Equivalencia!$5:$23,((MAX(Equivalencia!$3:$3)-YEAR(G497))*14)+MONTH(G497)+2,FALSE))</f>
        <v>#N/A</v>
      </c>
      <c r="L497" s="306" t="e">
        <f t="shared" si="110"/>
        <v>#N/A</v>
      </c>
      <c r="M497" s="305">
        <f>IF(G497=0,0,HLOOKUP(YEAR(G497)+(MONTH(G497)/100),TC!$5:$37,DAY(G497)+2,FALSE))</f>
        <v>0</v>
      </c>
      <c r="N497" s="306" t="e">
        <f t="shared" si="111"/>
        <v>#N/A</v>
      </c>
      <c r="O497" s="308">
        <f>IF(G497=0,0,VLOOKUP(YEAR(G497),INPC!$B$4:$P$30,MONTH(G497)+2))</f>
        <v>0</v>
      </c>
      <c r="P497" s="308">
        <f>IF(W497=0,0,IF(OR(C497=$AQ$5,C497=AQ501),VLOOKUP(YEAR(W497),INPC!$B$4:$P$30,MONTH(W497)+1),VLOOKUP(YEAR(W497),INPC!$B$4:$P$30,MONTH(W497)+2)))</f>
        <v>0</v>
      </c>
      <c r="Q497" s="309">
        <f t="shared" si="112"/>
        <v>0</v>
      </c>
      <c r="R497" s="310" t="e">
        <f t="shared" si="113"/>
        <v>#N/A</v>
      </c>
      <c r="S497" s="310">
        <f t="shared" si="114"/>
        <v>0</v>
      </c>
      <c r="T497" s="559" t="str">
        <f t="shared" si="115"/>
        <v>NO</v>
      </c>
      <c r="U497" s="323"/>
      <c r="V497" s="299"/>
      <c r="W497" s="300"/>
      <c r="X497" s="299"/>
      <c r="Y497" s="303"/>
      <c r="Z497" s="305">
        <f>IF(Y497=0,0,IF(X497="MXN",1/HLOOKUP(YEAR(W497)+(MONTH(W497)/100),TC!$5:$37,DAY(W497)+2,FALSE),VLOOKUP(X497,Equivalencia!$1:$23,((MAX(Equivalencia!$3:$3)-YEAR(W497))*14)+MONTH(W497)+2,FALSE)))</f>
        <v>0</v>
      </c>
      <c r="AA497" s="306">
        <f t="shared" si="116"/>
        <v>0</v>
      </c>
      <c r="AB497" s="305">
        <f>+IF(W497=0,0,HLOOKUP(YEAR(W497)+(MONTH(W497)/100),TC!$5:$37,DAY(W497)+2,FALSE))</f>
        <v>0</v>
      </c>
      <c r="AC497" s="306">
        <f t="shared" si="117"/>
        <v>0</v>
      </c>
      <c r="AD497" s="314">
        <f t="shared" si="108"/>
        <v>0</v>
      </c>
      <c r="AE497" s="315">
        <f t="shared" si="118"/>
        <v>0</v>
      </c>
      <c r="AF497" s="316">
        <f t="shared" si="109"/>
        <v>0</v>
      </c>
      <c r="AG497" s="314">
        <v>1</v>
      </c>
      <c r="AH497" s="314">
        <f t="shared" si="119"/>
        <v>0</v>
      </c>
      <c r="AI497" s="314">
        <f t="shared" si="120"/>
        <v>0</v>
      </c>
      <c r="AJ497" s="317"/>
      <c r="AK497" s="315" t="e">
        <f t="shared" si="121"/>
        <v>#N/A</v>
      </c>
      <c r="AM497" s="553"/>
      <c r="AN497" s="553"/>
      <c r="AO497" s="553"/>
    </row>
    <row r="498" spans="2:41">
      <c r="B498" s="296"/>
      <c r="C498" s="299"/>
      <c r="D498" s="296"/>
      <c r="E498" s="298"/>
      <c r="F498" s="299"/>
      <c r="G498" s="300"/>
      <c r="H498" s="303"/>
      <c r="I498" s="303"/>
      <c r="J498" s="322">
        <f t="shared" si="107"/>
        <v>0</v>
      </c>
      <c r="K498" s="305" t="e">
        <f>IF(F498="MXN",1/HLOOKUP(YEAR(G498)+(MONTH(G498)/100),TC!$5:$37,DAY(G498)+2,FALSE),VLOOKUP(F498,Equivalencia!$5:$23,((MAX(Equivalencia!$3:$3)-YEAR(G498))*14)+MONTH(G498)+2,FALSE))</f>
        <v>#N/A</v>
      </c>
      <c r="L498" s="306" t="e">
        <f t="shared" si="110"/>
        <v>#N/A</v>
      </c>
      <c r="M498" s="305">
        <f>IF(G498=0,0,HLOOKUP(YEAR(G498)+(MONTH(G498)/100),TC!$5:$37,DAY(G498)+2,FALSE))</f>
        <v>0</v>
      </c>
      <c r="N498" s="306" t="e">
        <f t="shared" si="111"/>
        <v>#N/A</v>
      </c>
      <c r="O498" s="308">
        <f>IF(G498=0,0,VLOOKUP(YEAR(G498),INPC!$B$4:$P$30,MONTH(G498)+2))</f>
        <v>0</v>
      </c>
      <c r="P498" s="308">
        <f>IF(W498=0,0,IF(OR(C498=$AQ$5,C498=AQ502),VLOOKUP(YEAR(W498),INPC!$B$4:$P$30,MONTH(W498)+1),VLOOKUP(YEAR(W498),INPC!$B$4:$P$30,MONTH(W498)+2)))</f>
        <v>0</v>
      </c>
      <c r="Q498" s="309">
        <f t="shared" si="112"/>
        <v>0</v>
      </c>
      <c r="R498" s="310" t="e">
        <f t="shared" si="113"/>
        <v>#N/A</v>
      </c>
      <c r="S498" s="310">
        <f t="shared" si="114"/>
        <v>0</v>
      </c>
      <c r="T498" s="559" t="str">
        <f t="shared" si="115"/>
        <v>NO</v>
      </c>
      <c r="U498" s="323"/>
      <c r="V498" s="299"/>
      <c r="W498" s="300"/>
      <c r="X498" s="299"/>
      <c r="Y498" s="303"/>
      <c r="Z498" s="305">
        <f>IF(Y498=0,0,IF(X498="MXN",1/HLOOKUP(YEAR(W498)+(MONTH(W498)/100),TC!$5:$37,DAY(W498)+2,FALSE),VLOOKUP(X498,Equivalencia!$1:$23,((MAX(Equivalencia!$3:$3)-YEAR(W498))*14)+MONTH(W498)+2,FALSE)))</f>
        <v>0</v>
      </c>
      <c r="AA498" s="306">
        <f t="shared" si="116"/>
        <v>0</v>
      </c>
      <c r="AB498" s="305">
        <f>+IF(W498=0,0,HLOOKUP(YEAR(W498)+(MONTH(W498)/100),TC!$5:$37,DAY(W498)+2,FALSE))</f>
        <v>0</v>
      </c>
      <c r="AC498" s="306">
        <f t="shared" si="117"/>
        <v>0</v>
      </c>
      <c r="AD498" s="314">
        <f t="shared" si="108"/>
        <v>0</v>
      </c>
      <c r="AE498" s="315">
        <f t="shared" si="118"/>
        <v>0</v>
      </c>
      <c r="AF498" s="316">
        <f t="shared" si="109"/>
        <v>0</v>
      </c>
      <c r="AG498" s="314">
        <v>1</v>
      </c>
      <c r="AH498" s="314">
        <f t="shared" si="119"/>
        <v>0</v>
      </c>
      <c r="AI498" s="314">
        <f t="shared" si="120"/>
        <v>0</v>
      </c>
      <c r="AJ498" s="317"/>
      <c r="AK498" s="315" t="e">
        <f t="shared" si="121"/>
        <v>#N/A</v>
      </c>
      <c r="AM498" s="553"/>
      <c r="AN498" s="553"/>
      <c r="AO498" s="553"/>
    </row>
    <row r="499" spans="2:41">
      <c r="B499" s="296"/>
      <c r="C499" s="299"/>
      <c r="D499" s="296"/>
      <c r="E499" s="298"/>
      <c r="F499" s="299"/>
      <c r="G499" s="300"/>
      <c r="H499" s="303"/>
      <c r="I499" s="303"/>
      <c r="J499" s="322">
        <f t="shared" si="107"/>
        <v>0</v>
      </c>
      <c r="K499" s="305" t="e">
        <f>IF(F499="MXN",1/HLOOKUP(YEAR(G499)+(MONTH(G499)/100),TC!$5:$37,DAY(G499)+2,FALSE),VLOOKUP(F499,Equivalencia!$5:$23,((MAX(Equivalencia!$3:$3)-YEAR(G499))*14)+MONTH(G499)+2,FALSE))</f>
        <v>#N/A</v>
      </c>
      <c r="L499" s="306" t="e">
        <f t="shared" si="110"/>
        <v>#N/A</v>
      </c>
      <c r="M499" s="305">
        <f>IF(G499=0,0,HLOOKUP(YEAR(G499)+(MONTH(G499)/100),TC!$5:$37,DAY(G499)+2,FALSE))</f>
        <v>0</v>
      </c>
      <c r="N499" s="306" t="e">
        <f t="shared" si="111"/>
        <v>#N/A</v>
      </c>
      <c r="O499" s="308">
        <f>IF(G499=0,0,VLOOKUP(YEAR(G499),INPC!$B$4:$P$30,MONTH(G499)+2))</f>
        <v>0</v>
      </c>
      <c r="P499" s="308">
        <f>IF(W499=0,0,IF(OR(C499=$AQ$5,C499=AQ503),VLOOKUP(YEAR(W499),INPC!$B$4:$P$30,MONTH(W499)+1),VLOOKUP(YEAR(W499),INPC!$B$4:$P$30,MONTH(W499)+2)))</f>
        <v>0</v>
      </c>
      <c r="Q499" s="309">
        <f t="shared" si="112"/>
        <v>0</v>
      </c>
      <c r="R499" s="310" t="e">
        <f t="shared" si="113"/>
        <v>#N/A</v>
      </c>
      <c r="S499" s="310">
        <f t="shared" si="114"/>
        <v>0</v>
      </c>
      <c r="T499" s="559" t="str">
        <f t="shared" si="115"/>
        <v>NO</v>
      </c>
      <c r="U499" s="323"/>
      <c r="V499" s="299"/>
      <c r="W499" s="300"/>
      <c r="X499" s="299"/>
      <c r="Y499" s="303"/>
      <c r="Z499" s="305">
        <f>IF(Y499=0,0,IF(X499="MXN",1/HLOOKUP(YEAR(W499)+(MONTH(W499)/100),TC!$5:$37,DAY(W499)+2,FALSE),VLOOKUP(X499,Equivalencia!$1:$23,((MAX(Equivalencia!$3:$3)-YEAR(W499))*14)+MONTH(W499)+2,FALSE)))</f>
        <v>0</v>
      </c>
      <c r="AA499" s="306">
        <f t="shared" si="116"/>
        <v>0</v>
      </c>
      <c r="AB499" s="305">
        <f>+IF(W499=0,0,HLOOKUP(YEAR(W499)+(MONTH(W499)/100),TC!$5:$37,DAY(W499)+2,FALSE))</f>
        <v>0</v>
      </c>
      <c r="AC499" s="306">
        <f t="shared" si="117"/>
        <v>0</v>
      </c>
      <c r="AD499" s="314">
        <f t="shared" si="108"/>
        <v>0</v>
      </c>
      <c r="AE499" s="315">
        <f t="shared" si="118"/>
        <v>0</v>
      </c>
      <c r="AF499" s="316">
        <f t="shared" si="109"/>
        <v>0</v>
      </c>
      <c r="AG499" s="314">
        <v>1</v>
      </c>
      <c r="AH499" s="314">
        <f t="shared" si="119"/>
        <v>0</v>
      </c>
      <c r="AI499" s="314">
        <f t="shared" si="120"/>
        <v>0</v>
      </c>
      <c r="AJ499" s="317"/>
      <c r="AK499" s="315" t="e">
        <f t="shared" si="121"/>
        <v>#N/A</v>
      </c>
      <c r="AM499" s="553"/>
      <c r="AN499" s="553"/>
      <c r="AO499" s="553"/>
    </row>
    <row r="500" spans="2:41">
      <c r="B500" s="296"/>
      <c r="C500" s="299"/>
      <c r="D500" s="296"/>
      <c r="E500" s="298"/>
      <c r="F500" s="299"/>
      <c r="G500" s="300"/>
      <c r="H500" s="303"/>
      <c r="I500" s="303"/>
      <c r="J500" s="322">
        <f t="shared" si="107"/>
        <v>0</v>
      </c>
      <c r="K500" s="305" t="e">
        <f>IF(F500="MXN",1/HLOOKUP(YEAR(G500)+(MONTH(G500)/100),TC!$5:$37,DAY(G500)+2,FALSE),VLOOKUP(F500,Equivalencia!$5:$23,((MAX(Equivalencia!$3:$3)-YEAR(G500))*14)+MONTH(G500)+2,FALSE))</f>
        <v>#N/A</v>
      </c>
      <c r="L500" s="306" t="e">
        <f t="shared" si="110"/>
        <v>#N/A</v>
      </c>
      <c r="M500" s="305">
        <f>IF(G500=0,0,HLOOKUP(YEAR(G500)+(MONTH(G500)/100),TC!$5:$37,DAY(G500)+2,FALSE))</f>
        <v>0</v>
      </c>
      <c r="N500" s="306" t="e">
        <f t="shared" si="111"/>
        <v>#N/A</v>
      </c>
      <c r="O500" s="308">
        <f>IF(G500=0,0,VLOOKUP(YEAR(G500),INPC!$B$4:$P$30,MONTH(G500)+2))</f>
        <v>0</v>
      </c>
      <c r="P500" s="308">
        <f>IF(W500=0,0,IF(OR(C500=$AQ$5,C500=AQ504),VLOOKUP(YEAR(W500),INPC!$B$4:$P$30,MONTH(W500)+1),VLOOKUP(YEAR(W500),INPC!$B$4:$P$30,MONTH(W500)+2)))</f>
        <v>0</v>
      </c>
      <c r="Q500" s="309">
        <f t="shared" si="112"/>
        <v>0</v>
      </c>
      <c r="R500" s="310" t="e">
        <f t="shared" si="113"/>
        <v>#N/A</v>
      </c>
      <c r="S500" s="310">
        <f t="shared" si="114"/>
        <v>0</v>
      </c>
      <c r="T500" s="559" t="str">
        <f t="shared" si="115"/>
        <v>NO</v>
      </c>
      <c r="U500" s="323"/>
      <c r="V500" s="299"/>
      <c r="W500" s="300"/>
      <c r="X500" s="299"/>
      <c r="Y500" s="303"/>
      <c r="Z500" s="305">
        <f>IF(Y500=0,0,IF(X500="MXN",1/HLOOKUP(YEAR(W500)+(MONTH(W500)/100),TC!$5:$37,DAY(W500)+2,FALSE),VLOOKUP(X500,Equivalencia!$1:$23,((MAX(Equivalencia!$3:$3)-YEAR(W500))*14)+MONTH(W500)+2,FALSE)))</f>
        <v>0</v>
      </c>
      <c r="AA500" s="306">
        <f t="shared" si="116"/>
        <v>0</v>
      </c>
      <c r="AB500" s="305">
        <f>+IF(W500=0,0,HLOOKUP(YEAR(W500)+(MONTH(W500)/100),TC!$5:$37,DAY(W500)+2,FALSE))</f>
        <v>0</v>
      </c>
      <c r="AC500" s="306">
        <f t="shared" si="117"/>
        <v>0</v>
      </c>
      <c r="AD500" s="314">
        <f t="shared" si="108"/>
        <v>0</v>
      </c>
      <c r="AE500" s="315">
        <f t="shared" si="118"/>
        <v>0</v>
      </c>
      <c r="AF500" s="316">
        <f t="shared" si="109"/>
        <v>0</v>
      </c>
      <c r="AG500" s="314">
        <v>1</v>
      </c>
      <c r="AH500" s="314">
        <f t="shared" si="119"/>
        <v>0</v>
      </c>
      <c r="AI500" s="314">
        <f t="shared" si="120"/>
        <v>0</v>
      </c>
      <c r="AJ500" s="317"/>
      <c r="AK500" s="315" t="e">
        <f t="shared" si="121"/>
        <v>#N/A</v>
      </c>
      <c r="AM500" s="553"/>
      <c r="AN500" s="553"/>
      <c r="AO500" s="553"/>
    </row>
  </sheetData>
  <sheetProtection formatCells="0" formatColumns="0" formatRows="0" insertColumns="0" insertRows="0" insertHyperlinks="0" deleteColumns="0" deleteRows="0" sort="0" autoFilter="0" pivotTables="0"/>
  <autoFilter ref="B1:AT500" xr:uid="{CD41FCC3-53BE-A049-8AB3-663CAFFBE117}"/>
  <dataValidations count="3">
    <dataValidation type="list" allowBlank="1" showInputMessage="1" showErrorMessage="1" promptTitle="OJO:" prompt="Selecciona una opción" sqref="V2:V500" xr:uid="{765C506D-466A-C040-B136-AA7DFD3937A0}">
      <formula1>Operaciones</formula1>
    </dataValidation>
    <dataValidation type="list" allowBlank="1" showInputMessage="1" showErrorMessage="1" sqref="C2:C500" xr:uid="{DDEBFC4C-19AA-0E40-9881-415AEA8A5D0A}">
      <formula1>$AQ$3:$AQ$15</formula1>
    </dataValidation>
    <dataValidation type="list" allowBlank="1" showInputMessage="1" showErrorMessage="1" sqref="D2:D500" xr:uid="{F6B2C256-C72D-C341-B700-0207645A4597}">
      <formula1>$AR$3:$AR$19</formula1>
    </dataValidation>
  </dataValidations>
  <pageMargins left="0.7" right="0.7" top="0.75" bottom="0.75" header="0.3" footer="0.3"/>
  <pageSetup orientation="portrait" horizontalDpi="0" verticalDpi="0"/>
  <legacyDrawing r:id="rId1"/>
  <extLst>
    <ext xmlns:x14="http://schemas.microsoft.com/office/spreadsheetml/2009/9/main" uri="{CCE6A557-97BC-4b89-ADB6-D9C93CAAB3DF}">
      <x14:dataValidations xmlns:xm="http://schemas.microsoft.com/office/excel/2006/main" count="2">
        <x14:dataValidation type="list" showInputMessage="1" showErrorMessage="1" promptTitle="Instrucciones" prompt="Selecciona una moneda" xr:uid="{9D258574-1F96-664D-8A39-82B5E01D8F12}">
          <x14:formula1>
            <xm:f>Equivalencia!$A$4:$A$23</xm:f>
          </x14:formula1>
          <xm:sqref>X2:X500</xm:sqref>
        </x14:dataValidation>
        <x14:dataValidation type="list" allowBlank="1" showInputMessage="1" showErrorMessage="1" xr:uid="{CE594744-D913-C440-8E07-C5CD08B18F66}">
          <x14:formula1>
            <xm:f>Equivalencia!$A$4:$A$23</xm:f>
          </x14:formula1>
          <xm:sqref>F2:F500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R53"/>
  <sheetViews>
    <sheetView topLeftCell="A3" zoomScale="90" zoomScaleNormal="90" workbookViewId="0">
      <selection activeCell="C5" sqref="C5:N23"/>
    </sheetView>
  </sheetViews>
  <sheetFormatPr baseColWidth="10" defaultColWidth="10.83203125" defaultRowHeight="20" customHeight="1"/>
  <cols>
    <col min="1" max="43" width="10.83203125" style="1"/>
    <col min="44" max="44" width="7.33203125" style="1" customWidth="1"/>
    <col min="45" max="57" width="10.83203125" style="1"/>
    <col min="58" max="58" width="6.83203125" style="1" customWidth="1"/>
    <col min="59" max="70" width="11" style="1" bestFit="1" customWidth="1"/>
    <col min="71" max="71" width="10.83203125" style="1"/>
    <col min="72" max="72" width="5.83203125" style="1" bestFit="1" customWidth="1"/>
    <col min="73" max="84" width="12.83203125" style="1" customWidth="1"/>
    <col min="85" max="85" width="10.83203125" style="1"/>
    <col min="86" max="86" width="6.5" style="1" customWidth="1"/>
    <col min="87" max="98" width="10.6640625" style="1" customWidth="1"/>
    <col min="99" max="99" width="10.83203125" style="1"/>
    <col min="100" max="100" width="7.1640625" style="1" customWidth="1"/>
    <col min="101" max="112" width="12.6640625" style="1" bestFit="1" customWidth="1"/>
    <col min="113" max="113" width="10.83203125" style="1"/>
    <col min="114" max="114" width="5.83203125" style="1" bestFit="1" customWidth="1"/>
    <col min="115" max="126" width="12.6640625" style="1" bestFit="1" customWidth="1"/>
    <col min="127" max="127" width="10.83203125" style="1"/>
    <col min="128" max="128" width="5.83203125" style="1" bestFit="1" customWidth="1"/>
    <col min="129" max="140" width="12.6640625" style="1" bestFit="1" customWidth="1"/>
    <col min="141" max="141" width="10.83203125" style="1"/>
    <col min="142" max="142" width="5.83203125" style="1" bestFit="1" customWidth="1"/>
    <col min="143" max="154" width="12.6640625" style="1" bestFit="1" customWidth="1"/>
    <col min="155" max="155" width="10.83203125" style="1"/>
    <col min="156" max="156" width="5.83203125" style="1" bestFit="1" customWidth="1"/>
    <col min="157" max="168" width="12.6640625" style="1" bestFit="1" customWidth="1"/>
    <col min="169" max="169" width="10.83203125" style="1"/>
    <col min="170" max="170" width="5.83203125" style="1" bestFit="1" customWidth="1"/>
    <col min="171" max="182" width="12.6640625" style="1" bestFit="1" customWidth="1"/>
    <col min="183" max="183" width="10.83203125" style="1"/>
    <col min="184" max="184" width="5.83203125" style="1" bestFit="1" customWidth="1"/>
    <col min="185" max="196" width="12.6640625" style="1" bestFit="1" customWidth="1"/>
    <col min="197" max="197" width="10.83203125" style="1"/>
    <col min="198" max="198" width="5.83203125" style="1" bestFit="1" customWidth="1"/>
    <col min="199" max="210" width="12.6640625" style="1" bestFit="1" customWidth="1"/>
    <col min="211" max="211" width="10.83203125" style="1"/>
    <col min="212" max="212" width="5.83203125" style="1" bestFit="1" customWidth="1"/>
    <col min="213" max="224" width="12.6640625" style="1" bestFit="1" customWidth="1"/>
    <col min="225" max="225" width="10.83203125" style="1"/>
    <col min="226" max="226" width="5.83203125" style="1" bestFit="1" customWidth="1"/>
    <col min="227" max="238" width="12.6640625" style="1" bestFit="1" customWidth="1"/>
    <col min="239" max="239" width="10.83203125" style="1"/>
    <col min="240" max="240" width="5.83203125" style="3" bestFit="1" customWidth="1"/>
    <col min="241" max="252" width="12.6640625" style="1" bestFit="1" customWidth="1"/>
    <col min="253" max="16384" width="10.83203125" style="1"/>
  </cols>
  <sheetData>
    <row r="1" spans="1:252" ht="22" customHeight="1">
      <c r="B1" s="775" t="s">
        <v>625</v>
      </c>
      <c r="C1" s="775"/>
      <c r="D1" s="775"/>
      <c r="E1" s="775"/>
      <c r="F1" s="775"/>
      <c r="G1" s="775"/>
      <c r="H1" s="775"/>
      <c r="I1" s="775"/>
      <c r="J1" s="775"/>
      <c r="K1" s="775"/>
      <c r="L1" s="775"/>
      <c r="M1" s="775"/>
      <c r="N1" s="775"/>
      <c r="P1" s="775" t="s">
        <v>621</v>
      </c>
      <c r="Q1" s="775"/>
      <c r="R1" s="775"/>
      <c r="S1" s="775"/>
      <c r="T1" s="775"/>
      <c r="U1" s="775"/>
      <c r="V1" s="775"/>
      <c r="W1" s="775"/>
      <c r="X1" s="775"/>
      <c r="Y1" s="775"/>
      <c r="Z1" s="775"/>
      <c r="AA1" s="775"/>
      <c r="AB1" s="775"/>
      <c r="AD1" s="775" t="s">
        <v>585</v>
      </c>
      <c r="AE1" s="775"/>
      <c r="AF1" s="775"/>
      <c r="AG1" s="775"/>
      <c r="AH1" s="775"/>
      <c r="AI1" s="775"/>
      <c r="AJ1" s="775"/>
      <c r="AK1" s="775"/>
      <c r="AL1" s="775"/>
      <c r="AM1" s="775"/>
      <c r="AN1" s="775"/>
      <c r="AO1" s="775"/>
      <c r="AP1" s="775"/>
      <c r="AR1" s="775" t="s">
        <v>525</v>
      </c>
      <c r="AS1" s="775"/>
      <c r="AT1" s="775"/>
      <c r="AU1" s="775"/>
      <c r="AV1" s="775"/>
      <c r="AW1" s="775"/>
      <c r="AX1" s="775"/>
      <c r="AY1" s="775"/>
      <c r="AZ1" s="775"/>
      <c r="BA1" s="775"/>
      <c r="BB1" s="775"/>
      <c r="BC1" s="775"/>
      <c r="BD1" s="775"/>
      <c r="BF1" s="775" t="s">
        <v>466</v>
      </c>
      <c r="BG1" s="775"/>
      <c r="BH1" s="775"/>
      <c r="BI1" s="775"/>
      <c r="BJ1" s="775"/>
      <c r="BK1" s="775"/>
      <c r="BL1" s="775"/>
      <c r="BM1" s="775"/>
      <c r="BN1" s="775"/>
      <c r="BO1" s="775"/>
      <c r="BP1" s="775"/>
      <c r="BQ1" s="775"/>
      <c r="BR1" s="775"/>
      <c r="BT1" s="775" t="s">
        <v>467</v>
      </c>
      <c r="BU1" s="775"/>
      <c r="BV1" s="775"/>
      <c r="BW1" s="775"/>
      <c r="BX1" s="775"/>
      <c r="BY1" s="775"/>
      <c r="BZ1" s="775"/>
      <c r="CA1" s="775"/>
      <c r="CB1" s="775"/>
      <c r="CC1" s="775"/>
      <c r="CD1" s="775"/>
      <c r="CE1" s="775"/>
      <c r="CF1" s="775"/>
      <c r="CH1" s="771" t="s">
        <v>468</v>
      </c>
      <c r="CI1" s="771"/>
      <c r="CJ1" s="771"/>
      <c r="CK1" s="771"/>
      <c r="CL1" s="771"/>
      <c r="CM1" s="771"/>
      <c r="CN1" s="771"/>
      <c r="CO1" s="771"/>
      <c r="CP1" s="771"/>
      <c r="CQ1" s="771"/>
      <c r="CR1" s="771"/>
      <c r="CS1" s="771"/>
      <c r="CT1" s="771"/>
      <c r="CV1" s="775" t="s">
        <v>469</v>
      </c>
      <c r="CW1" s="775"/>
      <c r="CX1" s="775"/>
      <c r="CY1" s="775"/>
      <c r="CZ1" s="775"/>
      <c r="DA1" s="775"/>
      <c r="DB1" s="775"/>
      <c r="DC1" s="775"/>
      <c r="DD1" s="775"/>
      <c r="DE1" s="775"/>
      <c r="DF1" s="775"/>
      <c r="DG1" s="775"/>
      <c r="DH1" s="775"/>
      <c r="DJ1" s="775" t="s">
        <v>470</v>
      </c>
      <c r="DK1" s="775"/>
      <c r="DL1" s="775"/>
      <c r="DM1" s="775"/>
      <c r="DN1" s="775"/>
      <c r="DO1" s="775"/>
      <c r="DP1" s="775"/>
      <c r="DQ1" s="775"/>
      <c r="DR1" s="775"/>
      <c r="DS1" s="775"/>
      <c r="DT1" s="775"/>
      <c r="DU1" s="775"/>
      <c r="DV1" s="775"/>
      <c r="DX1" s="775" t="s">
        <v>471</v>
      </c>
      <c r="DY1" s="775"/>
      <c r="DZ1" s="775"/>
      <c r="EA1" s="775"/>
      <c r="EB1" s="775"/>
      <c r="EC1" s="775"/>
      <c r="ED1" s="775"/>
      <c r="EE1" s="775"/>
      <c r="EF1" s="775"/>
      <c r="EG1" s="775"/>
      <c r="EH1" s="775"/>
      <c r="EI1" s="775"/>
      <c r="EJ1" s="775"/>
      <c r="EL1" s="775" t="s">
        <v>472</v>
      </c>
      <c r="EM1" s="775"/>
      <c r="EN1" s="775"/>
      <c r="EO1" s="775"/>
      <c r="EP1" s="775"/>
      <c r="EQ1" s="775"/>
      <c r="ER1" s="775"/>
      <c r="ES1" s="775"/>
      <c r="ET1" s="775"/>
      <c r="EU1" s="775"/>
      <c r="EV1" s="775"/>
      <c r="EW1" s="775"/>
      <c r="EX1" s="775"/>
      <c r="EZ1" s="775" t="s">
        <v>473</v>
      </c>
      <c r="FA1" s="775"/>
      <c r="FB1" s="775"/>
      <c r="FC1" s="775"/>
      <c r="FD1" s="775"/>
      <c r="FE1" s="775"/>
      <c r="FF1" s="775"/>
      <c r="FG1" s="775"/>
      <c r="FH1" s="775"/>
      <c r="FI1" s="775"/>
      <c r="FJ1" s="775"/>
      <c r="FK1" s="775"/>
      <c r="FL1" s="775"/>
      <c r="FN1" s="775" t="s">
        <v>474</v>
      </c>
      <c r="FO1" s="775"/>
      <c r="FP1" s="775"/>
      <c r="FQ1" s="775"/>
      <c r="FR1" s="775"/>
      <c r="FS1" s="775"/>
      <c r="FT1" s="775"/>
      <c r="FU1" s="775"/>
      <c r="FV1" s="775"/>
      <c r="FW1" s="775"/>
      <c r="FX1" s="775"/>
      <c r="FY1" s="775"/>
      <c r="FZ1" s="775"/>
      <c r="GB1" s="775" t="s">
        <v>475</v>
      </c>
      <c r="GC1" s="775"/>
      <c r="GD1" s="775"/>
      <c r="GE1" s="775"/>
      <c r="GF1" s="775"/>
      <c r="GG1" s="775"/>
      <c r="GH1" s="775"/>
      <c r="GI1" s="775"/>
      <c r="GJ1" s="775"/>
      <c r="GK1" s="775"/>
      <c r="GL1" s="775"/>
      <c r="GM1" s="775"/>
      <c r="GN1" s="775"/>
      <c r="GP1" s="775" t="s">
        <v>476</v>
      </c>
      <c r="GQ1" s="775"/>
      <c r="GR1" s="775"/>
      <c r="GS1" s="775"/>
      <c r="GT1" s="775"/>
      <c r="GU1" s="775"/>
      <c r="GV1" s="775"/>
      <c r="GW1" s="775"/>
      <c r="GX1" s="775"/>
      <c r="GY1" s="775"/>
      <c r="GZ1" s="775"/>
      <c r="HA1" s="775"/>
      <c r="HB1" s="775"/>
      <c r="HD1" s="775" t="s">
        <v>477</v>
      </c>
      <c r="HE1" s="775"/>
      <c r="HF1" s="775"/>
      <c r="HG1" s="775"/>
      <c r="HH1" s="775"/>
      <c r="HI1" s="775"/>
      <c r="HJ1" s="775"/>
      <c r="HK1" s="775"/>
      <c r="HL1" s="775"/>
      <c r="HM1" s="775"/>
      <c r="HN1" s="775"/>
      <c r="HO1" s="775"/>
      <c r="HP1" s="775"/>
      <c r="HR1" s="775" t="s">
        <v>478</v>
      </c>
      <c r="HS1" s="775"/>
      <c r="HT1" s="775"/>
      <c r="HU1" s="775"/>
      <c r="HV1" s="775"/>
      <c r="HW1" s="775"/>
      <c r="HX1" s="775"/>
      <c r="HY1" s="775"/>
      <c r="HZ1" s="775"/>
      <c r="IA1" s="775"/>
      <c r="IB1" s="775"/>
      <c r="IC1" s="775"/>
      <c r="ID1" s="775"/>
      <c r="IF1" s="775" t="s">
        <v>479</v>
      </c>
      <c r="IG1" s="775"/>
      <c r="IH1" s="775"/>
      <c r="II1" s="775"/>
      <c r="IJ1" s="775"/>
      <c r="IK1" s="775"/>
      <c r="IL1" s="775"/>
      <c r="IM1" s="775"/>
      <c r="IN1" s="775"/>
      <c r="IO1" s="775"/>
      <c r="IP1" s="775"/>
      <c r="IQ1" s="775"/>
      <c r="IR1" s="775"/>
    </row>
    <row r="2" spans="1:252" ht="22" customHeight="1">
      <c r="AR2" s="134"/>
      <c r="AS2" s="134"/>
      <c r="AT2" s="134"/>
      <c r="AU2" s="134"/>
      <c r="AV2" s="134"/>
      <c r="AW2" s="134"/>
      <c r="AX2" s="134"/>
      <c r="AY2" s="134"/>
      <c r="AZ2" s="134"/>
      <c r="BA2" s="134"/>
      <c r="BB2" s="134"/>
      <c r="BC2" s="134"/>
      <c r="BD2" s="134"/>
    </row>
    <row r="3" spans="1:252" ht="22" customHeight="1">
      <c r="B3" s="420">
        <v>2022</v>
      </c>
      <c r="C3" s="619"/>
      <c r="D3" s="619"/>
      <c r="E3" s="619"/>
      <c r="F3" s="619"/>
      <c r="G3" s="619"/>
      <c r="H3" s="619"/>
      <c r="I3" s="619"/>
      <c r="J3" s="619"/>
      <c r="K3" s="619"/>
      <c r="L3" s="619"/>
      <c r="M3" s="619"/>
      <c r="N3" s="619"/>
      <c r="P3" s="420">
        <v>2021</v>
      </c>
      <c r="Q3" s="619"/>
      <c r="R3" s="619"/>
      <c r="S3" s="619"/>
      <c r="T3" s="619"/>
      <c r="U3" s="619"/>
      <c r="V3" s="619"/>
      <c r="W3" s="619"/>
      <c r="X3" s="619"/>
      <c r="Y3" s="619"/>
      <c r="Z3" s="619"/>
      <c r="AA3" s="619"/>
      <c r="AB3" s="619"/>
      <c r="AD3" s="420">
        <v>2020</v>
      </c>
      <c r="AE3" s="420"/>
      <c r="AF3" s="420"/>
      <c r="AG3" s="420"/>
      <c r="AH3" s="420"/>
      <c r="AI3" s="420"/>
      <c r="AJ3" s="420"/>
      <c r="AK3" s="420"/>
      <c r="AL3" s="420"/>
      <c r="AM3" s="420"/>
      <c r="AN3" s="420"/>
      <c r="AO3" s="420"/>
      <c r="AP3" s="420"/>
      <c r="AR3" s="420">
        <v>2019</v>
      </c>
      <c r="AS3" s="420"/>
      <c r="AT3" s="420"/>
      <c r="AU3" s="420"/>
      <c r="AV3" s="420"/>
      <c r="AW3" s="420"/>
      <c r="AX3" s="420"/>
      <c r="AY3" s="420"/>
      <c r="AZ3" s="420"/>
      <c r="BA3" s="420"/>
      <c r="BB3" s="420"/>
      <c r="BC3" s="420"/>
      <c r="BD3" s="420"/>
      <c r="BF3" s="420">
        <v>2018</v>
      </c>
      <c r="BG3" s="420"/>
      <c r="BH3" s="420"/>
      <c r="BI3" s="420"/>
      <c r="BJ3" s="420"/>
      <c r="BK3" s="420"/>
      <c r="BL3" s="420"/>
      <c r="BM3" s="420"/>
      <c r="BN3" s="420"/>
      <c r="BO3" s="420"/>
      <c r="BP3" s="420"/>
      <c r="BQ3" s="420"/>
      <c r="BR3" s="420"/>
      <c r="BT3" s="420">
        <v>2017</v>
      </c>
      <c r="BU3" s="420"/>
      <c r="BV3" s="420"/>
      <c r="BW3" s="420"/>
      <c r="BX3" s="420"/>
      <c r="BY3" s="420"/>
      <c r="BZ3" s="420"/>
      <c r="CA3" s="420"/>
      <c r="CB3" s="420"/>
      <c r="CC3" s="420"/>
      <c r="CD3" s="420"/>
      <c r="CE3" s="420"/>
      <c r="CF3" s="420"/>
      <c r="CH3" s="420">
        <v>2016</v>
      </c>
      <c r="CI3" s="420"/>
      <c r="CJ3" s="420"/>
      <c r="CK3" s="420"/>
      <c r="CL3" s="420"/>
      <c r="CM3" s="420"/>
      <c r="CN3" s="420"/>
      <c r="CO3" s="420"/>
      <c r="CP3" s="420"/>
      <c r="CQ3" s="420"/>
      <c r="CR3" s="420"/>
      <c r="CS3" s="420"/>
      <c r="CT3" s="420"/>
      <c r="CV3" s="420">
        <v>2015</v>
      </c>
      <c r="CW3" s="420"/>
      <c r="CX3" s="420"/>
      <c r="CY3" s="420"/>
      <c r="CZ3" s="420"/>
      <c r="DA3" s="420"/>
      <c r="DB3" s="420"/>
      <c r="DC3" s="420"/>
      <c r="DD3" s="420"/>
      <c r="DE3" s="420"/>
      <c r="DF3" s="420"/>
      <c r="DG3" s="420"/>
      <c r="DH3" s="420"/>
      <c r="DJ3" s="420">
        <v>2014</v>
      </c>
      <c r="DK3" s="420"/>
      <c r="DL3" s="420"/>
      <c r="DM3" s="420"/>
      <c r="DN3" s="420"/>
      <c r="DO3" s="420"/>
      <c r="DP3" s="420"/>
      <c r="DQ3" s="420"/>
      <c r="DR3" s="420"/>
      <c r="DS3" s="420"/>
      <c r="DT3" s="420"/>
      <c r="DU3" s="420"/>
      <c r="DV3" s="420"/>
      <c r="DX3" s="420">
        <v>2013</v>
      </c>
      <c r="DY3" s="420"/>
      <c r="DZ3" s="420"/>
      <c r="EA3" s="420"/>
      <c r="EB3" s="420"/>
      <c r="EC3" s="420"/>
      <c r="ED3" s="420"/>
      <c r="EE3" s="420"/>
      <c r="EF3" s="420"/>
      <c r="EG3" s="420"/>
      <c r="EH3" s="420"/>
      <c r="EI3" s="420"/>
      <c r="EJ3" s="420"/>
      <c r="EL3" s="420">
        <v>2012</v>
      </c>
      <c r="EM3" s="420"/>
      <c r="EN3" s="420"/>
      <c r="EO3" s="420"/>
      <c r="EP3" s="420"/>
      <c r="EQ3" s="420"/>
      <c r="ER3" s="420"/>
      <c r="ES3" s="420"/>
      <c r="ET3" s="420"/>
      <c r="EU3" s="420"/>
      <c r="EV3" s="420"/>
      <c r="EW3" s="420"/>
      <c r="EX3" s="420"/>
      <c r="EZ3" s="420">
        <v>2011</v>
      </c>
      <c r="FA3" s="420"/>
      <c r="FB3" s="420"/>
      <c r="FC3" s="420"/>
      <c r="FD3" s="420"/>
      <c r="FE3" s="420"/>
      <c r="FF3" s="420"/>
      <c r="FG3" s="420"/>
      <c r="FH3" s="420"/>
      <c r="FI3" s="420"/>
      <c r="FJ3" s="420"/>
      <c r="FK3" s="420"/>
      <c r="FL3" s="420"/>
      <c r="FN3" s="420">
        <v>2010</v>
      </c>
      <c r="FO3" s="420"/>
      <c r="FP3" s="420"/>
      <c r="FQ3" s="420"/>
      <c r="FR3" s="420"/>
      <c r="FS3" s="420"/>
      <c r="FT3" s="420"/>
      <c r="FU3" s="420"/>
      <c r="FV3" s="420"/>
      <c r="FW3" s="420"/>
      <c r="FX3" s="420"/>
      <c r="FY3" s="420"/>
      <c r="FZ3" s="420"/>
      <c r="GB3" s="420">
        <v>2009</v>
      </c>
      <c r="GC3" s="420"/>
      <c r="GD3" s="420"/>
      <c r="GE3" s="420"/>
      <c r="GF3" s="420"/>
      <c r="GG3" s="420"/>
      <c r="GH3" s="420"/>
      <c r="GI3" s="420"/>
      <c r="GJ3" s="420"/>
      <c r="GK3" s="420"/>
      <c r="GL3" s="420"/>
      <c r="GM3" s="420"/>
      <c r="GN3" s="420"/>
      <c r="GP3" s="420">
        <v>2008</v>
      </c>
      <c r="GQ3" s="420"/>
      <c r="GR3" s="420"/>
      <c r="GS3" s="420"/>
      <c r="GT3" s="420"/>
      <c r="GU3" s="420"/>
      <c r="GV3" s="420"/>
      <c r="GW3" s="420"/>
      <c r="GX3" s="420"/>
      <c r="GY3" s="420"/>
      <c r="GZ3" s="420"/>
      <c r="HA3" s="420"/>
      <c r="HB3" s="420"/>
      <c r="HD3" s="420">
        <v>2007</v>
      </c>
      <c r="HE3" s="420"/>
      <c r="HF3" s="420"/>
      <c r="HG3" s="420"/>
      <c r="HH3" s="420"/>
      <c r="HI3" s="420"/>
      <c r="HJ3" s="420"/>
      <c r="HK3" s="420"/>
      <c r="HL3" s="420"/>
      <c r="HM3" s="420"/>
      <c r="HN3" s="420"/>
      <c r="HO3" s="420"/>
      <c r="HP3" s="420"/>
      <c r="HR3" s="420">
        <v>2006</v>
      </c>
      <c r="HS3" s="420"/>
      <c r="HT3" s="420"/>
      <c r="HU3" s="420"/>
      <c r="HV3" s="420"/>
      <c r="HW3" s="420"/>
      <c r="HX3" s="420"/>
      <c r="HY3" s="420"/>
      <c r="HZ3" s="420"/>
      <c r="IA3" s="420"/>
      <c r="IB3" s="420"/>
      <c r="IC3" s="420"/>
      <c r="ID3" s="420"/>
      <c r="IF3" s="420">
        <v>2005</v>
      </c>
      <c r="IG3" s="420"/>
      <c r="IH3" s="420"/>
      <c r="II3" s="420"/>
      <c r="IJ3" s="420"/>
      <c r="IK3" s="420"/>
      <c r="IL3" s="420"/>
      <c r="IM3" s="420"/>
      <c r="IN3" s="420"/>
      <c r="IO3" s="420"/>
      <c r="IP3" s="420"/>
      <c r="IQ3" s="420"/>
      <c r="IR3" s="420"/>
    </row>
    <row r="4" spans="1:252" s="41" customFormat="1" ht="23" customHeight="1">
      <c r="A4" s="339" t="s">
        <v>60</v>
      </c>
      <c r="B4" s="421"/>
      <c r="C4" s="480" t="s">
        <v>115</v>
      </c>
      <c r="D4" s="480" t="s">
        <v>67</v>
      </c>
      <c r="E4" s="480" t="s">
        <v>116</v>
      </c>
      <c r="F4" s="480" t="s">
        <v>71</v>
      </c>
      <c r="G4" s="480" t="s">
        <v>117</v>
      </c>
      <c r="H4" s="480" t="s">
        <v>73</v>
      </c>
      <c r="I4" s="480" t="s">
        <v>74</v>
      </c>
      <c r="J4" s="480" t="s">
        <v>75</v>
      </c>
      <c r="K4" s="480" t="s">
        <v>76</v>
      </c>
      <c r="L4" s="480" t="s">
        <v>77</v>
      </c>
      <c r="M4" s="480" t="s">
        <v>78</v>
      </c>
      <c r="N4" s="480" t="s">
        <v>79</v>
      </c>
      <c r="O4" s="339"/>
      <c r="P4" s="421"/>
      <c r="Q4" s="480" t="s">
        <v>115</v>
      </c>
      <c r="R4" s="480" t="s">
        <v>67</v>
      </c>
      <c r="S4" s="480" t="s">
        <v>116</v>
      </c>
      <c r="T4" s="480" t="s">
        <v>71</v>
      </c>
      <c r="U4" s="480" t="s">
        <v>117</v>
      </c>
      <c r="V4" s="480" t="s">
        <v>73</v>
      </c>
      <c r="W4" s="480" t="s">
        <v>74</v>
      </c>
      <c r="X4" s="480" t="s">
        <v>75</v>
      </c>
      <c r="Y4" s="480" t="s">
        <v>76</v>
      </c>
      <c r="Z4" s="480" t="s">
        <v>77</v>
      </c>
      <c r="AA4" s="480" t="s">
        <v>78</v>
      </c>
      <c r="AB4" s="480" t="s">
        <v>79</v>
      </c>
      <c r="AC4" s="339"/>
      <c r="AD4" s="421"/>
      <c r="AE4" s="336" t="s">
        <v>115</v>
      </c>
      <c r="AF4" s="336" t="s">
        <v>67</v>
      </c>
      <c r="AG4" s="336" t="s">
        <v>116</v>
      </c>
      <c r="AH4" s="336" t="s">
        <v>71</v>
      </c>
      <c r="AI4" s="336" t="s">
        <v>117</v>
      </c>
      <c r="AJ4" s="336" t="s">
        <v>73</v>
      </c>
      <c r="AK4" s="336" t="s">
        <v>74</v>
      </c>
      <c r="AL4" s="336" t="s">
        <v>75</v>
      </c>
      <c r="AM4" s="336" t="s">
        <v>76</v>
      </c>
      <c r="AN4" s="336" t="s">
        <v>77</v>
      </c>
      <c r="AO4" s="336" t="s">
        <v>78</v>
      </c>
      <c r="AP4" s="336" t="s">
        <v>79</v>
      </c>
      <c r="AQ4" s="339"/>
      <c r="AR4" s="481"/>
      <c r="AS4" s="480" t="s">
        <v>115</v>
      </c>
      <c r="AT4" s="480" t="s">
        <v>67</v>
      </c>
      <c r="AU4" s="480" t="s">
        <v>116</v>
      </c>
      <c r="AV4" s="480" t="s">
        <v>71</v>
      </c>
      <c r="AW4" s="480" t="s">
        <v>117</v>
      </c>
      <c r="AX4" s="480" t="s">
        <v>73</v>
      </c>
      <c r="AY4" s="480" t="s">
        <v>74</v>
      </c>
      <c r="AZ4" s="480" t="s">
        <v>75</v>
      </c>
      <c r="BA4" s="480" t="s">
        <v>76</v>
      </c>
      <c r="BB4" s="480" t="s">
        <v>77</v>
      </c>
      <c r="BC4" s="480" t="s">
        <v>78</v>
      </c>
      <c r="BD4" s="480" t="s">
        <v>79</v>
      </c>
      <c r="BE4" s="339"/>
      <c r="BF4" s="421"/>
      <c r="BG4" s="336" t="s">
        <v>115</v>
      </c>
      <c r="BH4" s="336" t="s">
        <v>67</v>
      </c>
      <c r="BI4" s="336" t="s">
        <v>116</v>
      </c>
      <c r="BJ4" s="336" t="s">
        <v>71</v>
      </c>
      <c r="BK4" s="336" t="s">
        <v>117</v>
      </c>
      <c r="BL4" s="336" t="s">
        <v>73</v>
      </c>
      <c r="BM4" s="336" t="s">
        <v>74</v>
      </c>
      <c r="BN4" s="336" t="s">
        <v>75</v>
      </c>
      <c r="BO4" s="336" t="s">
        <v>76</v>
      </c>
      <c r="BP4" s="336" t="s">
        <v>77</v>
      </c>
      <c r="BQ4" s="336" t="s">
        <v>78</v>
      </c>
      <c r="BR4" s="336" t="s">
        <v>79</v>
      </c>
      <c r="BT4" s="421"/>
      <c r="BU4" s="336" t="s">
        <v>115</v>
      </c>
      <c r="BV4" s="336" t="s">
        <v>67</v>
      </c>
      <c r="BW4" s="336" t="s">
        <v>116</v>
      </c>
      <c r="BX4" s="336" t="s">
        <v>71</v>
      </c>
      <c r="BY4" s="336" t="s">
        <v>117</v>
      </c>
      <c r="BZ4" s="336" t="s">
        <v>73</v>
      </c>
      <c r="CA4" s="336" t="s">
        <v>74</v>
      </c>
      <c r="CB4" s="336" t="s">
        <v>75</v>
      </c>
      <c r="CC4" s="336" t="s">
        <v>76</v>
      </c>
      <c r="CD4" s="336" t="s">
        <v>77</v>
      </c>
      <c r="CE4" s="336" t="s">
        <v>78</v>
      </c>
      <c r="CF4" s="336" t="s">
        <v>79</v>
      </c>
      <c r="CH4" s="421"/>
      <c r="CI4" s="336" t="s">
        <v>115</v>
      </c>
      <c r="CJ4" s="336" t="s">
        <v>67</v>
      </c>
      <c r="CK4" s="336" t="s">
        <v>116</v>
      </c>
      <c r="CL4" s="336" t="s">
        <v>71</v>
      </c>
      <c r="CM4" s="336" t="s">
        <v>117</v>
      </c>
      <c r="CN4" s="336" t="s">
        <v>73</v>
      </c>
      <c r="CO4" s="336" t="s">
        <v>74</v>
      </c>
      <c r="CP4" s="336" t="s">
        <v>75</v>
      </c>
      <c r="CQ4" s="336" t="s">
        <v>76</v>
      </c>
      <c r="CR4" s="336" t="s">
        <v>77</v>
      </c>
      <c r="CS4" s="336" t="s">
        <v>78</v>
      </c>
      <c r="CT4" s="336" t="s">
        <v>79</v>
      </c>
      <c r="CV4" s="421"/>
      <c r="CW4" s="336" t="s">
        <v>115</v>
      </c>
      <c r="CX4" s="336" t="s">
        <v>67</v>
      </c>
      <c r="CY4" s="336" t="s">
        <v>116</v>
      </c>
      <c r="CZ4" s="336" t="s">
        <v>71</v>
      </c>
      <c r="DA4" s="336" t="s">
        <v>117</v>
      </c>
      <c r="DB4" s="336" t="s">
        <v>73</v>
      </c>
      <c r="DC4" s="336" t="s">
        <v>74</v>
      </c>
      <c r="DD4" s="336" t="s">
        <v>75</v>
      </c>
      <c r="DE4" s="336" t="s">
        <v>76</v>
      </c>
      <c r="DF4" s="336" t="s">
        <v>77</v>
      </c>
      <c r="DG4" s="336" t="s">
        <v>78</v>
      </c>
      <c r="DH4" s="336" t="s">
        <v>79</v>
      </c>
      <c r="DJ4" s="421"/>
      <c r="DK4" s="336" t="s">
        <v>115</v>
      </c>
      <c r="DL4" s="336" t="s">
        <v>67</v>
      </c>
      <c r="DM4" s="336" t="s">
        <v>116</v>
      </c>
      <c r="DN4" s="336" t="s">
        <v>71</v>
      </c>
      <c r="DO4" s="336" t="s">
        <v>117</v>
      </c>
      <c r="DP4" s="336" t="s">
        <v>73</v>
      </c>
      <c r="DQ4" s="336" t="s">
        <v>74</v>
      </c>
      <c r="DR4" s="336" t="s">
        <v>75</v>
      </c>
      <c r="DS4" s="336" t="s">
        <v>76</v>
      </c>
      <c r="DT4" s="336" t="s">
        <v>77</v>
      </c>
      <c r="DU4" s="336" t="s">
        <v>78</v>
      </c>
      <c r="DV4" s="336" t="s">
        <v>79</v>
      </c>
      <c r="DX4" s="421"/>
      <c r="DY4" s="336" t="s">
        <v>115</v>
      </c>
      <c r="DZ4" s="336" t="s">
        <v>67</v>
      </c>
      <c r="EA4" s="336" t="s">
        <v>116</v>
      </c>
      <c r="EB4" s="336" t="s">
        <v>71</v>
      </c>
      <c r="EC4" s="336" t="s">
        <v>117</v>
      </c>
      <c r="ED4" s="336" t="s">
        <v>73</v>
      </c>
      <c r="EE4" s="336" t="s">
        <v>74</v>
      </c>
      <c r="EF4" s="336" t="s">
        <v>75</v>
      </c>
      <c r="EG4" s="336" t="s">
        <v>76</v>
      </c>
      <c r="EH4" s="336" t="s">
        <v>77</v>
      </c>
      <c r="EI4" s="336" t="s">
        <v>78</v>
      </c>
      <c r="EJ4" s="336" t="s">
        <v>79</v>
      </c>
      <c r="EL4" s="421"/>
      <c r="EM4" s="336" t="s">
        <v>115</v>
      </c>
      <c r="EN4" s="336" t="s">
        <v>67</v>
      </c>
      <c r="EO4" s="336" t="s">
        <v>116</v>
      </c>
      <c r="EP4" s="336" t="s">
        <v>71</v>
      </c>
      <c r="EQ4" s="336" t="s">
        <v>117</v>
      </c>
      <c r="ER4" s="336" t="s">
        <v>73</v>
      </c>
      <c r="ES4" s="336" t="s">
        <v>74</v>
      </c>
      <c r="ET4" s="336" t="s">
        <v>75</v>
      </c>
      <c r="EU4" s="336" t="s">
        <v>76</v>
      </c>
      <c r="EV4" s="336" t="s">
        <v>77</v>
      </c>
      <c r="EW4" s="336" t="s">
        <v>78</v>
      </c>
      <c r="EX4" s="336" t="s">
        <v>79</v>
      </c>
      <c r="EZ4" s="421"/>
      <c r="FA4" s="336" t="s">
        <v>115</v>
      </c>
      <c r="FB4" s="336" t="s">
        <v>67</v>
      </c>
      <c r="FC4" s="336" t="s">
        <v>116</v>
      </c>
      <c r="FD4" s="336" t="s">
        <v>71</v>
      </c>
      <c r="FE4" s="336" t="s">
        <v>117</v>
      </c>
      <c r="FF4" s="336" t="s">
        <v>73</v>
      </c>
      <c r="FG4" s="336" t="s">
        <v>74</v>
      </c>
      <c r="FH4" s="336" t="s">
        <v>75</v>
      </c>
      <c r="FI4" s="336" t="s">
        <v>76</v>
      </c>
      <c r="FJ4" s="336" t="s">
        <v>77</v>
      </c>
      <c r="FK4" s="336" t="s">
        <v>78</v>
      </c>
      <c r="FL4" s="336" t="s">
        <v>79</v>
      </c>
      <c r="FN4" s="421"/>
      <c r="FO4" s="336" t="s">
        <v>115</v>
      </c>
      <c r="FP4" s="336" t="s">
        <v>67</v>
      </c>
      <c r="FQ4" s="336" t="s">
        <v>116</v>
      </c>
      <c r="FR4" s="336" t="s">
        <v>71</v>
      </c>
      <c r="FS4" s="336" t="s">
        <v>117</v>
      </c>
      <c r="FT4" s="336" t="s">
        <v>73</v>
      </c>
      <c r="FU4" s="336" t="s">
        <v>74</v>
      </c>
      <c r="FV4" s="336" t="s">
        <v>75</v>
      </c>
      <c r="FW4" s="336" t="s">
        <v>76</v>
      </c>
      <c r="FX4" s="336" t="s">
        <v>77</v>
      </c>
      <c r="FY4" s="336" t="s">
        <v>78</v>
      </c>
      <c r="FZ4" s="336" t="s">
        <v>79</v>
      </c>
      <c r="GB4" s="421"/>
      <c r="GC4" s="336" t="s">
        <v>115</v>
      </c>
      <c r="GD4" s="336" t="s">
        <v>67</v>
      </c>
      <c r="GE4" s="336" t="s">
        <v>116</v>
      </c>
      <c r="GF4" s="336" t="s">
        <v>71</v>
      </c>
      <c r="GG4" s="336" t="s">
        <v>117</v>
      </c>
      <c r="GH4" s="336" t="s">
        <v>73</v>
      </c>
      <c r="GI4" s="336" t="s">
        <v>74</v>
      </c>
      <c r="GJ4" s="336" t="s">
        <v>75</v>
      </c>
      <c r="GK4" s="336" t="s">
        <v>76</v>
      </c>
      <c r="GL4" s="336" t="s">
        <v>77</v>
      </c>
      <c r="GM4" s="336" t="s">
        <v>78</v>
      </c>
      <c r="GN4" s="336" t="s">
        <v>79</v>
      </c>
      <c r="GP4" s="421"/>
      <c r="GQ4" s="336" t="s">
        <v>115</v>
      </c>
      <c r="GR4" s="336" t="s">
        <v>67</v>
      </c>
      <c r="GS4" s="336" t="s">
        <v>116</v>
      </c>
      <c r="GT4" s="336" t="s">
        <v>71</v>
      </c>
      <c r="GU4" s="336" t="s">
        <v>117</v>
      </c>
      <c r="GV4" s="336" t="s">
        <v>73</v>
      </c>
      <c r="GW4" s="336" t="s">
        <v>74</v>
      </c>
      <c r="GX4" s="336" t="s">
        <v>75</v>
      </c>
      <c r="GY4" s="336" t="s">
        <v>76</v>
      </c>
      <c r="GZ4" s="336" t="s">
        <v>77</v>
      </c>
      <c r="HA4" s="336" t="s">
        <v>78</v>
      </c>
      <c r="HB4" s="336" t="s">
        <v>79</v>
      </c>
      <c r="HD4" s="421"/>
      <c r="HE4" s="336" t="s">
        <v>115</v>
      </c>
      <c r="HF4" s="336" t="s">
        <v>67</v>
      </c>
      <c r="HG4" s="336" t="s">
        <v>116</v>
      </c>
      <c r="HH4" s="336" t="s">
        <v>71</v>
      </c>
      <c r="HI4" s="336" t="s">
        <v>117</v>
      </c>
      <c r="HJ4" s="336" t="s">
        <v>73</v>
      </c>
      <c r="HK4" s="336" t="s">
        <v>74</v>
      </c>
      <c r="HL4" s="336" t="s">
        <v>75</v>
      </c>
      <c r="HM4" s="336" t="s">
        <v>76</v>
      </c>
      <c r="HN4" s="336" t="s">
        <v>77</v>
      </c>
      <c r="HO4" s="336" t="s">
        <v>78</v>
      </c>
      <c r="HP4" s="336" t="s">
        <v>79</v>
      </c>
      <c r="HR4" s="421"/>
      <c r="HS4" s="336" t="s">
        <v>115</v>
      </c>
      <c r="HT4" s="336" t="s">
        <v>67</v>
      </c>
      <c r="HU4" s="336" t="s">
        <v>116</v>
      </c>
      <c r="HV4" s="336" t="s">
        <v>71</v>
      </c>
      <c r="HW4" s="336" t="s">
        <v>117</v>
      </c>
      <c r="HX4" s="336" t="s">
        <v>73</v>
      </c>
      <c r="HY4" s="336" t="s">
        <v>74</v>
      </c>
      <c r="HZ4" s="336" t="s">
        <v>75</v>
      </c>
      <c r="IA4" s="336" t="s">
        <v>76</v>
      </c>
      <c r="IB4" s="336" t="s">
        <v>77</v>
      </c>
      <c r="IC4" s="336" t="s">
        <v>78</v>
      </c>
      <c r="ID4" s="336" t="s">
        <v>79</v>
      </c>
      <c r="IF4" s="421"/>
      <c r="IG4" s="336" t="s">
        <v>115</v>
      </c>
      <c r="IH4" s="336" t="s">
        <v>67</v>
      </c>
      <c r="II4" s="336" t="s">
        <v>116</v>
      </c>
      <c r="IJ4" s="336" t="s">
        <v>71</v>
      </c>
      <c r="IK4" s="336" t="s">
        <v>117</v>
      </c>
      <c r="IL4" s="336" t="s">
        <v>73</v>
      </c>
      <c r="IM4" s="336" t="s">
        <v>74</v>
      </c>
      <c r="IN4" s="336" t="s">
        <v>75</v>
      </c>
      <c r="IO4" s="336" t="s">
        <v>76</v>
      </c>
      <c r="IP4" s="336" t="s">
        <v>77</v>
      </c>
      <c r="IQ4" s="336" t="s">
        <v>78</v>
      </c>
      <c r="IR4" s="336" t="s">
        <v>79</v>
      </c>
    </row>
    <row r="5" spans="1:252" ht="22" customHeight="1" thickBot="1">
      <c r="A5" s="1" t="s">
        <v>118</v>
      </c>
      <c r="B5" s="422" t="s">
        <v>118</v>
      </c>
      <c r="C5" s="423">
        <v>0.70479999999999998</v>
      </c>
      <c r="D5" s="423">
        <v>0.72555000000000003</v>
      </c>
      <c r="E5" s="423">
        <v>0.75075000000000003</v>
      </c>
      <c r="F5" s="423">
        <v>0.71084999999999998</v>
      </c>
      <c r="G5" s="423">
        <v>0.71714999999999995</v>
      </c>
      <c r="H5" s="423">
        <v>0.68794999999999995</v>
      </c>
      <c r="I5" s="423">
        <v>0.69725000000000004</v>
      </c>
      <c r="J5" s="423">
        <v>0.68559999999999999</v>
      </c>
      <c r="K5" s="423">
        <v>0.64319999999999999</v>
      </c>
      <c r="L5" s="423">
        <v>0.63775000000000004</v>
      </c>
      <c r="M5" s="423">
        <v>0.66964999999999997</v>
      </c>
      <c r="N5" s="423">
        <v>0.67795000000000005</v>
      </c>
      <c r="P5" s="422" t="s">
        <v>118</v>
      </c>
      <c r="Q5" s="423">
        <v>0.76734999999999998</v>
      </c>
      <c r="R5" s="423">
        <v>0.77449999999999997</v>
      </c>
      <c r="S5" s="423">
        <v>0.76175000000000004</v>
      </c>
      <c r="T5" s="423">
        <v>0.77270000000000005</v>
      </c>
      <c r="U5" s="423">
        <v>0.77395000000000003</v>
      </c>
      <c r="V5" s="423">
        <v>0.75065000000000004</v>
      </c>
      <c r="W5" s="423">
        <v>0.7349</v>
      </c>
      <c r="X5" s="423">
        <v>0.73085</v>
      </c>
      <c r="Y5" s="423">
        <v>0.72235000000000005</v>
      </c>
      <c r="Z5" s="423">
        <v>0.75109999999999999</v>
      </c>
      <c r="AA5" s="423">
        <v>0.70945000000000003</v>
      </c>
      <c r="AB5" s="423">
        <v>0.72704999999999997</v>
      </c>
      <c r="AD5" s="422" t="s">
        <v>118</v>
      </c>
      <c r="AE5" s="423">
        <v>0.66925000000000001</v>
      </c>
      <c r="AF5" s="423">
        <v>0.64524999999999999</v>
      </c>
      <c r="AG5" s="423">
        <v>0.61150000000000004</v>
      </c>
      <c r="AH5" s="423">
        <v>0.65449999999999997</v>
      </c>
      <c r="AI5" s="423">
        <v>0.66374999999999995</v>
      </c>
      <c r="AJ5" s="423">
        <v>0.68864999999999998</v>
      </c>
      <c r="AK5" s="423">
        <v>0.71704999999999997</v>
      </c>
      <c r="AL5" s="423">
        <v>0.73965000000000003</v>
      </c>
      <c r="AM5" s="423">
        <v>0.71675</v>
      </c>
      <c r="AN5" s="423">
        <v>0.70325000000000004</v>
      </c>
      <c r="AO5" s="423">
        <v>0.73655000000000004</v>
      </c>
      <c r="AP5" s="423">
        <v>0.77164999999999995</v>
      </c>
      <c r="AR5" s="425" t="s">
        <v>118</v>
      </c>
      <c r="AS5" s="423">
        <v>0.72914999999999996</v>
      </c>
      <c r="AT5" s="423">
        <v>0.71150000000000002</v>
      </c>
      <c r="AU5" s="423">
        <v>0.70874999999999999</v>
      </c>
      <c r="AV5" s="423">
        <v>0.70384999999999998</v>
      </c>
      <c r="AW5" s="423">
        <v>0.69274999999999998</v>
      </c>
      <c r="AX5" s="423">
        <v>0.70169999999999999</v>
      </c>
      <c r="AY5" s="423">
        <v>0.68915000000000004</v>
      </c>
      <c r="AZ5" s="423">
        <v>0.67369999999999997</v>
      </c>
      <c r="BA5" s="423">
        <v>0.67449999999999999</v>
      </c>
      <c r="BB5" s="423">
        <v>0.68935000000000002</v>
      </c>
      <c r="BC5" s="423">
        <v>0.67635000000000001</v>
      </c>
      <c r="BD5" s="423">
        <v>0.70274999999999999</v>
      </c>
      <c r="BF5" s="422" t="s">
        <v>118</v>
      </c>
      <c r="BG5" s="423">
        <v>0.81010000000000004</v>
      </c>
      <c r="BH5" s="423">
        <v>0.77925</v>
      </c>
      <c r="BI5" s="423">
        <v>0.76675000000000004</v>
      </c>
      <c r="BJ5" s="423">
        <v>0.75460000000000005</v>
      </c>
      <c r="BK5" s="423">
        <v>0.75685000000000002</v>
      </c>
      <c r="BL5" s="423">
        <v>0.73880000000000001</v>
      </c>
      <c r="BM5" s="423">
        <v>0.74314999999999998</v>
      </c>
      <c r="BN5" s="423">
        <v>0.72314999999999996</v>
      </c>
      <c r="BO5" s="423">
        <v>0.72335000000000005</v>
      </c>
      <c r="BP5" s="423">
        <v>0.70855000000000001</v>
      </c>
      <c r="BQ5" s="423">
        <v>0.73014999999999997</v>
      </c>
      <c r="BR5" s="423">
        <v>0.70425000000000004</v>
      </c>
      <c r="BT5" s="422" t="s">
        <v>118</v>
      </c>
      <c r="BU5" s="423">
        <v>0.75929999999999997</v>
      </c>
      <c r="BV5" s="423">
        <v>0.76880000000000004</v>
      </c>
      <c r="BW5" s="423">
        <v>0.76280000000000003</v>
      </c>
      <c r="BX5" s="423">
        <v>0.74724999999999997</v>
      </c>
      <c r="BY5" s="423">
        <v>0.74419999999999997</v>
      </c>
      <c r="BZ5" s="423">
        <v>0.76700000000000002</v>
      </c>
      <c r="CA5" s="423">
        <v>0.79820000000000002</v>
      </c>
      <c r="CB5" s="423">
        <v>0.79290000000000005</v>
      </c>
      <c r="CC5" s="423">
        <v>0.78439999999999999</v>
      </c>
      <c r="CD5" s="423">
        <v>0.76470000000000005</v>
      </c>
      <c r="CE5" s="423">
        <v>0.75919999999999999</v>
      </c>
      <c r="CF5" s="423">
        <v>0.78210000000000002</v>
      </c>
      <c r="CH5" s="422" t="s">
        <v>118</v>
      </c>
      <c r="CI5" s="423">
        <v>0.70750000000000002</v>
      </c>
      <c r="CJ5" s="423">
        <v>0.71419999999999995</v>
      </c>
      <c r="CK5" s="423">
        <v>0.76900000000000002</v>
      </c>
      <c r="CL5" s="423">
        <v>0.76280000000000003</v>
      </c>
      <c r="CM5" s="423">
        <v>0.72460000000000002</v>
      </c>
      <c r="CN5" s="423">
        <v>0.74450000000000005</v>
      </c>
      <c r="CO5" s="423">
        <v>0.75960000000000005</v>
      </c>
      <c r="CP5" s="423">
        <v>0.75129999999999997</v>
      </c>
      <c r="CQ5" s="423">
        <v>0.76519999999999999</v>
      </c>
      <c r="CR5" s="423">
        <v>0.75939999999999996</v>
      </c>
      <c r="CS5" s="423">
        <v>0.73909999999999998</v>
      </c>
      <c r="CT5" s="423">
        <v>0.72399999999999998</v>
      </c>
      <c r="CV5" s="422" t="s">
        <v>118</v>
      </c>
      <c r="CW5" s="423">
        <v>0.77900000000000003</v>
      </c>
      <c r="CX5" s="423">
        <v>0.78290000000000004</v>
      </c>
      <c r="CY5" s="423">
        <v>0.76419999999999999</v>
      </c>
      <c r="CZ5" s="423">
        <v>0.78869999999999996</v>
      </c>
      <c r="DA5" s="423">
        <v>0.76570000000000005</v>
      </c>
      <c r="DB5" s="423">
        <v>0.76849999999999996</v>
      </c>
      <c r="DC5" s="423">
        <v>0.73460000000000003</v>
      </c>
      <c r="DD5" s="423">
        <v>0.70889999999999997</v>
      </c>
      <c r="DE5" s="423">
        <v>0.70230000000000004</v>
      </c>
      <c r="DF5" s="423">
        <v>0.7107</v>
      </c>
      <c r="DG5" s="423">
        <v>0.72440000000000004</v>
      </c>
      <c r="DH5" s="423">
        <v>0.72860000000000003</v>
      </c>
      <c r="DI5" s="424"/>
      <c r="DJ5" s="422" t="s">
        <v>118</v>
      </c>
      <c r="DK5" s="423">
        <v>0.87250000000000005</v>
      </c>
      <c r="DL5" s="423">
        <v>0.89480000000000004</v>
      </c>
      <c r="DM5" s="423">
        <v>0.92679999999999996</v>
      </c>
      <c r="DN5" s="423">
        <v>0.92649999999999999</v>
      </c>
      <c r="DO5" s="423">
        <v>0.93079999999999996</v>
      </c>
      <c r="DP5" s="423">
        <v>0.94379999999999997</v>
      </c>
      <c r="DQ5" s="423">
        <v>0.92969999999999997</v>
      </c>
      <c r="DR5" s="423">
        <v>0.93530000000000002</v>
      </c>
      <c r="DS5" s="423">
        <v>0.875</v>
      </c>
      <c r="DT5" s="423">
        <v>0.87739999999999996</v>
      </c>
      <c r="DU5" s="423">
        <v>0.85370000000000001</v>
      </c>
      <c r="DV5" s="423">
        <v>0.81830000000000003</v>
      </c>
      <c r="DW5" s="424"/>
      <c r="DX5" s="422" t="s">
        <v>118</v>
      </c>
      <c r="DY5" s="423">
        <v>1.0429999999999999</v>
      </c>
      <c r="DZ5" s="423">
        <v>1.0238</v>
      </c>
      <c r="EA5" s="423">
        <v>1.0428999999999999</v>
      </c>
      <c r="EB5" s="423">
        <v>1.0384</v>
      </c>
      <c r="EC5" s="423">
        <v>0.95899999999999996</v>
      </c>
      <c r="ED5" s="423">
        <v>0.91520000000000001</v>
      </c>
      <c r="EE5" s="423">
        <v>0.89739999999999998</v>
      </c>
      <c r="EF5" s="423">
        <v>0.89070000000000005</v>
      </c>
      <c r="EG5" s="423">
        <v>0.93510000000000004</v>
      </c>
      <c r="EH5" s="423">
        <v>0.9486</v>
      </c>
      <c r="EI5" s="423">
        <v>0.91379999999999995</v>
      </c>
      <c r="EJ5" s="423">
        <v>0.89459999999999995</v>
      </c>
      <c r="EK5" s="424"/>
      <c r="EL5" s="422" t="s">
        <v>118</v>
      </c>
      <c r="EM5" s="423">
        <v>1.0648</v>
      </c>
      <c r="EN5" s="423">
        <v>1.0843</v>
      </c>
      <c r="EO5" s="423">
        <v>1.0364</v>
      </c>
      <c r="EP5" s="423">
        <v>1.0415000000000001</v>
      </c>
      <c r="EQ5" s="423">
        <v>0.9718</v>
      </c>
      <c r="ER5" s="423">
        <v>1.0235000000000001</v>
      </c>
      <c r="ES5" s="423">
        <v>1.0508</v>
      </c>
      <c r="ET5" s="423">
        <v>1.0319</v>
      </c>
      <c r="EU5" s="423">
        <v>1.0385</v>
      </c>
      <c r="EV5" s="423">
        <v>1.0370999999999999</v>
      </c>
      <c r="EW5" s="423">
        <v>1.0417000000000001</v>
      </c>
      <c r="EX5" s="423">
        <v>1.038</v>
      </c>
      <c r="EY5" s="424"/>
      <c r="EZ5" s="422" t="s">
        <v>118</v>
      </c>
      <c r="FA5" s="423">
        <v>0.99690000000000001</v>
      </c>
      <c r="FB5" s="423">
        <v>1.018</v>
      </c>
      <c r="FC5" s="423">
        <v>1.0336000000000001</v>
      </c>
      <c r="FD5" s="423">
        <v>1.0931</v>
      </c>
      <c r="FE5" s="423">
        <v>1.0665</v>
      </c>
      <c r="FF5" s="423">
        <v>1.0730999999999999</v>
      </c>
      <c r="FG5" s="423">
        <v>1.0963000000000001</v>
      </c>
      <c r="FH5" s="423">
        <v>1.0701000000000001</v>
      </c>
      <c r="FI5" s="423">
        <v>0.97030000000000005</v>
      </c>
      <c r="FJ5" s="423">
        <v>1.0572999999999999</v>
      </c>
      <c r="FK5" s="423">
        <v>1.0284</v>
      </c>
      <c r="FL5" s="423">
        <v>1.0192000000000001</v>
      </c>
      <c r="FM5" s="424"/>
      <c r="FN5" s="422" t="s">
        <v>118</v>
      </c>
      <c r="FO5" s="423">
        <v>0.88890000000000002</v>
      </c>
      <c r="FP5" s="423">
        <v>0.89490000000000003</v>
      </c>
      <c r="FQ5" s="423">
        <v>0.91659999999999997</v>
      </c>
      <c r="FR5" s="423">
        <v>0.93079999999999996</v>
      </c>
      <c r="FS5" s="423">
        <v>0.83850000000000002</v>
      </c>
      <c r="FT5" s="423">
        <v>0.84419999999999995</v>
      </c>
      <c r="FU5" s="423">
        <v>0.90429999999999999</v>
      </c>
      <c r="FV5" s="423">
        <v>0.89019999999999999</v>
      </c>
      <c r="FW5" s="423">
        <v>0.96760000000000002</v>
      </c>
      <c r="FX5" s="423">
        <v>0.98009999999999997</v>
      </c>
      <c r="FY5" s="423">
        <v>0.95889999999999997</v>
      </c>
      <c r="FZ5" s="423">
        <v>1.0229999999999999</v>
      </c>
      <c r="GA5" s="424"/>
      <c r="GB5" s="422" t="s">
        <v>118</v>
      </c>
      <c r="GC5" s="423">
        <v>0.63560000000000005</v>
      </c>
      <c r="GD5" s="423">
        <v>0.6411</v>
      </c>
      <c r="GE5" s="423">
        <v>0.69230000000000003</v>
      </c>
      <c r="GF5" s="423">
        <v>0.7339</v>
      </c>
      <c r="GG5" s="423">
        <v>0.79949999999999999</v>
      </c>
      <c r="GH5" s="423">
        <v>0.80869999999999997</v>
      </c>
      <c r="GI5" s="423">
        <v>0.83089999999999997</v>
      </c>
      <c r="GJ5" s="423">
        <v>0.84099999999999997</v>
      </c>
      <c r="GK5" s="423">
        <v>0.8821</v>
      </c>
      <c r="GL5" s="423">
        <v>0.90449999999999997</v>
      </c>
      <c r="GM5" s="423">
        <v>0.91300000000000003</v>
      </c>
      <c r="GN5" s="423">
        <v>0.89949999999999997</v>
      </c>
      <c r="GO5" s="424"/>
      <c r="GP5" s="422" t="s">
        <v>118</v>
      </c>
      <c r="GQ5" s="423">
        <v>0.89280000000000004</v>
      </c>
      <c r="GR5" s="423">
        <v>0.93530000000000002</v>
      </c>
      <c r="GS5" s="423">
        <v>0.91279999999999994</v>
      </c>
      <c r="GT5" s="423">
        <v>0.9425</v>
      </c>
      <c r="GU5" s="423">
        <v>0.95299999999999996</v>
      </c>
      <c r="GV5" s="423">
        <v>0.95960000000000001</v>
      </c>
      <c r="GW5" s="423">
        <v>0.94040000000000001</v>
      </c>
      <c r="GX5" s="423">
        <v>0.86099999999999999</v>
      </c>
      <c r="GY5" s="423">
        <v>0.78910000000000002</v>
      </c>
      <c r="GZ5" s="423">
        <v>0.66349999999999998</v>
      </c>
      <c r="HA5" s="423">
        <v>0.65280000000000005</v>
      </c>
      <c r="HB5" s="423">
        <v>0.69130000000000003</v>
      </c>
      <c r="HC5" s="424"/>
      <c r="HD5" s="422" t="s">
        <v>118</v>
      </c>
      <c r="HE5" s="423">
        <v>0.77400000000000002</v>
      </c>
      <c r="HF5" s="423">
        <v>0.78779999999999994</v>
      </c>
      <c r="HG5" s="423">
        <v>0.81040000000000001</v>
      </c>
      <c r="HH5" s="423">
        <v>0.83189999999999997</v>
      </c>
      <c r="HI5" s="423">
        <v>0.82789999999999997</v>
      </c>
      <c r="HJ5" s="423">
        <v>0.84909999999999997</v>
      </c>
      <c r="HK5" s="423">
        <v>0.85680000000000001</v>
      </c>
      <c r="HL5" s="423">
        <v>0.81359999999999999</v>
      </c>
      <c r="HM5" s="423">
        <v>0.88470000000000004</v>
      </c>
      <c r="HN5" s="423">
        <v>0.92649999999999999</v>
      </c>
      <c r="HO5" s="423">
        <v>0.88349999999999995</v>
      </c>
      <c r="HP5" s="423">
        <v>0.87829999999999997</v>
      </c>
      <c r="HQ5" s="424"/>
      <c r="HR5" s="422" t="s">
        <v>118</v>
      </c>
      <c r="HS5" s="423">
        <v>0.75609999999999999</v>
      </c>
      <c r="HT5" s="423">
        <v>0.74229999999999996</v>
      </c>
      <c r="HU5" s="423">
        <v>0.71430000000000005</v>
      </c>
      <c r="HV5" s="423">
        <v>0.75849999999999995</v>
      </c>
      <c r="HW5" s="423">
        <v>0.75370000000000004</v>
      </c>
      <c r="HX5" s="423">
        <v>0.74270000000000003</v>
      </c>
      <c r="HY5" s="423">
        <v>0.76639999999999997</v>
      </c>
      <c r="HZ5" s="423">
        <v>0.76349999999999996</v>
      </c>
      <c r="IA5" s="423">
        <v>0.74609999999999999</v>
      </c>
      <c r="IB5" s="423">
        <v>0.77370000000000005</v>
      </c>
      <c r="IC5" s="423">
        <v>0.78939999999999999</v>
      </c>
      <c r="ID5" s="423">
        <v>0.78549999999999998</v>
      </c>
      <c r="IE5" s="424"/>
      <c r="IF5" s="422" t="s">
        <v>118</v>
      </c>
      <c r="IG5" s="423">
        <v>0.77549999999999997</v>
      </c>
      <c r="IH5" s="423">
        <v>0.79359999999999997</v>
      </c>
      <c r="II5" s="423">
        <v>0.77370000000000005</v>
      </c>
      <c r="IJ5" s="423">
        <v>0.78200000000000003</v>
      </c>
      <c r="IK5" s="423">
        <v>0.75760000000000005</v>
      </c>
      <c r="IL5" s="423">
        <v>0.76170000000000004</v>
      </c>
      <c r="IM5" s="423">
        <v>0.75939999999999996</v>
      </c>
      <c r="IN5" s="423">
        <v>0.75109999999999999</v>
      </c>
      <c r="IO5" s="423">
        <v>0.76319999999999999</v>
      </c>
      <c r="IP5" s="423">
        <v>0.74690000000000001</v>
      </c>
      <c r="IQ5" s="423">
        <v>0.7399</v>
      </c>
      <c r="IR5" s="423">
        <v>0.73340000000000005</v>
      </c>
    </row>
    <row r="6" spans="1:252" ht="22" customHeight="1" thickBot="1">
      <c r="A6" s="1" t="s">
        <v>119</v>
      </c>
      <c r="B6" s="422" t="s">
        <v>119</v>
      </c>
      <c r="C6" s="423">
        <v>0.1883</v>
      </c>
      <c r="D6" s="423">
        <v>0.19409999999999999</v>
      </c>
      <c r="E6" s="423">
        <v>0.21049999999999999</v>
      </c>
      <c r="F6" s="423">
        <v>0.20200000000000001</v>
      </c>
      <c r="G6" s="423">
        <v>0.21110000000000001</v>
      </c>
      <c r="H6" s="423">
        <v>0.1913</v>
      </c>
      <c r="I6" s="423">
        <v>0.19239999999999999</v>
      </c>
      <c r="J6" s="423">
        <v>0.19309999999999999</v>
      </c>
      <c r="K6" s="423">
        <v>0.18490000000000001</v>
      </c>
      <c r="L6" s="423">
        <v>0.1913</v>
      </c>
      <c r="M6" s="423">
        <v>0.19009999999999999</v>
      </c>
      <c r="N6" s="423">
        <v>0.18920000000000001</v>
      </c>
      <c r="P6" s="422" t="s">
        <v>119</v>
      </c>
      <c r="Q6" s="423">
        <v>0.183</v>
      </c>
      <c r="R6" s="423">
        <v>0.17949999999999999</v>
      </c>
      <c r="S6" s="423">
        <v>0.17730000000000001</v>
      </c>
      <c r="T6" s="423">
        <v>0.18440000000000001</v>
      </c>
      <c r="U6" s="423">
        <v>0.1905</v>
      </c>
      <c r="V6" s="423">
        <v>0.1993</v>
      </c>
      <c r="W6" s="423">
        <v>0.19439999999999999</v>
      </c>
      <c r="X6" s="423">
        <v>0.1953</v>
      </c>
      <c r="Y6" s="423">
        <v>0.18340000000000001</v>
      </c>
      <c r="Z6" s="423">
        <v>0.17749999999999999</v>
      </c>
      <c r="AA6" s="423">
        <v>0.17730000000000001</v>
      </c>
      <c r="AB6" s="423">
        <v>0.17949999999999999</v>
      </c>
      <c r="AD6" s="422" t="s">
        <v>119</v>
      </c>
      <c r="AE6" s="423">
        <v>0.2334</v>
      </c>
      <c r="AF6" s="423">
        <v>0.22309999999999999</v>
      </c>
      <c r="AG6" s="423">
        <v>0.1928</v>
      </c>
      <c r="AH6" s="423">
        <v>0.18459999999999999</v>
      </c>
      <c r="AI6" s="423">
        <v>0.18379999999999999</v>
      </c>
      <c r="AJ6" s="423">
        <v>0.18210000000000001</v>
      </c>
      <c r="AK6" s="423">
        <v>0.1918</v>
      </c>
      <c r="AL6" s="423">
        <v>0.1822</v>
      </c>
      <c r="AM6" s="423">
        <v>0.1774</v>
      </c>
      <c r="AN6" s="423">
        <v>0.17280000000000001</v>
      </c>
      <c r="AO6" s="423">
        <v>0.186</v>
      </c>
      <c r="AP6" s="423">
        <v>0.1925</v>
      </c>
      <c r="AR6" s="425" t="s">
        <v>119</v>
      </c>
      <c r="AS6" s="423">
        <v>0.2737</v>
      </c>
      <c r="AT6" s="423">
        <v>0.26700000000000002</v>
      </c>
      <c r="AU6" s="423">
        <v>0.25600000000000001</v>
      </c>
      <c r="AV6" s="423">
        <v>0.25430000000000003</v>
      </c>
      <c r="AW6" s="423">
        <v>0.255</v>
      </c>
      <c r="AX6" s="423">
        <v>0.26100000000000001</v>
      </c>
      <c r="AY6" s="423">
        <v>0.26629999999999998</v>
      </c>
      <c r="AZ6" s="423">
        <v>0.2417</v>
      </c>
      <c r="BA6" s="423">
        <v>0.24060000000000001</v>
      </c>
      <c r="BB6" s="423">
        <v>0.2492</v>
      </c>
      <c r="BC6" s="423">
        <v>0.2359</v>
      </c>
      <c r="BD6" s="423">
        <v>0.24879999999999999</v>
      </c>
      <c r="BF6" s="422" t="s">
        <v>119</v>
      </c>
      <c r="BG6" s="423">
        <v>0.31340000000000001</v>
      </c>
      <c r="BH6" s="423">
        <v>0.30840000000000001</v>
      </c>
      <c r="BI6" s="423">
        <v>0.29920000000000002</v>
      </c>
      <c r="BJ6" s="423">
        <v>0.2863</v>
      </c>
      <c r="BK6" s="423">
        <v>0.26819999999999999</v>
      </c>
      <c r="BL6" s="423">
        <v>0.25840000000000002</v>
      </c>
      <c r="BM6" s="423">
        <v>0.26650000000000001</v>
      </c>
      <c r="BN6" s="423">
        <v>0.24340000000000001</v>
      </c>
      <c r="BO6" s="423">
        <v>0.24859999999999999</v>
      </c>
      <c r="BP6" s="423">
        <v>0.26850000000000002</v>
      </c>
      <c r="BQ6" s="423">
        <v>0.25919999999999999</v>
      </c>
      <c r="BR6" s="423">
        <v>0.25769999999999998</v>
      </c>
      <c r="BT6" s="422" t="s">
        <v>119</v>
      </c>
      <c r="BU6" s="423">
        <v>0.31719999999999998</v>
      </c>
      <c r="BV6" s="423">
        <v>0.32140000000000002</v>
      </c>
      <c r="BW6" s="423">
        <v>0.31979999999999997</v>
      </c>
      <c r="BX6" s="423">
        <v>0.31390000000000001</v>
      </c>
      <c r="BY6" s="423">
        <v>0.30830000000000002</v>
      </c>
      <c r="BZ6" s="423">
        <v>0.30209999999999998</v>
      </c>
      <c r="CA6" s="423">
        <v>0.3196</v>
      </c>
      <c r="CB6" s="423">
        <v>0.31730000000000003</v>
      </c>
      <c r="CC6" s="423">
        <v>0.316</v>
      </c>
      <c r="CD6" s="423">
        <v>0.3054</v>
      </c>
      <c r="CE6" s="423">
        <v>0.30509999999999998</v>
      </c>
      <c r="CF6" s="423">
        <v>0.3019</v>
      </c>
      <c r="CH6" s="422" t="s">
        <v>119</v>
      </c>
      <c r="CI6" s="423">
        <v>0.24929999999999999</v>
      </c>
      <c r="CJ6" s="423">
        <v>0.251</v>
      </c>
      <c r="CK6" s="423">
        <v>0.2787</v>
      </c>
      <c r="CL6" s="423">
        <v>0.28910000000000002</v>
      </c>
      <c r="CM6" s="423">
        <v>0.27779999999999999</v>
      </c>
      <c r="CN6" s="423">
        <v>0.31240000000000001</v>
      </c>
      <c r="CO6" s="423">
        <v>0.30790000000000001</v>
      </c>
      <c r="CP6" s="423">
        <v>0.30890000000000001</v>
      </c>
      <c r="CQ6" s="423">
        <v>0.30819999999999997</v>
      </c>
      <c r="CR6" s="423">
        <v>0.31409999999999999</v>
      </c>
      <c r="CS6" s="423">
        <v>0.29509999999999997</v>
      </c>
      <c r="CT6" s="423">
        <v>0.30719999999999997</v>
      </c>
      <c r="CV6" s="422" t="s">
        <v>119</v>
      </c>
      <c r="CW6" s="423">
        <v>0.37269999999999998</v>
      </c>
      <c r="CX6" s="423">
        <v>0.35039999999999999</v>
      </c>
      <c r="CY6" s="423">
        <v>0.31109999999999999</v>
      </c>
      <c r="CZ6" s="423">
        <v>0.33250000000000002</v>
      </c>
      <c r="DA6" s="423">
        <v>0.31440000000000001</v>
      </c>
      <c r="DB6" s="423">
        <v>0.32269999999999999</v>
      </c>
      <c r="DC6" s="423">
        <v>0.29199999999999998</v>
      </c>
      <c r="DD6" s="423">
        <v>0.27600000000000002</v>
      </c>
      <c r="DE6" s="423">
        <v>0.25169999999999998</v>
      </c>
      <c r="DF6" s="423">
        <v>0.25900000000000001</v>
      </c>
      <c r="DG6" s="423">
        <v>0.25640000000000002</v>
      </c>
      <c r="DH6" s="423">
        <v>0.2525</v>
      </c>
      <c r="DI6" s="424"/>
      <c r="DJ6" s="422" t="s">
        <v>119</v>
      </c>
      <c r="DK6" s="423">
        <v>0.4143</v>
      </c>
      <c r="DL6" s="423">
        <v>0.42680000000000001</v>
      </c>
      <c r="DM6" s="423">
        <v>0.44130000000000003</v>
      </c>
      <c r="DN6" s="423">
        <v>0.44690000000000002</v>
      </c>
      <c r="DO6" s="423">
        <v>0.44619999999999999</v>
      </c>
      <c r="DP6" s="423">
        <v>0.45269999999999999</v>
      </c>
      <c r="DQ6" s="423">
        <v>0.44130000000000003</v>
      </c>
      <c r="DR6" s="423">
        <v>0.44669999999999999</v>
      </c>
      <c r="DS6" s="423">
        <v>0.40679999999999999</v>
      </c>
      <c r="DT6" s="423">
        <v>0.4037</v>
      </c>
      <c r="DU6" s="423">
        <v>0.38900000000000001</v>
      </c>
      <c r="DV6" s="423">
        <v>0.37730000000000002</v>
      </c>
      <c r="DW6" s="424"/>
      <c r="DX6" s="422" t="s">
        <v>119</v>
      </c>
      <c r="DY6" s="423">
        <v>0.50210999999999995</v>
      </c>
      <c r="DZ6" s="423">
        <v>0.50560000000000005</v>
      </c>
      <c r="EA6" s="423">
        <v>0.49769999999999998</v>
      </c>
      <c r="EB6" s="423">
        <v>0.4995</v>
      </c>
      <c r="EC6" s="423">
        <v>0.4672</v>
      </c>
      <c r="ED6" s="423">
        <v>0.4496</v>
      </c>
      <c r="EE6" s="423">
        <v>0.43609999999999999</v>
      </c>
      <c r="EF6" s="423">
        <v>0.41970000000000002</v>
      </c>
      <c r="EG6" s="423">
        <v>0.44879999999999998</v>
      </c>
      <c r="EH6" s="423">
        <v>0.44740000000000002</v>
      </c>
      <c r="EI6" s="423">
        <v>0.4279</v>
      </c>
      <c r="EJ6" s="423">
        <v>0.42320000000000002</v>
      </c>
      <c r="EK6" s="424"/>
      <c r="EL6" s="422" t="s">
        <v>119</v>
      </c>
      <c r="EM6" s="423">
        <v>0.57484000000000002</v>
      </c>
      <c r="EN6" s="423">
        <v>0.58750999999999998</v>
      </c>
      <c r="EO6" s="423">
        <v>0.54698999999999998</v>
      </c>
      <c r="EP6" s="423">
        <v>0.52910000000000001</v>
      </c>
      <c r="EQ6" s="423">
        <v>0.49606</v>
      </c>
      <c r="ER6" s="423">
        <v>0.49642999999999998</v>
      </c>
      <c r="ES6" s="423">
        <v>0.48785000000000001</v>
      </c>
      <c r="ET6" s="423">
        <v>0.49278</v>
      </c>
      <c r="EU6" s="423">
        <v>0.49247000000000002</v>
      </c>
      <c r="EV6" s="423">
        <v>0.49253999999999998</v>
      </c>
      <c r="EW6" s="423">
        <v>0.47372999999999998</v>
      </c>
      <c r="EX6" s="423">
        <v>0.48827999999999999</v>
      </c>
      <c r="EY6" s="424"/>
      <c r="EZ6" s="422" t="s">
        <v>119</v>
      </c>
      <c r="FA6" s="423">
        <v>0.59730000000000005</v>
      </c>
      <c r="FB6" s="423">
        <v>0.60294999999999999</v>
      </c>
      <c r="FC6" s="423">
        <v>0.61451</v>
      </c>
      <c r="FD6" s="423">
        <v>0.63553000000000004</v>
      </c>
      <c r="FE6" s="423">
        <v>0.63122999999999996</v>
      </c>
      <c r="FF6" s="423">
        <v>0.64056999999999997</v>
      </c>
      <c r="FG6" s="423">
        <v>0.64073999999999998</v>
      </c>
      <c r="FH6" s="423">
        <v>0.62944999999999995</v>
      </c>
      <c r="FI6" s="423">
        <v>0.53893999999999997</v>
      </c>
      <c r="FJ6" s="423">
        <v>0.59130000000000005</v>
      </c>
      <c r="FK6" s="423">
        <v>0.55525000000000002</v>
      </c>
      <c r="FL6" s="423">
        <v>0.53568000000000005</v>
      </c>
      <c r="FM6" s="424"/>
      <c r="FN6" s="422" t="s">
        <v>119</v>
      </c>
      <c r="FO6" s="423">
        <v>0.53615999999999997</v>
      </c>
      <c r="FP6" s="423">
        <v>0.55020999999999998</v>
      </c>
      <c r="FQ6" s="423">
        <v>0.56040999999999996</v>
      </c>
      <c r="FR6" s="423">
        <v>0.57777000000000001</v>
      </c>
      <c r="FS6" s="423">
        <v>0.55327999999999999</v>
      </c>
      <c r="FT6" s="423">
        <v>0.55559000000000003</v>
      </c>
      <c r="FU6" s="423">
        <v>0.56715000000000004</v>
      </c>
      <c r="FV6" s="423">
        <v>0.56982999999999995</v>
      </c>
      <c r="FW6" s="423">
        <v>0.58931</v>
      </c>
      <c r="FX6" s="423">
        <v>0.58850999999999998</v>
      </c>
      <c r="FY6" s="423">
        <v>0.58155999999999997</v>
      </c>
      <c r="FZ6" s="423">
        <v>0.60150000000000003</v>
      </c>
      <c r="GA6" s="424"/>
      <c r="GB6" s="422" t="s">
        <v>119</v>
      </c>
      <c r="GC6" s="423">
        <v>0.43778</v>
      </c>
      <c r="GD6" s="423">
        <v>0.42571999999999999</v>
      </c>
      <c r="GE6" s="423">
        <v>0.43290000000000001</v>
      </c>
      <c r="GF6" s="423">
        <v>0.45812999999999998</v>
      </c>
      <c r="GG6" s="423">
        <v>0.50678000000000001</v>
      </c>
      <c r="GH6" s="423">
        <v>0.51380999999999999</v>
      </c>
      <c r="GI6" s="423">
        <v>0.53283999999999998</v>
      </c>
      <c r="GJ6" s="423">
        <v>0.53003</v>
      </c>
      <c r="GK6" s="423">
        <v>0.56218999999999997</v>
      </c>
      <c r="GL6" s="423">
        <v>0.57552000000000003</v>
      </c>
      <c r="GM6" s="423">
        <v>0.57162999999999997</v>
      </c>
      <c r="GN6" s="423">
        <v>0.57298000000000004</v>
      </c>
      <c r="GO6" s="424"/>
      <c r="GP6" s="422" t="s">
        <v>119</v>
      </c>
      <c r="GQ6" s="423">
        <v>0.56201999999999996</v>
      </c>
      <c r="GR6" s="423">
        <v>0.59791000000000005</v>
      </c>
      <c r="GS6" s="423">
        <v>0.57238</v>
      </c>
      <c r="GT6" s="423">
        <v>0.58452000000000004</v>
      </c>
      <c r="GU6" s="423">
        <v>0.60724</v>
      </c>
      <c r="GV6" s="423">
        <v>0.62297999999999998</v>
      </c>
      <c r="GW6" s="423">
        <v>0.64024999999999999</v>
      </c>
      <c r="GX6" s="423">
        <v>0.61417999999999995</v>
      </c>
      <c r="GY6" s="423">
        <v>0.52205999999999997</v>
      </c>
      <c r="GZ6" s="423">
        <v>0.47486</v>
      </c>
      <c r="HA6" s="423">
        <v>0.43786999999999998</v>
      </c>
      <c r="HB6" s="423">
        <v>0.42543999999999998</v>
      </c>
      <c r="HC6" s="424"/>
      <c r="HD6" s="422" t="s">
        <v>119</v>
      </c>
      <c r="HE6" s="423">
        <v>0.46923999999999999</v>
      </c>
      <c r="HF6" s="423">
        <v>0.47360000000000002</v>
      </c>
      <c r="HG6" s="423">
        <v>0.48726999999999998</v>
      </c>
      <c r="HH6" s="423">
        <v>0.49279000000000001</v>
      </c>
      <c r="HI6" s="423">
        <v>0.51361000000000001</v>
      </c>
      <c r="HJ6" s="423">
        <v>0.51956999999999998</v>
      </c>
      <c r="HK6" s="423">
        <v>0.53003</v>
      </c>
      <c r="HL6" s="423">
        <v>0.50839999999999996</v>
      </c>
      <c r="HM6" s="423">
        <v>0.54318</v>
      </c>
      <c r="HN6" s="423">
        <v>0.57116999999999996</v>
      </c>
      <c r="HO6" s="423">
        <v>0.55828</v>
      </c>
      <c r="HP6" s="423">
        <v>0.56249000000000005</v>
      </c>
      <c r="HQ6" s="424"/>
      <c r="HR6" s="422" t="s">
        <v>119</v>
      </c>
      <c r="HS6" s="423">
        <v>0.45171</v>
      </c>
      <c r="HT6" s="423">
        <v>0.46511999999999998</v>
      </c>
      <c r="HU6" s="423">
        <v>0.45567999999999997</v>
      </c>
      <c r="HV6" s="423">
        <v>0.47434999999999999</v>
      </c>
      <c r="HW6" s="423">
        <v>0.42753000000000002</v>
      </c>
      <c r="HX6" s="423">
        <v>0.45684999999999998</v>
      </c>
      <c r="HY6" s="423">
        <v>0.45906999999999998</v>
      </c>
      <c r="HZ6" s="423">
        <v>0.46959000000000001</v>
      </c>
      <c r="IA6" s="423">
        <v>0.45956000000000002</v>
      </c>
      <c r="IB6" s="423">
        <v>0.46598000000000001</v>
      </c>
      <c r="IC6" s="423">
        <v>0.46083000000000002</v>
      </c>
      <c r="ID6" s="423">
        <v>0.46838000000000002</v>
      </c>
      <c r="IE6" s="424"/>
      <c r="IF6" s="422" t="s">
        <v>119</v>
      </c>
      <c r="IG6" s="423">
        <v>0.37803999999999999</v>
      </c>
      <c r="IH6" s="423">
        <v>0.37951000000000001</v>
      </c>
      <c r="II6" s="423">
        <v>0.37364999999999998</v>
      </c>
      <c r="IJ6" s="423">
        <v>0.39595999999999998</v>
      </c>
      <c r="IK6" s="423">
        <v>0.42096</v>
      </c>
      <c r="IL6" s="423">
        <v>0.42570999999999998</v>
      </c>
      <c r="IM6" s="423">
        <v>0.41391</v>
      </c>
      <c r="IN6" s="423">
        <v>0.41893999999999998</v>
      </c>
      <c r="IO6" s="423">
        <v>0.45167000000000002</v>
      </c>
      <c r="IP6" s="423">
        <v>0.44424999999999998</v>
      </c>
      <c r="IQ6" s="423">
        <v>0.45707999999999999</v>
      </c>
      <c r="IR6" s="423">
        <v>0.43035000000000001</v>
      </c>
    </row>
    <row r="7" spans="1:252" ht="22" customHeight="1" thickBot="1">
      <c r="A7" s="1" t="s">
        <v>120</v>
      </c>
      <c r="B7" s="422" t="s">
        <v>120</v>
      </c>
      <c r="C7" s="423">
        <v>0.78620000000000001</v>
      </c>
      <c r="D7" s="423">
        <v>0.78849999999999998</v>
      </c>
      <c r="E7" s="423">
        <v>0.80059999999999998</v>
      </c>
      <c r="F7" s="423">
        <v>0.78249999999999997</v>
      </c>
      <c r="G7" s="423">
        <v>0.79069999999999996</v>
      </c>
      <c r="H7" s="423">
        <v>0.77539999999999998</v>
      </c>
      <c r="I7" s="423">
        <v>0.78039999999999998</v>
      </c>
      <c r="J7" s="423">
        <v>0.76370000000000005</v>
      </c>
      <c r="K7" s="423">
        <v>0.72799999999999998</v>
      </c>
      <c r="L7" s="423">
        <v>0.73240000000000005</v>
      </c>
      <c r="M7" s="423">
        <v>0.7379</v>
      </c>
      <c r="N7" s="423">
        <v>0.73770000000000002</v>
      </c>
      <c r="P7" s="422" t="s">
        <v>120</v>
      </c>
      <c r="Q7" s="423">
        <v>0.78269999999999995</v>
      </c>
      <c r="R7" s="423">
        <v>0.79010000000000002</v>
      </c>
      <c r="S7" s="423">
        <v>0.79579999999999995</v>
      </c>
      <c r="T7" s="423">
        <v>0.81310000000000004</v>
      </c>
      <c r="U7" s="423">
        <v>0.82769999999999999</v>
      </c>
      <c r="V7" s="423">
        <v>0.80720000000000003</v>
      </c>
      <c r="W7" s="423">
        <v>0.80120000000000002</v>
      </c>
      <c r="X7" s="423">
        <v>0.79139999999999999</v>
      </c>
      <c r="Y7" s="423">
        <v>0.7893</v>
      </c>
      <c r="Z7" s="423">
        <v>0.80679999999999996</v>
      </c>
      <c r="AA7" s="423">
        <v>0.77980000000000005</v>
      </c>
      <c r="AB7" s="423">
        <v>0.79149999999999998</v>
      </c>
      <c r="AD7" s="422" t="s">
        <v>120</v>
      </c>
      <c r="AE7" s="423">
        <v>0.75600000000000001</v>
      </c>
      <c r="AF7" s="423">
        <v>0.74470000000000003</v>
      </c>
      <c r="AG7" s="423">
        <v>0.70199999999999996</v>
      </c>
      <c r="AH7" s="423">
        <v>0.72</v>
      </c>
      <c r="AI7" s="423">
        <v>0.72370000000000001</v>
      </c>
      <c r="AJ7" s="423">
        <v>0.73429999999999995</v>
      </c>
      <c r="AK7" s="423">
        <v>0.74619999999999997</v>
      </c>
      <c r="AL7" s="423">
        <v>0.76759999999999995</v>
      </c>
      <c r="AM7" s="423">
        <v>0.74850000000000005</v>
      </c>
      <c r="AN7" s="423">
        <v>0.75</v>
      </c>
      <c r="AO7" s="423">
        <v>0.77180000000000004</v>
      </c>
      <c r="AP7" s="423">
        <v>0.78500000000000003</v>
      </c>
      <c r="AR7" s="425" t="s">
        <v>120</v>
      </c>
      <c r="AS7" s="423">
        <v>0.76139999999999997</v>
      </c>
      <c r="AT7" s="423">
        <v>0.75900000000000001</v>
      </c>
      <c r="AU7" s="423">
        <v>0.74850000000000005</v>
      </c>
      <c r="AV7" s="423">
        <v>0.74350000000000005</v>
      </c>
      <c r="AW7" s="423">
        <v>0.73980000000000001</v>
      </c>
      <c r="AX7" s="423">
        <v>0.76529999999999998</v>
      </c>
      <c r="AY7" s="423">
        <v>0.76180000000000003</v>
      </c>
      <c r="AZ7" s="423">
        <v>0.75249999999999995</v>
      </c>
      <c r="BA7" s="423">
        <v>0.75539999999999996</v>
      </c>
      <c r="BB7" s="423">
        <v>0.76039999999999996</v>
      </c>
      <c r="BC7" s="423">
        <v>0.75290000000000001</v>
      </c>
      <c r="BD7" s="423">
        <v>0.77110000000000001</v>
      </c>
      <c r="BF7" s="422" t="s">
        <v>120</v>
      </c>
      <c r="BG7" s="423">
        <v>0.81510000000000005</v>
      </c>
      <c r="BH7" s="423">
        <v>0.78049999999999997</v>
      </c>
      <c r="BI7" s="423">
        <v>0.77580000000000005</v>
      </c>
      <c r="BJ7" s="423">
        <v>0.77980000000000005</v>
      </c>
      <c r="BK7" s="423">
        <v>0.77100000000000002</v>
      </c>
      <c r="BL7" s="423">
        <v>0.76039999999999996</v>
      </c>
      <c r="BM7" s="423">
        <v>0.76780000000000004</v>
      </c>
      <c r="BN7" s="423">
        <v>0.7671</v>
      </c>
      <c r="BO7" s="423">
        <v>0.77339999999999998</v>
      </c>
      <c r="BP7" s="423">
        <v>0.76139999999999997</v>
      </c>
      <c r="BQ7" s="423">
        <v>0.75219999999999998</v>
      </c>
      <c r="BR7" s="423">
        <v>0.73229999999999995</v>
      </c>
      <c r="BT7" s="422" t="s">
        <v>120</v>
      </c>
      <c r="BU7" s="423">
        <v>0.76690000000000003</v>
      </c>
      <c r="BV7" s="423">
        <v>0.75529999999999997</v>
      </c>
      <c r="BW7" s="423">
        <v>0.75</v>
      </c>
      <c r="BX7" s="423">
        <v>0.73129999999999995</v>
      </c>
      <c r="BY7" s="423">
        <v>0.74019999999999997</v>
      </c>
      <c r="BZ7" s="423">
        <v>0.7702</v>
      </c>
      <c r="CA7" s="423">
        <v>0.7994</v>
      </c>
      <c r="CB7" s="423">
        <v>0.7974</v>
      </c>
      <c r="CC7" s="423">
        <v>0.79979999999999996</v>
      </c>
      <c r="CD7" s="423">
        <v>0.77610000000000001</v>
      </c>
      <c r="CE7" s="423">
        <v>0.77659999999999996</v>
      </c>
      <c r="CF7" s="423">
        <v>0.79779999999999995</v>
      </c>
      <c r="CH7" s="422" t="s">
        <v>120</v>
      </c>
      <c r="CI7" s="423">
        <v>0.71060000000000001</v>
      </c>
      <c r="CJ7" s="423">
        <v>0.73860000000000003</v>
      </c>
      <c r="CK7" s="423">
        <v>0.77390000000000003</v>
      </c>
      <c r="CL7" s="423">
        <v>0.79849999999999999</v>
      </c>
      <c r="CM7" s="423">
        <v>0.76459999999999995</v>
      </c>
      <c r="CN7" s="423">
        <v>0.77010000000000001</v>
      </c>
      <c r="CO7" s="423">
        <v>0.76619999999999999</v>
      </c>
      <c r="CP7" s="423">
        <v>0.76180000000000003</v>
      </c>
      <c r="CQ7" s="423">
        <v>0.76100000000000001</v>
      </c>
      <c r="CR7" s="423">
        <v>0.74560000000000004</v>
      </c>
      <c r="CS7" s="423">
        <v>0.74390000000000001</v>
      </c>
      <c r="CT7" s="423">
        <v>0.74560000000000004</v>
      </c>
      <c r="CV7" s="422" t="s">
        <v>120</v>
      </c>
      <c r="CW7" s="423">
        <v>0.78879999999999995</v>
      </c>
      <c r="CX7" s="423">
        <v>0.80089999999999995</v>
      </c>
      <c r="CY7" s="423">
        <v>0.78959999999999997</v>
      </c>
      <c r="CZ7" s="423">
        <v>0.8256</v>
      </c>
      <c r="DA7" s="423">
        <v>0.80149999999999999</v>
      </c>
      <c r="DB7" s="423">
        <v>0.80120000000000002</v>
      </c>
      <c r="DC7" s="423">
        <v>0.76910000000000001</v>
      </c>
      <c r="DD7" s="423">
        <v>0.75139999999999996</v>
      </c>
      <c r="DE7" s="423">
        <v>0.74590000000000001</v>
      </c>
      <c r="DF7" s="423">
        <v>0.76029999999999998</v>
      </c>
      <c r="DG7" s="423">
        <v>0.75090000000000001</v>
      </c>
      <c r="DH7" s="423">
        <v>0.72299999999999998</v>
      </c>
      <c r="DI7" s="424"/>
      <c r="DJ7" s="422" t="s">
        <v>120</v>
      </c>
      <c r="DK7" s="423">
        <v>0.89690000000000003</v>
      </c>
      <c r="DL7" s="423">
        <v>0.90339999999999998</v>
      </c>
      <c r="DM7" s="423">
        <v>0.90600000000000003</v>
      </c>
      <c r="DN7" s="423">
        <v>0.91120000000000001</v>
      </c>
      <c r="DO7" s="423">
        <v>0.92100000000000004</v>
      </c>
      <c r="DP7" s="423">
        <v>0.93889999999999996</v>
      </c>
      <c r="DQ7" s="423">
        <v>0.91859999999999997</v>
      </c>
      <c r="DR7" s="423">
        <v>0.92179999999999995</v>
      </c>
      <c r="DS7" s="423">
        <v>0.89490000000000003</v>
      </c>
      <c r="DT7" s="423">
        <v>0.88360000000000005</v>
      </c>
      <c r="DU7" s="423">
        <v>0.877</v>
      </c>
      <c r="DV7" s="423">
        <v>0.86329999999999996</v>
      </c>
      <c r="DW7" s="424"/>
      <c r="DX7" s="422" t="s">
        <v>120</v>
      </c>
      <c r="DY7" s="423">
        <v>1.0012000000000001</v>
      </c>
      <c r="DZ7" s="423">
        <v>0.97289999999999999</v>
      </c>
      <c r="EA7" s="423">
        <v>0.98360000000000003</v>
      </c>
      <c r="EB7" s="423">
        <v>0.99429999999999996</v>
      </c>
      <c r="EC7" s="423">
        <v>0.96760000000000002</v>
      </c>
      <c r="ED7" s="423">
        <v>0.94799999999999995</v>
      </c>
      <c r="EE7" s="423">
        <v>0.97270000000000001</v>
      </c>
      <c r="EF7" s="423">
        <v>0.94810000000000005</v>
      </c>
      <c r="EG7" s="423">
        <v>0.97289999999999999</v>
      </c>
      <c r="EH7" s="423">
        <v>0.95779999999999998</v>
      </c>
      <c r="EI7" s="423">
        <v>0.9446</v>
      </c>
      <c r="EJ7" s="423">
        <v>0.94120000000000004</v>
      </c>
      <c r="EK7" s="424"/>
      <c r="EL7" s="422" t="s">
        <v>120</v>
      </c>
      <c r="EM7" s="423">
        <v>1.0011000000000001</v>
      </c>
      <c r="EN7" s="423">
        <v>1.0121500000000001</v>
      </c>
      <c r="EO7" s="423">
        <v>1.00261</v>
      </c>
      <c r="EP7" s="423">
        <v>1.0124500000000001</v>
      </c>
      <c r="EQ7" s="423">
        <v>0.97002999999999995</v>
      </c>
      <c r="ER7" s="423">
        <v>0.98126000000000002</v>
      </c>
      <c r="ES7" s="423">
        <v>0.99690999999999996</v>
      </c>
      <c r="ET7" s="423">
        <v>1.0124500000000001</v>
      </c>
      <c r="EU7" s="423">
        <v>1.01678</v>
      </c>
      <c r="EV7" s="423">
        <v>0.99980000000000002</v>
      </c>
      <c r="EW7" s="423">
        <v>1.00604</v>
      </c>
      <c r="EX7" s="423">
        <v>1.0045200000000001</v>
      </c>
      <c r="EY7" s="424"/>
      <c r="EZ7" s="422" t="s">
        <v>120</v>
      </c>
      <c r="FA7" s="423">
        <v>1.0008999999999999</v>
      </c>
      <c r="FB7" s="423">
        <v>1.02722</v>
      </c>
      <c r="FC7" s="423">
        <v>1.0301800000000001</v>
      </c>
      <c r="FD7" s="423">
        <v>1.0477799999999999</v>
      </c>
      <c r="FE7" s="423">
        <v>1.0345500000000001</v>
      </c>
      <c r="FF7" s="423">
        <v>1.0356300000000001</v>
      </c>
      <c r="FG7" s="423">
        <v>1.04559</v>
      </c>
      <c r="FH7" s="423">
        <v>1.02722</v>
      </c>
      <c r="FI7" s="423">
        <v>0.95794999999999997</v>
      </c>
      <c r="FJ7" s="423">
        <v>1.0017</v>
      </c>
      <c r="FK7" s="423">
        <v>0.98580000000000001</v>
      </c>
      <c r="FL7" s="423">
        <v>0.98087000000000002</v>
      </c>
      <c r="FM7" s="424"/>
      <c r="FN7" s="422" t="s">
        <v>120</v>
      </c>
      <c r="FO7" s="423">
        <v>0.93940999999999997</v>
      </c>
      <c r="FP7" s="423">
        <v>0.94598000000000004</v>
      </c>
      <c r="FQ7" s="423">
        <v>0.98463999999999996</v>
      </c>
      <c r="FR7" s="423">
        <v>0.98765000000000003</v>
      </c>
      <c r="FS7" s="423">
        <v>0.95355999999999996</v>
      </c>
      <c r="FT7" s="423">
        <v>0.94135000000000002</v>
      </c>
      <c r="FU7" s="423">
        <v>0.97050000000000003</v>
      </c>
      <c r="FV7" s="423">
        <v>0.93808999999999998</v>
      </c>
      <c r="FW7" s="423">
        <v>0.97333000000000003</v>
      </c>
      <c r="FX7" s="423">
        <v>0.98270000000000002</v>
      </c>
      <c r="FY7" s="423">
        <v>0.97389999999999999</v>
      </c>
      <c r="FZ7" s="423">
        <v>1.00634</v>
      </c>
      <c r="GA7" s="424"/>
      <c r="GB7" s="422" t="s">
        <v>120</v>
      </c>
      <c r="GC7" s="423">
        <v>0.80618999999999996</v>
      </c>
      <c r="GD7" s="423">
        <v>0.78932999999999998</v>
      </c>
      <c r="GE7" s="423">
        <v>0.79346000000000005</v>
      </c>
      <c r="GF7" s="423">
        <v>0.84082999999999997</v>
      </c>
      <c r="GG7" s="423">
        <v>0.91198999999999997</v>
      </c>
      <c r="GH7" s="423">
        <v>0.86124999999999996</v>
      </c>
      <c r="GI7" s="423">
        <v>0.92549999999999999</v>
      </c>
      <c r="GJ7" s="423">
        <v>0.90900999999999998</v>
      </c>
      <c r="GK7" s="423">
        <v>0.93240000000000001</v>
      </c>
      <c r="GL7" s="423">
        <v>0.92798999999999998</v>
      </c>
      <c r="GM7" s="423">
        <v>0.94606999999999997</v>
      </c>
      <c r="GN7" s="423">
        <v>0.95465</v>
      </c>
      <c r="GO7" s="424"/>
      <c r="GP7" s="422" t="s">
        <v>120</v>
      </c>
      <c r="GQ7" s="423">
        <v>0.99492999999999998</v>
      </c>
      <c r="GR7" s="423">
        <v>1.02166</v>
      </c>
      <c r="GS7" s="423">
        <v>0.97285999999999995</v>
      </c>
      <c r="GT7" s="423">
        <v>0.99285000000000001</v>
      </c>
      <c r="GU7" s="423">
        <v>1.00644</v>
      </c>
      <c r="GV7" s="423">
        <v>0.9859</v>
      </c>
      <c r="GW7" s="423">
        <v>0.97531999999999996</v>
      </c>
      <c r="GX7" s="423">
        <v>0.94447000000000003</v>
      </c>
      <c r="GY7" s="423">
        <v>0.94064999999999999</v>
      </c>
      <c r="GZ7" s="423">
        <v>0.82169000000000003</v>
      </c>
      <c r="HA7" s="423">
        <v>0.80522000000000005</v>
      </c>
      <c r="HB7" s="423">
        <v>0.81593000000000004</v>
      </c>
      <c r="HC7" s="424"/>
      <c r="HD7" s="422" t="s">
        <v>120</v>
      </c>
      <c r="HE7" s="423">
        <v>0.84702999999999995</v>
      </c>
      <c r="HF7" s="423">
        <v>0.85309999999999997</v>
      </c>
      <c r="HG7" s="423">
        <v>0.86812999999999996</v>
      </c>
      <c r="HH7" s="423">
        <v>0.90473000000000003</v>
      </c>
      <c r="HI7" s="423">
        <v>0.93537000000000003</v>
      </c>
      <c r="HJ7" s="423">
        <v>0.93913999999999997</v>
      </c>
      <c r="HK7" s="423">
        <v>0.93755999999999995</v>
      </c>
      <c r="HL7" s="423">
        <v>0.94589000000000001</v>
      </c>
      <c r="HM7" s="423">
        <v>0.99509999999999998</v>
      </c>
      <c r="HN7" s="423">
        <v>1.05274</v>
      </c>
      <c r="HO7" s="423">
        <v>1</v>
      </c>
      <c r="HP7" s="423">
        <v>1.0134799999999999</v>
      </c>
      <c r="HQ7" s="424"/>
      <c r="HR7" s="422" t="s">
        <v>120</v>
      </c>
      <c r="HS7" s="423">
        <v>0.87451000000000001</v>
      </c>
      <c r="HT7" s="423">
        <v>0.87880999999999998</v>
      </c>
      <c r="HU7" s="423">
        <v>0.85755999999999999</v>
      </c>
      <c r="HV7" s="423">
        <v>0.89237999999999995</v>
      </c>
      <c r="HW7" s="423">
        <v>0.90917000000000003</v>
      </c>
      <c r="HX7" s="423">
        <v>0.89831000000000005</v>
      </c>
      <c r="HY7" s="423">
        <v>0.88534999999999997</v>
      </c>
      <c r="HZ7" s="423">
        <v>0.90188000000000001</v>
      </c>
      <c r="IA7" s="423">
        <v>0.89581999999999995</v>
      </c>
      <c r="IB7" s="423">
        <v>0.89119000000000004</v>
      </c>
      <c r="IC7" s="423">
        <v>0.87573000000000001</v>
      </c>
      <c r="ID7" s="423">
        <v>0.85829999999999995</v>
      </c>
      <c r="IE7" s="424"/>
      <c r="IF7" s="422" t="s">
        <v>120</v>
      </c>
      <c r="IG7" s="423">
        <v>0.80730000000000002</v>
      </c>
      <c r="IH7" s="423">
        <v>0.81267999999999996</v>
      </c>
      <c r="II7" s="423">
        <v>0.82706000000000002</v>
      </c>
      <c r="IJ7" s="423">
        <v>0.79661999999999999</v>
      </c>
      <c r="IK7" s="423">
        <v>0.79757999999999996</v>
      </c>
      <c r="IL7" s="423">
        <v>0.81633</v>
      </c>
      <c r="IM7" s="423">
        <v>0.81533</v>
      </c>
      <c r="IN7" s="423">
        <v>0.84245999999999999</v>
      </c>
      <c r="IO7" s="423">
        <v>0.86102999999999996</v>
      </c>
      <c r="IP7" s="423">
        <v>0.84824999999999995</v>
      </c>
      <c r="IQ7" s="423">
        <v>0.85624</v>
      </c>
      <c r="IR7" s="423">
        <v>0.85668</v>
      </c>
    </row>
    <row r="8" spans="1:252" ht="22" customHeight="1" thickBot="1">
      <c r="A8" s="1" t="s">
        <v>121</v>
      </c>
      <c r="B8" s="422" t="s">
        <v>121</v>
      </c>
      <c r="C8" s="423">
        <v>1.0742</v>
      </c>
      <c r="D8" s="423">
        <v>1.0899000000000001</v>
      </c>
      <c r="E8" s="423">
        <v>1.0868</v>
      </c>
      <c r="F8" s="423">
        <v>1.0304</v>
      </c>
      <c r="G8" s="423">
        <v>1.0431999999999999</v>
      </c>
      <c r="H8" s="423">
        <v>1.0447</v>
      </c>
      <c r="I8" s="423">
        <v>1.0498000000000001</v>
      </c>
      <c r="J8" s="423">
        <v>1.0244</v>
      </c>
      <c r="K8" s="423">
        <v>1.0165999999999999</v>
      </c>
      <c r="L8" s="423">
        <v>0.99729999999999996</v>
      </c>
      <c r="M8" s="423">
        <v>1.0495000000000001</v>
      </c>
      <c r="N8" s="423">
        <v>1.0806</v>
      </c>
      <c r="P8" s="422" t="s">
        <v>121</v>
      </c>
      <c r="Q8" s="423">
        <v>1.1240000000000001</v>
      </c>
      <c r="R8" s="423">
        <v>1.1045</v>
      </c>
      <c r="S8" s="423">
        <v>1.0627</v>
      </c>
      <c r="T8" s="423">
        <v>1.0965</v>
      </c>
      <c r="U8" s="423">
        <v>1.1119000000000001</v>
      </c>
      <c r="V8" s="423">
        <v>1.0817000000000001</v>
      </c>
      <c r="W8" s="423">
        <v>1.1032999999999999</v>
      </c>
      <c r="X8" s="423">
        <v>1.0919000000000001</v>
      </c>
      <c r="Y8" s="423">
        <v>1.0719000000000001</v>
      </c>
      <c r="Z8" s="423">
        <v>1.0942000000000001</v>
      </c>
      <c r="AA8" s="423">
        <v>1.081</v>
      </c>
      <c r="AB8" s="423">
        <v>1.0975999999999999</v>
      </c>
      <c r="AD8" s="422" t="s">
        <v>121</v>
      </c>
      <c r="AE8" s="423">
        <v>1.0367999999999999</v>
      </c>
      <c r="AF8" s="423">
        <v>1.0335000000000001</v>
      </c>
      <c r="AG8" s="423">
        <v>1.0339</v>
      </c>
      <c r="AH8" s="423">
        <v>1.0356000000000001</v>
      </c>
      <c r="AI8" s="423">
        <v>1.0410999999999999</v>
      </c>
      <c r="AJ8" s="423">
        <v>1.0553999999999999</v>
      </c>
      <c r="AK8" s="423">
        <v>1.0995999999999999</v>
      </c>
      <c r="AL8" s="423">
        <v>1.1107</v>
      </c>
      <c r="AM8" s="423">
        <v>1.0884</v>
      </c>
      <c r="AN8" s="423">
        <v>1.0921000000000001</v>
      </c>
      <c r="AO8" s="423">
        <v>1.1044</v>
      </c>
      <c r="AP8" s="423">
        <v>1.1315</v>
      </c>
      <c r="AR8" s="425" t="s">
        <v>121</v>
      </c>
      <c r="AS8" s="423">
        <v>1.0084</v>
      </c>
      <c r="AT8" s="423">
        <v>1.0037</v>
      </c>
      <c r="AU8" s="423">
        <v>1.0043</v>
      </c>
      <c r="AV8" s="423">
        <v>0.98140000000000005</v>
      </c>
      <c r="AW8" s="423">
        <v>0.99450000000000005</v>
      </c>
      <c r="AX8" s="423">
        <v>1.0254000000000001</v>
      </c>
      <c r="AY8" s="423">
        <v>1.0104</v>
      </c>
      <c r="AZ8" s="423">
        <v>1.0108999999999999</v>
      </c>
      <c r="BA8" s="423">
        <v>1.0026999999999999</v>
      </c>
      <c r="BB8" s="423">
        <v>1.0128999999999999</v>
      </c>
      <c r="BC8" s="423">
        <v>1.0005999999999999</v>
      </c>
      <c r="BD8" s="423">
        <v>1.0326</v>
      </c>
      <c r="BF8" s="422" t="s">
        <v>121</v>
      </c>
      <c r="BG8" s="423">
        <v>1.0757000000000001</v>
      </c>
      <c r="BH8" s="423">
        <v>1.0585</v>
      </c>
      <c r="BI8" s="423">
        <v>1.0485</v>
      </c>
      <c r="BJ8" s="423">
        <v>1.0098</v>
      </c>
      <c r="BK8" s="423">
        <v>1.0169999999999999</v>
      </c>
      <c r="BL8" s="423">
        <v>1.0072000000000001</v>
      </c>
      <c r="BM8" s="423">
        <v>1.0104</v>
      </c>
      <c r="BN8" s="423">
        <v>1.0343</v>
      </c>
      <c r="BO8" s="423">
        <v>1.0236000000000001</v>
      </c>
      <c r="BP8" s="423">
        <v>0.99450000000000005</v>
      </c>
      <c r="BQ8" s="423">
        <v>1.0011000000000001</v>
      </c>
      <c r="BR8" s="423">
        <v>1.0148999999999999</v>
      </c>
      <c r="BT8" s="422" t="s">
        <v>121</v>
      </c>
      <c r="BU8" s="423">
        <v>1.0133000000000001</v>
      </c>
      <c r="BV8" s="423">
        <v>0.99829999999999997</v>
      </c>
      <c r="BW8" s="423">
        <v>0.99880000000000002</v>
      </c>
      <c r="BX8" s="423">
        <v>1.0047999999999999</v>
      </c>
      <c r="BY8" s="423">
        <v>1.0330999999999999</v>
      </c>
      <c r="BZ8" s="423">
        <v>1.044</v>
      </c>
      <c r="CA8" s="423">
        <v>1.0357000000000001</v>
      </c>
      <c r="CB8" s="423">
        <v>1.0401</v>
      </c>
      <c r="CC8" s="423">
        <v>1.0335000000000001</v>
      </c>
      <c r="CD8" s="423">
        <v>1.0023</v>
      </c>
      <c r="CE8" s="423">
        <v>1.0181</v>
      </c>
      <c r="CF8" s="423">
        <v>1.0259</v>
      </c>
      <c r="CH8" s="422" t="s">
        <v>121</v>
      </c>
      <c r="CI8" s="423">
        <v>0.97660000000000002</v>
      </c>
      <c r="CJ8" s="423">
        <v>1.0031000000000001</v>
      </c>
      <c r="CK8" s="423">
        <v>1.044</v>
      </c>
      <c r="CL8" s="423">
        <v>1.0434000000000001</v>
      </c>
      <c r="CM8" s="423">
        <v>1.0065999999999999</v>
      </c>
      <c r="CN8" s="423">
        <v>1.0267999999999999</v>
      </c>
      <c r="CO8" s="423">
        <v>1.0331999999999999</v>
      </c>
      <c r="CP8" s="423">
        <v>1.0176000000000001</v>
      </c>
      <c r="CQ8" s="423">
        <v>1.0309999999999999</v>
      </c>
      <c r="CR8" s="423">
        <v>1.0103</v>
      </c>
      <c r="CS8" s="423">
        <v>0.9819</v>
      </c>
      <c r="CT8" s="423">
        <v>0.98419999999999996</v>
      </c>
      <c r="CV8" s="422" t="s">
        <v>121</v>
      </c>
      <c r="CW8" s="423">
        <v>1.087</v>
      </c>
      <c r="CX8" s="423">
        <v>1.0546</v>
      </c>
      <c r="CY8" s="423">
        <v>1.0294000000000001</v>
      </c>
      <c r="CZ8" s="423">
        <v>1.0670999999999999</v>
      </c>
      <c r="DA8" s="423">
        <v>1.0593999999999999</v>
      </c>
      <c r="DB8" s="423">
        <v>1.0691999999999999</v>
      </c>
      <c r="DC8" s="423">
        <v>1.04</v>
      </c>
      <c r="DD8" s="423">
        <v>1.0341</v>
      </c>
      <c r="DE8" s="423">
        <v>1.0236000000000001</v>
      </c>
      <c r="DF8" s="423">
        <v>1.0136000000000001</v>
      </c>
      <c r="DG8" s="423">
        <v>0.97260000000000002</v>
      </c>
      <c r="DH8" s="423">
        <v>0.99980000000000002</v>
      </c>
      <c r="DI8" s="424"/>
      <c r="DJ8" s="422" t="s">
        <v>121</v>
      </c>
      <c r="DK8" s="423">
        <v>1.1040000000000001</v>
      </c>
      <c r="DL8" s="423">
        <v>1.1352</v>
      </c>
      <c r="DM8" s="423">
        <v>1.1322000000000001</v>
      </c>
      <c r="DN8" s="423">
        <v>1.1357999999999999</v>
      </c>
      <c r="DO8" s="423">
        <v>1.1187</v>
      </c>
      <c r="DP8" s="423">
        <v>1.1277999999999999</v>
      </c>
      <c r="DQ8" s="423">
        <v>1.0996999999999999</v>
      </c>
      <c r="DR8" s="423">
        <v>1.0918000000000001</v>
      </c>
      <c r="DS8" s="423">
        <v>1.0466</v>
      </c>
      <c r="DT8" s="423">
        <v>1.0368999999999999</v>
      </c>
      <c r="DU8" s="423">
        <v>1.0378000000000001</v>
      </c>
      <c r="DV8" s="423">
        <v>1.0064</v>
      </c>
      <c r="DW8" s="424"/>
      <c r="DX8" s="422" t="s">
        <v>121</v>
      </c>
      <c r="DY8" s="423">
        <v>1.09842</v>
      </c>
      <c r="DZ8" s="423">
        <v>1.0716000000000001</v>
      </c>
      <c r="EA8" s="423">
        <v>1.0487</v>
      </c>
      <c r="EB8" s="423">
        <v>1.0763</v>
      </c>
      <c r="EC8" s="423">
        <v>1.042</v>
      </c>
      <c r="ED8" s="423">
        <v>1.0569999999999999</v>
      </c>
      <c r="EE8" s="423">
        <v>1.0762</v>
      </c>
      <c r="EF8" s="423">
        <v>1.0724</v>
      </c>
      <c r="EG8" s="423">
        <v>1.1060000000000001</v>
      </c>
      <c r="EH8" s="423">
        <v>1.1049</v>
      </c>
      <c r="EI8" s="423">
        <v>1.1067</v>
      </c>
      <c r="EJ8" s="423">
        <v>1.1246</v>
      </c>
      <c r="EK8" s="424"/>
      <c r="EL8" s="422" t="s">
        <v>121</v>
      </c>
      <c r="EM8" s="423">
        <v>1.0907500000000001</v>
      </c>
      <c r="EN8" s="423">
        <v>1.11632</v>
      </c>
      <c r="EO8" s="423">
        <v>1.1082799999999999</v>
      </c>
      <c r="EP8" s="423">
        <v>1.1012</v>
      </c>
      <c r="EQ8" s="423">
        <v>1.03125</v>
      </c>
      <c r="ER8" s="423">
        <v>1.05385</v>
      </c>
      <c r="ES8" s="423">
        <v>1.02302</v>
      </c>
      <c r="ET8" s="423">
        <v>1.04921</v>
      </c>
      <c r="EU8" s="423">
        <v>1.0661</v>
      </c>
      <c r="EV8" s="423">
        <v>1.07619</v>
      </c>
      <c r="EW8" s="423">
        <v>1.0782799999999999</v>
      </c>
      <c r="EX8" s="423">
        <v>1.09493</v>
      </c>
      <c r="EY8" s="424"/>
      <c r="EZ8" s="422" t="s">
        <v>121</v>
      </c>
      <c r="FA8" s="423">
        <v>1.0651900000000001</v>
      </c>
      <c r="FB8" s="423">
        <v>1.0768899999999999</v>
      </c>
      <c r="FC8" s="423">
        <v>1.0939700000000001</v>
      </c>
      <c r="FD8" s="423">
        <v>1.1541999999999999</v>
      </c>
      <c r="FE8" s="423">
        <v>1.17137</v>
      </c>
      <c r="FF8" s="423">
        <v>1.1868000000000001</v>
      </c>
      <c r="FG8" s="423">
        <v>1.27162</v>
      </c>
      <c r="FH8" s="423">
        <v>1.24116</v>
      </c>
      <c r="FI8" s="423">
        <v>1.1052200000000001</v>
      </c>
      <c r="FJ8" s="423">
        <v>1.1489</v>
      </c>
      <c r="FK8" s="423">
        <v>1.09842</v>
      </c>
      <c r="FL8" s="423">
        <v>1.0664400000000001</v>
      </c>
      <c r="FM8" s="424"/>
      <c r="FN8" s="422" t="s">
        <v>121</v>
      </c>
      <c r="FO8" s="423">
        <v>0.94867999999999997</v>
      </c>
      <c r="FP8" s="423">
        <v>0.93223</v>
      </c>
      <c r="FQ8" s="423">
        <v>0.95011999999999996</v>
      </c>
      <c r="FR8" s="423">
        <v>0.92781999999999998</v>
      </c>
      <c r="FS8" s="423">
        <v>0.86587999999999998</v>
      </c>
      <c r="FT8" s="423">
        <v>0.92739000000000005</v>
      </c>
      <c r="FU8" s="423">
        <v>0.95694000000000001</v>
      </c>
      <c r="FV8" s="423">
        <v>0.98668</v>
      </c>
      <c r="FW8" s="423">
        <v>1.0235399999999999</v>
      </c>
      <c r="FX8" s="423">
        <v>1.01698</v>
      </c>
      <c r="FY8" s="423">
        <v>1.0034099999999999</v>
      </c>
      <c r="FZ8" s="423">
        <v>1.0743400000000001</v>
      </c>
      <c r="GA8" s="424"/>
      <c r="GB8" s="422" t="s">
        <v>121</v>
      </c>
      <c r="GC8" s="423">
        <v>0.86185</v>
      </c>
      <c r="GD8" s="423">
        <v>0.85895999999999995</v>
      </c>
      <c r="GE8" s="423">
        <v>0.87788999999999995</v>
      </c>
      <c r="GF8" s="423">
        <v>0.87849999999999995</v>
      </c>
      <c r="GG8" s="423">
        <v>0.93606999999999996</v>
      </c>
      <c r="GH8" s="423">
        <v>0.91971000000000003</v>
      </c>
      <c r="GI8" s="423">
        <v>0.92927999999999999</v>
      </c>
      <c r="GJ8" s="423">
        <v>0.94616</v>
      </c>
      <c r="GK8" s="423">
        <v>0.96386000000000005</v>
      </c>
      <c r="GL8" s="423">
        <v>0.97618000000000005</v>
      </c>
      <c r="GM8" s="423">
        <v>0.99422999999999995</v>
      </c>
      <c r="GN8" s="423">
        <v>0.96777000000000002</v>
      </c>
      <c r="GO8" s="424"/>
      <c r="GP8" s="422" t="s">
        <v>121</v>
      </c>
      <c r="GQ8" s="423">
        <v>0.92293000000000003</v>
      </c>
      <c r="GR8" s="423">
        <v>0.95794999999999997</v>
      </c>
      <c r="GS8" s="423">
        <v>1.00786</v>
      </c>
      <c r="GT8" s="423">
        <v>0.96006000000000002</v>
      </c>
      <c r="GU8" s="423">
        <v>0.95740000000000003</v>
      </c>
      <c r="GV8" s="423">
        <v>0.98212999999999995</v>
      </c>
      <c r="GW8" s="423">
        <v>0.95428999999999997</v>
      </c>
      <c r="GX8" s="423">
        <v>0.90991999999999995</v>
      </c>
      <c r="GY8" s="423">
        <v>0.89237999999999995</v>
      </c>
      <c r="GZ8" s="423">
        <v>0.85992000000000002</v>
      </c>
      <c r="HA8" s="423">
        <v>0.82284000000000002</v>
      </c>
      <c r="HB8" s="423">
        <v>0.95011999999999996</v>
      </c>
      <c r="HC8" s="424"/>
      <c r="HD8" s="422" t="s">
        <v>121</v>
      </c>
      <c r="HE8" s="423">
        <v>0.80225000000000002</v>
      </c>
      <c r="HF8" s="423">
        <v>0.81879999999999997</v>
      </c>
      <c r="HG8" s="423">
        <v>0.82494999999999996</v>
      </c>
      <c r="HH8" s="423">
        <v>0.82891000000000004</v>
      </c>
      <c r="HI8" s="423">
        <v>0.81579000000000002</v>
      </c>
      <c r="HJ8" s="423">
        <v>0.81638999999999995</v>
      </c>
      <c r="HK8" s="423">
        <v>0.83111999999999997</v>
      </c>
      <c r="HL8" s="423">
        <v>0.82781000000000005</v>
      </c>
      <c r="HM8" s="423">
        <v>0.85660000000000003</v>
      </c>
      <c r="HN8" s="423">
        <v>0.86273999999999995</v>
      </c>
      <c r="HO8" s="423">
        <v>0.88605</v>
      </c>
      <c r="HP8" s="423">
        <v>0.88307999999999998</v>
      </c>
      <c r="HQ8" s="424"/>
      <c r="HR8" s="422" t="s">
        <v>121</v>
      </c>
      <c r="HS8" s="423">
        <v>0.78039999999999998</v>
      </c>
      <c r="HT8" s="423">
        <v>0.76185000000000003</v>
      </c>
      <c r="HU8" s="423">
        <v>0.76675000000000004</v>
      </c>
      <c r="HV8" s="423">
        <v>0.80391999999999997</v>
      </c>
      <c r="HW8" s="423">
        <v>0.82257000000000002</v>
      </c>
      <c r="HX8" s="423">
        <v>0.81613000000000002</v>
      </c>
      <c r="HY8" s="423">
        <v>0.81235000000000002</v>
      </c>
      <c r="HZ8" s="423">
        <v>0.81128999999999996</v>
      </c>
      <c r="IA8" s="423">
        <v>0.79757999999999996</v>
      </c>
      <c r="IB8" s="423">
        <v>0.80444000000000004</v>
      </c>
      <c r="IC8" s="423">
        <v>0.83459000000000005</v>
      </c>
      <c r="ID8" s="423">
        <v>0.81852999999999998</v>
      </c>
      <c r="IE8" s="424"/>
      <c r="IF8" s="422" t="s">
        <v>121</v>
      </c>
      <c r="IG8" s="423">
        <v>0.84111000000000002</v>
      </c>
      <c r="IH8" s="423">
        <v>0.86319000000000001</v>
      </c>
      <c r="II8" s="423">
        <v>0.83696000000000004</v>
      </c>
      <c r="IJ8" s="423">
        <v>0.84075999999999995</v>
      </c>
      <c r="IK8" s="423">
        <v>0.80354000000000003</v>
      </c>
      <c r="IL8" s="423">
        <v>0.77973000000000003</v>
      </c>
      <c r="IM8" s="423">
        <v>0.77747999999999995</v>
      </c>
      <c r="IN8" s="423">
        <v>0.79422000000000004</v>
      </c>
      <c r="IO8" s="423">
        <v>0.77729999999999999</v>
      </c>
      <c r="IP8" s="423">
        <v>0.77441000000000004</v>
      </c>
      <c r="IQ8" s="423">
        <v>0.76097999999999999</v>
      </c>
      <c r="IR8" s="423">
        <v>0.75878000000000001</v>
      </c>
    </row>
    <row r="9" spans="1:252" ht="22" customHeight="1" thickBot="1">
      <c r="A9" s="1" t="s">
        <v>297</v>
      </c>
      <c r="B9" s="422" t="s">
        <v>297</v>
      </c>
      <c r="C9" s="423">
        <v>0.15065999999999999</v>
      </c>
      <c r="D9" s="423">
        <v>0.15095</v>
      </c>
      <c r="E9" s="423">
        <v>0.14951999999999999</v>
      </c>
      <c r="F9" s="423">
        <v>0.14180000000000001</v>
      </c>
      <c r="G9" s="423">
        <v>0.14398</v>
      </c>
      <c r="H9" s="423">
        <v>0.14055999999999999</v>
      </c>
      <c r="I9" s="423">
        <v>0.13689999999999999</v>
      </c>
      <c r="J9" s="423">
        <v>0.13519999999999999</v>
      </c>
      <c r="K9" s="423">
        <v>0.13177</v>
      </c>
      <c r="L9" s="423">
        <v>0.13288</v>
      </c>
      <c r="M9" s="423">
        <v>0.13847999999999999</v>
      </c>
      <c r="N9" s="423">
        <v>0.14343</v>
      </c>
      <c r="P9" s="422" t="s">
        <v>297</v>
      </c>
      <c r="Q9" s="423">
        <v>0.16331000000000001</v>
      </c>
      <c r="R9" s="423">
        <v>0.16322</v>
      </c>
      <c r="S9" s="423">
        <v>0.15805</v>
      </c>
      <c r="T9" s="423">
        <v>0.16191</v>
      </c>
      <c r="U9" s="423">
        <v>0.16436999999999999</v>
      </c>
      <c r="V9" s="423">
        <v>0.15944</v>
      </c>
      <c r="W9" s="423">
        <v>0.15939999999999999</v>
      </c>
      <c r="X9" s="423">
        <v>0.15873000000000001</v>
      </c>
      <c r="Y9" s="423">
        <v>0.15584999999999999</v>
      </c>
      <c r="Z9" s="423">
        <v>0.15556</v>
      </c>
      <c r="AA9" s="423">
        <v>0.15143999999999999</v>
      </c>
      <c r="AB9" s="423">
        <v>0.15290999999999999</v>
      </c>
      <c r="AD9" s="422" t="s">
        <v>297</v>
      </c>
      <c r="AE9" s="423">
        <v>0.1484</v>
      </c>
      <c r="AF9" s="423">
        <v>0.14760000000000001</v>
      </c>
      <c r="AG9" s="423">
        <v>0.14702999999999999</v>
      </c>
      <c r="AH9" s="423">
        <v>0.14674999999999999</v>
      </c>
      <c r="AI9" s="423">
        <v>0.14927000000000001</v>
      </c>
      <c r="AJ9" s="423">
        <v>0.15065999999999999</v>
      </c>
      <c r="AK9" s="423">
        <v>0.15883</v>
      </c>
      <c r="AL9" s="423">
        <v>0.16067999999999999</v>
      </c>
      <c r="AM9" s="423">
        <v>0.15754000000000001</v>
      </c>
      <c r="AN9" s="423">
        <v>0.15687000000000001</v>
      </c>
      <c r="AO9" s="423">
        <v>0.16070999999999999</v>
      </c>
      <c r="AP9" s="423">
        <v>0.16436999999999999</v>
      </c>
      <c r="AR9" s="425" t="s">
        <v>297</v>
      </c>
      <c r="AS9" s="423">
        <v>0.15329999999999999</v>
      </c>
      <c r="AT9" s="423">
        <v>0.1525</v>
      </c>
      <c r="AU9" s="423">
        <v>0.15029999999999999</v>
      </c>
      <c r="AV9" s="423">
        <v>0.15029999999999999</v>
      </c>
      <c r="AW9" s="423">
        <v>0.14949999999999999</v>
      </c>
      <c r="AX9" s="423">
        <v>0.15229999999999999</v>
      </c>
      <c r="AY9" s="423">
        <v>0.14910000000000001</v>
      </c>
      <c r="AZ9" s="423">
        <v>0.1472</v>
      </c>
      <c r="BA9" s="423">
        <v>0.14599999999999999</v>
      </c>
      <c r="BB9" s="423">
        <v>0.1492</v>
      </c>
      <c r="BC9" s="423">
        <v>0.1474</v>
      </c>
      <c r="BD9" s="423">
        <v>0.1502</v>
      </c>
      <c r="BF9" s="422" t="s">
        <v>297</v>
      </c>
      <c r="BG9" s="423">
        <v>0.1668</v>
      </c>
      <c r="BH9" s="423">
        <v>0.16389999999999999</v>
      </c>
      <c r="BI9" s="423">
        <v>0.1651</v>
      </c>
      <c r="BJ9" s="423">
        <v>0.1623</v>
      </c>
      <c r="BK9" s="423">
        <v>0.15690000000000001</v>
      </c>
      <c r="BL9" s="423">
        <v>0.15659999999999999</v>
      </c>
      <c r="BM9" s="423">
        <v>0.157</v>
      </c>
      <c r="BN9" s="423">
        <v>0.15559999999999999</v>
      </c>
      <c r="BO9" s="423">
        <v>0.15579999999999999</v>
      </c>
      <c r="BP9" s="423">
        <v>0.15160000000000001</v>
      </c>
      <c r="BQ9" s="423">
        <v>0.15160000000000001</v>
      </c>
      <c r="BR9" s="423">
        <v>0.15329999999999999</v>
      </c>
      <c r="BT9" s="422"/>
      <c r="BU9" s="423"/>
      <c r="BV9" s="423"/>
      <c r="BW9" s="423"/>
      <c r="BX9" s="423"/>
      <c r="BY9" s="423"/>
      <c r="BZ9" s="423"/>
      <c r="CA9" s="423"/>
      <c r="CB9" s="423"/>
      <c r="CC9" s="423"/>
      <c r="CD9" s="423"/>
      <c r="CE9" s="423"/>
      <c r="CF9" s="423"/>
      <c r="CH9" s="422"/>
      <c r="CI9" s="423"/>
      <c r="CJ9" s="423"/>
      <c r="CK9" s="423"/>
      <c r="CL9" s="423"/>
      <c r="CM9" s="423"/>
      <c r="CN9" s="423"/>
      <c r="CO9" s="423"/>
      <c r="CP9" s="423"/>
      <c r="CQ9" s="423"/>
      <c r="CR9" s="423"/>
      <c r="CS9" s="423"/>
      <c r="CT9" s="423"/>
      <c r="CV9" s="422"/>
      <c r="CW9" s="423"/>
      <c r="CX9" s="423"/>
      <c r="CY9" s="423"/>
      <c r="CZ9" s="423"/>
      <c r="DA9" s="423"/>
      <c r="DB9" s="423"/>
      <c r="DC9" s="423"/>
      <c r="DD9" s="423"/>
      <c r="DE9" s="423"/>
      <c r="DF9" s="423"/>
      <c r="DG9" s="423"/>
      <c r="DH9" s="423"/>
      <c r="DI9" s="424"/>
      <c r="DJ9" s="422"/>
      <c r="DK9" s="423"/>
      <c r="DL9" s="423"/>
      <c r="DM9" s="423"/>
      <c r="DN9" s="423"/>
      <c r="DO9" s="423"/>
      <c r="DP9" s="423"/>
      <c r="DQ9" s="423"/>
      <c r="DR9" s="423"/>
      <c r="DS9" s="423"/>
      <c r="DT9" s="423"/>
      <c r="DU9" s="423"/>
      <c r="DV9" s="423"/>
      <c r="DW9" s="424"/>
      <c r="DX9" s="422"/>
      <c r="DY9" s="423"/>
      <c r="DZ9" s="423"/>
      <c r="EA9" s="423"/>
      <c r="EB9" s="423"/>
      <c r="EC9" s="423"/>
      <c r="ED9" s="423"/>
      <c r="EE9" s="423"/>
      <c r="EF9" s="423"/>
      <c r="EG9" s="423"/>
      <c r="EH9" s="423"/>
      <c r="EI9" s="423"/>
      <c r="EJ9" s="423"/>
      <c r="EK9" s="424"/>
      <c r="EL9" s="422"/>
      <c r="EM9" s="423"/>
      <c r="EN9" s="423"/>
      <c r="EO9" s="423"/>
      <c r="EP9" s="423"/>
      <c r="EQ9" s="423"/>
      <c r="ER9" s="423"/>
      <c r="ES9" s="423"/>
      <c r="ET9" s="423"/>
      <c r="EU9" s="423"/>
      <c r="EV9" s="423"/>
      <c r="EW9" s="423"/>
      <c r="EX9" s="423"/>
      <c r="EY9" s="424"/>
      <c r="EZ9" s="422"/>
      <c r="FA9" s="423"/>
      <c r="FB9" s="423"/>
      <c r="FC9" s="423"/>
      <c r="FD9" s="423"/>
      <c r="FE9" s="423"/>
      <c r="FF9" s="423"/>
      <c r="FG9" s="423"/>
      <c r="FH9" s="423"/>
      <c r="FI9" s="423"/>
      <c r="FJ9" s="423"/>
      <c r="FK9" s="423"/>
      <c r="FL9" s="423"/>
      <c r="FM9" s="424"/>
      <c r="FN9" s="422"/>
      <c r="FO9" s="423"/>
      <c r="FP9" s="423"/>
      <c r="FQ9" s="423"/>
      <c r="FR9" s="423"/>
      <c r="FS9" s="423"/>
      <c r="FT9" s="423"/>
      <c r="FU9" s="423"/>
      <c r="FV9" s="423"/>
      <c r="FW9" s="423"/>
      <c r="FX9" s="423"/>
      <c r="FY9" s="423"/>
      <c r="FZ9" s="423"/>
      <c r="GA9" s="424"/>
      <c r="GB9" s="422"/>
      <c r="GC9" s="423"/>
      <c r="GD9" s="423"/>
      <c r="GE9" s="423"/>
      <c r="GF9" s="423"/>
      <c r="GG9" s="423"/>
      <c r="GH9" s="423"/>
      <c r="GI9" s="423"/>
      <c r="GJ9" s="423"/>
      <c r="GK9" s="423"/>
      <c r="GL9" s="423"/>
      <c r="GM9" s="423"/>
      <c r="GN9" s="423"/>
      <c r="GO9" s="424"/>
      <c r="GP9" s="422"/>
      <c r="GQ9" s="423"/>
      <c r="GR9" s="423"/>
      <c r="GS9" s="423"/>
      <c r="GT9" s="423"/>
      <c r="GU9" s="423"/>
      <c r="GV9" s="423"/>
      <c r="GW9" s="423"/>
      <c r="GX9" s="423"/>
      <c r="GY9" s="423"/>
      <c r="GZ9" s="423"/>
      <c r="HA9" s="423"/>
      <c r="HB9" s="423"/>
      <c r="HC9" s="424"/>
      <c r="HD9" s="422"/>
      <c r="HE9" s="423"/>
      <c r="HF9" s="423"/>
      <c r="HG9" s="423"/>
      <c r="HH9" s="423"/>
      <c r="HI9" s="423"/>
      <c r="HJ9" s="423"/>
      <c r="HK9" s="423"/>
      <c r="HL9" s="423"/>
      <c r="HM9" s="423"/>
      <c r="HN9" s="423"/>
      <c r="HO9" s="423"/>
      <c r="HP9" s="423"/>
      <c r="HQ9" s="424"/>
      <c r="HR9" s="422"/>
      <c r="HS9" s="423"/>
      <c r="HT9" s="423"/>
      <c r="HU9" s="423"/>
      <c r="HV9" s="423"/>
      <c r="HW9" s="423"/>
      <c r="HX9" s="423"/>
      <c r="HY9" s="423"/>
      <c r="HZ9" s="423"/>
      <c r="IA9" s="423"/>
      <c r="IB9" s="423"/>
      <c r="IC9" s="423"/>
      <c r="ID9" s="423"/>
      <c r="IE9" s="424"/>
      <c r="IF9" s="422"/>
      <c r="IG9" s="423"/>
      <c r="IH9" s="423"/>
      <c r="II9" s="423"/>
      <c r="IJ9" s="423"/>
      <c r="IK9" s="423"/>
      <c r="IL9" s="423"/>
      <c r="IM9" s="423"/>
      <c r="IN9" s="423"/>
      <c r="IO9" s="423"/>
      <c r="IP9" s="423"/>
      <c r="IQ9" s="423"/>
      <c r="IR9" s="423"/>
    </row>
    <row r="10" spans="1:252" ht="22" customHeight="1" thickBot="1">
      <c r="A10" s="1" t="s">
        <v>122</v>
      </c>
      <c r="B10" s="422" t="s">
        <v>122</v>
      </c>
      <c r="C10" s="423">
        <v>1.1209499999999999</v>
      </c>
      <c r="D10" s="423">
        <v>1.1228499999999999</v>
      </c>
      <c r="E10" s="423">
        <v>1.11215</v>
      </c>
      <c r="F10" s="423">
        <v>1.0548999999999999</v>
      </c>
      <c r="G10" s="423">
        <v>1.07115</v>
      </c>
      <c r="H10" s="423">
        <v>1.0454000000000001</v>
      </c>
      <c r="I10" s="423">
        <v>1.0192000000000001</v>
      </c>
      <c r="J10" s="423">
        <v>1.0056</v>
      </c>
      <c r="K10" s="423">
        <v>0.9798</v>
      </c>
      <c r="L10" s="423">
        <v>0.98885000000000001</v>
      </c>
      <c r="M10" s="423">
        <v>1.0299499999999999</v>
      </c>
      <c r="N10" s="423">
        <v>1.0666500000000001</v>
      </c>
      <c r="P10" s="422" t="s">
        <v>122</v>
      </c>
      <c r="Q10" s="423">
        <v>1.2145999999999999</v>
      </c>
      <c r="R10" s="423">
        <v>1.2136499999999999</v>
      </c>
      <c r="S10" s="423">
        <v>1.1754500000000001</v>
      </c>
      <c r="T10" s="423">
        <v>1.2040500000000001</v>
      </c>
      <c r="U10" s="423">
        <v>1.22245</v>
      </c>
      <c r="V10" s="423">
        <v>1.1856</v>
      </c>
      <c r="W10" s="423">
        <v>1.1856500000000001</v>
      </c>
      <c r="X10" s="423">
        <v>1.18045</v>
      </c>
      <c r="Y10" s="423">
        <v>1.1588499999999999</v>
      </c>
      <c r="Z10" s="423">
        <v>1.1572499999999999</v>
      </c>
      <c r="AA10" s="423">
        <v>1.1262000000000001</v>
      </c>
      <c r="AB10" s="423">
        <v>1.1372500000000001</v>
      </c>
      <c r="AD10" s="422" t="s">
        <v>122</v>
      </c>
      <c r="AE10" s="423">
        <v>1.1077999999999999</v>
      </c>
      <c r="AF10" s="423">
        <v>1.0983499999999999</v>
      </c>
      <c r="AG10" s="423">
        <v>1.0972</v>
      </c>
      <c r="AH10" s="423">
        <v>1.0948</v>
      </c>
      <c r="AI10" s="423">
        <v>1.1126</v>
      </c>
      <c r="AJ10" s="423">
        <v>1.1228499999999999</v>
      </c>
      <c r="AK10" s="423">
        <v>1.18285</v>
      </c>
      <c r="AL10" s="423">
        <v>1.1960500000000001</v>
      </c>
      <c r="AM10" s="423">
        <v>1.17275</v>
      </c>
      <c r="AN10" s="423">
        <v>1.1678500000000001</v>
      </c>
      <c r="AO10" s="423">
        <v>1.19635</v>
      </c>
      <c r="AP10" s="423">
        <v>1.2234</v>
      </c>
      <c r="AR10" s="425" t="s">
        <v>122</v>
      </c>
      <c r="AS10" s="423">
        <v>1.1476</v>
      </c>
      <c r="AT10" s="423">
        <v>1.13855</v>
      </c>
      <c r="AU10" s="423">
        <v>1.1226499999999999</v>
      </c>
      <c r="AV10" s="423">
        <v>1.1208499999999999</v>
      </c>
      <c r="AW10" s="423">
        <v>1.1146</v>
      </c>
      <c r="AX10" s="423">
        <v>1.1386499999999999</v>
      </c>
      <c r="AY10" s="423">
        <v>1.1134999999999999</v>
      </c>
      <c r="AZ10" s="423">
        <v>1.10155</v>
      </c>
      <c r="BA10" s="423">
        <v>1.0902499999999999</v>
      </c>
      <c r="BB10" s="423">
        <v>1.11405</v>
      </c>
      <c r="BC10" s="423">
        <v>1.1025499999999999</v>
      </c>
      <c r="BD10" s="423">
        <v>1.1225000000000001</v>
      </c>
      <c r="BF10" s="422" t="s">
        <v>122</v>
      </c>
      <c r="BG10" s="423">
        <v>1.2459</v>
      </c>
      <c r="BH10" s="423">
        <v>1.2198500000000001</v>
      </c>
      <c r="BI10" s="423">
        <v>1.2350000000000001</v>
      </c>
      <c r="BJ10" s="423">
        <v>1.2080500000000001</v>
      </c>
      <c r="BK10" s="423">
        <v>1.1673500000000001</v>
      </c>
      <c r="BL10" s="423">
        <v>1.1674500000000001</v>
      </c>
      <c r="BM10" s="423">
        <v>1.17015</v>
      </c>
      <c r="BN10" s="423">
        <v>1.1636500000000001</v>
      </c>
      <c r="BO10" s="423">
        <v>1.1613</v>
      </c>
      <c r="BP10" s="423">
        <v>1.1318999999999999</v>
      </c>
      <c r="BQ10" s="423">
        <v>1.13235</v>
      </c>
      <c r="BR10" s="423">
        <v>1.1434</v>
      </c>
      <c r="BT10" s="422" t="s">
        <v>122</v>
      </c>
      <c r="BU10" s="423">
        <v>1.0804499999999999</v>
      </c>
      <c r="BV10" s="423">
        <v>1.0624</v>
      </c>
      <c r="BW10" s="423">
        <v>1.06925</v>
      </c>
      <c r="BX10" s="423">
        <v>1.0889500000000001</v>
      </c>
      <c r="BY10" s="423">
        <v>1.12425</v>
      </c>
      <c r="BZ10" s="423">
        <v>1.1403000000000001</v>
      </c>
      <c r="CA10" s="423">
        <v>1.1787000000000001</v>
      </c>
      <c r="CB10" s="423">
        <v>1.18855</v>
      </c>
      <c r="CC10" s="423">
        <v>1.18215</v>
      </c>
      <c r="CD10" s="423">
        <v>1.1638999999999999</v>
      </c>
      <c r="CE10" s="423">
        <v>1.1920500000000001</v>
      </c>
      <c r="CF10" s="423">
        <v>1.20055</v>
      </c>
      <c r="CH10" s="422" t="s">
        <v>122</v>
      </c>
      <c r="CI10" s="423">
        <v>1.0825</v>
      </c>
      <c r="CJ10" s="423">
        <v>1.0867</v>
      </c>
      <c r="CK10" s="423">
        <v>1.1395</v>
      </c>
      <c r="CL10" s="423">
        <v>1.1451</v>
      </c>
      <c r="CM10" s="423">
        <v>1.1136999999999999</v>
      </c>
      <c r="CN10" s="423">
        <v>1.1114999999999999</v>
      </c>
      <c r="CO10" s="423">
        <v>1.1176999999999999</v>
      </c>
      <c r="CP10" s="423">
        <v>1.1134999999999999</v>
      </c>
      <c r="CQ10" s="423">
        <v>1.1234</v>
      </c>
      <c r="CR10" s="423">
        <v>1.0943000000000001</v>
      </c>
      <c r="CS10" s="423">
        <v>1.0608</v>
      </c>
      <c r="CT10" s="423">
        <v>1.0549999999999999</v>
      </c>
      <c r="CV10" s="422" t="s">
        <v>122</v>
      </c>
      <c r="CW10" s="423">
        <v>1.1284000000000001</v>
      </c>
      <c r="CX10" s="423">
        <v>1.1215999999999999</v>
      </c>
      <c r="CY10" s="423">
        <v>1.0742</v>
      </c>
      <c r="CZ10" s="423">
        <v>1.1201000000000001</v>
      </c>
      <c r="DA10" s="423">
        <v>1.0962000000000001</v>
      </c>
      <c r="DB10" s="423">
        <v>1.1141000000000001</v>
      </c>
      <c r="DC10" s="423">
        <v>1.1047</v>
      </c>
      <c r="DD10" s="423">
        <v>1.1207</v>
      </c>
      <c r="DE10" s="423">
        <v>1.1165</v>
      </c>
      <c r="DF10" s="423">
        <v>1.1052</v>
      </c>
      <c r="DG10" s="423">
        <v>1.0564</v>
      </c>
      <c r="DH10" s="423">
        <v>1.087</v>
      </c>
      <c r="DI10" s="424"/>
      <c r="DJ10" s="422" t="s">
        <v>122</v>
      </c>
      <c r="DK10" s="423">
        <v>1.3484</v>
      </c>
      <c r="DL10" s="423">
        <v>1.3811</v>
      </c>
      <c r="DM10" s="423">
        <v>1.3783000000000001</v>
      </c>
      <c r="DN10" s="423">
        <v>1.3864000000000001</v>
      </c>
      <c r="DO10" s="423">
        <v>1.3646</v>
      </c>
      <c r="DP10" s="423">
        <v>1.3691</v>
      </c>
      <c r="DQ10" s="423">
        <v>1.3381000000000001</v>
      </c>
      <c r="DR10" s="423">
        <v>1.3171999999999999</v>
      </c>
      <c r="DS10" s="423">
        <v>1.2633000000000001</v>
      </c>
      <c r="DT10" s="423">
        <v>1.2506999999999999</v>
      </c>
      <c r="DU10" s="423">
        <v>1.2465999999999999</v>
      </c>
      <c r="DV10" s="423">
        <v>1.2101</v>
      </c>
      <c r="DW10" s="424"/>
      <c r="DX10" s="422" t="s">
        <v>122</v>
      </c>
      <c r="DY10" s="423">
        <v>1.3573999999999999</v>
      </c>
      <c r="DZ10" s="423">
        <v>1.3072999999999999</v>
      </c>
      <c r="EA10" s="423">
        <v>1.2769999999999999</v>
      </c>
      <c r="EB10" s="423">
        <v>1.3185</v>
      </c>
      <c r="EC10" s="423">
        <v>1.296</v>
      </c>
      <c r="ED10" s="423">
        <v>1.3</v>
      </c>
      <c r="EE10" s="423">
        <v>1.3279000000000001</v>
      </c>
      <c r="EF10" s="423">
        <v>1.3185</v>
      </c>
      <c r="EG10" s="423">
        <v>1.3534999999999999</v>
      </c>
      <c r="EH10" s="423">
        <v>1.3617999999999999</v>
      </c>
      <c r="EI10" s="423">
        <v>1.3614999999999999</v>
      </c>
      <c r="EJ10" s="423">
        <v>1.3779999999999999</v>
      </c>
      <c r="EK10" s="424"/>
      <c r="EL10" s="422" t="s">
        <v>122</v>
      </c>
      <c r="EM10" s="423">
        <v>1.3141</v>
      </c>
      <c r="EN10" s="423">
        <v>1.3454999999999999</v>
      </c>
      <c r="EO10" s="423">
        <v>1.3344</v>
      </c>
      <c r="EP10" s="423">
        <v>1.3229</v>
      </c>
      <c r="EQ10" s="423">
        <v>1.2383999999999999</v>
      </c>
      <c r="ER10" s="423">
        <v>1.2669999999999999</v>
      </c>
      <c r="ES10" s="423">
        <v>1.2293000000000001</v>
      </c>
      <c r="ET10" s="423">
        <v>1.2599</v>
      </c>
      <c r="EU10" s="423">
        <v>1.2895000000000001</v>
      </c>
      <c r="EV10" s="423">
        <v>1.2989999999999999</v>
      </c>
      <c r="EW10" s="423">
        <v>1.2996000000000001</v>
      </c>
      <c r="EX10" s="423">
        <v>1.3218000000000001</v>
      </c>
      <c r="EY10" s="424"/>
      <c r="EZ10" s="422" t="s">
        <v>122</v>
      </c>
      <c r="FA10" s="423">
        <v>1.3716999999999999</v>
      </c>
      <c r="FB10" s="423">
        <v>1.3813</v>
      </c>
      <c r="FC10" s="423">
        <v>1.4181999999999999</v>
      </c>
      <c r="FD10" s="423">
        <v>1.4838</v>
      </c>
      <c r="FE10" s="423">
        <v>1.4408000000000001</v>
      </c>
      <c r="FF10" s="423">
        <v>1.4468000000000001</v>
      </c>
      <c r="FG10" s="423">
        <v>1.4387000000000001</v>
      </c>
      <c r="FH10" s="423">
        <v>1.4440999999999999</v>
      </c>
      <c r="FI10" s="423">
        <v>1.3431999999999999</v>
      </c>
      <c r="FJ10" s="423">
        <v>1.3991</v>
      </c>
      <c r="FK10" s="423">
        <v>1.3480000000000001</v>
      </c>
      <c r="FL10" s="423">
        <v>1.298</v>
      </c>
      <c r="FM10" s="424"/>
      <c r="FN10" s="422" t="s">
        <v>122</v>
      </c>
      <c r="FO10" s="423">
        <v>1.39</v>
      </c>
      <c r="FP10" s="423">
        <v>1.3646</v>
      </c>
      <c r="FQ10" s="423">
        <v>1.3524</v>
      </c>
      <c r="FR10" s="423">
        <v>1.3294999999999999</v>
      </c>
      <c r="FS10" s="423">
        <v>1.2264999999999999</v>
      </c>
      <c r="FT10" s="423">
        <v>1.2244999999999999</v>
      </c>
      <c r="FU10" s="423">
        <v>1.3032999999999999</v>
      </c>
      <c r="FV10" s="423">
        <v>1.2712000000000001</v>
      </c>
      <c r="FW10" s="423">
        <v>1.3646</v>
      </c>
      <c r="FX10" s="423">
        <v>1.39</v>
      </c>
      <c r="FY10" s="423">
        <v>1.3017000000000001</v>
      </c>
      <c r="FZ10" s="423">
        <v>1.3411999999999999</v>
      </c>
      <c r="GA10" s="424"/>
      <c r="GB10" s="422" t="s">
        <v>122</v>
      </c>
      <c r="GC10" s="423">
        <v>1.2815000000000001</v>
      </c>
      <c r="GD10" s="423">
        <v>1.2704</v>
      </c>
      <c r="GE10" s="423">
        <v>1.3261000000000001</v>
      </c>
      <c r="GF10" s="423">
        <v>1.3260000000000001</v>
      </c>
      <c r="GG10" s="423">
        <v>1.4131</v>
      </c>
      <c r="GH10" s="423">
        <v>1.4028</v>
      </c>
      <c r="GI10" s="423">
        <v>1.4175</v>
      </c>
      <c r="GJ10" s="423">
        <v>1.4349000000000001</v>
      </c>
      <c r="GK10" s="423">
        <v>1.4619</v>
      </c>
      <c r="GL10" s="423">
        <v>1.4751000000000001</v>
      </c>
      <c r="GM10" s="423">
        <v>1.4993000000000001</v>
      </c>
      <c r="GN10" s="423">
        <v>1.4347000000000001</v>
      </c>
      <c r="GO10" s="424"/>
      <c r="GP10" s="422" t="s">
        <v>122</v>
      </c>
      <c r="GQ10" s="423">
        <v>1.4815</v>
      </c>
      <c r="GR10" s="423">
        <v>1.5178</v>
      </c>
      <c r="GS10" s="423">
        <v>1.58</v>
      </c>
      <c r="GT10" s="423">
        <v>1.5568</v>
      </c>
      <c r="GU10" s="423">
        <v>1.5537000000000001</v>
      </c>
      <c r="GV10" s="423">
        <v>1.5762</v>
      </c>
      <c r="GW10" s="423">
        <v>1.5598000000000001</v>
      </c>
      <c r="GX10" s="423">
        <v>1.4705999999999999</v>
      </c>
      <c r="GY10" s="423">
        <v>1.4048</v>
      </c>
      <c r="GZ10" s="423">
        <v>1.2714000000000001</v>
      </c>
      <c r="HA10" s="423">
        <v>1.2682</v>
      </c>
      <c r="HB10" s="423">
        <v>1.4139999999999999</v>
      </c>
      <c r="HC10" s="424"/>
      <c r="HD10" s="422" t="s">
        <v>122</v>
      </c>
      <c r="HE10" s="423">
        <v>1.2998000000000001</v>
      </c>
      <c r="HF10" s="423">
        <v>1.3207</v>
      </c>
      <c r="HG10" s="423">
        <v>1.3373999999999999</v>
      </c>
      <c r="HH10" s="423">
        <v>1.3648</v>
      </c>
      <c r="HI10" s="423">
        <v>1.3452</v>
      </c>
      <c r="HJ10" s="423">
        <v>1.351</v>
      </c>
      <c r="HK10" s="423">
        <v>1.3693</v>
      </c>
      <c r="HL10" s="423">
        <v>1.3632</v>
      </c>
      <c r="HM10" s="423">
        <v>1.423</v>
      </c>
      <c r="HN10" s="423">
        <v>1.4463999999999999</v>
      </c>
      <c r="HO10" s="423">
        <v>1.4681</v>
      </c>
      <c r="HP10" s="423">
        <v>1.4611000000000001</v>
      </c>
      <c r="HQ10" s="424"/>
      <c r="HR10" s="422" t="s">
        <v>122</v>
      </c>
      <c r="HS10" s="423">
        <v>1.2138</v>
      </c>
      <c r="HT10" s="423">
        <v>1.1913</v>
      </c>
      <c r="HU10" s="423">
        <v>1.2115</v>
      </c>
      <c r="HV10" s="423">
        <v>1.2595000000000001</v>
      </c>
      <c r="HW10" s="423">
        <v>1.2836000000000001</v>
      </c>
      <c r="HX10" s="423">
        <v>1.2773000000000001</v>
      </c>
      <c r="HY10" s="423">
        <v>1.276</v>
      </c>
      <c r="HZ10" s="423">
        <v>1.2801</v>
      </c>
      <c r="IA10" s="423">
        <v>1.2664</v>
      </c>
      <c r="IB10" s="423">
        <v>1.2766999999999999</v>
      </c>
      <c r="IC10" s="423">
        <v>1.3251999999999999</v>
      </c>
      <c r="ID10" s="423">
        <v>1.3165</v>
      </c>
      <c r="IE10" s="424"/>
      <c r="IF10" s="422" t="s">
        <v>122</v>
      </c>
      <c r="IG10" s="423">
        <v>1.3028999999999999</v>
      </c>
      <c r="IH10" s="423">
        <v>1.3267</v>
      </c>
      <c r="II10" s="423">
        <v>1.2967</v>
      </c>
      <c r="IJ10" s="423">
        <v>1.2924</v>
      </c>
      <c r="IK10" s="423">
        <v>1.2350000000000001</v>
      </c>
      <c r="IL10" s="423">
        <v>1.2085999999999999</v>
      </c>
      <c r="IM10" s="423">
        <v>1.2134</v>
      </c>
      <c r="IN10" s="423">
        <v>1.2287999999999999</v>
      </c>
      <c r="IO10" s="423">
        <v>1.2075</v>
      </c>
      <c r="IP10" s="423">
        <v>1.1976</v>
      </c>
      <c r="IQ10" s="423">
        <v>1.1786000000000001</v>
      </c>
      <c r="IR10" s="423">
        <v>1.1791</v>
      </c>
    </row>
    <row r="11" spans="1:252" ht="22" customHeight="1" thickBot="1">
      <c r="A11" s="1" t="s">
        <v>123</v>
      </c>
      <c r="B11" s="422" t="s">
        <v>123</v>
      </c>
      <c r="C11" s="423">
        <v>1.34175</v>
      </c>
      <c r="D11" s="423">
        <v>1.34165</v>
      </c>
      <c r="E11" s="423">
        <v>1.3162499999999999</v>
      </c>
      <c r="F11" s="423">
        <v>1.2557499999999999</v>
      </c>
      <c r="G11" s="423">
        <v>1.2598</v>
      </c>
      <c r="H11" s="423">
        <v>1.21475</v>
      </c>
      <c r="I11" s="423">
        <v>1.2162500000000001</v>
      </c>
      <c r="J11" s="423">
        <v>1.1639999999999999</v>
      </c>
      <c r="K11" s="423">
        <v>1.1164499999999999</v>
      </c>
      <c r="L11" s="423">
        <v>1.1499999999999999</v>
      </c>
      <c r="M11" s="423">
        <v>1.1911499999999999</v>
      </c>
      <c r="N11" s="423">
        <v>1.2027000000000001</v>
      </c>
      <c r="P11" s="422" t="s">
        <v>123</v>
      </c>
      <c r="Q11" s="423">
        <v>1.3728499999999999</v>
      </c>
      <c r="R11" s="423">
        <v>1.3982000000000001</v>
      </c>
      <c r="S11" s="423">
        <v>1.38</v>
      </c>
      <c r="T11" s="423">
        <v>1.3849499999999999</v>
      </c>
      <c r="U11" s="423">
        <v>1.4209499999999999</v>
      </c>
      <c r="V11" s="423">
        <v>1.3815500000000001</v>
      </c>
      <c r="W11" s="423">
        <v>1.39045</v>
      </c>
      <c r="X11" s="423">
        <v>1.3764000000000001</v>
      </c>
      <c r="Y11" s="423">
        <v>1.3482000000000001</v>
      </c>
      <c r="Z11" s="423">
        <v>1.3708</v>
      </c>
      <c r="AA11" s="423">
        <v>1.3238000000000001</v>
      </c>
      <c r="AB11" s="423">
        <v>1.3546499999999999</v>
      </c>
      <c r="AD11" s="422" t="s">
        <v>123</v>
      </c>
      <c r="AE11" s="423">
        <v>1.3179000000000001</v>
      </c>
      <c r="AF11" s="423">
        <v>1.2774000000000001</v>
      </c>
      <c r="AG11" s="423">
        <v>1.2403999999999999</v>
      </c>
      <c r="AH11" s="423">
        <v>1.26075</v>
      </c>
      <c r="AI11" s="423">
        <v>1.2372000000000001</v>
      </c>
      <c r="AJ11" s="423">
        <v>1.2358499999999999</v>
      </c>
      <c r="AK11" s="423">
        <v>1.3126</v>
      </c>
      <c r="AL11" s="423">
        <v>1.3388500000000001</v>
      </c>
      <c r="AM11" s="423">
        <v>1.29295</v>
      </c>
      <c r="AN11" s="423">
        <v>1.29355</v>
      </c>
      <c r="AO11" s="423">
        <v>1.3347500000000001</v>
      </c>
      <c r="AP11" s="423">
        <v>1.3664000000000001</v>
      </c>
      <c r="AR11" s="425" t="s">
        <v>123</v>
      </c>
      <c r="AS11" s="423">
        <v>1.31545</v>
      </c>
      <c r="AT11" s="423">
        <v>1.3292999999999999</v>
      </c>
      <c r="AU11" s="423">
        <v>1.3</v>
      </c>
      <c r="AV11" s="423">
        <v>1.304</v>
      </c>
      <c r="AW11" s="423">
        <v>1.26065</v>
      </c>
      <c r="AX11" s="423">
        <v>1.27275</v>
      </c>
      <c r="AY11" s="423">
        <v>1.2241500000000001</v>
      </c>
      <c r="AZ11" s="423">
        <v>1.2181999999999999</v>
      </c>
      <c r="BA11" s="423">
        <v>1.23255</v>
      </c>
      <c r="BB11" s="423">
        <v>1.2932999999999999</v>
      </c>
      <c r="BC11" s="423">
        <v>1.29325</v>
      </c>
      <c r="BD11" s="423">
        <v>1.3244</v>
      </c>
      <c r="BF11" s="422" t="s">
        <v>123</v>
      </c>
      <c r="BG11" s="423">
        <v>1.4212</v>
      </c>
      <c r="BH11" s="423">
        <v>1.37805</v>
      </c>
      <c r="BI11" s="423">
        <v>1.4100999999999999</v>
      </c>
      <c r="BJ11" s="423">
        <v>1.3773</v>
      </c>
      <c r="BK11" s="423">
        <v>1.3311999999999999</v>
      </c>
      <c r="BL11" s="423">
        <v>1.3202499999999999</v>
      </c>
      <c r="BM11" s="423">
        <v>1.31155</v>
      </c>
      <c r="BN11" s="423">
        <v>1.2998000000000001</v>
      </c>
      <c r="BO11" s="423">
        <v>1.3038000000000001</v>
      </c>
      <c r="BP11" s="423">
        <v>1.27685</v>
      </c>
      <c r="BQ11" s="423">
        <v>1.27545</v>
      </c>
      <c r="BR11" s="423">
        <v>1.2746</v>
      </c>
      <c r="BT11" s="422" t="s">
        <v>123</v>
      </c>
      <c r="BU11" s="423">
        <v>1.2580499999999999</v>
      </c>
      <c r="BV11" s="423">
        <v>1.244</v>
      </c>
      <c r="BW11" s="423">
        <v>1.2498</v>
      </c>
      <c r="BX11" s="423">
        <v>1.2934000000000001</v>
      </c>
      <c r="BY11" s="423">
        <v>1.2904</v>
      </c>
      <c r="BZ11" s="423">
        <v>1.2982</v>
      </c>
      <c r="CA11" s="423">
        <v>1.31765</v>
      </c>
      <c r="CB11" s="423">
        <v>1.2884</v>
      </c>
      <c r="CC11" s="423">
        <v>1.3412999999999999</v>
      </c>
      <c r="CD11" s="423">
        <v>1.3244</v>
      </c>
      <c r="CE11" s="423">
        <v>1.35365</v>
      </c>
      <c r="CF11" s="423">
        <v>1.3530500000000001</v>
      </c>
      <c r="CH11" s="422" t="s">
        <v>123</v>
      </c>
      <c r="CI11" s="423">
        <v>1.4194</v>
      </c>
      <c r="CJ11" s="423">
        <v>1.3935999999999999</v>
      </c>
      <c r="CK11" s="423">
        <v>1.4375</v>
      </c>
      <c r="CL11" s="423">
        <v>1.4642999999999999</v>
      </c>
      <c r="CM11" s="423">
        <v>1.4554</v>
      </c>
      <c r="CN11" s="423">
        <v>1.3421000000000001</v>
      </c>
      <c r="CO11" s="423">
        <v>1.3269</v>
      </c>
      <c r="CP11" s="423">
        <v>1.31</v>
      </c>
      <c r="CQ11" s="423">
        <v>1.2983</v>
      </c>
      <c r="CR11" s="423">
        <v>1.2155</v>
      </c>
      <c r="CS11" s="423">
        <v>1.2483</v>
      </c>
      <c r="CT11" s="423">
        <v>1.2358</v>
      </c>
      <c r="CV11" s="422" t="s">
        <v>123</v>
      </c>
      <c r="CW11" s="423">
        <v>1.5018</v>
      </c>
      <c r="CX11" s="423">
        <v>1.5450999999999999</v>
      </c>
      <c r="CY11" s="423">
        <v>1.4846999999999999</v>
      </c>
      <c r="CZ11" s="423">
        <v>1.5367</v>
      </c>
      <c r="DA11" s="423">
        <v>1.5261</v>
      </c>
      <c r="DB11" s="423">
        <v>1.5729</v>
      </c>
      <c r="DC11" s="423">
        <v>1.5607</v>
      </c>
      <c r="DD11" s="423">
        <v>1.5378000000000001</v>
      </c>
      <c r="DE11" s="423">
        <v>1.5147999999999999</v>
      </c>
      <c r="DF11" s="423">
        <v>1.5390999999999999</v>
      </c>
      <c r="DG11" s="423">
        <v>1.5049999999999999</v>
      </c>
      <c r="DH11" s="423">
        <v>1.4746999999999999</v>
      </c>
      <c r="DI11" s="424"/>
      <c r="DJ11" s="422" t="s">
        <v>123</v>
      </c>
      <c r="DK11" s="423">
        <v>1.6434</v>
      </c>
      <c r="DL11" s="423">
        <v>1.6758</v>
      </c>
      <c r="DM11" s="423">
        <v>1.6673</v>
      </c>
      <c r="DN11" s="423">
        <v>1.6884999999999999</v>
      </c>
      <c r="DO11" s="423">
        <v>1.6774</v>
      </c>
      <c r="DP11" s="423">
        <v>1.7097</v>
      </c>
      <c r="DQ11" s="423">
        <v>1.6881999999999999</v>
      </c>
      <c r="DR11" s="423">
        <v>1.6607000000000001</v>
      </c>
      <c r="DS11" s="423">
        <v>1.6212</v>
      </c>
      <c r="DT11" s="423">
        <v>1.5974999999999999</v>
      </c>
      <c r="DU11" s="423">
        <v>1.5663</v>
      </c>
      <c r="DV11" s="423">
        <v>1.5591999999999999</v>
      </c>
      <c r="DW11" s="424"/>
      <c r="DX11" s="422" t="s">
        <v>123</v>
      </c>
      <c r="DY11" s="423">
        <v>1.5854999999999999</v>
      </c>
      <c r="DZ11" s="423">
        <v>1.5179</v>
      </c>
      <c r="EA11" s="423">
        <v>1.5108999999999999</v>
      </c>
      <c r="EB11" s="423">
        <v>1.5564</v>
      </c>
      <c r="EC11" s="423">
        <v>1.516</v>
      </c>
      <c r="ED11" s="423">
        <v>1.5295000000000001</v>
      </c>
      <c r="EE11" s="423">
        <v>1.5163</v>
      </c>
      <c r="EF11" s="423">
        <v>1.5470999999999999</v>
      </c>
      <c r="EG11" s="423">
        <v>1.6194</v>
      </c>
      <c r="EH11" s="423">
        <v>1.6052999999999999</v>
      </c>
      <c r="EI11" s="423">
        <v>1.6382000000000001</v>
      </c>
      <c r="EJ11" s="423">
        <v>1.6560999999999999</v>
      </c>
      <c r="EK11" s="424"/>
      <c r="EL11" s="422" t="s">
        <v>123</v>
      </c>
      <c r="EM11" s="423">
        <v>1.5782</v>
      </c>
      <c r="EN11" s="423">
        <v>1.5973999999999999</v>
      </c>
      <c r="EO11" s="423">
        <v>1.5983000000000001</v>
      </c>
      <c r="EP11" s="423">
        <v>1.6248</v>
      </c>
      <c r="EQ11" s="423">
        <v>1.5447</v>
      </c>
      <c r="ER11" s="423">
        <v>1.5685</v>
      </c>
      <c r="ES11" s="423">
        <v>1.5639000000000001</v>
      </c>
      <c r="ET11" s="423">
        <v>1.5863</v>
      </c>
      <c r="EU11" s="423">
        <v>1.6145</v>
      </c>
      <c r="EV11" s="423">
        <v>1.6112</v>
      </c>
      <c r="EW11" s="423">
        <v>1.5998000000000001</v>
      </c>
      <c r="EX11" s="423">
        <v>1.6249</v>
      </c>
      <c r="EY11" s="424"/>
      <c r="EZ11" s="422" t="s">
        <v>123</v>
      </c>
      <c r="FA11" s="423">
        <v>1.6021000000000001</v>
      </c>
      <c r="FB11" s="423">
        <v>1.6267</v>
      </c>
      <c r="FC11" s="423">
        <v>1.6045</v>
      </c>
      <c r="FD11" s="423">
        <v>1.6631</v>
      </c>
      <c r="FE11" s="423">
        <v>1.6478999999999999</v>
      </c>
      <c r="FF11" s="423">
        <v>1.6004</v>
      </c>
      <c r="FG11" s="423">
        <v>1.6417999999999999</v>
      </c>
      <c r="FH11" s="423">
        <v>1.6316999999999999</v>
      </c>
      <c r="FI11" s="423">
        <v>1.5562</v>
      </c>
      <c r="FJ11" s="423">
        <v>1.6043000000000001</v>
      </c>
      <c r="FK11" s="423">
        <v>1.5741000000000001</v>
      </c>
      <c r="FL11" s="423">
        <v>1.5541</v>
      </c>
      <c r="FM11" s="424"/>
      <c r="FN11" s="422" t="s">
        <v>123</v>
      </c>
      <c r="FO11" s="423">
        <v>1.6025</v>
      </c>
      <c r="FP11" s="423">
        <v>1.5218</v>
      </c>
      <c r="FQ11" s="423">
        <v>1.518</v>
      </c>
      <c r="FR11" s="423">
        <v>1.5315000000000001</v>
      </c>
      <c r="FS11" s="423">
        <v>1.4530000000000001</v>
      </c>
      <c r="FT11" s="423">
        <v>1.4961</v>
      </c>
      <c r="FU11" s="423">
        <v>1.5667</v>
      </c>
      <c r="FV11" s="423">
        <v>1.5367999999999999</v>
      </c>
      <c r="FW11" s="423">
        <v>1.5751999999999999</v>
      </c>
      <c r="FX11" s="423">
        <v>1.5985</v>
      </c>
      <c r="FY11" s="423">
        <v>1.5570999999999999</v>
      </c>
      <c r="FZ11" s="423">
        <v>1.5656000000000001</v>
      </c>
      <c r="GA11" s="424"/>
      <c r="GB11" s="422" t="s">
        <v>123</v>
      </c>
      <c r="GC11" s="423">
        <v>1.4407000000000001</v>
      </c>
      <c r="GD11" s="423">
        <v>1.4244000000000001</v>
      </c>
      <c r="GE11" s="423">
        <v>1.4306000000000001</v>
      </c>
      <c r="GF11" s="423">
        <v>1.4826999999999999</v>
      </c>
      <c r="GG11" s="423">
        <v>1.6116999999999999</v>
      </c>
      <c r="GH11" s="423">
        <v>1.6466000000000001</v>
      </c>
      <c r="GI11" s="423">
        <v>1.6573</v>
      </c>
      <c r="GJ11" s="423">
        <v>1.6287</v>
      </c>
      <c r="GK11" s="423">
        <v>1.5998000000000001</v>
      </c>
      <c r="GL11" s="423">
        <v>1.6483000000000001</v>
      </c>
      <c r="GM11" s="423">
        <v>1.6411</v>
      </c>
      <c r="GN11" s="423">
        <v>1.6147</v>
      </c>
      <c r="GO11" s="424"/>
      <c r="GP11" s="422" t="s">
        <v>123</v>
      </c>
      <c r="GQ11" s="423">
        <v>1.9879</v>
      </c>
      <c r="GR11" s="423">
        <v>1.9883999999999999</v>
      </c>
      <c r="GS11" s="423">
        <v>1.9851000000000001</v>
      </c>
      <c r="GT11" s="423">
        <v>1.9799</v>
      </c>
      <c r="GU11" s="423">
        <v>1.976</v>
      </c>
      <c r="GV11" s="423">
        <v>1.9908999999999999</v>
      </c>
      <c r="GW11" s="423">
        <v>1.9806999999999999</v>
      </c>
      <c r="GX11" s="423">
        <v>1.8248</v>
      </c>
      <c r="GY11" s="423">
        <v>1.7818000000000001</v>
      </c>
      <c r="GZ11" s="423">
        <v>1.6183000000000001</v>
      </c>
      <c r="HA11" s="423">
        <v>1.5317000000000001</v>
      </c>
      <c r="HB11" s="423">
        <v>1.4426000000000001</v>
      </c>
      <c r="HC11" s="424"/>
      <c r="HD11" s="422" t="s">
        <v>123</v>
      </c>
      <c r="HE11" s="423">
        <v>1.9578</v>
      </c>
      <c r="HF11" s="423">
        <v>1.9593</v>
      </c>
      <c r="HG11" s="423">
        <v>1.9689000000000001</v>
      </c>
      <c r="HH11" s="423">
        <v>1.9998</v>
      </c>
      <c r="HI11" s="423">
        <v>1.9774</v>
      </c>
      <c r="HJ11" s="423">
        <v>2.0057</v>
      </c>
      <c r="HK11" s="423">
        <v>2.0320999999999998</v>
      </c>
      <c r="HL11" s="423">
        <v>2.0165000000000002</v>
      </c>
      <c r="HM11" s="423">
        <v>2.0375999999999999</v>
      </c>
      <c r="HN11" s="423">
        <v>2.077</v>
      </c>
      <c r="HO11" s="423">
        <v>2.0546000000000002</v>
      </c>
      <c r="HP11" s="423">
        <v>1.9884999999999999</v>
      </c>
      <c r="HQ11" s="424"/>
      <c r="HR11" s="422" t="s">
        <v>123</v>
      </c>
      <c r="HS11" s="423">
        <v>1.7773000000000001</v>
      </c>
      <c r="HT11" s="423">
        <v>1.7514000000000001</v>
      </c>
      <c r="HU11" s="423">
        <v>1.7373000000000001</v>
      </c>
      <c r="HV11" s="423">
        <v>1.8173999999999999</v>
      </c>
      <c r="HW11" s="423">
        <v>1.8714</v>
      </c>
      <c r="HX11" s="423">
        <v>1.8486</v>
      </c>
      <c r="HY11" s="423">
        <v>1.8664000000000001</v>
      </c>
      <c r="HZ11" s="423">
        <v>1.9025000000000001</v>
      </c>
      <c r="IA11" s="423">
        <v>1.8666</v>
      </c>
      <c r="IB11" s="423">
        <v>1.9081999999999999</v>
      </c>
      <c r="IC11" s="423">
        <v>1.9664999999999999</v>
      </c>
      <c r="ID11" s="423">
        <v>1.9581</v>
      </c>
      <c r="IE11" s="424"/>
      <c r="IF11" s="422" t="s">
        <v>123</v>
      </c>
      <c r="IG11" s="423">
        <v>1.8861000000000001</v>
      </c>
      <c r="IH11" s="423">
        <v>1.9255</v>
      </c>
      <c r="II11" s="423">
        <v>1.8886000000000001</v>
      </c>
      <c r="IJ11" s="423">
        <v>1.9109</v>
      </c>
      <c r="IK11" s="423">
        <v>1.8228</v>
      </c>
      <c r="IL11" s="423">
        <v>1.7921</v>
      </c>
      <c r="IM11" s="423">
        <v>1.7579</v>
      </c>
      <c r="IN11" s="423">
        <v>1.7965</v>
      </c>
      <c r="IO11" s="423">
        <v>1.7726</v>
      </c>
      <c r="IP11" s="423">
        <v>1.7695000000000001</v>
      </c>
      <c r="IQ11" s="423">
        <v>1.7323</v>
      </c>
      <c r="IR11" s="423">
        <v>1.7188000000000001</v>
      </c>
    </row>
    <row r="12" spans="1:252" ht="22" customHeight="1" thickBot="1">
      <c r="A12" s="1" t="s">
        <v>124</v>
      </c>
      <c r="B12" s="422" t="s">
        <v>124</v>
      </c>
      <c r="C12" s="423">
        <v>8.6800000000000002E-3</v>
      </c>
      <c r="D12" s="423">
        <v>8.6800000000000002E-3</v>
      </c>
      <c r="E12" s="423">
        <v>8.2400000000000008E-3</v>
      </c>
      <c r="F12" s="423">
        <v>7.7200000000000003E-3</v>
      </c>
      <c r="G12" s="423">
        <v>7.77E-3</v>
      </c>
      <c r="H12" s="423">
        <v>7.3600000000000002E-3</v>
      </c>
      <c r="I12" s="423">
        <v>7.4799999999999997E-3</v>
      </c>
      <c r="J12" s="423">
        <v>7.2199999999999999E-3</v>
      </c>
      <c r="K12" s="423">
        <v>6.9100000000000003E-3</v>
      </c>
      <c r="L12" s="423">
        <v>6.7200000000000003E-3</v>
      </c>
      <c r="M12" s="423">
        <v>7.1700000000000002E-3</v>
      </c>
      <c r="N12" s="423">
        <v>7.5700000000000003E-3</v>
      </c>
      <c r="P12" s="422" t="s">
        <v>124</v>
      </c>
      <c r="Q12" s="423">
        <v>9.5499999999999995E-3</v>
      </c>
      <c r="R12" s="423">
        <v>9.3799999999999994E-3</v>
      </c>
      <c r="S12" s="423">
        <v>9.0500000000000008E-3</v>
      </c>
      <c r="T12" s="423">
        <v>9.1500000000000001E-3</v>
      </c>
      <c r="U12" s="423">
        <v>9.1400000000000006E-3</v>
      </c>
      <c r="V12" s="423">
        <v>9.0100000000000006E-3</v>
      </c>
      <c r="W12" s="423">
        <v>9.11E-3</v>
      </c>
      <c r="X12" s="423">
        <v>9.11E-3</v>
      </c>
      <c r="Y12" s="423">
        <v>8.9599999999999992E-3</v>
      </c>
      <c r="Z12" s="423">
        <v>8.77E-3</v>
      </c>
      <c r="AA12" s="423">
        <v>8.8100000000000001E-3</v>
      </c>
      <c r="AB12" s="423">
        <v>8.6899999999999998E-3</v>
      </c>
      <c r="AD12" s="422" t="s">
        <v>124</v>
      </c>
      <c r="AE12" s="423">
        <v>9.2200000000000008E-3</v>
      </c>
      <c r="AF12" s="423">
        <v>9.2700000000000005E-3</v>
      </c>
      <c r="AG12" s="423">
        <v>7.4000000000000003E-3</v>
      </c>
      <c r="AH12" s="423">
        <v>9.3500000000000007E-3</v>
      </c>
      <c r="AI12" s="423">
        <v>9.2899999999999996E-3</v>
      </c>
      <c r="AJ12" s="423">
        <v>9.2700000000000005E-3</v>
      </c>
      <c r="AK12" s="423">
        <v>9.4599999999999997E-3</v>
      </c>
      <c r="AL12" s="423">
        <v>9.4299999999999991E-3</v>
      </c>
      <c r="AM12" s="423">
        <v>9.4800000000000006E-3</v>
      </c>
      <c r="AN12" s="423">
        <v>9.5499999999999995E-3</v>
      </c>
      <c r="AO12" s="423">
        <v>9.5899999999999996E-3</v>
      </c>
      <c r="AP12" s="423">
        <v>9.6900000000000007E-3</v>
      </c>
      <c r="AR12" s="425" t="s">
        <v>124</v>
      </c>
      <c r="AS12" s="423">
        <v>9.1900000000000003E-3</v>
      </c>
      <c r="AT12" s="423">
        <v>8.9800000000000001E-3</v>
      </c>
      <c r="AU12" s="423">
        <v>9.0200000000000002E-3</v>
      </c>
      <c r="AV12" s="423">
        <v>8.9800000000000001E-3</v>
      </c>
      <c r="AW12" s="423">
        <v>9.2099999999999994E-3</v>
      </c>
      <c r="AX12" s="423">
        <v>9.2899999999999996E-3</v>
      </c>
      <c r="AY12" s="423">
        <v>9.2099999999999994E-3</v>
      </c>
      <c r="AZ12" s="423">
        <v>9.4199999999999996E-3</v>
      </c>
      <c r="BA12" s="423">
        <v>9.2499999999999995E-3</v>
      </c>
      <c r="BB12" s="423">
        <v>9.2399999999999999E-3</v>
      </c>
      <c r="BC12" s="423">
        <v>9.1299999999999992E-3</v>
      </c>
      <c r="BD12" s="423">
        <v>9.1999999999999998E-3</v>
      </c>
      <c r="BF12" s="422" t="s">
        <v>124</v>
      </c>
      <c r="BG12" s="423">
        <v>9.1599999999999997E-3</v>
      </c>
      <c r="BH12" s="423">
        <v>9.3699999999999999E-3</v>
      </c>
      <c r="BI12" s="423">
        <v>9.4199999999999996E-3</v>
      </c>
      <c r="BJ12" s="423">
        <v>9.1400000000000006E-3</v>
      </c>
      <c r="BK12" s="423">
        <v>9.2099999999999994E-3</v>
      </c>
      <c r="BL12" s="423">
        <v>9.0299999999999998E-3</v>
      </c>
      <c r="BM12" s="423">
        <v>8.94E-3</v>
      </c>
      <c r="BN12" s="423">
        <v>9.0200000000000002E-3</v>
      </c>
      <c r="BO12" s="423">
        <v>8.8000000000000005E-3</v>
      </c>
      <c r="BP12" s="423">
        <v>8.8400000000000006E-3</v>
      </c>
      <c r="BQ12" s="423">
        <v>7.9000000000000008E-3</v>
      </c>
      <c r="BR12" s="423">
        <v>9.11E-3</v>
      </c>
      <c r="BT12" s="422" t="s">
        <v>124</v>
      </c>
      <c r="BU12" s="423">
        <v>8.8900000000000003E-3</v>
      </c>
      <c r="BV12" s="423">
        <v>8.94E-3</v>
      </c>
      <c r="BW12" s="423">
        <v>8.9700000000000005E-3</v>
      </c>
      <c r="BX12" s="423">
        <v>8.9700000000000005E-3</v>
      </c>
      <c r="BY12" s="423">
        <v>9.0399999999999994E-3</v>
      </c>
      <c r="BZ12" s="423">
        <v>8.8999999999999999E-3</v>
      </c>
      <c r="CA12" s="423">
        <v>9.0500000000000008E-3</v>
      </c>
      <c r="CB12" s="423">
        <v>9.0900000000000009E-3</v>
      </c>
      <c r="CC12" s="423">
        <v>8.8900000000000003E-3</v>
      </c>
      <c r="CD12" s="423">
        <v>8.8199999999999997E-3</v>
      </c>
      <c r="CE12" s="423">
        <v>8.94E-3</v>
      </c>
      <c r="CF12" s="423">
        <v>8.8800000000000007E-3</v>
      </c>
      <c r="CH12" s="422" t="s">
        <v>124</v>
      </c>
      <c r="CI12" s="423">
        <v>8.26E-3</v>
      </c>
      <c r="CJ12" s="423">
        <v>8.8599999999999998E-3</v>
      </c>
      <c r="CK12" s="423">
        <v>8.8999999999999999E-3</v>
      </c>
      <c r="CL12" s="423">
        <v>9.3399999999999993E-3</v>
      </c>
      <c r="CM12" s="423">
        <v>9.0200000000000002E-3</v>
      </c>
      <c r="CN12" s="423">
        <v>9.7400000000000004E-3</v>
      </c>
      <c r="CO12" s="423">
        <v>9.75E-3</v>
      </c>
      <c r="CP12" s="423">
        <v>9.6699999999999998E-3</v>
      </c>
      <c r="CQ12" s="423">
        <v>9.8700000000000003E-3</v>
      </c>
      <c r="CR12" s="423">
        <v>9.5200000000000007E-3</v>
      </c>
      <c r="CS12" s="423">
        <v>8.7799999999999996E-3</v>
      </c>
      <c r="CT12" s="423">
        <v>8.5800000000000008E-3</v>
      </c>
      <c r="CV12" s="422" t="s">
        <v>124</v>
      </c>
      <c r="CW12" s="423">
        <v>8.5100000000000002E-3</v>
      </c>
      <c r="CX12" s="423">
        <v>8.3700000000000007E-3</v>
      </c>
      <c r="CY12" s="423">
        <v>8.3400000000000002E-3</v>
      </c>
      <c r="CZ12" s="423">
        <v>8.3599999999999994E-3</v>
      </c>
      <c r="DA12" s="423">
        <v>8.0599999999999995E-3</v>
      </c>
      <c r="DB12" s="423">
        <v>8.1700000000000002E-3</v>
      </c>
      <c r="DC12" s="423">
        <v>8.0700000000000008E-3</v>
      </c>
      <c r="DD12" s="423">
        <v>8.2500000000000004E-3</v>
      </c>
      <c r="DE12" s="423">
        <v>8.3499999999999998E-3</v>
      </c>
      <c r="DF12" s="423">
        <v>8.3000000000000001E-3</v>
      </c>
      <c r="DG12" s="423">
        <v>8.1099999999999992E-3</v>
      </c>
      <c r="DH12" s="423">
        <v>8.3199999999999993E-3</v>
      </c>
      <c r="DI12" s="424"/>
      <c r="DJ12" s="422" t="s">
        <v>124</v>
      </c>
      <c r="DK12" s="423">
        <v>9.8099999999999993E-3</v>
      </c>
      <c r="DL12" s="423">
        <v>9.7999999999999997E-3</v>
      </c>
      <c r="DM12" s="423">
        <v>9.7099999999999999E-3</v>
      </c>
      <c r="DN12" s="423">
        <v>9.7900000000000001E-3</v>
      </c>
      <c r="DO12" s="423">
        <v>9.8300000000000002E-3</v>
      </c>
      <c r="DP12" s="423">
        <v>9.8700000000000003E-3</v>
      </c>
      <c r="DQ12" s="423">
        <v>9.7300000000000008E-3</v>
      </c>
      <c r="DR12" s="423">
        <v>9.6299999999999997E-3</v>
      </c>
      <c r="DS12" s="423">
        <v>9.1199999999999996E-3</v>
      </c>
      <c r="DT12" s="423">
        <v>8.9099999999999995E-3</v>
      </c>
      <c r="DU12" s="423">
        <v>8.43E-3</v>
      </c>
      <c r="DV12" s="423">
        <v>8.3400000000000002E-3</v>
      </c>
      <c r="DW12" s="424"/>
      <c r="DX12" s="422" t="s">
        <v>124</v>
      </c>
      <c r="DY12" s="423">
        <v>1.0959999999999999E-2</v>
      </c>
      <c r="DZ12" s="423">
        <v>1.0840000000000001E-2</v>
      </c>
      <c r="EA12" s="423">
        <v>1.061E-2</v>
      </c>
      <c r="EB12" s="423">
        <v>1.027E-2</v>
      </c>
      <c r="EC12" s="423">
        <v>9.9100000000000004E-3</v>
      </c>
      <c r="ED12" s="423">
        <v>1.0070000000000001E-2</v>
      </c>
      <c r="EE12" s="423">
        <v>1.017E-2</v>
      </c>
      <c r="EF12" s="423">
        <v>1.0189999999999999E-2</v>
      </c>
      <c r="EG12" s="423">
        <v>1.0189999999999999E-2</v>
      </c>
      <c r="EH12" s="423">
        <v>1.017E-2</v>
      </c>
      <c r="EI12" s="423">
        <v>9.7699999999999992E-3</v>
      </c>
      <c r="EJ12" s="423">
        <v>9.5200000000000007E-3</v>
      </c>
      <c r="EK12" s="424"/>
      <c r="EL12" s="422" t="s">
        <v>124</v>
      </c>
      <c r="EM12" s="423">
        <v>1.312E-2</v>
      </c>
      <c r="EN12" s="423">
        <v>1.243E-2</v>
      </c>
      <c r="EO12" s="423">
        <v>1.2160000000000001E-2</v>
      </c>
      <c r="EP12" s="423">
        <v>1.251E-2</v>
      </c>
      <c r="EQ12" s="423">
        <v>1.274E-2</v>
      </c>
      <c r="ER12" s="423">
        <v>1.257E-2</v>
      </c>
      <c r="ES12" s="423">
        <v>1.278E-2</v>
      </c>
      <c r="ET12" s="423">
        <v>1.2760000000000001E-2</v>
      </c>
      <c r="EU12" s="423">
        <v>1.286E-2</v>
      </c>
      <c r="EV12" s="423">
        <v>1.252E-2</v>
      </c>
      <c r="EW12" s="423">
        <v>1.2120000000000001E-2</v>
      </c>
      <c r="EX12" s="423">
        <v>1.158E-2</v>
      </c>
      <c r="EY12" s="424"/>
      <c r="EZ12" s="422" t="s">
        <v>124</v>
      </c>
      <c r="FA12" s="423">
        <v>1.2200000000000001E-2</v>
      </c>
      <c r="FB12" s="423">
        <v>1.221E-2</v>
      </c>
      <c r="FC12" s="423">
        <v>1.2070000000000001E-2</v>
      </c>
      <c r="FD12" s="423">
        <v>1.2279999999999999E-2</v>
      </c>
      <c r="FE12" s="423">
        <v>1.2279999999999999E-2</v>
      </c>
      <c r="FF12" s="423">
        <v>1.2409999999999999E-2</v>
      </c>
      <c r="FG12" s="423">
        <v>1.298E-2</v>
      </c>
      <c r="FH12" s="423">
        <v>1.304E-2</v>
      </c>
      <c r="FI12" s="423">
        <v>1.302E-2</v>
      </c>
      <c r="FJ12" s="423">
        <v>1.282E-2</v>
      </c>
      <c r="FK12" s="423">
        <v>1.29E-2</v>
      </c>
      <c r="FL12" s="423">
        <v>1.2959999999999999E-2</v>
      </c>
      <c r="FM12" s="424"/>
      <c r="FN12" s="422" t="s">
        <v>124</v>
      </c>
      <c r="FO12" s="423">
        <v>1.103E-2</v>
      </c>
      <c r="FP12" s="423">
        <v>1.125E-2</v>
      </c>
      <c r="FQ12" s="423">
        <v>1.0710000000000001E-2</v>
      </c>
      <c r="FR12" s="423">
        <v>1.064E-2</v>
      </c>
      <c r="FS12" s="423">
        <v>1.098E-2</v>
      </c>
      <c r="FT12" s="423">
        <v>1.1299999999999999E-2</v>
      </c>
      <c r="FU12" s="423">
        <v>1.154E-2</v>
      </c>
      <c r="FV12" s="423">
        <v>1.191E-2</v>
      </c>
      <c r="FW12" s="423">
        <v>1.1979999999999999E-2</v>
      </c>
      <c r="FX12" s="423">
        <v>1.2409999999999999E-2</v>
      </c>
      <c r="FY12" s="423">
        <v>1.1939999999999999E-2</v>
      </c>
      <c r="FZ12" s="423">
        <v>1.235E-2</v>
      </c>
      <c r="GA12" s="424"/>
      <c r="GB12" s="422" t="s">
        <v>124</v>
      </c>
      <c r="GC12" s="423">
        <v>1.1140000000000001E-2</v>
      </c>
      <c r="GD12" s="423">
        <v>1.023E-2</v>
      </c>
      <c r="GE12" s="423">
        <v>1.009E-2</v>
      </c>
      <c r="GF12" s="423">
        <v>1.0160000000000001E-2</v>
      </c>
      <c r="GG12" s="423">
        <v>1.0460000000000001E-2</v>
      </c>
      <c r="GH12" s="423">
        <v>1.0370000000000001E-2</v>
      </c>
      <c r="GI12" s="423">
        <v>1.0500000000000001E-2</v>
      </c>
      <c r="GJ12" s="423">
        <v>1.0789999999999999E-2</v>
      </c>
      <c r="GK12" s="423">
        <v>1.116E-2</v>
      </c>
      <c r="GL12" s="423">
        <v>1.1050000000000001E-2</v>
      </c>
      <c r="GM12" s="423">
        <v>1.1599999999999999E-2</v>
      </c>
      <c r="GN12" s="423">
        <v>1.0749999999999999E-2</v>
      </c>
      <c r="GO12" s="424"/>
      <c r="GP12" s="422" t="s">
        <v>124</v>
      </c>
      <c r="GQ12" s="423">
        <v>9.41E-3</v>
      </c>
      <c r="GR12" s="423">
        <v>9.6100000000000005E-3</v>
      </c>
      <c r="GS12" s="423">
        <v>1.001E-2</v>
      </c>
      <c r="GT12" s="423">
        <v>9.5700000000000004E-3</v>
      </c>
      <c r="GU12" s="423">
        <v>9.4699999999999993E-3</v>
      </c>
      <c r="GV12" s="423">
        <v>9.4400000000000005E-3</v>
      </c>
      <c r="GW12" s="423">
        <v>9.2499999999999995E-3</v>
      </c>
      <c r="GX12" s="423">
        <v>9.2099999999999994E-3</v>
      </c>
      <c r="GY12" s="423">
        <v>9.4199999999999996E-3</v>
      </c>
      <c r="GZ12" s="423">
        <v>1.017E-2</v>
      </c>
      <c r="HA12" s="423">
        <v>1.0500000000000001E-2</v>
      </c>
      <c r="HB12" s="423">
        <v>1.1089999999999999E-2</v>
      </c>
      <c r="HC12" s="424"/>
      <c r="HD12" s="422" t="s">
        <v>124</v>
      </c>
      <c r="HE12" s="423">
        <v>8.2699999999999996E-3</v>
      </c>
      <c r="HF12" s="423">
        <v>8.4399999999999996E-3</v>
      </c>
      <c r="HG12" s="423">
        <v>8.5100000000000002E-3</v>
      </c>
      <c r="HH12" s="423">
        <v>8.3700000000000007E-3</v>
      </c>
      <c r="HI12" s="423">
        <v>8.2100000000000003E-3</v>
      </c>
      <c r="HJ12" s="423">
        <v>8.0999999999999996E-3</v>
      </c>
      <c r="HK12" s="423">
        <v>8.3999999999999995E-3</v>
      </c>
      <c r="HL12" s="423">
        <v>8.6300000000000005E-3</v>
      </c>
      <c r="HM12" s="423">
        <v>8.6999999999999994E-3</v>
      </c>
      <c r="HN12" s="423">
        <v>8.6700000000000006E-3</v>
      </c>
      <c r="HO12" s="423">
        <v>8.9999999999999993E-3</v>
      </c>
      <c r="HP12" s="423">
        <v>8.9499999999999996E-3</v>
      </c>
      <c r="HQ12" s="424"/>
      <c r="HR12" s="422" t="s">
        <v>124</v>
      </c>
      <c r="HS12" s="423">
        <v>8.5400000000000007E-3</v>
      </c>
      <c r="HT12" s="423">
        <v>8.6300000000000005E-3</v>
      </c>
      <c r="HU12" s="423">
        <v>8.5000000000000006E-3</v>
      </c>
      <c r="HV12" s="423">
        <v>8.7600000000000004E-3</v>
      </c>
      <c r="HW12" s="423">
        <v>8.8999999999999999E-3</v>
      </c>
      <c r="HX12" s="423">
        <v>8.7500000000000008E-3</v>
      </c>
      <c r="HY12" s="423">
        <v>8.7399999999999995E-3</v>
      </c>
      <c r="HZ12" s="423">
        <v>8.5299999999999994E-3</v>
      </c>
      <c r="IA12" s="423">
        <v>8.4700000000000001E-3</v>
      </c>
      <c r="IB12" s="423">
        <v>8.5400000000000007E-3</v>
      </c>
      <c r="IC12" s="423">
        <v>8.6499999999999997E-3</v>
      </c>
      <c r="ID12" s="423">
        <v>8.3899999999999999E-3</v>
      </c>
      <c r="IE12" s="424"/>
      <c r="IF12" s="422" t="s">
        <v>124</v>
      </c>
      <c r="IG12" s="423">
        <v>9.6600000000000002E-3</v>
      </c>
      <c r="IH12" s="423">
        <v>9.5999999999999992E-3</v>
      </c>
      <c r="II12" s="423">
        <v>9.3299999999999998E-3</v>
      </c>
      <c r="IJ12" s="423">
        <v>9.5399999999999999E-3</v>
      </c>
      <c r="IK12" s="423">
        <v>9.2800000000000001E-3</v>
      </c>
      <c r="IL12" s="423">
        <v>9.0200000000000002E-3</v>
      </c>
      <c r="IM12" s="423">
        <v>8.9099999999999995E-3</v>
      </c>
      <c r="IN12" s="423">
        <v>8.9999999999999993E-3</v>
      </c>
      <c r="IO12" s="423">
        <v>8.8500000000000002E-3</v>
      </c>
      <c r="IP12" s="423">
        <v>8.5900000000000004E-3</v>
      </c>
      <c r="IQ12" s="423">
        <v>8.3700000000000007E-3</v>
      </c>
      <c r="IR12" s="423">
        <v>8.4799999999999997E-3</v>
      </c>
    </row>
    <row r="13" spans="1:252" ht="22" customHeight="1" thickBot="1">
      <c r="A13" s="1" t="s">
        <v>125</v>
      </c>
      <c r="B13" s="422" t="s">
        <v>125</v>
      </c>
      <c r="C13" s="423">
        <v>0.11210000000000001</v>
      </c>
      <c r="D13" s="423">
        <v>0.1137</v>
      </c>
      <c r="E13" s="423">
        <v>0.1143</v>
      </c>
      <c r="F13" s="423">
        <v>0.1074</v>
      </c>
      <c r="G13" s="423">
        <v>0.10639999999999999</v>
      </c>
      <c r="H13" s="423">
        <v>0.1012</v>
      </c>
      <c r="I13" s="423">
        <v>0.10340000000000001</v>
      </c>
      <c r="J13" s="423">
        <v>0.1008</v>
      </c>
      <c r="K13" s="423">
        <v>9.1800000000000007E-2</v>
      </c>
      <c r="L13" s="423">
        <v>9.6100000000000005E-2</v>
      </c>
      <c r="M13" s="423">
        <v>0.1004</v>
      </c>
      <c r="N13" s="423">
        <v>0.1014</v>
      </c>
      <c r="P13" s="422" t="s">
        <v>125</v>
      </c>
      <c r="Q13" s="423">
        <v>0.1169</v>
      </c>
      <c r="R13" s="423">
        <v>0.1162</v>
      </c>
      <c r="S13" s="423">
        <v>0.1172</v>
      </c>
      <c r="T13" s="423">
        <v>0.12039999999999999</v>
      </c>
      <c r="U13" s="423">
        <v>0.1202</v>
      </c>
      <c r="V13" s="423">
        <v>0.1162</v>
      </c>
      <c r="W13" s="423">
        <v>0.1132</v>
      </c>
      <c r="X13" s="423">
        <v>0.1149</v>
      </c>
      <c r="Y13" s="423">
        <v>0.1145</v>
      </c>
      <c r="Z13" s="423">
        <v>0.1182</v>
      </c>
      <c r="AA13" s="423">
        <v>0.10979999999999999</v>
      </c>
      <c r="AB13" s="423">
        <v>0.1134</v>
      </c>
      <c r="AD13" s="422" t="s">
        <v>125</v>
      </c>
      <c r="AE13" s="423">
        <v>0.10879999999999999</v>
      </c>
      <c r="AF13" s="423">
        <v>0.1061</v>
      </c>
      <c r="AG13" s="423">
        <v>9.5100000000000004E-2</v>
      </c>
      <c r="AH13" s="423">
        <v>9.7799999999999998E-2</v>
      </c>
      <c r="AI13" s="423">
        <v>0.10290000000000001</v>
      </c>
      <c r="AJ13" s="423">
        <v>0.1036</v>
      </c>
      <c r="AK13" s="423">
        <v>0.1101</v>
      </c>
      <c r="AL13" s="423">
        <v>0.1152</v>
      </c>
      <c r="AM13" s="423">
        <v>0.1069</v>
      </c>
      <c r="AN13" s="423">
        <v>0.105</v>
      </c>
      <c r="AO13" s="423">
        <v>0.1129</v>
      </c>
      <c r="AP13" s="423">
        <v>0.1168</v>
      </c>
      <c r="AR13" s="425" t="s">
        <v>125</v>
      </c>
      <c r="AS13" s="423">
        <v>0.11849999999999999</v>
      </c>
      <c r="AT13" s="423">
        <v>0.1169</v>
      </c>
      <c r="AU13" s="423">
        <v>0.11609999999999999</v>
      </c>
      <c r="AV13" s="423">
        <v>0.11600000000000001</v>
      </c>
      <c r="AW13" s="423">
        <v>0.1142</v>
      </c>
      <c r="AX13" s="423">
        <v>0.1172</v>
      </c>
      <c r="AY13" s="423">
        <v>0.114</v>
      </c>
      <c r="AZ13" s="423">
        <v>0.1096</v>
      </c>
      <c r="BA13" s="423">
        <v>0.1099</v>
      </c>
      <c r="BB13" s="423">
        <v>0.1087</v>
      </c>
      <c r="BC13" s="423">
        <v>0.1085</v>
      </c>
      <c r="BD13" s="423">
        <v>0.1139</v>
      </c>
      <c r="BF13" s="422" t="s">
        <v>125</v>
      </c>
      <c r="BG13" s="423">
        <v>0.12970000000000001</v>
      </c>
      <c r="BH13" s="423">
        <v>0.12670000000000001</v>
      </c>
      <c r="BI13" s="423">
        <v>0.12690000000000001</v>
      </c>
      <c r="BJ13" s="423">
        <v>0.1249</v>
      </c>
      <c r="BK13" s="423">
        <v>0.1222</v>
      </c>
      <c r="BL13" s="423">
        <v>0.1225</v>
      </c>
      <c r="BM13" s="423">
        <v>0.1227</v>
      </c>
      <c r="BN13" s="423">
        <v>0.1192</v>
      </c>
      <c r="BO13" s="423">
        <v>0.1229</v>
      </c>
      <c r="BP13" s="423">
        <v>0.11849999999999999</v>
      </c>
      <c r="BQ13" s="423">
        <v>0.1163</v>
      </c>
      <c r="BR13" s="423">
        <v>0.11550000000000001</v>
      </c>
      <c r="BT13" s="422" t="s">
        <v>125</v>
      </c>
      <c r="BU13" s="423">
        <v>0.1212</v>
      </c>
      <c r="BV13" s="423">
        <v>0.11940000000000001</v>
      </c>
      <c r="BW13" s="423">
        <v>0.11650000000000001</v>
      </c>
      <c r="BX13" s="423">
        <v>0.1167</v>
      </c>
      <c r="BY13" s="423">
        <v>0.11840000000000001</v>
      </c>
      <c r="BZ13" s="423">
        <v>0.11940000000000001</v>
      </c>
      <c r="CA13" s="423">
        <v>0.1265</v>
      </c>
      <c r="CB13" s="423">
        <v>0.12859999999999999</v>
      </c>
      <c r="CC13" s="423">
        <v>0.1255</v>
      </c>
      <c r="CD13" s="423">
        <v>0.12230000000000001</v>
      </c>
      <c r="CE13" s="423">
        <v>0.1205</v>
      </c>
      <c r="CF13" s="423">
        <v>0.1221</v>
      </c>
      <c r="CH13" s="422" t="s">
        <v>125</v>
      </c>
      <c r="CI13" s="423">
        <v>0.1149</v>
      </c>
      <c r="CJ13" s="423">
        <v>0.115</v>
      </c>
      <c r="CK13" s="423">
        <v>0.12089999999999999</v>
      </c>
      <c r="CL13" s="423">
        <v>0.12379999999999999</v>
      </c>
      <c r="CM13" s="423">
        <v>0.1196</v>
      </c>
      <c r="CN13" s="423">
        <v>0.11890000000000001</v>
      </c>
      <c r="CO13" s="423">
        <v>0.11849999999999999</v>
      </c>
      <c r="CP13" s="423">
        <v>0.12</v>
      </c>
      <c r="CQ13" s="423">
        <v>0.12520000000000001</v>
      </c>
      <c r="CR13" s="423">
        <v>0.121</v>
      </c>
      <c r="CS13" s="423">
        <v>0.1174</v>
      </c>
      <c r="CT13" s="423">
        <v>0.1158</v>
      </c>
      <c r="CV13" s="422" t="s">
        <v>125</v>
      </c>
      <c r="CW13" s="423">
        <v>0.12920000000000001</v>
      </c>
      <c r="CX13" s="423">
        <v>0.13059999999999999</v>
      </c>
      <c r="CY13" s="423">
        <v>0.1242</v>
      </c>
      <c r="CZ13" s="423">
        <v>0.13220000000000001</v>
      </c>
      <c r="DA13" s="423">
        <v>0.12870000000000001</v>
      </c>
      <c r="DB13" s="423">
        <v>0.1275</v>
      </c>
      <c r="DC13" s="423">
        <v>0.1226</v>
      </c>
      <c r="DD13" s="423">
        <v>0.1205</v>
      </c>
      <c r="DE13" s="423">
        <v>0.1173</v>
      </c>
      <c r="DF13" s="423">
        <v>0.1177</v>
      </c>
      <c r="DG13" s="423">
        <v>0.11509999999999999</v>
      </c>
      <c r="DH13" s="423">
        <v>0.1128</v>
      </c>
      <c r="DI13" s="424"/>
      <c r="DJ13" s="422" t="s">
        <v>125</v>
      </c>
      <c r="DK13" s="423">
        <v>0.1593</v>
      </c>
      <c r="DL13" s="423">
        <v>0.1668</v>
      </c>
      <c r="DM13" s="423">
        <v>0.16700000000000001</v>
      </c>
      <c r="DN13" s="423">
        <v>0.16819999999999999</v>
      </c>
      <c r="DO13" s="423">
        <v>0.1673</v>
      </c>
      <c r="DP13" s="423">
        <v>0.16300000000000001</v>
      </c>
      <c r="DQ13" s="423">
        <v>0.159</v>
      </c>
      <c r="DR13" s="423">
        <v>0.16159999999999999</v>
      </c>
      <c r="DS13" s="423">
        <v>0.15559999999999999</v>
      </c>
      <c r="DT13" s="423">
        <v>0.14810000000000001</v>
      </c>
      <c r="DU13" s="423">
        <v>0.14249999999999999</v>
      </c>
      <c r="DV13" s="423">
        <v>0.13339999999999999</v>
      </c>
      <c r="DW13" s="424"/>
      <c r="DX13" s="422" t="s">
        <v>125</v>
      </c>
      <c r="DY13" s="423">
        <v>0.18257000000000001</v>
      </c>
      <c r="DZ13" s="423">
        <v>0.17449999999999999</v>
      </c>
      <c r="EA13" s="423">
        <v>0.17069999999999999</v>
      </c>
      <c r="EB13" s="423">
        <v>0.17319999999999999</v>
      </c>
      <c r="EC13" s="423">
        <v>0.17</v>
      </c>
      <c r="ED13" s="423">
        <v>0.16450000000000001</v>
      </c>
      <c r="EE13" s="423">
        <v>0.1691</v>
      </c>
      <c r="EF13" s="423">
        <v>0.16309999999999999</v>
      </c>
      <c r="EG13" s="423">
        <v>0.16619999999999999</v>
      </c>
      <c r="EH13" s="423">
        <v>0.16800000000000001</v>
      </c>
      <c r="EI13" s="423">
        <v>0.16309999999999999</v>
      </c>
      <c r="EJ13" s="423">
        <v>0.1648</v>
      </c>
      <c r="EK13" s="424"/>
      <c r="EL13" s="422" t="s">
        <v>125</v>
      </c>
      <c r="EM13" s="423">
        <v>0.17155999999999999</v>
      </c>
      <c r="EN13" s="423">
        <v>0.18054999999999999</v>
      </c>
      <c r="EO13" s="423">
        <v>0.17569000000000001</v>
      </c>
      <c r="EP13" s="423">
        <v>0.17441999999999999</v>
      </c>
      <c r="EQ13" s="423">
        <v>0.16364000000000001</v>
      </c>
      <c r="ER13" s="423">
        <v>0.16788</v>
      </c>
      <c r="ES13" s="423">
        <v>0.16563</v>
      </c>
      <c r="ET13" s="423">
        <v>0.17249999999999999</v>
      </c>
      <c r="EU13" s="423">
        <v>0.17438999999999999</v>
      </c>
      <c r="EV13" s="423">
        <v>0.17527000000000001</v>
      </c>
      <c r="EW13" s="423">
        <v>0.17641999999999999</v>
      </c>
      <c r="EX13" s="423">
        <v>0.17988999999999999</v>
      </c>
      <c r="EY13" s="424"/>
      <c r="EZ13" s="422" t="s">
        <v>125</v>
      </c>
      <c r="FA13" s="423">
        <v>0.17354</v>
      </c>
      <c r="FB13" s="423">
        <v>0.17938000000000001</v>
      </c>
      <c r="FC13" s="423">
        <v>0.18093999999999999</v>
      </c>
      <c r="FD13" s="423">
        <v>0.19072</v>
      </c>
      <c r="FE13" s="423">
        <v>0.18562999999999999</v>
      </c>
      <c r="FF13" s="423">
        <v>0.18622</v>
      </c>
      <c r="FG13" s="423">
        <v>0.18468999999999999</v>
      </c>
      <c r="FH13" s="423">
        <v>0.18673000000000001</v>
      </c>
      <c r="FI13" s="423">
        <v>0.17083999999999999</v>
      </c>
      <c r="FJ13" s="423">
        <v>0.18207999999999999</v>
      </c>
      <c r="FK13" s="423">
        <v>0.17357</v>
      </c>
      <c r="FL13" s="423">
        <v>0.16724</v>
      </c>
      <c r="FM13" s="424"/>
      <c r="FN13" s="422" t="s">
        <v>125</v>
      </c>
      <c r="FO13" s="423">
        <v>0.16986000000000001</v>
      </c>
      <c r="FP13" s="423">
        <v>0.16846</v>
      </c>
      <c r="FQ13" s="423">
        <v>0.16841999999999999</v>
      </c>
      <c r="FR13" s="423">
        <v>0.16927</v>
      </c>
      <c r="FS13" s="423">
        <v>0.15517</v>
      </c>
      <c r="FT13" s="423">
        <v>0.15390999999999999</v>
      </c>
      <c r="FU13" s="423">
        <v>0.16350000000000001</v>
      </c>
      <c r="FV13" s="423">
        <v>0.15876000000000001</v>
      </c>
      <c r="FW13" s="423">
        <v>0.17088</v>
      </c>
      <c r="FX13" s="423">
        <v>0.17008000000000001</v>
      </c>
      <c r="FY13" s="423">
        <v>0.16109000000000001</v>
      </c>
      <c r="FZ13" s="423">
        <v>0.17122000000000001</v>
      </c>
      <c r="GA13" s="424"/>
      <c r="GB13" s="422" t="s">
        <v>125</v>
      </c>
      <c r="GC13" s="423">
        <v>0.14584</v>
      </c>
      <c r="GD13" s="423">
        <v>0.14427999999999999</v>
      </c>
      <c r="GE13" s="423">
        <v>0.14599000000000001</v>
      </c>
      <c r="GF13" s="423">
        <v>0.15153</v>
      </c>
      <c r="GG13" s="423">
        <v>0.15876999999999999</v>
      </c>
      <c r="GH13" s="423">
        <v>0.15557000000000001</v>
      </c>
      <c r="GI13" s="423">
        <v>0.16217999999999999</v>
      </c>
      <c r="GJ13" s="423">
        <v>0.16572999999999999</v>
      </c>
      <c r="GK13" s="423">
        <v>0.17255000000000001</v>
      </c>
      <c r="GL13" s="423">
        <v>0.17604</v>
      </c>
      <c r="GM13" s="423">
        <v>0.17593</v>
      </c>
      <c r="GN13" s="423">
        <v>0.17357</v>
      </c>
      <c r="GO13" s="424"/>
      <c r="GP13" s="422" t="s">
        <v>125</v>
      </c>
      <c r="GQ13" s="423">
        <v>0.18357999999999999</v>
      </c>
      <c r="GR13" s="423">
        <v>0.19338</v>
      </c>
      <c r="GS13" s="423">
        <v>0.19663</v>
      </c>
      <c r="GT13" s="423">
        <v>0.19464999999999999</v>
      </c>
      <c r="GU13" s="423">
        <v>0.19650000000000001</v>
      </c>
      <c r="GV13" s="423">
        <v>0.19727</v>
      </c>
      <c r="GW13" s="423">
        <v>0.19420000000000001</v>
      </c>
      <c r="GX13" s="423">
        <v>0.18557000000000001</v>
      </c>
      <c r="GY13" s="423">
        <v>0.17263999999999999</v>
      </c>
      <c r="GZ13" s="423">
        <v>0.15110999999999999</v>
      </c>
      <c r="HA13" s="423">
        <v>0.14388000000000001</v>
      </c>
      <c r="HB13" s="423">
        <v>0.14288999999999999</v>
      </c>
      <c r="HC13" s="424"/>
      <c r="HD13" s="422" t="s">
        <v>125</v>
      </c>
      <c r="HE13" s="423">
        <v>0.15917000000000001</v>
      </c>
      <c r="HF13" s="423">
        <v>0.16359000000000001</v>
      </c>
      <c r="HG13" s="423">
        <v>0.16424</v>
      </c>
      <c r="HH13" s="423">
        <v>0.16767000000000001</v>
      </c>
      <c r="HI13" s="423">
        <v>0.16470000000000001</v>
      </c>
      <c r="HJ13" s="423">
        <v>0.16936000000000001</v>
      </c>
      <c r="HK13" s="423">
        <v>0.17086999999999999</v>
      </c>
      <c r="HL13" s="423">
        <v>0.17172000000000001</v>
      </c>
      <c r="HM13" s="423">
        <v>0.18318999999999999</v>
      </c>
      <c r="HN13" s="423">
        <v>0.18704999999999999</v>
      </c>
      <c r="HO13" s="423">
        <v>0.18171000000000001</v>
      </c>
      <c r="HP13" s="423">
        <v>0.18475</v>
      </c>
      <c r="HQ13" s="424"/>
      <c r="HR13" s="422" t="s">
        <v>125</v>
      </c>
      <c r="HS13" s="423">
        <v>0.15001999999999999</v>
      </c>
      <c r="HT13" s="423">
        <v>0.14751</v>
      </c>
      <c r="HU13" s="423">
        <v>0.15223</v>
      </c>
      <c r="HV13" s="423">
        <v>0.16098999999999999</v>
      </c>
      <c r="HW13" s="423">
        <v>0.16456999999999999</v>
      </c>
      <c r="HX13" s="423">
        <v>0.15848000000000001</v>
      </c>
      <c r="HY13" s="423">
        <v>0.16144</v>
      </c>
      <c r="HZ13" s="423">
        <v>0.15820000000000001</v>
      </c>
      <c r="IA13" s="423">
        <v>0.15465999999999999</v>
      </c>
      <c r="IB13" s="423">
        <v>0.15232999999999999</v>
      </c>
      <c r="IC13" s="423">
        <v>0.15981000000000001</v>
      </c>
      <c r="ID13" s="423">
        <v>0.15939999999999999</v>
      </c>
      <c r="IE13" s="424"/>
      <c r="IF13" s="422" t="s">
        <v>125</v>
      </c>
      <c r="IG13" s="423">
        <v>0.15790000000000001</v>
      </c>
      <c r="IH13" s="423">
        <v>0.15998000000000001</v>
      </c>
      <c r="II13" s="423">
        <v>0.15819</v>
      </c>
      <c r="IJ13" s="423">
        <v>0.15842999999999999</v>
      </c>
      <c r="IK13" s="423">
        <v>0.15626000000000001</v>
      </c>
      <c r="IL13" s="423">
        <v>0.15281</v>
      </c>
      <c r="IM13" s="423">
        <v>0.15325</v>
      </c>
      <c r="IN13" s="423">
        <v>0.15390000000000001</v>
      </c>
      <c r="IO13" s="423">
        <v>0.15322</v>
      </c>
      <c r="IP13" s="423">
        <v>0.15401999999999999</v>
      </c>
      <c r="IQ13" s="423">
        <v>0.14859</v>
      </c>
      <c r="IR13" s="423">
        <v>0.14768999999999999</v>
      </c>
    </row>
    <row r="14" spans="1:252" ht="22" customHeight="1" thickBot="1">
      <c r="A14" s="1" t="s">
        <v>126</v>
      </c>
      <c r="B14" s="422" t="s">
        <v>126</v>
      </c>
      <c r="C14" s="423">
        <v>0.65685000000000004</v>
      </c>
      <c r="D14" s="423">
        <v>0.67664999999999997</v>
      </c>
      <c r="E14" s="423">
        <v>0.69535000000000002</v>
      </c>
      <c r="F14" s="423">
        <v>0.64915</v>
      </c>
      <c r="G14" s="423">
        <v>0.65080000000000005</v>
      </c>
      <c r="H14" s="423">
        <v>0.62195</v>
      </c>
      <c r="I14" s="423">
        <v>0.62670000000000003</v>
      </c>
      <c r="J14" s="423">
        <v>0.61309999999999998</v>
      </c>
      <c r="K14" s="423">
        <v>0.56574999999999998</v>
      </c>
      <c r="L14" s="423">
        <v>0.57830000000000004</v>
      </c>
      <c r="M14" s="423">
        <v>0.62109999999999999</v>
      </c>
      <c r="N14" s="423">
        <v>0.63229999999999997</v>
      </c>
      <c r="P14" s="422" t="s">
        <v>126</v>
      </c>
      <c r="Q14" s="423">
        <v>0.72055000000000002</v>
      </c>
      <c r="R14" s="423">
        <v>0.72735000000000005</v>
      </c>
      <c r="S14" s="423">
        <v>0.70055000000000001</v>
      </c>
      <c r="T14" s="423">
        <v>0.71765000000000001</v>
      </c>
      <c r="U14" s="423">
        <v>0.72785</v>
      </c>
      <c r="V14" s="423">
        <v>0.69874999999999998</v>
      </c>
      <c r="W14" s="423">
        <v>0.69779999999999998</v>
      </c>
      <c r="X14" s="423">
        <v>0.70384999999999998</v>
      </c>
      <c r="Y14" s="423">
        <v>0.68984999999999996</v>
      </c>
      <c r="Z14" s="423">
        <v>0.71560000000000001</v>
      </c>
      <c r="AA14" s="423">
        <v>0.67889999999999995</v>
      </c>
      <c r="AB14" s="423">
        <v>0.68454999999999999</v>
      </c>
      <c r="AD14" s="422" t="s">
        <v>126</v>
      </c>
      <c r="AE14" s="423">
        <v>0.64705000000000001</v>
      </c>
      <c r="AF14" s="423">
        <v>0.62029999999999996</v>
      </c>
      <c r="AG14" s="423">
        <v>0.59275</v>
      </c>
      <c r="AH14" s="423">
        <v>0.61665000000000003</v>
      </c>
      <c r="AI14" s="423">
        <v>0.61944999999999995</v>
      </c>
      <c r="AJ14" s="423">
        <v>0.64385000000000003</v>
      </c>
      <c r="AK14" s="423">
        <v>0.66615000000000002</v>
      </c>
      <c r="AL14" s="423">
        <v>0.67600000000000005</v>
      </c>
      <c r="AM14" s="423">
        <v>0.66110000000000002</v>
      </c>
      <c r="AN14" s="423">
        <v>0.66295000000000004</v>
      </c>
      <c r="AO14" s="423">
        <v>0.70284999999999997</v>
      </c>
      <c r="AP14" s="423">
        <v>0.72014999999999996</v>
      </c>
      <c r="AR14" s="425" t="s">
        <v>126</v>
      </c>
      <c r="AS14" s="423">
        <v>0.69355</v>
      </c>
      <c r="AT14" s="423">
        <v>0.68140000000000001</v>
      </c>
      <c r="AU14" s="423">
        <v>0.68110000000000004</v>
      </c>
      <c r="AV14" s="423">
        <v>0.66685000000000005</v>
      </c>
      <c r="AW14" s="423">
        <v>0.65195000000000003</v>
      </c>
      <c r="AX14" s="423">
        <v>0.67164999999999997</v>
      </c>
      <c r="AY14" s="423">
        <v>0.65985000000000005</v>
      </c>
      <c r="AZ14" s="423">
        <v>0.63090000000000002</v>
      </c>
      <c r="BA14" s="423">
        <v>0.62705</v>
      </c>
      <c r="BB14" s="423">
        <v>0.64134999999999998</v>
      </c>
      <c r="BC14" s="423">
        <v>0.64195000000000002</v>
      </c>
      <c r="BD14" s="423">
        <v>0.67464999999999997</v>
      </c>
      <c r="BF14" s="422" t="s">
        <v>126</v>
      </c>
      <c r="BG14" s="423">
        <v>0.74050000000000005</v>
      </c>
      <c r="BH14" s="423">
        <v>0.72219999999999995</v>
      </c>
      <c r="BI14" s="423">
        <v>0.72219999999999995</v>
      </c>
      <c r="BJ14" s="423">
        <v>0.70440000000000003</v>
      </c>
      <c r="BK14" s="423">
        <v>0.70179999999999998</v>
      </c>
      <c r="BL14" s="423">
        <v>0.67710000000000004</v>
      </c>
      <c r="BM14" s="423">
        <v>0.68105000000000004</v>
      </c>
      <c r="BN14" s="423">
        <v>0.66344999999999998</v>
      </c>
      <c r="BO14" s="423">
        <v>0.66274999999999995</v>
      </c>
      <c r="BP14" s="423">
        <v>0.65329999999999999</v>
      </c>
      <c r="BQ14" s="423">
        <v>0.68679999999999997</v>
      </c>
      <c r="BR14" s="423">
        <v>0.67059999999999997</v>
      </c>
      <c r="BT14" s="422" t="s">
        <v>126</v>
      </c>
      <c r="BU14" s="423">
        <v>0.73340000000000005</v>
      </c>
      <c r="BV14" s="423">
        <v>0.72309999999999997</v>
      </c>
      <c r="BW14" s="423">
        <v>0.69879999999999998</v>
      </c>
      <c r="BX14" s="423">
        <v>0.68630000000000002</v>
      </c>
      <c r="BY14" s="423">
        <v>0.70979999999999999</v>
      </c>
      <c r="BZ14" s="423">
        <v>0.7319</v>
      </c>
      <c r="CA14" s="423">
        <v>0.74965000000000004</v>
      </c>
      <c r="CB14" s="423">
        <v>0.71609999999999996</v>
      </c>
      <c r="CC14" s="423">
        <v>0.72319999999999995</v>
      </c>
      <c r="CD14" s="423">
        <v>0.68379999999999996</v>
      </c>
      <c r="CE14" s="423">
        <v>0.68630000000000002</v>
      </c>
      <c r="CF14" s="423">
        <v>0.71125000000000005</v>
      </c>
      <c r="CH14" s="422" t="s">
        <v>126</v>
      </c>
      <c r="CI14" s="423">
        <v>0.6472</v>
      </c>
      <c r="CJ14" s="423">
        <v>0.65910000000000002</v>
      </c>
      <c r="CK14" s="423">
        <v>0.69399999999999995</v>
      </c>
      <c r="CL14" s="423">
        <v>0.69899999999999995</v>
      </c>
      <c r="CM14" s="423">
        <v>0.67649999999999999</v>
      </c>
      <c r="CN14" s="423">
        <v>0.71209999999999996</v>
      </c>
      <c r="CO14" s="423">
        <v>0.72070000000000001</v>
      </c>
      <c r="CP14" s="423">
        <v>0.72519999999999996</v>
      </c>
      <c r="CQ14" s="423">
        <v>0.72699999999999998</v>
      </c>
      <c r="CR14" s="423">
        <v>0.71450000000000002</v>
      </c>
      <c r="CS14" s="423">
        <v>0.70909999999999995</v>
      </c>
      <c r="CT14" s="423">
        <v>0.69715000000000005</v>
      </c>
      <c r="CV14" s="422" t="s">
        <v>126</v>
      </c>
      <c r="CW14" s="423">
        <v>0.7258</v>
      </c>
      <c r="CX14" s="423">
        <v>0.75680000000000003</v>
      </c>
      <c r="CY14" s="423">
        <v>0.74990000000000001</v>
      </c>
      <c r="CZ14" s="423">
        <v>0.76129999999999998</v>
      </c>
      <c r="DA14" s="423">
        <v>0.71150000000000002</v>
      </c>
      <c r="DB14" s="423">
        <v>0.67620000000000002</v>
      </c>
      <c r="DC14" s="423">
        <v>0.66439999999999999</v>
      </c>
      <c r="DD14" s="423">
        <v>0.63300000000000001</v>
      </c>
      <c r="DE14" s="423">
        <v>0.63970000000000005</v>
      </c>
      <c r="DF14" s="423">
        <v>0.67459999999999998</v>
      </c>
      <c r="DG14" s="423">
        <v>0.65880000000000005</v>
      </c>
      <c r="DH14" s="423">
        <v>0.68479999999999996</v>
      </c>
      <c r="DI14" s="424"/>
      <c r="DJ14" s="422" t="s">
        <v>126</v>
      </c>
      <c r="DK14" s="423">
        <v>0.80859999999999999</v>
      </c>
      <c r="DL14" s="423">
        <v>0.84019999999999995</v>
      </c>
      <c r="DM14" s="423">
        <v>0.86770000000000003</v>
      </c>
      <c r="DN14" s="423">
        <v>0.85909999999999997</v>
      </c>
      <c r="DO14" s="423">
        <v>0.84919999999999995</v>
      </c>
      <c r="DP14" s="423">
        <v>0.87549999999999994</v>
      </c>
      <c r="DQ14" s="423">
        <v>0.8488</v>
      </c>
      <c r="DR14" s="423">
        <v>0.83709999999999996</v>
      </c>
      <c r="DS14" s="423">
        <v>0.77949999999999997</v>
      </c>
      <c r="DT14" s="423">
        <v>0.77839999999999998</v>
      </c>
      <c r="DU14" s="423">
        <v>0.78510000000000002</v>
      </c>
      <c r="DV14" s="423">
        <v>0.78129999999999999</v>
      </c>
      <c r="DW14" s="424"/>
      <c r="DX14" s="422" t="s">
        <v>126</v>
      </c>
      <c r="DY14" s="423">
        <v>0.84040000000000004</v>
      </c>
      <c r="DZ14" s="423">
        <v>0.82909999999999995</v>
      </c>
      <c r="EA14" s="423">
        <v>0.83540000000000003</v>
      </c>
      <c r="EB14" s="423">
        <v>0.85780000000000001</v>
      </c>
      <c r="EC14" s="423">
        <v>0.79769999999999996</v>
      </c>
      <c r="ED14" s="423">
        <v>0.77229999999999999</v>
      </c>
      <c r="EE14" s="423">
        <v>0.79590000000000005</v>
      </c>
      <c r="EF14" s="423">
        <v>0.77329999999999999</v>
      </c>
      <c r="EG14" s="423">
        <v>0.83289999999999997</v>
      </c>
      <c r="EH14" s="423">
        <v>0.82779999999999998</v>
      </c>
      <c r="EI14" s="423">
        <v>0.81630000000000003</v>
      </c>
      <c r="EJ14" s="423">
        <v>0.82279999999999998</v>
      </c>
      <c r="EK14" s="424"/>
      <c r="EL14" s="422" t="s">
        <v>126</v>
      </c>
      <c r="EM14" s="423">
        <v>0.82740000000000002</v>
      </c>
      <c r="EN14" s="423">
        <v>0.84650000000000003</v>
      </c>
      <c r="EO14" s="423">
        <v>0.8206</v>
      </c>
      <c r="EP14" s="423">
        <v>0.81910000000000005</v>
      </c>
      <c r="EQ14" s="423">
        <v>0.75339999999999996</v>
      </c>
      <c r="ER14" s="423">
        <v>0.80220000000000002</v>
      </c>
      <c r="ES14" s="423">
        <v>0.80920000000000003</v>
      </c>
      <c r="ET14" s="423">
        <v>0.80230000000000001</v>
      </c>
      <c r="EU14" s="423">
        <v>0.82920000000000005</v>
      </c>
      <c r="EV14" s="423">
        <v>0.82140000000000002</v>
      </c>
      <c r="EW14" s="423">
        <v>0.8196</v>
      </c>
      <c r="EX14" s="423">
        <v>0.82320000000000004</v>
      </c>
      <c r="EY14" s="424"/>
      <c r="EZ14" s="422" t="s">
        <v>126</v>
      </c>
      <c r="FA14" s="423">
        <v>0.77329999999999999</v>
      </c>
      <c r="FB14" s="423">
        <v>0.75190000000000001</v>
      </c>
      <c r="FC14" s="423">
        <v>0.76270000000000004</v>
      </c>
      <c r="FD14" s="423">
        <v>0.80569999999999997</v>
      </c>
      <c r="FE14" s="423">
        <v>0.82379999999999998</v>
      </c>
      <c r="FF14" s="423">
        <v>0.8286</v>
      </c>
      <c r="FG14" s="423">
        <v>0.86950000000000005</v>
      </c>
      <c r="FH14" s="423">
        <v>0.85499999999999998</v>
      </c>
      <c r="FI14" s="423">
        <v>0.76519999999999999</v>
      </c>
      <c r="FJ14" s="423">
        <v>0.81200000000000006</v>
      </c>
      <c r="FK14" s="423">
        <v>0.78049999999999997</v>
      </c>
      <c r="FL14" s="423">
        <v>0.77539999999999998</v>
      </c>
      <c r="FM14" s="424"/>
      <c r="FN14" s="422" t="s">
        <v>126</v>
      </c>
      <c r="FO14" s="423">
        <v>0.7056</v>
      </c>
      <c r="FP14" s="423">
        <v>0.69479999999999997</v>
      </c>
      <c r="FQ14" s="423">
        <v>0.7077</v>
      </c>
      <c r="FR14" s="423">
        <v>0.73160000000000003</v>
      </c>
      <c r="FS14" s="423">
        <v>0.68140000000000001</v>
      </c>
      <c r="FT14" s="423">
        <v>0.68710000000000004</v>
      </c>
      <c r="FU14" s="423">
        <v>0.72230000000000005</v>
      </c>
      <c r="FV14" s="423">
        <v>0.69879999999999998</v>
      </c>
      <c r="FW14" s="423">
        <v>0.73770000000000002</v>
      </c>
      <c r="FX14" s="423">
        <v>0.7631</v>
      </c>
      <c r="FY14" s="423">
        <v>0.74460000000000004</v>
      </c>
      <c r="FZ14" s="423">
        <v>0.7752</v>
      </c>
      <c r="GA14" s="424"/>
      <c r="GB14" s="422" t="s">
        <v>126</v>
      </c>
      <c r="GC14" s="423">
        <v>0.51454999999999995</v>
      </c>
      <c r="GD14" s="423">
        <v>0.51027</v>
      </c>
      <c r="GE14" s="423">
        <v>0.56023999999999996</v>
      </c>
      <c r="GF14" s="423">
        <v>0.56574999999999998</v>
      </c>
      <c r="GG14" s="423">
        <v>0.63839999999999997</v>
      </c>
      <c r="GH14" s="423">
        <v>0.65090000000000003</v>
      </c>
      <c r="GI14" s="423">
        <v>0.65827999999999998</v>
      </c>
      <c r="GJ14" s="423">
        <v>0.68028</v>
      </c>
      <c r="GK14" s="423">
        <v>0.72233999999999998</v>
      </c>
      <c r="GL14" s="423">
        <v>0.72682999999999998</v>
      </c>
      <c r="GM14" s="423">
        <v>0.71360000000000001</v>
      </c>
      <c r="GN14" s="423">
        <v>0.72690999999999995</v>
      </c>
      <c r="GO14" s="424"/>
      <c r="GP14" s="422" t="s">
        <v>126</v>
      </c>
      <c r="GQ14" s="423">
        <v>0.78129999999999999</v>
      </c>
      <c r="GR14" s="423">
        <v>0.81688000000000005</v>
      </c>
      <c r="GS14" s="423">
        <v>0.78620000000000001</v>
      </c>
      <c r="GT14" s="423">
        <v>0.77559999999999996</v>
      </c>
      <c r="GU14" s="423">
        <v>0.77769999999999995</v>
      </c>
      <c r="GV14" s="423">
        <v>0.76219999999999999</v>
      </c>
      <c r="GW14" s="423">
        <v>0.73399999999999999</v>
      </c>
      <c r="GX14" s="423">
        <v>0.70130000000000003</v>
      </c>
      <c r="GY14" s="423">
        <v>0.6774</v>
      </c>
      <c r="GZ14" s="423">
        <v>0.58779999999999999</v>
      </c>
      <c r="HA14" s="423">
        <v>0.55389999999999995</v>
      </c>
      <c r="HB14" s="423">
        <v>0.57709999999999995</v>
      </c>
      <c r="HC14" s="424"/>
      <c r="HD14" s="422" t="s">
        <v>126</v>
      </c>
      <c r="HE14" s="423">
        <v>0.68910000000000005</v>
      </c>
      <c r="HF14" s="423">
        <v>0.70440000000000003</v>
      </c>
      <c r="HG14" s="423">
        <v>0.7147</v>
      </c>
      <c r="HH14" s="423">
        <v>0.74070000000000003</v>
      </c>
      <c r="HI14" s="423">
        <v>0.73</v>
      </c>
      <c r="HJ14" s="423">
        <v>0.76978000000000002</v>
      </c>
      <c r="HK14" s="423">
        <v>0.76405000000000001</v>
      </c>
      <c r="HL14" s="423">
        <v>0.70425000000000004</v>
      </c>
      <c r="HM14" s="423">
        <v>0.74924999999999997</v>
      </c>
      <c r="HN14" s="423">
        <v>0.76519999999999999</v>
      </c>
      <c r="HO14" s="423">
        <v>0.76975000000000005</v>
      </c>
      <c r="HP14" s="423">
        <v>0.77258000000000004</v>
      </c>
      <c r="HQ14" s="424"/>
      <c r="HR14" s="422" t="s">
        <v>126</v>
      </c>
      <c r="HS14" s="423">
        <v>0.68484999999999996</v>
      </c>
      <c r="HT14" s="423">
        <v>0.66039999999999999</v>
      </c>
      <c r="HU14" s="423">
        <v>0.61085</v>
      </c>
      <c r="HV14" s="423">
        <v>0.63475000000000004</v>
      </c>
      <c r="HW14" s="423">
        <v>0.63965000000000005</v>
      </c>
      <c r="HX14" s="423">
        <v>0.59665000000000001</v>
      </c>
      <c r="HY14" s="423">
        <v>0.61704999999999999</v>
      </c>
      <c r="HZ14" s="423">
        <v>0.6502</v>
      </c>
      <c r="IA14" s="423">
        <v>0.65605000000000002</v>
      </c>
      <c r="IB14" s="423">
        <v>0.66639999999999999</v>
      </c>
      <c r="IC14" s="423">
        <v>0.67854999999999999</v>
      </c>
      <c r="ID14" s="423">
        <v>0.70569999999999999</v>
      </c>
      <c r="IE14" s="424"/>
      <c r="IF14" s="422" t="s">
        <v>126</v>
      </c>
      <c r="IG14" s="423">
        <v>0.71104999999999996</v>
      </c>
      <c r="IH14" s="423">
        <v>0.72224999999999995</v>
      </c>
      <c r="II14" s="423">
        <v>0.70884999999999998</v>
      </c>
      <c r="IJ14" s="423">
        <v>0.72835000000000005</v>
      </c>
      <c r="IK14" s="423">
        <v>0.71155000000000002</v>
      </c>
      <c r="IL14" s="423">
        <v>0.69850000000000001</v>
      </c>
      <c r="IM14" s="423">
        <v>0.68330000000000002</v>
      </c>
      <c r="IN14" s="423">
        <v>0.68815000000000004</v>
      </c>
      <c r="IO14" s="423">
        <v>0.69094999999999995</v>
      </c>
      <c r="IP14" s="423">
        <v>0.69940000000000002</v>
      </c>
      <c r="IQ14" s="423">
        <v>0.70135000000000003</v>
      </c>
      <c r="IR14" s="423">
        <v>0.68230000000000002</v>
      </c>
    </row>
    <row r="15" spans="1:252" ht="22" customHeight="1" thickBot="1">
      <c r="A15" s="1" t="s">
        <v>127</v>
      </c>
      <c r="B15" s="422" t="s">
        <v>127</v>
      </c>
      <c r="C15" s="423">
        <v>0.15720000000000001</v>
      </c>
      <c r="D15" s="423">
        <v>0.1585</v>
      </c>
      <c r="E15" s="423">
        <v>0.1575</v>
      </c>
      <c r="F15" s="423">
        <v>0.15049999999999999</v>
      </c>
      <c r="G15" s="423">
        <v>0.1497</v>
      </c>
      <c r="H15" s="423">
        <v>0.1492</v>
      </c>
      <c r="I15" s="423">
        <v>0.14810000000000001</v>
      </c>
      <c r="J15" s="423">
        <v>0.14510000000000001</v>
      </c>
      <c r="K15" s="423">
        <v>0.14030000000000001</v>
      </c>
      <c r="L15" s="423">
        <v>0.13650000000000001</v>
      </c>
      <c r="M15" s="423">
        <v>0.14119999999999999</v>
      </c>
      <c r="N15" s="423">
        <v>0.14449999999999999</v>
      </c>
      <c r="P15" s="422" t="s">
        <v>127</v>
      </c>
      <c r="Q15" s="423">
        <v>0.1552</v>
      </c>
      <c r="R15" s="423">
        <v>0.15429999999999999</v>
      </c>
      <c r="S15" s="423">
        <v>0.15240000000000001</v>
      </c>
      <c r="T15" s="423">
        <v>0.15459999999999999</v>
      </c>
      <c r="U15" s="423">
        <v>0.15690000000000001</v>
      </c>
      <c r="V15" s="423">
        <v>0.15479999999999999</v>
      </c>
      <c r="W15" s="423">
        <v>0.1547</v>
      </c>
      <c r="X15" s="423">
        <v>0.155</v>
      </c>
      <c r="Y15" s="423">
        <v>0.15490000000000001</v>
      </c>
      <c r="Z15" s="423">
        <v>0.15620000000000001</v>
      </c>
      <c r="AA15" s="423">
        <v>0.15679999999999999</v>
      </c>
      <c r="AB15" s="423">
        <v>0.15720000000000001</v>
      </c>
      <c r="AD15" s="422" t="s">
        <v>127</v>
      </c>
      <c r="AE15" s="423">
        <v>0.1429</v>
      </c>
      <c r="AF15" s="423">
        <v>0.14319999999999999</v>
      </c>
      <c r="AG15" s="423">
        <v>0.1411</v>
      </c>
      <c r="AH15" s="423">
        <v>0.14169999999999999</v>
      </c>
      <c r="AI15" s="423">
        <v>0.1396</v>
      </c>
      <c r="AJ15" s="423">
        <v>0.14149999999999999</v>
      </c>
      <c r="AK15" s="423">
        <v>0.14330000000000001</v>
      </c>
      <c r="AL15" s="423">
        <v>0.14599999999999999</v>
      </c>
      <c r="AM15" s="423">
        <v>0.1474</v>
      </c>
      <c r="AN15" s="423">
        <v>0.14949999999999999</v>
      </c>
      <c r="AO15" s="423">
        <v>0.152</v>
      </c>
      <c r="AP15" s="423">
        <v>0.15390000000000001</v>
      </c>
      <c r="AR15" s="425" t="s">
        <v>127</v>
      </c>
      <c r="AS15" s="423">
        <v>0.14899999999999999</v>
      </c>
      <c r="AT15" s="423">
        <v>0.14929999999999999</v>
      </c>
      <c r="AU15" s="423">
        <v>0.1487</v>
      </c>
      <c r="AV15" s="423">
        <v>0.1484</v>
      </c>
      <c r="AW15" s="423">
        <v>0.14419999999999999</v>
      </c>
      <c r="AX15" s="423">
        <v>0.14549999999999999</v>
      </c>
      <c r="AY15" s="423">
        <v>0.1452</v>
      </c>
      <c r="AZ15" s="423">
        <v>0.13950000000000001</v>
      </c>
      <c r="BA15" s="423">
        <v>0.14000000000000001</v>
      </c>
      <c r="BB15" s="423">
        <v>0.1419</v>
      </c>
      <c r="BC15" s="423">
        <v>0.14219999999999999</v>
      </c>
      <c r="BD15" s="423">
        <v>0.14360000000000001</v>
      </c>
      <c r="BF15" s="422" t="s">
        <v>127</v>
      </c>
      <c r="BG15" s="423">
        <v>0.1588</v>
      </c>
      <c r="BH15" s="423">
        <v>0.158</v>
      </c>
      <c r="BI15" s="423">
        <v>0.159</v>
      </c>
      <c r="BJ15" s="423">
        <v>0.15840000000000001</v>
      </c>
      <c r="BK15" s="423">
        <v>0.156</v>
      </c>
      <c r="BL15" s="423">
        <v>0.1507</v>
      </c>
      <c r="BM15" s="423">
        <v>0.1472</v>
      </c>
      <c r="BN15" s="423">
        <v>0.14610000000000001</v>
      </c>
      <c r="BO15" s="423">
        <v>0.1454</v>
      </c>
      <c r="BP15" s="423">
        <v>0.14330000000000001</v>
      </c>
      <c r="BQ15" s="423">
        <v>0.1439</v>
      </c>
      <c r="BR15" s="423">
        <v>0.14560000000000001</v>
      </c>
      <c r="BT15" s="422" t="s">
        <v>127</v>
      </c>
      <c r="BU15" s="423">
        <v>0.14649999999999999</v>
      </c>
      <c r="BV15" s="423">
        <v>0.1459</v>
      </c>
      <c r="BW15" s="423">
        <v>0.14549999999999999</v>
      </c>
      <c r="BX15" s="423">
        <v>0.14499999999999999</v>
      </c>
      <c r="BY15" s="423">
        <v>0.1482</v>
      </c>
      <c r="BZ15" s="423">
        <v>0.14749999999999999</v>
      </c>
      <c r="CA15" s="423">
        <v>0.14860000000000001</v>
      </c>
      <c r="CB15" s="423">
        <v>0.15160000000000001</v>
      </c>
      <c r="CC15" s="423">
        <v>0.15040000000000001</v>
      </c>
      <c r="CD15" s="423">
        <v>0.15079999999999999</v>
      </c>
      <c r="CE15" s="423">
        <v>0.15110000000000001</v>
      </c>
      <c r="CF15" s="423">
        <v>0.1535</v>
      </c>
      <c r="CH15" s="422" t="s">
        <v>127</v>
      </c>
      <c r="CI15" s="423">
        <v>0.15160000000000001</v>
      </c>
      <c r="CJ15" s="423">
        <v>0.15260000000000001</v>
      </c>
      <c r="CK15" s="423">
        <v>0.1547</v>
      </c>
      <c r="CL15" s="423">
        <v>0.15409999999999999</v>
      </c>
      <c r="CM15" s="423">
        <v>0.15179999999999999</v>
      </c>
      <c r="CN15" s="423">
        <v>0.1497</v>
      </c>
      <c r="CO15" s="423">
        <v>0.1507</v>
      </c>
      <c r="CP15" s="423">
        <v>0.14949999999999999</v>
      </c>
      <c r="CQ15" s="423">
        <v>0.14990000000000001</v>
      </c>
      <c r="CR15" s="423">
        <v>0.14749999999999999</v>
      </c>
      <c r="CS15" s="423">
        <v>0.14460000000000001</v>
      </c>
      <c r="CT15" s="423">
        <v>0.14360000000000001</v>
      </c>
      <c r="CV15" s="422" t="s">
        <v>127</v>
      </c>
      <c r="CW15" s="423">
        <v>0.159</v>
      </c>
      <c r="CX15" s="423">
        <v>0.15909999999999999</v>
      </c>
      <c r="CY15" s="423">
        <v>0.16109999999999999</v>
      </c>
      <c r="CZ15" s="423">
        <v>0.161</v>
      </c>
      <c r="DA15" s="423">
        <v>0.16120000000000001</v>
      </c>
      <c r="DB15" s="423">
        <v>0.16120000000000001</v>
      </c>
      <c r="DC15" s="423">
        <v>0.1608</v>
      </c>
      <c r="DD15" s="423">
        <v>0.1552</v>
      </c>
      <c r="DE15" s="423">
        <v>0.15720000000000001</v>
      </c>
      <c r="DF15" s="423">
        <v>0.15820000000000001</v>
      </c>
      <c r="DG15" s="423">
        <v>0.15570000000000001</v>
      </c>
      <c r="DH15" s="423">
        <v>0.1522</v>
      </c>
      <c r="DI15" s="424"/>
      <c r="DJ15" s="422" t="s">
        <v>127</v>
      </c>
      <c r="DK15" s="423">
        <v>0.16569999999999999</v>
      </c>
      <c r="DL15" s="423">
        <v>0.16339999999999999</v>
      </c>
      <c r="DM15" s="423">
        <v>0.16089999999999999</v>
      </c>
      <c r="DN15" s="423">
        <v>0.15989999999999999</v>
      </c>
      <c r="DO15" s="423">
        <v>0.16009999999999999</v>
      </c>
      <c r="DP15" s="423">
        <v>0.16109999999999999</v>
      </c>
      <c r="DQ15" s="423">
        <v>0.16189999999999999</v>
      </c>
      <c r="DR15" s="423">
        <v>0.16259999999999999</v>
      </c>
      <c r="DS15" s="423">
        <v>0.1618</v>
      </c>
      <c r="DT15" s="423">
        <v>0.16320000000000001</v>
      </c>
      <c r="DU15" s="423">
        <v>0.1623</v>
      </c>
      <c r="DV15" s="423">
        <v>0.1608</v>
      </c>
      <c r="DW15" s="424"/>
      <c r="DX15" s="422" t="s">
        <v>127</v>
      </c>
      <c r="DY15" s="423">
        <v>0.1608</v>
      </c>
      <c r="DZ15" s="423">
        <v>0.16061</v>
      </c>
      <c r="EA15" s="423">
        <v>0.16105</v>
      </c>
      <c r="EB15" s="423">
        <v>0.16220999999999999</v>
      </c>
      <c r="EC15" s="423">
        <v>0.16300999999999999</v>
      </c>
      <c r="ED15" s="423">
        <v>0.16292999999999999</v>
      </c>
      <c r="EE15" s="423">
        <v>0.16309999999999999</v>
      </c>
      <c r="EF15" s="423">
        <v>0.16350000000000001</v>
      </c>
      <c r="EG15" s="423">
        <v>0.16350000000000001</v>
      </c>
      <c r="EH15" s="423">
        <v>0.16420000000000001</v>
      </c>
      <c r="EI15" s="423">
        <v>0.1643</v>
      </c>
      <c r="EJ15" s="423">
        <v>0.16500000000000001</v>
      </c>
      <c r="EK15" s="424"/>
      <c r="EL15" s="422" t="s">
        <v>127</v>
      </c>
      <c r="EM15" s="423">
        <v>0.15851999999999999</v>
      </c>
      <c r="EN15" s="423">
        <v>0.15889</v>
      </c>
      <c r="EO15" s="423">
        <v>0.15876999999999999</v>
      </c>
      <c r="EP15" s="423">
        <v>0.15925</v>
      </c>
      <c r="EQ15" s="423">
        <v>0.15701999999999999</v>
      </c>
      <c r="ER15" s="423">
        <v>0.15737999999999999</v>
      </c>
      <c r="ES15" s="423">
        <v>0.15719</v>
      </c>
      <c r="ET15" s="423">
        <v>0.15751999999999999</v>
      </c>
      <c r="EU15" s="423">
        <v>0.15912000000000001</v>
      </c>
      <c r="EV15" s="423">
        <v>0.16033</v>
      </c>
      <c r="EW15" s="423">
        <v>0.16059999999999999</v>
      </c>
      <c r="EX15" s="423">
        <v>0.1605</v>
      </c>
      <c r="EY15" s="424"/>
      <c r="EZ15" s="422" t="s">
        <v>127</v>
      </c>
      <c r="FA15" s="423">
        <v>0.15162999999999999</v>
      </c>
      <c r="FB15" s="423">
        <v>0.15215999999999999</v>
      </c>
      <c r="FC15" s="423">
        <v>0.15271000000000001</v>
      </c>
      <c r="FD15" s="423">
        <v>0.15403</v>
      </c>
      <c r="FE15" s="423">
        <v>0.15434999999999999</v>
      </c>
      <c r="FF15" s="423">
        <v>0.15470999999999999</v>
      </c>
      <c r="FG15" s="423">
        <v>0.15534999999999999</v>
      </c>
      <c r="FH15" s="423">
        <v>0.15679000000000001</v>
      </c>
      <c r="FI15" s="423">
        <v>0.15670999999999999</v>
      </c>
      <c r="FJ15" s="423">
        <v>0.15736</v>
      </c>
      <c r="FK15" s="423">
        <v>0.15676000000000001</v>
      </c>
      <c r="FL15" s="423">
        <v>0.15886</v>
      </c>
      <c r="FM15" s="424"/>
      <c r="FN15" s="422" t="s">
        <v>127</v>
      </c>
      <c r="FO15" s="423">
        <v>0.14648</v>
      </c>
      <c r="FP15" s="423">
        <v>0.14649999999999999</v>
      </c>
      <c r="FQ15" s="423">
        <v>0.14649999999999999</v>
      </c>
      <c r="FR15" s="423">
        <v>0.14651</v>
      </c>
      <c r="FS15" s="423">
        <v>0.14646000000000001</v>
      </c>
      <c r="FT15" s="423">
        <v>0.14745</v>
      </c>
      <c r="FU15" s="423">
        <v>0.14760999999999999</v>
      </c>
      <c r="FV15" s="423">
        <v>0.14688999999999999</v>
      </c>
      <c r="FW15" s="423">
        <v>0.14943000000000001</v>
      </c>
      <c r="FX15" s="423">
        <v>0.14990999999999999</v>
      </c>
      <c r="FY15" s="423">
        <v>0.14999000000000001</v>
      </c>
      <c r="FZ15" s="423">
        <v>0.15135000000000001</v>
      </c>
      <c r="GA15" s="424"/>
      <c r="GB15" s="422" t="s">
        <v>127</v>
      </c>
      <c r="GC15" s="423">
        <v>0.14624000000000001</v>
      </c>
      <c r="GD15" s="423">
        <v>0.14621999999999999</v>
      </c>
      <c r="GE15" s="423">
        <v>0.14627000000000001</v>
      </c>
      <c r="GF15" s="423">
        <v>0.14660999999999999</v>
      </c>
      <c r="GG15" s="423">
        <v>0.14643</v>
      </c>
      <c r="GH15" s="423">
        <v>0.1464</v>
      </c>
      <c r="GI15" s="423">
        <v>0.14637</v>
      </c>
      <c r="GJ15" s="423">
        <v>0.1464</v>
      </c>
      <c r="GK15" s="423">
        <v>0.14649000000000001</v>
      </c>
      <c r="GL15" s="423">
        <v>0.14646999999999999</v>
      </c>
      <c r="GM15" s="423">
        <v>0.14646999999999999</v>
      </c>
      <c r="GN15" s="423">
        <v>0.14648</v>
      </c>
      <c r="GO15" s="424"/>
      <c r="GP15" s="422" t="s">
        <v>127</v>
      </c>
      <c r="GQ15" s="423">
        <v>0.13905000000000001</v>
      </c>
      <c r="GR15" s="423">
        <v>0.14058000000000001</v>
      </c>
      <c r="GS15" s="423">
        <v>0.14260999999999999</v>
      </c>
      <c r="GT15" s="423">
        <v>0.14316999999999999</v>
      </c>
      <c r="GU15" s="423">
        <v>0.14413999999999999</v>
      </c>
      <c r="GV15" s="423">
        <v>0.14573</v>
      </c>
      <c r="GW15" s="423">
        <v>0.14649000000000001</v>
      </c>
      <c r="GX15" s="423">
        <v>0.14643999999999999</v>
      </c>
      <c r="GY15" s="423">
        <v>0.14609</v>
      </c>
      <c r="GZ15" s="423">
        <v>0.14618</v>
      </c>
      <c r="HA15" s="423">
        <v>0.14645</v>
      </c>
      <c r="HB15" s="423">
        <v>0.14638999999999999</v>
      </c>
      <c r="HC15" s="424"/>
      <c r="HD15" s="422" t="s">
        <v>127</v>
      </c>
      <c r="HE15" s="423">
        <v>0.12862000000000001</v>
      </c>
      <c r="HF15" s="423">
        <v>0.12917000000000001</v>
      </c>
      <c r="HG15" s="423">
        <v>0.12942000000000001</v>
      </c>
      <c r="HH15" s="423">
        <v>0.12963</v>
      </c>
      <c r="HI15" s="423">
        <v>0.13077</v>
      </c>
      <c r="HJ15" s="423">
        <v>0.13131999999999999</v>
      </c>
      <c r="HK15" s="423">
        <v>0.13211999999999999</v>
      </c>
      <c r="HL15" s="423">
        <v>0.13261000000000001</v>
      </c>
      <c r="HM15" s="423">
        <v>0.13305</v>
      </c>
      <c r="HN15" s="423">
        <v>0.13383999999999999</v>
      </c>
      <c r="HO15" s="423">
        <v>0.13539000000000001</v>
      </c>
      <c r="HP15" s="423">
        <v>0.13691</v>
      </c>
      <c r="HQ15" s="424"/>
      <c r="HR15" s="422" t="s">
        <v>127</v>
      </c>
      <c r="HS15" s="423">
        <v>0.12404</v>
      </c>
      <c r="HT15" s="423">
        <v>0.12436999999999999</v>
      </c>
      <c r="HU15" s="423">
        <v>0.12458</v>
      </c>
      <c r="HV15" s="423">
        <v>0.12475</v>
      </c>
      <c r="HW15" s="423">
        <v>0.1246</v>
      </c>
      <c r="HX15" s="423">
        <v>0.12506999999999999</v>
      </c>
      <c r="HY15" s="423">
        <v>0.12545999999999999</v>
      </c>
      <c r="HZ15" s="423">
        <v>0.12565000000000001</v>
      </c>
      <c r="IA15" s="423">
        <v>0.12664</v>
      </c>
      <c r="IB15" s="423">
        <v>0.127</v>
      </c>
      <c r="IC15" s="423">
        <v>0.12769</v>
      </c>
      <c r="ID15" s="423">
        <v>0.12797</v>
      </c>
      <c r="IE15" s="424"/>
      <c r="IF15" s="422" t="s">
        <v>127</v>
      </c>
      <c r="IG15" s="423">
        <v>0.12082</v>
      </c>
      <c r="IH15" s="423">
        <v>0.12082</v>
      </c>
      <c r="II15" s="423">
        <v>0.12082</v>
      </c>
      <c r="IJ15" s="423">
        <v>0.12082</v>
      </c>
      <c r="IK15" s="423">
        <v>0.12083000000000001</v>
      </c>
      <c r="IL15" s="423">
        <v>0.12082</v>
      </c>
      <c r="IM15" s="423">
        <v>0.12333</v>
      </c>
      <c r="IN15" s="423">
        <v>0.1235</v>
      </c>
      <c r="IO15" s="423">
        <v>0.12356</v>
      </c>
      <c r="IP15" s="423">
        <v>0.12368999999999999</v>
      </c>
      <c r="IQ15" s="423">
        <v>0.12371</v>
      </c>
      <c r="IR15" s="423">
        <v>0.1239</v>
      </c>
    </row>
    <row r="16" spans="1:252" ht="22" customHeight="1" thickBot="1">
      <c r="A16" s="1" t="s">
        <v>298</v>
      </c>
      <c r="B16" s="422" t="s">
        <v>298</v>
      </c>
      <c r="C16" s="423">
        <v>1.291E-2</v>
      </c>
      <c r="D16" s="423">
        <v>9.3900000000000008E-3</v>
      </c>
      <c r="E16" s="423">
        <v>1.208E-2</v>
      </c>
      <c r="F16" s="423">
        <v>1.4109999999999999E-2</v>
      </c>
      <c r="G16" s="423">
        <v>1.5879999999999998E-2</v>
      </c>
      <c r="H16" s="423">
        <v>1.8290000000000001E-2</v>
      </c>
      <c r="I16" s="423">
        <v>1.5740000000000001E-2</v>
      </c>
      <c r="J16" s="423">
        <v>1.653E-2</v>
      </c>
      <c r="K16" s="423">
        <v>1.6369999999999999E-2</v>
      </c>
      <c r="L16" s="423">
        <v>1.6230000000000001E-2</v>
      </c>
      <c r="M16" s="423">
        <v>1.643E-2</v>
      </c>
      <c r="N16" s="423">
        <v>1.3809999999999999E-2</v>
      </c>
      <c r="P16" s="422" t="s">
        <v>298</v>
      </c>
      <c r="Q16" s="423">
        <v>1.3259999999999999E-2</v>
      </c>
      <c r="R16" s="423">
        <v>1.342E-2</v>
      </c>
      <c r="S16" s="423">
        <v>1.325E-2</v>
      </c>
      <c r="T16" s="423">
        <v>1.332E-2</v>
      </c>
      <c r="U16" s="423">
        <v>1.363E-2</v>
      </c>
      <c r="V16" s="423">
        <v>1.3690000000000001E-2</v>
      </c>
      <c r="W16" s="423">
        <v>1.367E-2</v>
      </c>
      <c r="X16" s="423">
        <v>1.3650000000000001E-2</v>
      </c>
      <c r="Y16" s="423">
        <v>1.374E-2</v>
      </c>
      <c r="Z16" s="423">
        <v>1.409E-2</v>
      </c>
      <c r="AA16" s="423">
        <v>1.3429999999999999E-2</v>
      </c>
      <c r="AB16" s="423">
        <v>1.3339999999999999E-2</v>
      </c>
      <c r="AD16" s="422" t="s">
        <v>298</v>
      </c>
      <c r="AE16" s="423">
        <v>1.566E-2</v>
      </c>
      <c r="AF16" s="423">
        <v>1.4930000000000001E-2</v>
      </c>
      <c r="AG16" s="423">
        <v>1.2800000000000001E-2</v>
      </c>
      <c r="AH16" s="423">
        <v>1.353E-2</v>
      </c>
      <c r="AI16" s="423">
        <v>1.4149999999999999E-2</v>
      </c>
      <c r="AJ16" s="423">
        <v>1.404E-2</v>
      </c>
      <c r="AK16" s="423">
        <v>1.3480000000000001E-2</v>
      </c>
      <c r="AL16" s="423">
        <v>1.35E-2</v>
      </c>
      <c r="AM16" s="423">
        <v>1.289E-2</v>
      </c>
      <c r="AN16" s="423">
        <v>1.26E-2</v>
      </c>
      <c r="AO16" s="423">
        <v>1.308E-2</v>
      </c>
      <c r="AP16" s="423">
        <v>1.3520000000000001E-2</v>
      </c>
      <c r="AR16" s="425" t="s">
        <v>298</v>
      </c>
      <c r="AS16" s="423">
        <v>1.525E-2</v>
      </c>
      <c r="AT16" s="423">
        <v>1.5180000000000001E-2</v>
      </c>
      <c r="AU16" s="423">
        <v>1.5219999999999999E-2</v>
      </c>
      <c r="AV16" s="423">
        <v>1.5480000000000001E-2</v>
      </c>
      <c r="AW16" s="423">
        <v>1.529E-2</v>
      </c>
      <c r="AX16" s="423">
        <v>1.584E-2</v>
      </c>
      <c r="AY16" s="423">
        <v>1.5789999999999998E-2</v>
      </c>
      <c r="AZ16" s="423">
        <v>1.498E-2</v>
      </c>
      <c r="BA16" s="423">
        <v>1.541E-2</v>
      </c>
      <c r="BB16" s="423">
        <v>1.559E-2</v>
      </c>
      <c r="BC16" s="423">
        <v>1.555E-2</v>
      </c>
      <c r="BD16" s="423">
        <v>1.6119999999999999E-2</v>
      </c>
      <c r="BF16" s="422" t="s">
        <v>298</v>
      </c>
      <c r="BG16" s="423">
        <v>1.7770000000000001E-2</v>
      </c>
      <c r="BH16" s="423">
        <v>1.7780000000000001E-2</v>
      </c>
      <c r="BI16" s="423">
        <v>1.729E-2</v>
      </c>
      <c r="BJ16" s="423">
        <v>1.5869999999999999E-2</v>
      </c>
      <c r="BK16" s="423">
        <v>1.602E-2</v>
      </c>
      <c r="BL16" s="423">
        <v>1.592E-2</v>
      </c>
      <c r="BM16" s="423">
        <v>1.602E-2</v>
      </c>
      <c r="BN16" s="423">
        <v>1.4829999999999999E-2</v>
      </c>
      <c r="BO16" s="423">
        <v>1.528E-2</v>
      </c>
      <c r="BP16" s="423">
        <v>1.5180000000000001E-2</v>
      </c>
      <c r="BQ16" s="423">
        <v>1.491E-2</v>
      </c>
      <c r="BR16" s="423">
        <v>1.4420000000000001E-2</v>
      </c>
      <c r="BT16" s="422"/>
      <c r="BU16" s="423"/>
      <c r="BV16" s="423"/>
      <c r="BW16" s="423"/>
      <c r="BX16" s="423"/>
      <c r="BY16" s="423"/>
      <c r="BZ16" s="423"/>
      <c r="CA16" s="423"/>
      <c r="CB16" s="423"/>
      <c r="CC16" s="423"/>
      <c r="CD16" s="423"/>
      <c r="CE16" s="423"/>
      <c r="CF16" s="423"/>
      <c r="CH16" s="422"/>
      <c r="CI16" s="423"/>
      <c r="CJ16" s="423"/>
      <c r="CK16" s="423"/>
      <c r="CL16" s="423"/>
      <c r="CM16" s="423"/>
      <c r="CN16" s="423"/>
      <c r="CO16" s="423"/>
      <c r="CP16" s="423"/>
      <c r="CQ16" s="423"/>
      <c r="CR16" s="423"/>
      <c r="CS16" s="423"/>
      <c r="CT16" s="423"/>
      <c r="CV16" s="422"/>
      <c r="CW16" s="423"/>
      <c r="CX16" s="423"/>
      <c r="CY16" s="423"/>
      <c r="CZ16" s="423"/>
      <c r="DA16" s="423"/>
      <c r="DB16" s="423"/>
      <c r="DC16" s="423"/>
      <c r="DD16" s="423"/>
      <c r="DE16" s="423"/>
      <c r="DF16" s="423"/>
      <c r="DG16" s="423"/>
      <c r="DH16" s="423"/>
      <c r="DI16" s="424"/>
      <c r="DJ16" s="422"/>
      <c r="DK16" s="423"/>
      <c r="DL16" s="423"/>
      <c r="DM16" s="423"/>
      <c r="DN16" s="423"/>
      <c r="DO16" s="423"/>
      <c r="DP16" s="423"/>
      <c r="DQ16" s="423"/>
      <c r="DR16" s="423"/>
      <c r="DS16" s="423"/>
      <c r="DT16" s="423"/>
      <c r="DU16" s="423"/>
      <c r="DV16" s="423"/>
      <c r="DW16" s="424"/>
      <c r="DX16" s="422"/>
      <c r="DY16" s="423"/>
      <c r="DZ16" s="423"/>
      <c r="EA16" s="423"/>
      <c r="EB16" s="423"/>
      <c r="EC16" s="423"/>
      <c r="ED16" s="423"/>
      <c r="EE16" s="423"/>
      <c r="EF16" s="423"/>
      <c r="EG16" s="423"/>
      <c r="EH16" s="423"/>
      <c r="EI16" s="423"/>
      <c r="EJ16" s="423"/>
      <c r="EK16" s="424"/>
      <c r="EL16" s="422"/>
      <c r="EM16" s="423"/>
      <c r="EN16" s="423"/>
      <c r="EO16" s="423"/>
      <c r="EP16" s="423"/>
      <c r="EQ16" s="423"/>
      <c r="ER16" s="423"/>
      <c r="ES16" s="423"/>
      <c r="ET16" s="423"/>
      <c r="EU16" s="423"/>
      <c r="EV16" s="423"/>
      <c r="EW16" s="423"/>
      <c r="EX16" s="423"/>
      <c r="EY16" s="424"/>
      <c r="EZ16" s="422"/>
      <c r="FA16" s="423"/>
      <c r="FB16" s="423"/>
      <c r="FC16" s="423"/>
      <c r="FD16" s="423"/>
      <c r="FE16" s="423"/>
      <c r="FF16" s="423"/>
      <c r="FG16" s="423"/>
      <c r="FH16" s="423"/>
      <c r="FI16" s="423"/>
      <c r="FJ16" s="423"/>
      <c r="FK16" s="423"/>
      <c r="FL16" s="423"/>
      <c r="FM16" s="424"/>
      <c r="FN16" s="422"/>
      <c r="FO16" s="423"/>
      <c r="FP16" s="423"/>
      <c r="FQ16" s="423"/>
      <c r="FR16" s="423"/>
      <c r="FS16" s="423"/>
      <c r="FT16" s="423"/>
      <c r="FU16" s="423"/>
      <c r="FV16" s="423"/>
      <c r="FW16" s="423"/>
      <c r="FX16" s="423"/>
      <c r="FY16" s="423"/>
      <c r="FZ16" s="423"/>
      <c r="GA16" s="424"/>
      <c r="GB16" s="422"/>
      <c r="GC16" s="423"/>
      <c r="GD16" s="423"/>
      <c r="GE16" s="423"/>
      <c r="GF16" s="423"/>
      <c r="GG16" s="423"/>
      <c r="GH16" s="423"/>
      <c r="GI16" s="423"/>
      <c r="GJ16" s="423"/>
      <c r="GK16" s="423"/>
      <c r="GL16" s="423"/>
      <c r="GM16" s="423"/>
      <c r="GN16" s="423"/>
      <c r="GO16" s="424"/>
      <c r="GP16" s="422"/>
      <c r="GQ16" s="423"/>
      <c r="GR16" s="423"/>
      <c r="GS16" s="423"/>
      <c r="GT16" s="423"/>
      <c r="GU16" s="423"/>
      <c r="GV16" s="423"/>
      <c r="GW16" s="423"/>
      <c r="GX16" s="423"/>
      <c r="GY16" s="423"/>
      <c r="GZ16" s="423"/>
      <c r="HA16" s="423"/>
      <c r="HB16" s="423"/>
      <c r="HC16" s="424"/>
      <c r="HD16" s="422"/>
      <c r="HE16" s="423"/>
      <c r="HF16" s="423"/>
      <c r="HG16" s="423"/>
      <c r="HH16" s="423"/>
      <c r="HI16" s="423"/>
      <c r="HJ16" s="423"/>
      <c r="HK16" s="423"/>
      <c r="HL16" s="423"/>
      <c r="HM16" s="423"/>
      <c r="HN16" s="423"/>
      <c r="HO16" s="423"/>
      <c r="HP16" s="423"/>
      <c r="HQ16" s="424"/>
      <c r="HR16" s="422"/>
      <c r="HS16" s="423"/>
      <c r="HT16" s="423"/>
      <c r="HU16" s="423"/>
      <c r="HV16" s="423"/>
      <c r="HW16" s="423"/>
      <c r="HX16" s="423"/>
      <c r="HY16" s="423"/>
      <c r="HZ16" s="423"/>
      <c r="IA16" s="423"/>
      <c r="IB16" s="423"/>
      <c r="IC16" s="423"/>
      <c r="ID16" s="423"/>
      <c r="IE16" s="424"/>
      <c r="IF16" s="422"/>
      <c r="IG16" s="423"/>
      <c r="IH16" s="423"/>
      <c r="II16" s="423"/>
      <c r="IJ16" s="423"/>
      <c r="IK16" s="423"/>
      <c r="IL16" s="423"/>
      <c r="IM16" s="423"/>
      <c r="IN16" s="423"/>
      <c r="IO16" s="423"/>
      <c r="IP16" s="423"/>
      <c r="IQ16" s="423"/>
      <c r="IR16" s="423"/>
    </row>
    <row r="17" spans="1:252" ht="22" customHeight="1" thickBot="1">
      <c r="A17" s="1" t="s">
        <v>128</v>
      </c>
      <c r="B17" s="422" t="s">
        <v>128</v>
      </c>
      <c r="C17" s="423">
        <v>7.4560000000000001E-2</v>
      </c>
      <c r="D17" s="423">
        <v>7.2309999999999999E-2</v>
      </c>
      <c r="E17" s="423">
        <v>6.8169999999999994E-2</v>
      </c>
      <c r="F17" s="423">
        <v>6.7299999999999999E-2</v>
      </c>
      <c r="G17" s="423">
        <v>6.1030000000000001E-2</v>
      </c>
      <c r="H17" s="423">
        <v>5.9900000000000002E-2</v>
      </c>
      <c r="I17" s="423">
        <v>5.5820000000000002E-2</v>
      </c>
      <c r="J17" s="423">
        <v>5.4949999999999999E-2</v>
      </c>
      <c r="K17" s="423">
        <v>5.3969999999999997E-2</v>
      </c>
      <c r="L17" s="423">
        <v>5.3740000000000003E-2</v>
      </c>
      <c r="M17" s="423">
        <v>5.3760000000000002E-2</v>
      </c>
      <c r="N17" s="423">
        <v>5.3420000000000002E-2</v>
      </c>
      <c r="P17" s="422" t="s">
        <v>128</v>
      </c>
      <c r="Q17" s="423">
        <v>0.13700999999999999</v>
      </c>
      <c r="R17" s="423">
        <v>0.13466</v>
      </c>
      <c r="S17" s="423">
        <v>0.12088</v>
      </c>
      <c r="T17" s="423">
        <v>0.12044000000000001</v>
      </c>
      <c r="U17" s="423">
        <v>0.11791</v>
      </c>
      <c r="V17" s="423">
        <v>0.11507000000000001</v>
      </c>
      <c r="W17" s="423">
        <v>0.11864</v>
      </c>
      <c r="X17" s="423">
        <v>0.12028</v>
      </c>
      <c r="Y17" s="423">
        <v>0.11255999999999999</v>
      </c>
      <c r="Z17" s="423">
        <v>0.10397000000000001</v>
      </c>
      <c r="AA17" s="423">
        <v>7.5439999999999993E-2</v>
      </c>
      <c r="AB17" s="423">
        <v>7.5190000000000007E-2</v>
      </c>
      <c r="AD17" s="422" t="s">
        <v>128</v>
      </c>
      <c r="AE17" s="423">
        <v>0.16708000000000001</v>
      </c>
      <c r="AF17" s="423">
        <v>0.16005</v>
      </c>
      <c r="AG17" s="423">
        <v>0.15179999999999999</v>
      </c>
      <c r="AH17" s="423">
        <v>0.14307</v>
      </c>
      <c r="AI17" s="423">
        <v>0.14646999999999999</v>
      </c>
      <c r="AJ17" s="423">
        <v>0.14588999999999999</v>
      </c>
      <c r="AK17" s="423">
        <v>0.14332</v>
      </c>
      <c r="AL17" s="423">
        <v>0.1358</v>
      </c>
      <c r="AM17" s="423">
        <v>0.12975</v>
      </c>
      <c r="AN17" s="423">
        <v>0.11953</v>
      </c>
      <c r="AO17" s="423">
        <v>0.12781999999999999</v>
      </c>
      <c r="AP17" s="423">
        <v>0.13457</v>
      </c>
      <c r="AR17" s="425" t="s">
        <v>128</v>
      </c>
      <c r="AS17" s="423">
        <v>0.19284999999999999</v>
      </c>
      <c r="AT17" s="423">
        <v>0.18748999999999999</v>
      </c>
      <c r="AU17" s="423">
        <v>0.17874000000000001</v>
      </c>
      <c r="AV17" s="423">
        <v>0.16761999999999999</v>
      </c>
      <c r="AW17" s="423">
        <v>0.17165</v>
      </c>
      <c r="AX17" s="423">
        <v>0.17272000000000001</v>
      </c>
      <c r="AY17" s="423">
        <v>0.18096000000000001</v>
      </c>
      <c r="AZ17" s="423">
        <v>0.17152999999999999</v>
      </c>
      <c r="BA17" s="423">
        <v>0.17699000000000001</v>
      </c>
      <c r="BB17" s="423">
        <v>0.17479</v>
      </c>
      <c r="BC17" s="423">
        <v>0.17394999999999999</v>
      </c>
      <c r="BD17" s="423">
        <v>0.16803000000000001</v>
      </c>
      <c r="BF17" s="422" t="s">
        <v>128</v>
      </c>
      <c r="BG17" s="423">
        <v>0.26618000000000003</v>
      </c>
      <c r="BH17" s="423">
        <v>0.26313999999999999</v>
      </c>
      <c r="BI17" s="423">
        <v>0.24951999999999999</v>
      </c>
      <c r="BJ17" s="423">
        <v>0.24612000000000001</v>
      </c>
      <c r="BK17" s="423">
        <v>0.22051999999999999</v>
      </c>
      <c r="BL17" s="423">
        <v>0.21768000000000001</v>
      </c>
      <c r="BM17" s="423">
        <v>0.20368</v>
      </c>
      <c r="BN17" s="423">
        <v>0.15198</v>
      </c>
      <c r="BO17" s="423">
        <v>0.16442000000000001</v>
      </c>
      <c r="BP17" s="423">
        <v>0.17856</v>
      </c>
      <c r="BQ17" s="423">
        <v>0.19073999999999999</v>
      </c>
      <c r="BR17" s="423">
        <v>0.18892</v>
      </c>
      <c r="BT17" s="422" t="s">
        <v>128</v>
      </c>
      <c r="BU17" s="423">
        <v>0.26434999999999997</v>
      </c>
      <c r="BV17" s="423">
        <v>0.27516000000000002</v>
      </c>
      <c r="BW17" s="423">
        <v>0.27543000000000001</v>
      </c>
      <c r="BX17" s="423">
        <v>0.28114</v>
      </c>
      <c r="BY17" s="423">
        <v>0.28341</v>
      </c>
      <c r="BZ17" s="423">
        <v>0.28444999999999998</v>
      </c>
      <c r="CA17" s="423">
        <v>0.28364</v>
      </c>
      <c r="CB17" s="423">
        <v>0.2893</v>
      </c>
      <c r="CC17" s="423">
        <v>0.28076000000000001</v>
      </c>
      <c r="CD17" s="423">
        <v>0.26369999999999999</v>
      </c>
      <c r="CE17" s="423">
        <v>0.25459999999999999</v>
      </c>
      <c r="CF17" s="423">
        <v>0.26407999999999998</v>
      </c>
      <c r="CH17" s="422" t="s">
        <v>128</v>
      </c>
      <c r="CI17" s="423">
        <v>0.33796999999999999</v>
      </c>
      <c r="CJ17" s="423">
        <v>0.33717999999999998</v>
      </c>
      <c r="CK17" s="423">
        <v>0.35444999999999999</v>
      </c>
      <c r="CL17" s="423">
        <v>0.35705999999999999</v>
      </c>
      <c r="CM17" s="423">
        <v>0.33907999999999999</v>
      </c>
      <c r="CN17" s="423">
        <v>0.34720000000000001</v>
      </c>
      <c r="CO17" s="423">
        <v>0.33461999999999997</v>
      </c>
      <c r="CP17" s="423">
        <v>0.33798</v>
      </c>
      <c r="CQ17" s="423">
        <v>0.33334000000000003</v>
      </c>
      <c r="CR17" s="423">
        <v>0.32307999999999998</v>
      </c>
      <c r="CS17" s="423">
        <v>0.29104000000000002</v>
      </c>
      <c r="CT17" s="423">
        <v>0.28377999999999998</v>
      </c>
      <c r="CV17" s="422" t="s">
        <v>128</v>
      </c>
      <c r="CW17" s="423">
        <v>0.40895999999999999</v>
      </c>
      <c r="CX17" s="423">
        <v>0.39912999999999998</v>
      </c>
      <c r="CY17" s="423">
        <v>0.38479999999999998</v>
      </c>
      <c r="CZ17" s="423">
        <v>0.37436000000000003</v>
      </c>
      <c r="DA17" s="423">
        <v>0.37579000000000001</v>
      </c>
      <c r="DB17" s="423">
        <v>0.37254999999999999</v>
      </c>
      <c r="DC17" s="423">
        <v>0.36098000000000002</v>
      </c>
      <c r="DD17" s="423">
        <v>0.34376000000000001</v>
      </c>
      <c r="DE17" s="423">
        <v>0.33037</v>
      </c>
      <c r="DF17" s="423">
        <v>0.34316999999999998</v>
      </c>
      <c r="DG17" s="423">
        <v>0.34332000000000001</v>
      </c>
      <c r="DH17" s="423">
        <v>0.34322000000000003</v>
      </c>
      <c r="DI17" s="424"/>
      <c r="DJ17" s="422" t="s">
        <v>128</v>
      </c>
      <c r="DK17" s="423">
        <v>0.44285999999999998</v>
      </c>
      <c r="DL17" s="423">
        <v>0.45423999999999998</v>
      </c>
      <c r="DM17" s="423">
        <v>0.46706999999999999</v>
      </c>
      <c r="DN17" s="423">
        <v>0.47242000000000001</v>
      </c>
      <c r="DO17" s="423">
        <v>0.47722999999999999</v>
      </c>
      <c r="DP17" s="423">
        <v>0.47214</v>
      </c>
      <c r="DQ17" s="423">
        <v>0.46627999999999997</v>
      </c>
      <c r="DR17" s="423">
        <v>0.46314</v>
      </c>
      <c r="DS17" s="423">
        <v>0.43897000000000003</v>
      </c>
      <c r="DT17" s="423">
        <v>0.44988</v>
      </c>
      <c r="DU17" s="423">
        <v>0.45040000000000002</v>
      </c>
      <c r="DV17" s="423">
        <v>0.42766999999999999</v>
      </c>
      <c r="DW17" s="424"/>
      <c r="DX17" s="422" t="s">
        <v>128</v>
      </c>
      <c r="DY17" s="423">
        <v>0.56869999999999998</v>
      </c>
      <c r="DZ17" s="423">
        <v>0.55656000000000005</v>
      </c>
      <c r="EA17" s="423">
        <v>0.55137000000000003</v>
      </c>
      <c r="EB17" s="423">
        <v>0.55747000000000002</v>
      </c>
      <c r="EC17" s="423">
        <v>0.53425999999999996</v>
      </c>
      <c r="ED17" s="423">
        <v>0.51854</v>
      </c>
      <c r="EE17" s="423">
        <v>0.51568000000000003</v>
      </c>
      <c r="EF17" s="423">
        <v>0.49068000000000001</v>
      </c>
      <c r="EG17" s="423">
        <v>0.49481999999999998</v>
      </c>
      <c r="EH17" s="423">
        <v>0.50139999999999996</v>
      </c>
      <c r="EI17" s="423">
        <v>0.49434</v>
      </c>
      <c r="EJ17" s="423">
        <v>0.46493000000000001</v>
      </c>
      <c r="EK17" s="424"/>
      <c r="EL17" s="422" t="s">
        <v>128</v>
      </c>
      <c r="EM17" s="423">
        <v>0.56477999999999995</v>
      </c>
      <c r="EN17" s="423">
        <v>0.57382</v>
      </c>
      <c r="EO17" s="423">
        <v>0.56079000000000001</v>
      </c>
      <c r="EP17" s="423">
        <v>0.56872999999999996</v>
      </c>
      <c r="EQ17" s="423">
        <v>0.53647999999999996</v>
      </c>
      <c r="ER17" s="423">
        <v>0.55313000000000001</v>
      </c>
      <c r="ES17" s="423">
        <v>0.55815999999999999</v>
      </c>
      <c r="ET17" s="423">
        <v>0.55062999999999995</v>
      </c>
      <c r="EU17" s="423">
        <v>0.55630000000000002</v>
      </c>
      <c r="EV17" s="423">
        <v>0.55725999999999998</v>
      </c>
      <c r="EW17" s="423">
        <v>0.55952999999999997</v>
      </c>
      <c r="EX17" s="423">
        <v>0.56035000000000001</v>
      </c>
      <c r="EY17" s="424"/>
      <c r="EZ17" s="422" t="s">
        <v>128</v>
      </c>
      <c r="FA17" s="423">
        <v>0.62417999999999996</v>
      </c>
      <c r="FB17" s="423">
        <v>0.62526999999999999</v>
      </c>
      <c r="FC17" s="423">
        <v>0.64798</v>
      </c>
      <c r="FD17" s="423">
        <v>0.65898000000000001</v>
      </c>
      <c r="FE17" s="423">
        <v>0.62656999999999996</v>
      </c>
      <c r="FF17" s="423">
        <v>0.61660000000000004</v>
      </c>
      <c r="FG17" s="423">
        <v>0.59411000000000003</v>
      </c>
      <c r="FH17" s="423">
        <v>0.58167000000000002</v>
      </c>
      <c r="FI17" s="423">
        <v>0.53703000000000001</v>
      </c>
      <c r="FJ17" s="423">
        <v>0.56840999999999997</v>
      </c>
      <c r="FK17" s="423">
        <v>0.54666000000000003</v>
      </c>
      <c r="FL17" s="423">
        <v>0.53</v>
      </c>
      <c r="FM17" s="424"/>
      <c r="FN17" s="422" t="s">
        <v>128</v>
      </c>
      <c r="FO17" s="423">
        <v>0.67159000000000002</v>
      </c>
      <c r="FP17" s="423">
        <v>0.64675000000000005</v>
      </c>
      <c r="FQ17" s="423">
        <v>0.65669</v>
      </c>
      <c r="FR17" s="423">
        <v>0.67335999999999996</v>
      </c>
      <c r="FS17" s="423">
        <v>0.63593</v>
      </c>
      <c r="FT17" s="423">
        <v>0.63166999999999995</v>
      </c>
      <c r="FU17" s="423">
        <v>0.66110999999999998</v>
      </c>
      <c r="FV17" s="423">
        <v>0.66110000000000002</v>
      </c>
      <c r="FW17" s="423">
        <v>0.66110000000000002</v>
      </c>
      <c r="FX17" s="423">
        <v>0.66110000000000002</v>
      </c>
      <c r="FY17" s="423">
        <v>0.66110000000000002</v>
      </c>
      <c r="FZ17" s="423">
        <v>0.66110000000000002</v>
      </c>
      <c r="GA17" s="424"/>
      <c r="GB17" s="422" t="s">
        <v>128</v>
      </c>
      <c r="GC17" s="423">
        <v>0.61350000000000005</v>
      </c>
      <c r="GD17" s="423">
        <v>0.59258999999999995</v>
      </c>
      <c r="GE17" s="423">
        <v>0.58735000000000004</v>
      </c>
      <c r="GF17" s="423">
        <v>0.62488999999999995</v>
      </c>
      <c r="GG17" s="423">
        <v>0.64880000000000004</v>
      </c>
      <c r="GH17" s="423">
        <v>0.65178000000000003</v>
      </c>
      <c r="GI17" s="423">
        <v>0.67613000000000001</v>
      </c>
      <c r="GJ17" s="423">
        <v>0.66522999999999999</v>
      </c>
      <c r="GK17" s="423">
        <v>0.67439000000000004</v>
      </c>
      <c r="GL17" s="423">
        <v>0.66881000000000002</v>
      </c>
      <c r="GM17" s="423">
        <v>0.65339000000000003</v>
      </c>
      <c r="GN17" s="423">
        <v>0.66932000000000003</v>
      </c>
      <c r="GO17" s="424"/>
      <c r="GP17" s="422" t="s">
        <v>128</v>
      </c>
      <c r="GQ17" s="423">
        <v>0.85121000000000002</v>
      </c>
      <c r="GR17" s="423">
        <v>0.84480999999999995</v>
      </c>
      <c r="GS17" s="423">
        <v>0.74811000000000005</v>
      </c>
      <c r="GT17" s="423">
        <v>0.77507000000000004</v>
      </c>
      <c r="GU17" s="423">
        <v>0.82284000000000002</v>
      </c>
      <c r="GV17" s="423">
        <v>0.81499999999999995</v>
      </c>
      <c r="GW17" s="423">
        <v>0.85580000000000001</v>
      </c>
      <c r="GX17" s="423">
        <v>0.84302999999999995</v>
      </c>
      <c r="GY17" s="423">
        <v>0.79378000000000004</v>
      </c>
      <c r="GZ17" s="423">
        <v>0.64990000000000003</v>
      </c>
      <c r="HA17" s="423">
        <v>0.63593</v>
      </c>
      <c r="HB17" s="423">
        <v>0.65715999999999997</v>
      </c>
      <c r="HC17" s="424"/>
      <c r="HD17" s="422" t="s">
        <v>128</v>
      </c>
      <c r="HE17" s="423">
        <v>0.69967000000000001</v>
      </c>
      <c r="HF17" s="423">
        <v>0.70618999999999998</v>
      </c>
      <c r="HG17" s="423">
        <v>0.71748999999999996</v>
      </c>
      <c r="HH17" s="423">
        <v>0.74850000000000005</v>
      </c>
      <c r="HI17" s="423">
        <v>0.75160000000000005</v>
      </c>
      <c r="HJ17" s="423">
        <v>0.76092000000000004</v>
      </c>
      <c r="HK17" s="423">
        <v>0.76944000000000001</v>
      </c>
      <c r="HL17" s="423">
        <v>0.76393999999999995</v>
      </c>
      <c r="HM17" s="423">
        <v>0.82369000000000003</v>
      </c>
      <c r="HN17" s="423">
        <v>0.84167999999999998</v>
      </c>
      <c r="HO17" s="423">
        <v>0.84140000000000004</v>
      </c>
      <c r="HP17" s="423">
        <v>0.85360999999999998</v>
      </c>
      <c r="HQ17" s="424"/>
      <c r="HR17" s="422" t="s">
        <v>128</v>
      </c>
      <c r="HS17" s="423">
        <v>0.75568999999999997</v>
      </c>
      <c r="HT17" s="423">
        <v>0.76075000000000004</v>
      </c>
      <c r="HU17" s="423">
        <v>0.73970000000000002</v>
      </c>
      <c r="HV17" s="423">
        <v>0.75651999999999997</v>
      </c>
      <c r="HW17" s="423">
        <v>0.64475000000000005</v>
      </c>
      <c r="HX17" s="423">
        <v>0.62444999999999995</v>
      </c>
      <c r="HY17" s="423">
        <v>0.67001999999999995</v>
      </c>
      <c r="HZ17" s="423">
        <v>0.68247999999999998</v>
      </c>
      <c r="IA17" s="423">
        <v>0.66346000000000005</v>
      </c>
      <c r="IB17" s="423">
        <v>0.68516999999999995</v>
      </c>
      <c r="IC17" s="423">
        <v>0.68293999999999999</v>
      </c>
      <c r="ID17" s="423">
        <v>0.70645999999999998</v>
      </c>
      <c r="IE17" s="424"/>
      <c r="IF17" s="422" t="s">
        <v>128</v>
      </c>
      <c r="IG17" s="423">
        <v>7.5000000000000002E-4</v>
      </c>
      <c r="IH17" s="423">
        <v>7.6999999999999996E-4</v>
      </c>
      <c r="II17" s="423">
        <v>7.2999999999999996E-4</v>
      </c>
      <c r="IJ17" s="423">
        <v>7.1000000000000002E-4</v>
      </c>
      <c r="IK17" s="423">
        <v>7.2999999999999996E-4</v>
      </c>
      <c r="IL17" s="423">
        <v>7.5000000000000002E-4</v>
      </c>
      <c r="IM17" s="423">
        <v>7.5000000000000002E-4</v>
      </c>
      <c r="IN17" s="423">
        <v>7.3999999999999999E-4</v>
      </c>
      <c r="IO17" s="423">
        <v>7.3999999999999999E-4</v>
      </c>
      <c r="IP17" s="423">
        <v>7.3999999999999999E-4</v>
      </c>
      <c r="IQ17" s="423">
        <v>7.3999999999999999E-4</v>
      </c>
      <c r="IR17" s="423">
        <v>7.3999999999999999E-4</v>
      </c>
    </row>
    <row r="18" spans="1:252" ht="22" customHeight="1" thickBot="1">
      <c r="A18" s="1" t="s">
        <v>623</v>
      </c>
      <c r="B18" s="422" t="s">
        <v>623</v>
      </c>
      <c r="C18" s="423">
        <v>3.15E-3</v>
      </c>
      <c r="D18" s="423">
        <v>3.0300000000000001E-3</v>
      </c>
      <c r="E18" s="423">
        <v>3.0300000000000001E-3</v>
      </c>
      <c r="F18" s="423">
        <v>2.7899999999999999E-3</v>
      </c>
      <c r="G18" s="423">
        <v>2.7000000000000001E-3</v>
      </c>
      <c r="H18" s="423">
        <v>2.63E-3</v>
      </c>
      <c r="I18" s="423">
        <v>2.5200000000000001E-3</v>
      </c>
      <c r="J18" s="423">
        <v>2.5000000000000001E-3</v>
      </c>
      <c r="K18" s="423">
        <v>2.32E-3</v>
      </c>
      <c r="L18" s="423">
        <v>2.4099999999999998E-3</v>
      </c>
      <c r="M18" s="423">
        <v>2.5100000000000001E-3</v>
      </c>
      <c r="N18" s="423">
        <v>2.66E-3</v>
      </c>
      <c r="P18" s="422" t="s">
        <v>623</v>
      </c>
      <c r="Q18" s="423">
        <v>3.3999999999999998E-3</v>
      </c>
      <c r="R18" s="423">
        <v>3.3500000000000001E-3</v>
      </c>
      <c r="S18" s="423">
        <v>3.2399999999999998E-3</v>
      </c>
      <c r="T18" s="423">
        <v>3.3400000000000001E-3</v>
      </c>
      <c r="U18" s="423">
        <v>3.5200000000000001E-3</v>
      </c>
      <c r="V18" s="423">
        <v>3.3800000000000002E-3</v>
      </c>
      <c r="W18" s="423">
        <v>3.32E-3</v>
      </c>
      <c r="X18" s="423">
        <v>3.3800000000000002E-3</v>
      </c>
      <c r="Y18" s="423">
        <v>3.2299999999999998E-3</v>
      </c>
      <c r="Z18" s="423">
        <v>3.2200000000000002E-3</v>
      </c>
      <c r="AA18" s="423">
        <v>3.0799999999999998E-3</v>
      </c>
      <c r="AB18" s="423">
        <v>3.0799999999999998E-3</v>
      </c>
      <c r="AD18" s="422"/>
      <c r="AE18" s="423"/>
      <c r="AF18" s="423"/>
      <c r="AG18" s="423"/>
      <c r="AH18" s="423"/>
      <c r="AI18" s="423"/>
      <c r="AJ18" s="423"/>
      <c r="AK18" s="423"/>
      <c r="AL18" s="423"/>
      <c r="AM18" s="423"/>
      <c r="AN18" s="423"/>
      <c r="AO18" s="423"/>
      <c r="AP18" s="423"/>
      <c r="AR18" s="425"/>
      <c r="AS18" s="423"/>
      <c r="AT18" s="423"/>
      <c r="AU18" s="423"/>
      <c r="AV18" s="423"/>
      <c r="AW18" s="423"/>
      <c r="AX18" s="423"/>
      <c r="AY18" s="423"/>
      <c r="AZ18" s="423"/>
      <c r="BA18" s="423"/>
      <c r="BB18" s="423"/>
      <c r="BC18" s="423"/>
      <c r="BD18" s="423"/>
      <c r="BF18" s="422"/>
      <c r="BG18" s="423"/>
      <c r="BH18" s="423"/>
      <c r="BI18" s="423"/>
      <c r="BJ18" s="423"/>
      <c r="BK18" s="423"/>
      <c r="BL18" s="423"/>
      <c r="BM18" s="423"/>
      <c r="BN18" s="423"/>
      <c r="BO18" s="423"/>
      <c r="BP18" s="423"/>
      <c r="BQ18" s="423"/>
      <c r="BR18" s="423"/>
      <c r="BT18" s="422"/>
      <c r="BU18" s="423"/>
      <c r="BV18" s="423"/>
      <c r="BW18" s="423"/>
      <c r="BX18" s="423"/>
      <c r="BY18" s="423"/>
      <c r="BZ18" s="423"/>
      <c r="CA18" s="423"/>
      <c r="CB18" s="423"/>
      <c r="CC18" s="423"/>
      <c r="CD18" s="423"/>
      <c r="CE18" s="423"/>
      <c r="CF18" s="423"/>
      <c r="CH18" s="422"/>
      <c r="CI18" s="423"/>
      <c r="CJ18" s="423"/>
      <c r="CK18" s="423"/>
      <c r="CL18" s="423"/>
      <c r="CM18" s="423"/>
      <c r="CN18" s="423"/>
      <c r="CO18" s="423"/>
      <c r="CP18" s="423"/>
      <c r="CQ18" s="423"/>
      <c r="CR18" s="423"/>
      <c r="CS18" s="423"/>
      <c r="CT18" s="423"/>
      <c r="CV18" s="422"/>
      <c r="CW18" s="423"/>
      <c r="CX18" s="423"/>
      <c r="CY18" s="423"/>
      <c r="CZ18" s="423"/>
      <c r="DA18" s="423"/>
      <c r="DB18" s="423"/>
      <c r="DC18" s="423"/>
      <c r="DD18" s="423"/>
      <c r="DE18" s="423"/>
      <c r="DF18" s="423"/>
      <c r="DG18" s="423"/>
      <c r="DH18" s="423"/>
      <c r="DI18" s="424"/>
      <c r="DJ18" s="422"/>
      <c r="DK18" s="423"/>
      <c r="DL18" s="423"/>
      <c r="DM18" s="423"/>
      <c r="DN18" s="423"/>
      <c r="DO18" s="423"/>
      <c r="DP18" s="423"/>
      <c r="DQ18" s="423"/>
      <c r="DR18" s="423"/>
      <c r="DS18" s="423"/>
      <c r="DT18" s="423"/>
      <c r="DU18" s="423"/>
      <c r="DV18" s="423"/>
      <c r="DW18" s="424"/>
      <c r="DX18" s="422"/>
      <c r="DY18" s="423"/>
      <c r="DZ18" s="423"/>
      <c r="EA18" s="423"/>
      <c r="EB18" s="423"/>
      <c r="EC18" s="423"/>
      <c r="ED18" s="423"/>
      <c r="EE18" s="423"/>
      <c r="EF18" s="423"/>
      <c r="EG18" s="423"/>
      <c r="EH18" s="423"/>
      <c r="EI18" s="423"/>
      <c r="EJ18" s="423"/>
      <c r="EK18" s="424"/>
      <c r="EL18" s="422"/>
      <c r="EM18" s="423"/>
      <c r="EN18" s="423"/>
      <c r="EO18" s="423"/>
      <c r="EP18" s="423"/>
      <c r="EQ18" s="423"/>
      <c r="ER18" s="423"/>
      <c r="ES18" s="423"/>
      <c r="ET18" s="423"/>
      <c r="EU18" s="423"/>
      <c r="EV18" s="423"/>
      <c r="EW18" s="423"/>
      <c r="EX18" s="423"/>
      <c r="EY18" s="424"/>
      <c r="EZ18" s="422"/>
      <c r="FA18" s="423"/>
      <c r="FB18" s="423"/>
      <c r="FC18" s="423"/>
      <c r="FD18" s="423"/>
      <c r="FE18" s="423"/>
      <c r="FF18" s="423"/>
      <c r="FG18" s="423"/>
      <c r="FH18" s="423"/>
      <c r="FI18" s="423"/>
      <c r="FJ18" s="423"/>
      <c r="FK18" s="423"/>
      <c r="FL18" s="423"/>
      <c r="FM18" s="424"/>
      <c r="FN18" s="422"/>
      <c r="FO18" s="423"/>
      <c r="FP18" s="423"/>
      <c r="FQ18" s="423"/>
      <c r="FR18" s="423"/>
      <c r="FS18" s="423"/>
      <c r="FT18" s="423"/>
      <c r="FU18" s="423"/>
      <c r="FV18" s="423"/>
      <c r="FW18" s="423"/>
      <c r="FX18" s="423"/>
      <c r="FY18" s="423"/>
      <c r="FZ18" s="423"/>
      <c r="GA18" s="424"/>
      <c r="GB18" s="422"/>
      <c r="GC18" s="423"/>
      <c r="GD18" s="423"/>
      <c r="GE18" s="423"/>
      <c r="GF18" s="423"/>
      <c r="GG18" s="423"/>
      <c r="GH18" s="423"/>
      <c r="GI18" s="423"/>
      <c r="GJ18" s="423"/>
      <c r="GK18" s="423"/>
      <c r="GL18" s="423"/>
      <c r="GM18" s="423"/>
      <c r="GN18" s="423"/>
      <c r="GO18" s="424"/>
      <c r="GP18" s="422"/>
      <c r="GQ18" s="423"/>
      <c r="GR18" s="423"/>
      <c r="GS18" s="423"/>
      <c r="GT18" s="423"/>
      <c r="GU18" s="423"/>
      <c r="GV18" s="423"/>
      <c r="GW18" s="423"/>
      <c r="GX18" s="423"/>
      <c r="GY18" s="423"/>
      <c r="GZ18" s="423"/>
      <c r="HA18" s="423"/>
      <c r="HB18" s="423"/>
      <c r="HC18" s="424"/>
      <c r="HD18" s="422"/>
      <c r="HE18" s="423"/>
      <c r="HF18" s="423"/>
      <c r="HG18" s="423"/>
      <c r="HH18" s="423"/>
      <c r="HI18" s="423"/>
      <c r="HJ18" s="423"/>
      <c r="HK18" s="423"/>
      <c r="HL18" s="423"/>
      <c r="HM18" s="423"/>
      <c r="HN18" s="423"/>
      <c r="HO18" s="423"/>
      <c r="HP18" s="423"/>
      <c r="HQ18" s="424"/>
      <c r="HR18" s="422"/>
      <c r="HS18" s="423"/>
      <c r="HT18" s="423"/>
      <c r="HU18" s="423"/>
      <c r="HV18" s="423"/>
      <c r="HW18" s="423"/>
      <c r="HX18" s="423"/>
      <c r="HY18" s="423"/>
      <c r="HZ18" s="423"/>
      <c r="IA18" s="423"/>
      <c r="IB18" s="423"/>
      <c r="IC18" s="423"/>
      <c r="ID18" s="423"/>
      <c r="IE18" s="424"/>
      <c r="IF18" s="422"/>
      <c r="IG18" s="423"/>
      <c r="IH18" s="423"/>
      <c r="II18" s="423"/>
      <c r="IJ18" s="423"/>
      <c r="IK18" s="423"/>
      <c r="IL18" s="423"/>
      <c r="IM18" s="423"/>
      <c r="IN18" s="423"/>
      <c r="IO18" s="423"/>
      <c r="IP18" s="423"/>
      <c r="IQ18" s="423"/>
      <c r="IR18" s="423"/>
    </row>
    <row r="19" spans="1:252" ht="22" customHeight="1" thickBot="1">
      <c r="A19" s="1" t="s">
        <v>181</v>
      </c>
      <c r="B19" s="422" t="s">
        <v>181</v>
      </c>
      <c r="C19" s="423">
        <v>1.34E-2</v>
      </c>
      <c r="D19" s="423">
        <v>1.3270000000000001E-2</v>
      </c>
      <c r="E19" s="423">
        <v>1.321E-2</v>
      </c>
      <c r="F19" s="423">
        <v>1.308E-2</v>
      </c>
      <c r="G19" s="423">
        <v>1.2869999999999999E-2</v>
      </c>
      <c r="H19" s="423">
        <v>1.2659999999999999E-2</v>
      </c>
      <c r="I19" s="423">
        <v>1.261E-2</v>
      </c>
      <c r="J19" s="423">
        <v>1.259E-2</v>
      </c>
      <c r="K19" s="423">
        <v>1.2279999999999999E-2</v>
      </c>
      <c r="L19" s="423">
        <v>1.2070000000000001E-2</v>
      </c>
      <c r="M19" s="423">
        <v>1.231E-2</v>
      </c>
      <c r="N19" s="423">
        <v>1.21E-2</v>
      </c>
      <c r="P19" s="422" t="s">
        <v>181</v>
      </c>
      <c r="Q19" s="423">
        <v>1.371E-2</v>
      </c>
      <c r="R19" s="423">
        <v>1.3610000000000001E-2</v>
      </c>
      <c r="S19" s="423">
        <v>1.3679999999999999E-2</v>
      </c>
      <c r="T19" s="423">
        <v>1.35E-2</v>
      </c>
      <c r="U19" s="423">
        <v>1.3769999999999999E-2</v>
      </c>
      <c r="V19" s="423">
        <v>1.345E-2</v>
      </c>
      <c r="W19" s="423">
        <v>1.3440000000000001E-2</v>
      </c>
      <c r="X19" s="423">
        <v>1.37E-2</v>
      </c>
      <c r="Y19" s="423">
        <v>1.346E-2</v>
      </c>
      <c r="Z19" s="423">
        <v>1.3350000000000001E-2</v>
      </c>
      <c r="AA19" s="423">
        <v>1.3299999999999999E-2</v>
      </c>
      <c r="AB19" s="423">
        <v>1.346E-2</v>
      </c>
      <c r="AD19" s="422" t="s">
        <v>181</v>
      </c>
      <c r="AE19" s="423">
        <v>1.397E-2</v>
      </c>
      <c r="AF19" s="423">
        <v>1.384E-2</v>
      </c>
      <c r="AG19" s="423">
        <v>1.3259999999999999E-2</v>
      </c>
      <c r="AH19" s="423">
        <v>1.332E-2</v>
      </c>
      <c r="AI19" s="423">
        <v>1.3220000000000001E-2</v>
      </c>
      <c r="AJ19" s="423">
        <v>1.324E-2</v>
      </c>
      <c r="AK19" s="423">
        <v>1.337E-2</v>
      </c>
      <c r="AL19" s="423">
        <v>1.358E-2</v>
      </c>
      <c r="AM19" s="423">
        <v>1.355E-2</v>
      </c>
      <c r="AN19" s="423">
        <v>1.349E-2</v>
      </c>
      <c r="AO19" s="423">
        <v>1.35E-2</v>
      </c>
      <c r="AP19" s="423">
        <v>1.3679999999999999E-2</v>
      </c>
      <c r="AR19" s="425" t="s">
        <v>181</v>
      </c>
      <c r="AS19" s="423">
        <v>1.409E-2</v>
      </c>
      <c r="AT19" s="423">
        <v>1.4120000000000001E-2</v>
      </c>
      <c r="AU19" s="423">
        <v>1.443E-2</v>
      </c>
      <c r="AV19" s="423">
        <v>1.4370000000000001E-2</v>
      </c>
      <c r="AW19" s="423">
        <v>1.4370000000000001E-2</v>
      </c>
      <c r="AX19" s="423">
        <v>1.4500000000000001E-2</v>
      </c>
      <c r="AY19" s="423">
        <v>1.453E-2</v>
      </c>
      <c r="AZ19" s="423">
        <v>1.396E-2</v>
      </c>
      <c r="BA19" s="423">
        <v>1.4149999999999999E-2</v>
      </c>
      <c r="BB19" s="423">
        <v>1.406E-2</v>
      </c>
      <c r="BC19" s="423">
        <v>1.3939999999999999E-2</v>
      </c>
      <c r="BD19" s="423">
        <v>1.404E-2</v>
      </c>
      <c r="BF19" s="422" t="s">
        <v>181</v>
      </c>
      <c r="BG19" s="423">
        <v>1.5709999999999998E-2</v>
      </c>
      <c r="BH19" s="423">
        <v>1.5339999999999999E-2</v>
      </c>
      <c r="BI19" s="423">
        <v>1.5350000000000001E-2</v>
      </c>
      <c r="BJ19" s="423">
        <v>1.504E-2</v>
      </c>
      <c r="BK19" s="423">
        <v>1.4829999999999999E-2</v>
      </c>
      <c r="BL19" s="423">
        <v>1.461E-2</v>
      </c>
      <c r="BM19" s="423">
        <v>1.46E-2</v>
      </c>
      <c r="BN19" s="423">
        <v>1.4120000000000001E-2</v>
      </c>
      <c r="BO19" s="423">
        <v>1.379E-2</v>
      </c>
      <c r="BP19" s="423">
        <v>1.35E-2</v>
      </c>
      <c r="BQ19" s="423">
        <v>1.434E-2</v>
      </c>
      <c r="BR19" s="423">
        <v>1.438E-2</v>
      </c>
      <c r="BT19" s="422" t="s">
        <v>181</v>
      </c>
      <c r="BU19" s="423">
        <v>1.481E-2</v>
      </c>
      <c r="BV19" s="423">
        <v>1.4999999999999999E-2</v>
      </c>
      <c r="BW19" s="423">
        <v>1.5429999999999999E-2</v>
      </c>
      <c r="BX19" s="423">
        <v>1.5570000000000001E-2</v>
      </c>
      <c r="BY19" s="423">
        <v>1.5509999999999999E-2</v>
      </c>
      <c r="BZ19" s="423">
        <v>1.5480000000000001E-2</v>
      </c>
      <c r="CA19" s="423">
        <v>1.559E-2</v>
      </c>
      <c r="CB19" s="423">
        <v>1.5630000000000002E-2</v>
      </c>
      <c r="CC19" s="423">
        <v>1.5299999999999999E-2</v>
      </c>
      <c r="CD19" s="423">
        <v>1.546E-2</v>
      </c>
      <c r="CE19" s="423">
        <v>1.549E-2</v>
      </c>
      <c r="CF19" s="423">
        <v>1.566E-2</v>
      </c>
      <c r="CH19" s="422"/>
      <c r="CI19" s="423"/>
      <c r="CJ19" s="423"/>
      <c r="CK19" s="423"/>
      <c r="CL19" s="423"/>
      <c r="CM19" s="423"/>
      <c r="CN19" s="423"/>
      <c r="CO19" s="423"/>
      <c r="CP19" s="423"/>
      <c r="CQ19" s="423"/>
      <c r="CR19" s="423"/>
      <c r="CS19" s="423"/>
      <c r="CT19" s="423"/>
      <c r="CV19" s="422"/>
      <c r="CW19" s="423"/>
      <c r="CX19" s="423"/>
      <c r="CY19" s="423"/>
      <c r="CZ19" s="423"/>
      <c r="DA19" s="423"/>
      <c r="DB19" s="423"/>
      <c r="DC19" s="423"/>
      <c r="DD19" s="423"/>
      <c r="DE19" s="423"/>
      <c r="DF19" s="423"/>
      <c r="DG19" s="423"/>
      <c r="DH19" s="423"/>
      <c r="DJ19" s="422"/>
      <c r="DK19" s="423"/>
      <c r="DL19" s="423"/>
      <c r="DM19" s="423"/>
      <c r="DN19" s="423"/>
      <c r="DO19" s="423"/>
      <c r="DP19" s="423"/>
      <c r="DQ19" s="423"/>
      <c r="DR19" s="423"/>
      <c r="DS19" s="423"/>
      <c r="DT19" s="423"/>
      <c r="DU19" s="423"/>
      <c r="DV19" s="423"/>
      <c r="DX19" s="422"/>
      <c r="DY19" s="423"/>
      <c r="DZ19" s="423"/>
      <c r="EA19" s="423"/>
      <c r="EB19" s="423"/>
      <c r="EC19" s="423"/>
      <c r="ED19" s="423"/>
      <c r="EE19" s="423"/>
      <c r="EF19" s="423"/>
      <c r="EG19" s="423"/>
      <c r="EH19" s="423"/>
      <c r="EI19" s="423"/>
      <c r="EJ19" s="423"/>
      <c r="EL19" s="422"/>
      <c r="EM19" s="423"/>
      <c r="EN19" s="423"/>
      <c r="EO19" s="423"/>
      <c r="EP19" s="423"/>
      <c r="EQ19" s="423"/>
      <c r="ER19" s="423"/>
      <c r="ES19" s="423"/>
      <c r="ET19" s="423"/>
      <c r="EU19" s="423"/>
      <c r="EV19" s="423"/>
      <c r="EW19" s="423"/>
      <c r="EX19" s="423"/>
      <c r="EZ19" s="422"/>
      <c r="FA19" s="423"/>
      <c r="FB19" s="423"/>
      <c r="FC19" s="423"/>
      <c r="FD19" s="423"/>
      <c r="FE19" s="423"/>
      <c r="FF19" s="423"/>
      <c r="FG19" s="423"/>
      <c r="FH19" s="423"/>
      <c r="FI19" s="423"/>
      <c r="FJ19" s="423"/>
      <c r="FK19" s="423"/>
      <c r="FL19" s="423"/>
      <c r="FN19" s="422"/>
      <c r="FO19" s="423"/>
      <c r="FP19" s="423"/>
      <c r="FQ19" s="423"/>
      <c r="FR19" s="423"/>
      <c r="FS19" s="423"/>
      <c r="FT19" s="423"/>
      <c r="FU19" s="423"/>
      <c r="FV19" s="423"/>
      <c r="FW19" s="423"/>
      <c r="FX19" s="423"/>
      <c r="FY19" s="423"/>
      <c r="FZ19" s="423"/>
      <c r="GB19" s="422"/>
      <c r="GC19" s="423"/>
      <c r="GD19" s="423"/>
      <c r="GE19" s="423"/>
      <c r="GF19" s="423"/>
      <c r="GG19" s="423"/>
      <c r="GH19" s="423"/>
      <c r="GI19" s="423"/>
      <c r="GJ19" s="423"/>
      <c r="GK19" s="423"/>
      <c r="GL19" s="423"/>
      <c r="GM19" s="423"/>
      <c r="GN19" s="423"/>
      <c r="GP19" s="422"/>
      <c r="GQ19" s="423"/>
      <c r="GR19" s="423"/>
      <c r="GS19" s="423"/>
      <c r="GT19" s="423"/>
      <c r="GU19" s="423"/>
      <c r="GV19" s="423"/>
      <c r="GW19" s="423"/>
      <c r="GX19" s="423"/>
      <c r="GY19" s="423"/>
      <c r="GZ19" s="423"/>
      <c r="HA19" s="423"/>
      <c r="HB19" s="423"/>
      <c r="HD19" s="422"/>
      <c r="HE19" s="423"/>
      <c r="HF19" s="423"/>
      <c r="HG19" s="423"/>
      <c r="HH19" s="423"/>
      <c r="HI19" s="423"/>
      <c r="HJ19" s="423"/>
      <c r="HK19" s="423"/>
      <c r="HL19" s="423"/>
      <c r="HM19" s="423"/>
      <c r="HN19" s="423"/>
      <c r="HO19" s="423"/>
      <c r="HP19" s="423"/>
      <c r="HR19" s="422"/>
      <c r="HS19" s="423"/>
      <c r="HT19" s="423"/>
      <c r="HU19" s="423"/>
      <c r="HV19" s="423"/>
      <c r="HW19" s="423"/>
      <c r="HX19" s="423"/>
      <c r="HY19" s="423"/>
      <c r="HZ19" s="423"/>
      <c r="IA19" s="423"/>
      <c r="IB19" s="423"/>
      <c r="IC19" s="423"/>
      <c r="ID19" s="423"/>
      <c r="IF19" s="422"/>
      <c r="IG19" s="423"/>
      <c r="IH19" s="423"/>
      <c r="II19" s="423"/>
      <c r="IJ19" s="423"/>
      <c r="IK19" s="423"/>
      <c r="IL19" s="423"/>
      <c r="IM19" s="423"/>
      <c r="IN19" s="423"/>
      <c r="IO19" s="423"/>
      <c r="IP19" s="423"/>
      <c r="IQ19" s="423"/>
      <c r="IR19" s="423"/>
    </row>
    <row r="20" spans="1:252" ht="22" customHeight="1" thickBot="1">
      <c r="A20" s="1" t="s">
        <v>182</v>
      </c>
      <c r="B20" s="422" t="s">
        <v>182</v>
      </c>
      <c r="C20" s="423">
        <f>0.06957/1000</f>
        <v>6.9570000000000013E-5</v>
      </c>
      <c r="D20" s="423">
        <f>0.06954/1000</f>
        <v>6.9540000000000002E-5</v>
      </c>
      <c r="E20" s="423">
        <f>0.06962/1000</f>
        <v>6.9620000000000001E-5</v>
      </c>
      <c r="F20" s="423">
        <f>0.06906/1000</f>
        <v>6.9059999999999993E-5</v>
      </c>
      <c r="G20" s="423">
        <f>0.06866/1000</f>
        <v>6.8659999999999997E-5</v>
      </c>
      <c r="H20" s="423">
        <f>0.06711/1000</f>
        <v>6.711E-5</v>
      </c>
      <c r="I20" s="423">
        <f>0.06741/1000</f>
        <v>6.7409999999999993E-5</v>
      </c>
      <c r="J20" s="423">
        <f>0.06736/1000</f>
        <v>6.7360000000000006E-5</v>
      </c>
      <c r="K20" s="423">
        <f>0.06567/1000</f>
        <v>6.567E-5</v>
      </c>
      <c r="L20" s="423">
        <f>0.06411/1000</f>
        <v>6.4109999999999994E-5</v>
      </c>
      <c r="M20" s="423">
        <f>0.06356/1000</f>
        <v>6.3560000000000008E-5</v>
      </c>
      <c r="N20" s="423">
        <f>0.06421/1000</f>
        <v>6.4209999999999997E-5</v>
      </c>
      <c r="P20" s="422" t="s">
        <v>182</v>
      </c>
      <c r="Q20" s="423">
        <f>0.07125/1000</f>
        <v>7.1249999999999997E-5</v>
      </c>
      <c r="R20" s="423">
        <f>0.07021/1000</f>
        <v>7.0209999999999994E-5</v>
      </c>
      <c r="S20" s="423">
        <f>0.06881/1000</f>
        <v>6.881E-5</v>
      </c>
      <c r="T20" s="423">
        <f>0.06923/1000</f>
        <v>6.923E-5</v>
      </c>
      <c r="U20" s="423">
        <f>0.07003/1000</f>
        <v>7.0029999999999992E-5</v>
      </c>
      <c r="V20" s="423">
        <f>0.06896/1000</f>
        <v>6.895999999999999E-5</v>
      </c>
      <c r="W20" s="423">
        <f>0.06914/1000</f>
        <v>6.9139999999999992E-5</v>
      </c>
      <c r="X20" s="423">
        <f>0.07011/1000</f>
        <v>7.0110000000000005E-5</v>
      </c>
      <c r="Y20" s="423">
        <f>0.06986/1000</f>
        <v>6.9860000000000012E-5</v>
      </c>
      <c r="Z20" s="423">
        <f>0.07058/1000</f>
        <v>7.0580000000000005E-5</v>
      </c>
      <c r="AA20" s="423">
        <f>0.06977/1000</f>
        <v>6.9770000000000005E-5</v>
      </c>
      <c r="AB20" s="423">
        <f>0.07011/1000</f>
        <v>7.0110000000000005E-5</v>
      </c>
      <c r="AD20" s="422" t="s">
        <v>182</v>
      </c>
      <c r="AE20" s="423">
        <v>7.2559999999999996E-5</v>
      </c>
      <c r="AF20" s="423">
        <v>6.9750000000000001E-5</v>
      </c>
      <c r="AG20" s="423">
        <f>0.06131/1000</f>
        <v>6.1310000000000008E-5</v>
      </c>
      <c r="AH20" s="423">
        <f>0.06718/1000</f>
        <v>6.7180000000000004E-5</v>
      </c>
      <c r="AI20" s="423">
        <f>0.06842/1000</f>
        <v>6.8419999999999999E-5</v>
      </c>
      <c r="AJ20" s="423">
        <f>0.0701/1000</f>
        <v>7.0099999999999996E-5</v>
      </c>
      <c r="AK20" s="423">
        <f>0.06848/1000</f>
        <v>6.8479999999999995E-5</v>
      </c>
      <c r="AL20" s="423">
        <f>0.06865/1000</f>
        <v>6.8650000000000002E-5</v>
      </c>
      <c r="AM20" s="423">
        <f>0.0672/1000</f>
        <v>6.7199999999999994E-5</v>
      </c>
      <c r="AN20" s="423">
        <f>0.06833/1000</f>
        <v>6.8330000000000005E-5</v>
      </c>
      <c r="AO20" s="423">
        <f>0.0708/1000</f>
        <v>7.08E-5</v>
      </c>
      <c r="AP20" s="423">
        <f>0.07115/1000</f>
        <v>7.1150000000000008E-5</v>
      </c>
      <c r="AR20" s="425" t="s">
        <v>182</v>
      </c>
      <c r="AS20" s="423">
        <v>7.1730000000000006E-5</v>
      </c>
      <c r="AT20" s="423">
        <v>7.0699999999999997E-5</v>
      </c>
      <c r="AU20" s="423">
        <v>7.0160000000000006E-5</v>
      </c>
      <c r="AV20" s="423">
        <v>7.046E-5</v>
      </c>
      <c r="AW20" s="423">
        <v>6.991E-5</v>
      </c>
      <c r="AX20" s="423">
        <f>0.07079/1000</f>
        <v>7.0790000000000005E-5</v>
      </c>
      <c r="AY20" s="423">
        <v>7.1319999999999988E-5</v>
      </c>
      <c r="AZ20" s="423">
        <v>7.0470000000000008E-5</v>
      </c>
      <c r="BA20" s="423">
        <f>0.07053/1000</f>
        <v>7.052999999999999E-5</v>
      </c>
      <c r="BB20" s="423">
        <f>0.07099/1000</f>
        <v>7.0989999999999996E-5</v>
      </c>
      <c r="BC20" s="423">
        <f>0.07081/1000</f>
        <v>7.0809999999999995E-5</v>
      </c>
      <c r="BD20" s="423">
        <f>0.07222/1000</f>
        <v>7.222000000000001E-5</v>
      </c>
      <c r="BF20" s="422" t="s">
        <v>182</v>
      </c>
      <c r="BG20" s="423">
        <v>7.4719999999999989E-5</v>
      </c>
      <c r="BH20" s="423">
        <v>7.2639999999999996E-5</v>
      </c>
      <c r="BI20" s="423">
        <v>7.2739999999999998E-5</v>
      </c>
      <c r="BJ20" s="423">
        <v>7.1860000000000007E-5</v>
      </c>
      <c r="BK20" s="423">
        <v>7.1859999999999993E-5</v>
      </c>
      <c r="BL20" s="423">
        <v>7.0099999999999996E-5</v>
      </c>
      <c r="BM20" s="423">
        <v>6.9439999999999999E-5</v>
      </c>
      <c r="BN20" s="423">
        <v>6.7479999999999998E-5</v>
      </c>
      <c r="BO20" s="423">
        <v>6.7080000000000001E-5</v>
      </c>
      <c r="BP20" s="423">
        <f>0.06572/1000</f>
        <v>6.5720000000000001E-5</v>
      </c>
      <c r="BQ20" s="423">
        <f>0.06969/1000</f>
        <v>6.9690000000000005E-5</v>
      </c>
      <c r="BR20" s="423">
        <f>0.06936/1000</f>
        <v>6.936E-5</v>
      </c>
      <c r="BT20" s="422" t="s">
        <v>182</v>
      </c>
      <c r="BU20" s="423">
        <v>7.4889999999999996E-5</v>
      </c>
      <c r="BV20" s="423">
        <v>7.4919999999999994E-5</v>
      </c>
      <c r="BW20" s="423">
        <v>7.5079999999999993E-5</v>
      </c>
      <c r="BX20" s="423">
        <v>7.5019999999999997E-5</v>
      </c>
      <c r="BY20" s="423">
        <v>7.5160000000000005E-5</v>
      </c>
      <c r="BZ20" s="423">
        <v>7.4999999999999993E-5</v>
      </c>
      <c r="CA20" s="423">
        <v>7.5069999999999998E-5</v>
      </c>
      <c r="CB20" s="423">
        <v>7.5019999999999997E-5</v>
      </c>
      <c r="CC20" s="423">
        <v>7.4260000000000011E-5</v>
      </c>
      <c r="CD20" s="423">
        <v>7.3739999999999995E-5</v>
      </c>
      <c r="CE20" s="423">
        <v>7.3849999999999993E-5</v>
      </c>
      <c r="CF20" s="423">
        <v>7.36E-5</v>
      </c>
      <c r="CH20" s="422"/>
      <c r="CI20" s="423"/>
      <c r="CJ20" s="423"/>
      <c r="CK20" s="423"/>
      <c r="CL20" s="423"/>
      <c r="CM20" s="423"/>
      <c r="CN20" s="423"/>
      <c r="CO20" s="423"/>
      <c r="CP20" s="423"/>
      <c r="CQ20" s="423"/>
      <c r="CR20" s="423"/>
      <c r="CS20" s="423"/>
      <c r="CT20" s="423"/>
      <c r="CV20" s="422"/>
      <c r="CW20" s="423"/>
      <c r="CX20" s="423"/>
      <c r="CY20" s="423"/>
      <c r="CZ20" s="423"/>
      <c r="DA20" s="423"/>
      <c r="DB20" s="423"/>
      <c r="DC20" s="423"/>
      <c r="DD20" s="423"/>
      <c r="DE20" s="423"/>
      <c r="DF20" s="423"/>
      <c r="DG20" s="423"/>
      <c r="DH20" s="423"/>
      <c r="DJ20" s="422"/>
      <c r="DK20" s="423"/>
      <c r="DL20" s="423"/>
      <c r="DM20" s="423"/>
      <c r="DN20" s="423"/>
      <c r="DO20" s="423"/>
      <c r="DP20" s="423"/>
      <c r="DQ20" s="423"/>
      <c r="DR20" s="423"/>
      <c r="DS20" s="423"/>
      <c r="DT20" s="423"/>
      <c r="DU20" s="423"/>
      <c r="DV20" s="423"/>
      <c r="DX20" s="422"/>
      <c r="DY20" s="423"/>
      <c r="DZ20" s="423"/>
      <c r="EA20" s="423"/>
      <c r="EB20" s="423"/>
      <c r="EC20" s="423"/>
      <c r="ED20" s="423"/>
      <c r="EE20" s="423"/>
      <c r="EF20" s="423"/>
      <c r="EG20" s="423"/>
      <c r="EH20" s="423"/>
      <c r="EI20" s="423"/>
      <c r="EJ20" s="423"/>
      <c r="EL20" s="422"/>
      <c r="EM20" s="423"/>
      <c r="EN20" s="423"/>
      <c r="EO20" s="423"/>
      <c r="EP20" s="423"/>
      <c r="EQ20" s="423"/>
      <c r="ER20" s="423"/>
      <c r="ES20" s="423"/>
      <c r="ET20" s="423"/>
      <c r="EU20" s="423"/>
      <c r="EV20" s="423"/>
      <c r="EW20" s="423"/>
      <c r="EX20" s="423"/>
      <c r="EZ20" s="422"/>
      <c r="FA20" s="423"/>
      <c r="FB20" s="423"/>
      <c r="FC20" s="423"/>
      <c r="FD20" s="423"/>
      <c r="FE20" s="423"/>
      <c r="FF20" s="423"/>
      <c r="FG20" s="423"/>
      <c r="FH20" s="423"/>
      <c r="FI20" s="423"/>
      <c r="FJ20" s="423"/>
      <c r="FK20" s="423"/>
      <c r="FL20" s="423"/>
      <c r="FN20" s="422"/>
      <c r="FO20" s="423"/>
      <c r="FP20" s="423"/>
      <c r="FQ20" s="423"/>
      <c r="FR20" s="423"/>
      <c r="FS20" s="423"/>
      <c r="FT20" s="423"/>
      <c r="FU20" s="423"/>
      <c r="FV20" s="423"/>
      <c r="FW20" s="423"/>
      <c r="FX20" s="423"/>
      <c r="FY20" s="423"/>
      <c r="FZ20" s="423"/>
      <c r="GB20" s="422"/>
      <c r="GC20" s="423"/>
      <c r="GD20" s="423"/>
      <c r="GE20" s="423"/>
      <c r="GF20" s="423"/>
      <c r="GG20" s="423"/>
      <c r="GH20" s="423"/>
      <c r="GI20" s="423"/>
      <c r="GJ20" s="423"/>
      <c r="GK20" s="423"/>
      <c r="GL20" s="423"/>
      <c r="GM20" s="423"/>
      <c r="GN20" s="423"/>
      <c r="GP20" s="422"/>
      <c r="GQ20" s="423"/>
      <c r="GR20" s="423"/>
      <c r="GS20" s="423"/>
      <c r="GT20" s="423"/>
      <c r="GU20" s="423"/>
      <c r="GV20" s="423"/>
      <c r="GW20" s="423"/>
      <c r="GX20" s="423"/>
      <c r="GY20" s="423"/>
      <c r="GZ20" s="423"/>
      <c r="HA20" s="423"/>
      <c r="HB20" s="423"/>
      <c r="HD20" s="422"/>
      <c r="HE20" s="423"/>
      <c r="HF20" s="423"/>
      <c r="HG20" s="423"/>
      <c r="HH20" s="423"/>
      <c r="HI20" s="423"/>
      <c r="HJ20" s="423"/>
      <c r="HK20" s="423"/>
      <c r="HL20" s="423"/>
      <c r="HM20" s="423"/>
      <c r="HN20" s="423"/>
      <c r="HO20" s="423"/>
      <c r="HP20" s="423"/>
      <c r="HR20" s="422"/>
      <c r="HS20" s="423"/>
      <c r="HT20" s="423"/>
      <c r="HU20" s="423"/>
      <c r="HV20" s="423"/>
      <c r="HW20" s="423"/>
      <c r="HX20" s="423"/>
      <c r="HY20" s="423"/>
      <c r="HZ20" s="423"/>
      <c r="IA20" s="423"/>
      <c r="IB20" s="423"/>
      <c r="IC20" s="423"/>
      <c r="ID20" s="423"/>
      <c r="IF20" s="422"/>
      <c r="IG20" s="423"/>
      <c r="IH20" s="423"/>
      <c r="II20" s="423"/>
      <c r="IJ20" s="423"/>
      <c r="IK20" s="423"/>
      <c r="IL20" s="423"/>
      <c r="IM20" s="423"/>
      <c r="IN20" s="423"/>
      <c r="IO20" s="423"/>
      <c r="IP20" s="423"/>
      <c r="IQ20" s="423"/>
      <c r="IR20" s="423"/>
    </row>
    <row r="21" spans="1:252" ht="22" customHeight="1" thickBot="1">
      <c r="A21" s="1" t="s">
        <v>624</v>
      </c>
      <c r="B21" s="422" t="s">
        <v>624</v>
      </c>
      <c r="C21" s="423">
        <v>0.31455</v>
      </c>
      <c r="D21" s="423">
        <v>0.31187999999999999</v>
      </c>
      <c r="E21" s="423">
        <v>0.31337999999999999</v>
      </c>
      <c r="F21" s="423">
        <v>0.29916999999999999</v>
      </c>
      <c r="G21" s="423">
        <v>0.30026999999999998</v>
      </c>
      <c r="H21" s="423">
        <v>0.28556999999999999</v>
      </c>
      <c r="I21" s="423">
        <v>0.29329</v>
      </c>
      <c r="J21" s="423">
        <v>0.30048000000000002</v>
      </c>
      <c r="K21" s="423">
        <v>0.28100000000000003</v>
      </c>
      <c r="L21" s="423">
        <v>0.28351999999999999</v>
      </c>
      <c r="M21" s="423">
        <v>0.28986000000000001</v>
      </c>
      <c r="N21" s="423">
        <v>0.28348000000000001</v>
      </c>
      <c r="P21" s="422" t="s">
        <v>624</v>
      </c>
      <c r="Q21" s="423">
        <v>0.30531999999999998</v>
      </c>
      <c r="R21" s="423">
        <v>0.30192000000000002</v>
      </c>
      <c r="S21" s="423">
        <v>0.29994999999999999</v>
      </c>
      <c r="T21" s="423">
        <v>0.30836000000000002</v>
      </c>
      <c r="U21" s="423">
        <v>0.30787999999999999</v>
      </c>
      <c r="V21" s="423">
        <v>0.30681000000000003</v>
      </c>
      <c r="W21" s="423">
        <v>0.30989</v>
      </c>
      <c r="X21" s="423">
        <v>0.31211</v>
      </c>
      <c r="Y21" s="423">
        <v>0.30991000000000002</v>
      </c>
      <c r="Z21" s="423">
        <v>0.31663000000000002</v>
      </c>
      <c r="AA21" s="423">
        <v>0.31731999999999999</v>
      </c>
      <c r="AB21" s="423">
        <v>0.32144</v>
      </c>
      <c r="AD21" s="422"/>
      <c r="AE21" s="423"/>
      <c r="AF21" s="423"/>
      <c r="AG21" s="423"/>
      <c r="AH21" s="423"/>
      <c r="AI21" s="423"/>
      <c r="AJ21" s="423"/>
      <c r="AK21" s="423"/>
      <c r="AL21" s="423"/>
      <c r="AM21" s="423"/>
      <c r="AN21" s="423"/>
      <c r="AO21" s="423"/>
      <c r="AP21" s="423"/>
      <c r="AR21" s="425"/>
      <c r="AS21" s="423"/>
      <c r="AT21" s="423"/>
      <c r="AU21" s="423"/>
      <c r="AV21" s="423"/>
      <c r="AW21" s="423"/>
      <c r="AX21" s="423"/>
      <c r="AY21" s="423"/>
      <c r="AZ21" s="423"/>
      <c r="BA21" s="423"/>
      <c r="BB21" s="423"/>
      <c r="BC21" s="423"/>
      <c r="BD21" s="423"/>
      <c r="BF21" s="422"/>
      <c r="BG21" s="423"/>
      <c r="BH21" s="423"/>
      <c r="BI21" s="423"/>
      <c r="BJ21" s="423"/>
      <c r="BK21" s="423"/>
      <c r="BL21" s="423"/>
      <c r="BM21" s="423"/>
      <c r="BN21" s="423"/>
      <c r="BO21" s="423"/>
      <c r="BP21" s="423"/>
      <c r="BQ21" s="423"/>
      <c r="BR21" s="423"/>
      <c r="BT21" s="422"/>
      <c r="BU21" s="423"/>
      <c r="BV21" s="423"/>
      <c r="BW21" s="423"/>
      <c r="BX21" s="423"/>
      <c r="BY21" s="423"/>
      <c r="BZ21" s="423"/>
      <c r="CA21" s="423"/>
      <c r="CB21" s="423"/>
      <c r="CC21" s="423"/>
      <c r="CD21" s="423"/>
      <c r="CE21" s="423"/>
      <c r="CF21" s="423"/>
      <c r="CH21" s="422"/>
      <c r="CI21" s="423"/>
      <c r="CJ21" s="423"/>
      <c r="CK21" s="423"/>
      <c r="CL21" s="423"/>
      <c r="CM21" s="423"/>
      <c r="CN21" s="423"/>
      <c r="CO21" s="423"/>
      <c r="CP21" s="423"/>
      <c r="CQ21" s="423"/>
      <c r="CR21" s="423"/>
      <c r="CS21" s="423"/>
      <c r="CT21" s="423"/>
      <c r="CV21" s="422"/>
      <c r="CW21" s="423"/>
      <c r="CX21" s="423"/>
      <c r="CY21" s="423"/>
      <c r="CZ21" s="423"/>
      <c r="DA21" s="423"/>
      <c r="DB21" s="423"/>
      <c r="DC21" s="423"/>
      <c r="DD21" s="423"/>
      <c r="DE21" s="423"/>
      <c r="DF21" s="423"/>
      <c r="DG21" s="423"/>
      <c r="DH21" s="423"/>
      <c r="DJ21" s="422"/>
      <c r="DK21" s="423"/>
      <c r="DL21" s="423"/>
      <c r="DM21" s="423"/>
      <c r="DN21" s="423"/>
      <c r="DO21" s="423"/>
      <c r="DP21" s="423"/>
      <c r="DQ21" s="423"/>
      <c r="DR21" s="423"/>
      <c r="DS21" s="423"/>
      <c r="DT21" s="423"/>
      <c r="DU21" s="423"/>
      <c r="DV21" s="423"/>
      <c r="DX21" s="422"/>
      <c r="DY21" s="423"/>
      <c r="DZ21" s="423"/>
      <c r="EA21" s="423"/>
      <c r="EB21" s="423"/>
      <c r="EC21" s="423"/>
      <c r="ED21" s="423"/>
      <c r="EE21" s="423"/>
      <c r="EF21" s="423"/>
      <c r="EG21" s="423"/>
      <c r="EH21" s="423"/>
      <c r="EI21" s="423"/>
      <c r="EJ21" s="423"/>
      <c r="EL21" s="422"/>
      <c r="EM21" s="423"/>
      <c r="EN21" s="423"/>
      <c r="EO21" s="423"/>
      <c r="EP21" s="423"/>
      <c r="EQ21" s="423"/>
      <c r="ER21" s="423"/>
      <c r="ES21" s="423"/>
      <c r="ET21" s="423"/>
      <c r="EU21" s="423"/>
      <c r="EV21" s="423"/>
      <c r="EW21" s="423"/>
      <c r="EX21" s="423"/>
      <c r="EZ21" s="422"/>
      <c r="FA21" s="423"/>
      <c r="FB21" s="423"/>
      <c r="FC21" s="423"/>
      <c r="FD21" s="423"/>
      <c r="FE21" s="423"/>
      <c r="FF21" s="423"/>
      <c r="FG21" s="423"/>
      <c r="FH21" s="423"/>
      <c r="FI21" s="423"/>
      <c r="FJ21" s="423"/>
      <c r="FK21" s="423"/>
      <c r="FL21" s="423"/>
      <c r="FN21" s="422"/>
      <c r="FO21" s="423"/>
      <c r="FP21" s="423"/>
      <c r="FQ21" s="423"/>
      <c r="FR21" s="423"/>
      <c r="FS21" s="423"/>
      <c r="FT21" s="423"/>
      <c r="FU21" s="423"/>
      <c r="FV21" s="423"/>
      <c r="FW21" s="423"/>
      <c r="FX21" s="423"/>
      <c r="FY21" s="423"/>
      <c r="FZ21" s="423"/>
      <c r="GB21" s="422"/>
      <c r="GC21" s="423"/>
      <c r="GD21" s="423"/>
      <c r="GE21" s="423"/>
      <c r="GF21" s="423"/>
      <c r="GG21" s="423"/>
      <c r="GH21" s="423"/>
      <c r="GI21" s="423"/>
      <c r="GJ21" s="423"/>
      <c r="GK21" s="423"/>
      <c r="GL21" s="423"/>
      <c r="GM21" s="423"/>
      <c r="GN21" s="423"/>
      <c r="GP21" s="422"/>
      <c r="GQ21" s="423"/>
      <c r="GR21" s="423"/>
      <c r="GS21" s="423"/>
      <c r="GT21" s="423"/>
      <c r="GU21" s="423"/>
      <c r="GV21" s="423"/>
      <c r="GW21" s="423"/>
      <c r="GX21" s="423"/>
      <c r="GY21" s="423"/>
      <c r="GZ21" s="423"/>
      <c r="HA21" s="423"/>
      <c r="HB21" s="423"/>
      <c r="HD21" s="422"/>
      <c r="HE21" s="423"/>
      <c r="HF21" s="423"/>
      <c r="HG21" s="423"/>
      <c r="HH21" s="423"/>
      <c r="HI21" s="423"/>
      <c r="HJ21" s="423"/>
      <c r="HK21" s="423"/>
      <c r="HL21" s="423"/>
      <c r="HM21" s="423"/>
      <c r="HN21" s="423"/>
      <c r="HO21" s="423"/>
      <c r="HP21" s="423"/>
      <c r="HR21" s="422"/>
      <c r="HS21" s="423"/>
      <c r="HT21" s="423"/>
      <c r="HU21" s="423"/>
      <c r="HV21" s="423"/>
      <c r="HW21" s="423"/>
      <c r="HX21" s="423"/>
      <c r="HY21" s="423"/>
      <c r="HZ21" s="423"/>
      <c r="IA21" s="423"/>
      <c r="IB21" s="423"/>
      <c r="IC21" s="423"/>
      <c r="ID21" s="423"/>
      <c r="IF21" s="422"/>
      <c r="IG21" s="423"/>
      <c r="IH21" s="423"/>
      <c r="II21" s="423"/>
      <c r="IJ21" s="423"/>
      <c r="IK21" s="423"/>
      <c r="IL21" s="423"/>
      <c r="IM21" s="423"/>
      <c r="IN21" s="423"/>
      <c r="IO21" s="423"/>
      <c r="IP21" s="423"/>
      <c r="IQ21" s="423"/>
      <c r="IR21" s="423"/>
    </row>
    <row r="22" spans="1:252" ht="22" customHeight="1" thickBot="1">
      <c r="A22" s="1" t="s">
        <v>183</v>
      </c>
      <c r="B22" s="422" t="s">
        <v>183</v>
      </c>
      <c r="C22" s="423">
        <f>0.25382/1000</f>
        <v>2.5381999999999998E-4</v>
      </c>
      <c r="D22" s="423">
        <f>0.25647/1000</f>
        <v>2.5646999999999996E-4</v>
      </c>
      <c r="E22" s="423">
        <f>0.26648/1000</f>
        <v>2.6647999999999998E-4</v>
      </c>
      <c r="F22" s="423">
        <f>0.25167/1000</f>
        <v>2.5167000000000001E-4</v>
      </c>
      <c r="G22" s="423">
        <f>0.26469/1000</f>
        <v>2.6468999999999999E-4</v>
      </c>
      <c r="H22" s="423">
        <f>0.24037/1000</f>
        <v>2.4037E-4</v>
      </c>
      <c r="I22" s="423">
        <f>0.23244/1000</f>
        <v>2.3244000000000002E-4</v>
      </c>
      <c r="J22" s="423">
        <f>0.22617/1000</f>
        <v>2.2617000000000001E-4</v>
      </c>
      <c r="K22" s="423">
        <f>0.21799/1000</f>
        <v>2.1798999999999999E-4</v>
      </c>
      <c r="L22" s="423">
        <f>0.20508/1000</f>
        <v>2.0508000000000001E-4</v>
      </c>
      <c r="M22" s="423">
        <f>0.20756/1000</f>
        <v>2.0756E-4</v>
      </c>
      <c r="N22" s="423">
        <f>0.20616/1000</f>
        <v>2.0616000000000002E-4</v>
      </c>
      <c r="P22" s="422" t="s">
        <v>183</v>
      </c>
      <c r="Q22" s="423">
        <f>0.28066/1000</f>
        <v>2.8066000000000001E-4</v>
      </c>
      <c r="R22" s="423">
        <f>0.27655/1000</f>
        <v>2.7655000000000003E-4</v>
      </c>
      <c r="S22" s="423">
        <f>0.27205/1000</f>
        <v>2.7205000000000003E-4</v>
      </c>
      <c r="T22" s="423">
        <f>0.26794/1000</f>
        <v>2.6793999999999999E-4</v>
      </c>
      <c r="U22" s="423">
        <f>0.26963/1000</f>
        <v>2.6962999999999998E-4</v>
      </c>
      <c r="V22" s="423">
        <f>0.2674/1000</f>
        <v>2.6740000000000005E-4</v>
      </c>
      <c r="W22" s="423">
        <f>0.25877/1000</f>
        <v>2.5877000000000002E-4</v>
      </c>
      <c r="X22" s="423">
        <f>0.26572/1000</f>
        <v>2.6572E-4</v>
      </c>
      <c r="Y22" s="423">
        <f>0.26235/1000</f>
        <v>2.6235000000000001E-4</v>
      </c>
      <c r="Z22" s="423">
        <f>0.26361/1000</f>
        <v>2.6361000000000001E-4</v>
      </c>
      <c r="AA22" s="423">
        <f>0.24948/1000</f>
        <v>2.4948E-4</v>
      </c>
      <c r="AB22" s="423">
        <f>0.24552/1000</f>
        <v>2.4551999999999999E-4</v>
      </c>
      <c r="AD22" s="422" t="s">
        <v>183</v>
      </c>
      <c r="AE22" s="423">
        <v>2.9197000000000001E-4</v>
      </c>
      <c r="AF22" s="423">
        <v>2.8409000000000003E-4</v>
      </c>
      <c r="AG22" s="423">
        <f>0.24627/1000</f>
        <v>2.4626999999999999E-4</v>
      </c>
      <c r="AH22" s="423">
        <f>0.25507/1000</f>
        <v>2.5507000000000004E-4</v>
      </c>
      <c r="AI22" s="423">
        <f>0.26928/1000</f>
        <v>2.6928E-4</v>
      </c>
      <c r="AJ22" s="423">
        <f>0.26718/1000</f>
        <v>2.6718E-4</v>
      </c>
      <c r="AK22" s="423">
        <f>0.26813/1000</f>
        <v>2.6813E-4</v>
      </c>
      <c r="AL22" s="423">
        <f>0.26649/1000</f>
        <v>2.6648999999999998E-4</v>
      </c>
      <c r="AM22" s="423">
        <f>0.25919/1000</f>
        <v>2.5918999999999996E-4</v>
      </c>
      <c r="AN22" s="423">
        <f>0.25913/1000</f>
        <v>2.5913000000000005E-4</v>
      </c>
      <c r="AO22" s="423">
        <f>0.27881/1000</f>
        <v>2.7881E-4</v>
      </c>
      <c r="AP22" s="423">
        <f>0.29148/1000</f>
        <v>2.9147999999999999E-4</v>
      </c>
      <c r="AR22" s="425" t="s">
        <v>183</v>
      </c>
      <c r="AS22" s="423">
        <v>3.2190999999999996E-4</v>
      </c>
      <c r="AT22" s="423">
        <v>3.2466E-4</v>
      </c>
      <c r="AU22" s="423">
        <v>3.1359999999999998E-4</v>
      </c>
      <c r="AV22" s="423">
        <v>3.0964000000000002E-4</v>
      </c>
      <c r="AW22" s="423">
        <v>2.9806E-4</v>
      </c>
      <c r="AX22" s="423">
        <f>0.31157/1000</f>
        <v>3.1157E-4</v>
      </c>
      <c r="AY22" s="423">
        <v>3.0459000000000004E-4</v>
      </c>
      <c r="AZ22" s="423">
        <v>2.9049000000000002E-4</v>
      </c>
      <c r="BA22" s="423">
        <f>0.28752/1000</f>
        <v>2.8751999999999998E-4</v>
      </c>
      <c r="BB22" s="423">
        <f>0.29623/1000</f>
        <v>2.9622999999999997E-4</v>
      </c>
      <c r="BC22" s="423">
        <f>0.2846/1000</f>
        <v>2.8460000000000003E-4</v>
      </c>
      <c r="BD22" s="423">
        <f>0.30418/1000</f>
        <v>3.0418000000000003E-4</v>
      </c>
      <c r="BF22" s="422" t="s">
        <v>183</v>
      </c>
      <c r="BG22" s="423">
        <v>3.5324999999999999E-4</v>
      </c>
      <c r="BH22" s="423">
        <v>3.4918999999999998E-4</v>
      </c>
      <c r="BI22" s="423">
        <v>3.5777999999999998E-4</v>
      </c>
      <c r="BJ22" s="423">
        <v>3.5680999999999999E-4</v>
      </c>
      <c r="BK22" s="423">
        <v>3.4606999999999997E-4</v>
      </c>
      <c r="BL22" s="423">
        <v>3.4111000000000005E-4</v>
      </c>
      <c r="BM22" s="423">
        <v>3.4610999999999995E-4</v>
      </c>
      <c r="BN22" s="423">
        <v>3.2838000000000002E-4</v>
      </c>
      <c r="BO22" s="423">
        <v>3.3534999999999999E-4</v>
      </c>
      <c r="BP22" s="423">
        <f>0.31051/1000</f>
        <v>3.1051000000000001E-4</v>
      </c>
      <c r="BQ22" s="423">
        <f>0.3091/1000</f>
        <v>3.0909999999999998E-4</v>
      </c>
      <c r="BR22" s="423">
        <f>0.30772/1000</f>
        <v>3.0771999999999999E-4</v>
      </c>
      <c r="BT22" s="422" t="s">
        <v>183</v>
      </c>
      <c r="BU22" s="423">
        <v>3.4206999999999998E-4</v>
      </c>
      <c r="BV22" s="423">
        <v>3.4177999999999997E-4</v>
      </c>
      <c r="BW22" s="423">
        <v>3.4794999999999997E-4</v>
      </c>
      <c r="BX22" s="423">
        <v>3.3978000000000003E-4</v>
      </c>
      <c r="BY22" s="423">
        <v>3.4278999999999999E-4</v>
      </c>
      <c r="BZ22" s="423">
        <v>3.2845999999999998E-4</v>
      </c>
      <c r="CA22" s="423">
        <v>3.3377E-4</v>
      </c>
      <c r="CB22" s="423">
        <v>3.3934999999999998E-4</v>
      </c>
      <c r="CC22" s="423">
        <v>3.4042000000000002E-4</v>
      </c>
      <c r="CD22" s="423">
        <v>3.2874E-4</v>
      </c>
      <c r="CE22" s="423">
        <v>3.3150000000000003E-4</v>
      </c>
      <c r="CF22" s="423">
        <v>3.3492E-4</v>
      </c>
      <c r="CH22" s="422"/>
      <c r="CI22" s="423"/>
      <c r="CJ22" s="423"/>
      <c r="CK22" s="423"/>
      <c r="CL22" s="423"/>
      <c r="CM22" s="423"/>
      <c r="CN22" s="423"/>
      <c r="CO22" s="423"/>
      <c r="CP22" s="423"/>
      <c r="CQ22" s="423"/>
      <c r="CR22" s="423"/>
      <c r="CS22" s="423"/>
      <c r="CT22" s="423"/>
      <c r="CV22" s="422"/>
      <c r="CW22" s="423"/>
      <c r="CX22" s="423"/>
      <c r="CY22" s="423"/>
      <c r="CZ22" s="423"/>
      <c r="DA22" s="423"/>
      <c r="DB22" s="423"/>
      <c r="DC22" s="423"/>
      <c r="DD22" s="423"/>
      <c r="DE22" s="423"/>
      <c r="DF22" s="423"/>
      <c r="DG22" s="423"/>
      <c r="DH22" s="423"/>
      <c r="DJ22" s="422"/>
      <c r="DK22" s="423"/>
      <c r="DL22" s="423"/>
      <c r="DM22" s="423"/>
      <c r="DN22" s="423"/>
      <c r="DO22" s="423"/>
      <c r="DP22" s="423"/>
      <c r="DQ22" s="423"/>
      <c r="DR22" s="423"/>
      <c r="DS22" s="423"/>
      <c r="DT22" s="423"/>
      <c r="DU22" s="423"/>
      <c r="DV22" s="423"/>
      <c r="DX22" s="422"/>
      <c r="DY22" s="423"/>
      <c r="DZ22" s="423"/>
      <c r="EA22" s="423"/>
      <c r="EB22" s="423"/>
      <c r="EC22" s="423"/>
      <c r="ED22" s="423"/>
      <c r="EE22" s="423"/>
      <c r="EF22" s="423"/>
      <c r="EG22" s="423"/>
      <c r="EH22" s="423"/>
      <c r="EI22" s="423"/>
      <c r="EJ22" s="423"/>
      <c r="EL22" s="422"/>
      <c r="EM22" s="423"/>
      <c r="EN22" s="423"/>
      <c r="EO22" s="423"/>
      <c r="EP22" s="423"/>
      <c r="EQ22" s="423"/>
      <c r="ER22" s="423"/>
      <c r="ES22" s="423"/>
      <c r="ET22" s="423"/>
      <c r="EU22" s="423"/>
      <c r="EV22" s="423"/>
      <c r="EW22" s="423"/>
      <c r="EX22" s="423"/>
      <c r="EZ22" s="422"/>
      <c r="FA22" s="423"/>
      <c r="FB22" s="423"/>
      <c r="FC22" s="423"/>
      <c r="FD22" s="423"/>
      <c r="FE22" s="423"/>
      <c r="FF22" s="423"/>
      <c r="FG22" s="423"/>
      <c r="FH22" s="423"/>
      <c r="FI22" s="423"/>
      <c r="FJ22" s="423"/>
      <c r="FK22" s="423"/>
      <c r="FL22" s="423"/>
      <c r="FN22" s="422"/>
      <c r="FO22" s="423"/>
      <c r="FP22" s="423"/>
      <c r="FQ22" s="423"/>
      <c r="FR22" s="423"/>
      <c r="FS22" s="423"/>
      <c r="FT22" s="423"/>
      <c r="FU22" s="423"/>
      <c r="FV22" s="423"/>
      <c r="FW22" s="423"/>
      <c r="FX22" s="423"/>
      <c r="FY22" s="423"/>
      <c r="FZ22" s="423"/>
      <c r="GB22" s="422"/>
      <c r="GC22" s="423"/>
      <c r="GD22" s="423"/>
      <c r="GE22" s="423"/>
      <c r="GF22" s="423"/>
      <c r="GG22" s="423"/>
      <c r="GH22" s="423"/>
      <c r="GI22" s="423"/>
      <c r="GJ22" s="423"/>
      <c r="GK22" s="423"/>
      <c r="GL22" s="423"/>
      <c r="GM22" s="423"/>
      <c r="GN22" s="423"/>
      <c r="GP22" s="422"/>
      <c r="GQ22" s="423"/>
      <c r="GR22" s="423"/>
      <c r="GS22" s="423"/>
      <c r="GT22" s="423"/>
      <c r="GU22" s="423"/>
      <c r="GV22" s="423"/>
      <c r="GW22" s="423"/>
      <c r="GX22" s="423"/>
      <c r="GY22" s="423"/>
      <c r="GZ22" s="423"/>
      <c r="HA22" s="423"/>
      <c r="HB22" s="423"/>
      <c r="HD22" s="422"/>
      <c r="HE22" s="423"/>
      <c r="HF22" s="423"/>
      <c r="HG22" s="423"/>
      <c r="HH22" s="423"/>
      <c r="HI22" s="423"/>
      <c r="HJ22" s="423"/>
      <c r="HK22" s="423"/>
      <c r="HL22" s="423"/>
      <c r="HM22" s="423"/>
      <c r="HN22" s="423"/>
      <c r="HO22" s="423"/>
      <c r="HP22" s="423"/>
      <c r="HR22" s="422"/>
      <c r="HS22" s="423"/>
      <c r="HT22" s="423"/>
      <c r="HU22" s="423"/>
      <c r="HV22" s="423"/>
      <c r="HW22" s="423"/>
      <c r="HX22" s="423"/>
      <c r="HY22" s="423"/>
      <c r="HZ22" s="423"/>
      <c r="IA22" s="423"/>
      <c r="IB22" s="423"/>
      <c r="IC22" s="423"/>
      <c r="ID22" s="423"/>
      <c r="IF22" s="422"/>
      <c r="IG22" s="423"/>
      <c r="IH22" s="423"/>
      <c r="II22" s="423"/>
      <c r="IJ22" s="423"/>
      <c r="IK22" s="423"/>
      <c r="IL22" s="423"/>
      <c r="IM22" s="423"/>
      <c r="IN22" s="423"/>
      <c r="IO22" s="423"/>
      <c r="IP22" s="423"/>
      <c r="IQ22" s="423"/>
      <c r="IR22" s="423"/>
    </row>
    <row r="23" spans="1:252" ht="22" customHeight="1" thickBot="1">
      <c r="A23" s="1" t="s">
        <v>59</v>
      </c>
      <c r="B23" s="422" t="s">
        <v>59</v>
      </c>
      <c r="C23" s="423">
        <v>1</v>
      </c>
      <c r="D23" s="423">
        <v>1</v>
      </c>
      <c r="E23" s="423">
        <v>1</v>
      </c>
      <c r="F23" s="423">
        <v>1</v>
      </c>
      <c r="G23" s="423">
        <v>1</v>
      </c>
      <c r="H23" s="423">
        <v>1</v>
      </c>
      <c r="I23" s="423">
        <v>1</v>
      </c>
      <c r="J23" s="423">
        <v>1</v>
      </c>
      <c r="K23" s="423">
        <v>1</v>
      </c>
      <c r="L23" s="423">
        <v>1</v>
      </c>
      <c r="M23" s="620">
        <v>1</v>
      </c>
      <c r="N23" s="423">
        <v>1</v>
      </c>
      <c r="P23" s="422" t="s">
        <v>59</v>
      </c>
      <c r="Q23" s="423">
        <v>1</v>
      </c>
      <c r="R23" s="423">
        <v>1</v>
      </c>
      <c r="S23" s="423">
        <v>1</v>
      </c>
      <c r="T23" s="423">
        <v>1</v>
      </c>
      <c r="U23" s="423">
        <v>1</v>
      </c>
      <c r="V23" s="423">
        <v>1</v>
      </c>
      <c r="W23" s="423">
        <v>1</v>
      </c>
      <c r="X23" s="423">
        <v>1</v>
      </c>
      <c r="Y23" s="423">
        <v>1</v>
      </c>
      <c r="Z23" s="423">
        <v>1</v>
      </c>
      <c r="AA23" s="423">
        <v>1</v>
      </c>
      <c r="AB23" s="423">
        <v>1</v>
      </c>
      <c r="AD23" s="422" t="s">
        <v>59</v>
      </c>
      <c r="AE23" s="423">
        <v>1</v>
      </c>
      <c r="AF23" s="423">
        <v>1</v>
      </c>
      <c r="AG23" s="423">
        <v>1</v>
      </c>
      <c r="AH23" s="423">
        <v>1</v>
      </c>
      <c r="AI23" s="423">
        <v>1</v>
      </c>
      <c r="AJ23" s="423">
        <v>1</v>
      </c>
      <c r="AK23" s="423">
        <v>1</v>
      </c>
      <c r="AL23" s="423">
        <v>1</v>
      </c>
      <c r="AM23" s="423">
        <v>1</v>
      </c>
      <c r="AN23" s="423">
        <v>1</v>
      </c>
      <c r="AO23" s="423">
        <v>1</v>
      </c>
      <c r="AP23" s="423">
        <v>1</v>
      </c>
      <c r="AR23" s="425" t="s">
        <v>59</v>
      </c>
      <c r="AS23" s="423">
        <v>1</v>
      </c>
      <c r="AT23" s="423">
        <v>1</v>
      </c>
      <c r="AU23" s="423">
        <v>1</v>
      </c>
      <c r="AV23" s="423">
        <v>1</v>
      </c>
      <c r="AW23" s="423">
        <v>1</v>
      </c>
      <c r="AX23" s="423">
        <v>1</v>
      </c>
      <c r="AY23" s="423">
        <v>1</v>
      </c>
      <c r="AZ23" s="423">
        <v>1</v>
      </c>
      <c r="BA23" s="423">
        <v>1</v>
      </c>
      <c r="BB23" s="423">
        <v>1</v>
      </c>
      <c r="BC23" s="423">
        <v>1</v>
      </c>
      <c r="BD23" s="423">
        <v>1</v>
      </c>
      <c r="BF23" s="422" t="s">
        <v>59</v>
      </c>
      <c r="BG23" s="423">
        <v>1</v>
      </c>
      <c r="BH23" s="423">
        <v>1</v>
      </c>
      <c r="BI23" s="423">
        <v>1</v>
      </c>
      <c r="BJ23" s="423">
        <v>1</v>
      </c>
      <c r="BK23" s="423">
        <v>1</v>
      </c>
      <c r="BL23" s="423">
        <v>1</v>
      </c>
      <c r="BM23" s="423">
        <v>1</v>
      </c>
      <c r="BN23" s="423">
        <v>1</v>
      </c>
      <c r="BO23" s="423">
        <v>1</v>
      </c>
      <c r="BP23" s="423">
        <v>1</v>
      </c>
      <c r="BQ23" s="423">
        <v>1</v>
      </c>
      <c r="BR23" s="423">
        <v>1</v>
      </c>
      <c r="BT23" s="422" t="s">
        <v>59</v>
      </c>
      <c r="BU23" s="423">
        <v>1</v>
      </c>
      <c r="BV23" s="423">
        <v>1</v>
      </c>
      <c r="BW23" s="423">
        <v>1</v>
      </c>
      <c r="BX23" s="423">
        <v>1</v>
      </c>
      <c r="BY23" s="423">
        <v>1</v>
      </c>
      <c r="BZ23" s="423">
        <v>1</v>
      </c>
      <c r="CA23" s="423">
        <v>1</v>
      </c>
      <c r="CB23" s="423">
        <v>1</v>
      </c>
      <c r="CC23" s="423">
        <v>1</v>
      </c>
      <c r="CD23" s="423">
        <v>1</v>
      </c>
      <c r="CE23" s="423">
        <v>1</v>
      </c>
      <c r="CF23" s="423">
        <v>1</v>
      </c>
      <c r="CH23" s="422" t="s">
        <v>59</v>
      </c>
      <c r="CI23" s="423">
        <v>1</v>
      </c>
      <c r="CJ23" s="423">
        <v>1</v>
      </c>
      <c r="CK23" s="423">
        <v>1</v>
      </c>
      <c r="CL23" s="423">
        <v>1</v>
      </c>
      <c r="CM23" s="423">
        <v>1</v>
      </c>
      <c r="CN23" s="423">
        <v>1</v>
      </c>
      <c r="CO23" s="423">
        <v>1</v>
      </c>
      <c r="CP23" s="423">
        <v>1</v>
      </c>
      <c r="CQ23" s="423">
        <v>1</v>
      </c>
      <c r="CR23" s="423">
        <v>1</v>
      </c>
      <c r="CS23" s="423">
        <v>1</v>
      </c>
      <c r="CT23" s="423">
        <v>1</v>
      </c>
      <c r="CV23" s="422" t="s">
        <v>59</v>
      </c>
      <c r="CW23" s="423">
        <v>1</v>
      </c>
      <c r="CX23" s="423">
        <v>1</v>
      </c>
      <c r="CY23" s="423">
        <v>1</v>
      </c>
      <c r="CZ23" s="423">
        <v>1</v>
      </c>
      <c r="DA23" s="423">
        <v>1</v>
      </c>
      <c r="DB23" s="423">
        <v>1</v>
      </c>
      <c r="DC23" s="423">
        <v>1</v>
      </c>
      <c r="DD23" s="423">
        <v>1</v>
      </c>
      <c r="DE23" s="423">
        <v>1</v>
      </c>
      <c r="DF23" s="423">
        <v>1</v>
      </c>
      <c r="DG23" s="423">
        <v>1</v>
      </c>
      <c r="DH23" s="423">
        <v>1</v>
      </c>
      <c r="DI23" s="424"/>
      <c r="DJ23" s="422" t="s">
        <v>59</v>
      </c>
      <c r="DK23" s="423">
        <v>1</v>
      </c>
      <c r="DL23" s="423">
        <v>1</v>
      </c>
      <c r="DM23" s="423">
        <v>1</v>
      </c>
      <c r="DN23" s="423">
        <v>1</v>
      </c>
      <c r="DO23" s="423">
        <v>1</v>
      </c>
      <c r="DP23" s="423">
        <v>1</v>
      </c>
      <c r="DQ23" s="423">
        <v>1</v>
      </c>
      <c r="DR23" s="423">
        <v>1</v>
      </c>
      <c r="DS23" s="423">
        <v>1</v>
      </c>
      <c r="DT23" s="423">
        <v>1</v>
      </c>
      <c r="DU23" s="423">
        <v>1</v>
      </c>
      <c r="DV23" s="423">
        <v>1</v>
      </c>
      <c r="DW23" s="424"/>
      <c r="DX23" s="422" t="s">
        <v>59</v>
      </c>
      <c r="DY23" s="423">
        <v>1</v>
      </c>
      <c r="DZ23" s="423">
        <v>1</v>
      </c>
      <c r="EA23" s="423">
        <v>1</v>
      </c>
      <c r="EB23" s="423">
        <v>1</v>
      </c>
      <c r="EC23" s="423">
        <v>1</v>
      </c>
      <c r="ED23" s="423">
        <v>1</v>
      </c>
      <c r="EE23" s="423">
        <v>1</v>
      </c>
      <c r="EF23" s="423">
        <v>1</v>
      </c>
      <c r="EG23" s="423">
        <v>1</v>
      </c>
      <c r="EH23" s="423">
        <v>1</v>
      </c>
      <c r="EI23" s="423">
        <v>1</v>
      </c>
      <c r="EJ23" s="423">
        <v>1</v>
      </c>
      <c r="EK23" s="424"/>
      <c r="EL23" s="422" t="s">
        <v>59</v>
      </c>
      <c r="EM23" s="423">
        <v>1</v>
      </c>
      <c r="EN23" s="423">
        <v>1</v>
      </c>
      <c r="EO23" s="423">
        <v>1</v>
      </c>
      <c r="EP23" s="423">
        <v>1</v>
      </c>
      <c r="EQ23" s="423">
        <v>1</v>
      </c>
      <c r="ER23" s="423">
        <v>1</v>
      </c>
      <c r="ES23" s="423">
        <v>1</v>
      </c>
      <c r="ET23" s="423">
        <v>1</v>
      </c>
      <c r="EU23" s="423">
        <v>1</v>
      </c>
      <c r="EV23" s="423">
        <v>1</v>
      </c>
      <c r="EW23" s="423">
        <v>1</v>
      </c>
      <c r="EX23" s="423">
        <v>1</v>
      </c>
      <c r="EY23" s="424"/>
      <c r="EZ23" s="422" t="s">
        <v>59</v>
      </c>
      <c r="FA23" s="423">
        <v>1</v>
      </c>
      <c r="FB23" s="423">
        <v>1</v>
      </c>
      <c r="FC23" s="423">
        <v>1</v>
      </c>
      <c r="FD23" s="423">
        <v>1</v>
      </c>
      <c r="FE23" s="423">
        <v>1</v>
      </c>
      <c r="FF23" s="423">
        <v>1</v>
      </c>
      <c r="FG23" s="423">
        <v>1</v>
      </c>
      <c r="FH23" s="423">
        <v>1</v>
      </c>
      <c r="FI23" s="423">
        <v>1</v>
      </c>
      <c r="FJ23" s="423">
        <v>1</v>
      </c>
      <c r="FK23" s="423">
        <v>1</v>
      </c>
      <c r="FL23" s="423">
        <v>1</v>
      </c>
      <c r="FM23" s="424"/>
      <c r="FN23" s="422" t="s">
        <v>59</v>
      </c>
      <c r="FO23" s="423">
        <v>1</v>
      </c>
      <c r="FP23" s="423">
        <v>1</v>
      </c>
      <c r="FQ23" s="423">
        <v>1</v>
      </c>
      <c r="FR23" s="423">
        <v>1</v>
      </c>
      <c r="FS23" s="423">
        <v>1</v>
      </c>
      <c r="FT23" s="423">
        <v>1</v>
      </c>
      <c r="FU23" s="423">
        <v>1</v>
      </c>
      <c r="FV23" s="423">
        <v>1</v>
      </c>
      <c r="FW23" s="423">
        <v>1</v>
      </c>
      <c r="FX23" s="423">
        <v>1</v>
      </c>
      <c r="FY23" s="423">
        <v>1</v>
      </c>
      <c r="FZ23" s="423">
        <v>1</v>
      </c>
      <c r="GA23" s="424"/>
      <c r="GB23" s="422" t="s">
        <v>59</v>
      </c>
      <c r="GC23" s="423">
        <v>1</v>
      </c>
      <c r="GD23" s="423">
        <v>1</v>
      </c>
      <c r="GE23" s="423">
        <v>1</v>
      </c>
      <c r="GF23" s="423">
        <v>1</v>
      </c>
      <c r="GG23" s="423">
        <v>1</v>
      </c>
      <c r="GH23" s="423">
        <v>1</v>
      </c>
      <c r="GI23" s="423">
        <v>1</v>
      </c>
      <c r="GJ23" s="423">
        <v>1</v>
      </c>
      <c r="GK23" s="423">
        <v>1</v>
      </c>
      <c r="GL23" s="423">
        <v>1</v>
      </c>
      <c r="GM23" s="423">
        <v>1</v>
      </c>
      <c r="GN23" s="423">
        <v>1</v>
      </c>
      <c r="GO23" s="424"/>
      <c r="GP23" s="422" t="s">
        <v>59</v>
      </c>
      <c r="GQ23" s="423">
        <v>1</v>
      </c>
      <c r="GR23" s="423">
        <v>1</v>
      </c>
      <c r="GS23" s="423">
        <v>1</v>
      </c>
      <c r="GT23" s="423">
        <v>1</v>
      </c>
      <c r="GU23" s="423">
        <v>1</v>
      </c>
      <c r="GV23" s="423">
        <v>1</v>
      </c>
      <c r="GW23" s="423">
        <v>1</v>
      </c>
      <c r="GX23" s="423">
        <v>1</v>
      </c>
      <c r="GY23" s="423">
        <v>1</v>
      </c>
      <c r="GZ23" s="423">
        <v>1</v>
      </c>
      <c r="HA23" s="423">
        <v>1</v>
      </c>
      <c r="HB23" s="423">
        <v>1</v>
      </c>
      <c r="HC23" s="424"/>
      <c r="HD23" s="422" t="s">
        <v>59</v>
      </c>
      <c r="HE23" s="423">
        <v>1</v>
      </c>
      <c r="HF23" s="423">
        <v>1</v>
      </c>
      <c r="HG23" s="423">
        <v>1</v>
      </c>
      <c r="HH23" s="423">
        <v>1</v>
      </c>
      <c r="HI23" s="423">
        <v>1</v>
      </c>
      <c r="HJ23" s="423">
        <v>1</v>
      </c>
      <c r="HK23" s="423">
        <v>1</v>
      </c>
      <c r="HL23" s="423">
        <v>1</v>
      </c>
      <c r="HM23" s="423">
        <v>1</v>
      </c>
      <c r="HN23" s="423">
        <v>1</v>
      </c>
      <c r="HO23" s="423">
        <v>1</v>
      </c>
      <c r="HP23" s="423">
        <v>1</v>
      </c>
      <c r="HQ23" s="424"/>
      <c r="HR23" s="422" t="s">
        <v>59</v>
      </c>
      <c r="HS23" s="423">
        <v>1</v>
      </c>
      <c r="HT23" s="423">
        <v>1</v>
      </c>
      <c r="HU23" s="423">
        <v>1</v>
      </c>
      <c r="HV23" s="423">
        <v>1</v>
      </c>
      <c r="HW23" s="423">
        <v>1</v>
      </c>
      <c r="HX23" s="423">
        <v>1</v>
      </c>
      <c r="HY23" s="423">
        <v>1</v>
      </c>
      <c r="HZ23" s="423">
        <v>1</v>
      </c>
      <c r="IA23" s="423">
        <v>1</v>
      </c>
      <c r="IB23" s="423">
        <v>1</v>
      </c>
      <c r="IC23" s="423">
        <v>1</v>
      </c>
      <c r="ID23" s="423">
        <v>1</v>
      </c>
      <c r="IE23" s="424"/>
      <c r="IF23" s="422" t="s">
        <v>59</v>
      </c>
      <c r="IG23" s="423">
        <v>1</v>
      </c>
      <c r="IH23" s="423">
        <v>1</v>
      </c>
      <c r="II23" s="423">
        <v>1</v>
      </c>
      <c r="IJ23" s="423">
        <v>1</v>
      </c>
      <c r="IK23" s="423">
        <v>1</v>
      </c>
      <c r="IL23" s="423">
        <v>1</v>
      </c>
      <c r="IM23" s="423">
        <v>1</v>
      </c>
      <c r="IN23" s="423">
        <v>1</v>
      </c>
      <c r="IO23" s="423">
        <v>1</v>
      </c>
      <c r="IP23" s="423">
        <v>1</v>
      </c>
      <c r="IQ23" s="423">
        <v>1</v>
      </c>
      <c r="IR23" s="423">
        <v>1</v>
      </c>
    </row>
    <row r="25" spans="1:252" s="134" customFormat="1" ht="22" customHeight="1">
      <c r="CH25" s="134" t="s">
        <v>480</v>
      </c>
      <c r="IF25" s="204"/>
    </row>
    <row r="26" spans="1:252" s="134" customFormat="1" ht="20" customHeight="1">
      <c r="IF26" s="204"/>
    </row>
    <row r="27" spans="1:252" s="134" customFormat="1" ht="20" customHeight="1">
      <c r="IF27" s="204"/>
    </row>
    <row r="28" spans="1:252" s="134" customFormat="1" ht="22" customHeight="1">
      <c r="BH28" s="263" t="s">
        <v>481</v>
      </c>
      <c r="BI28" s="263" t="s">
        <v>482</v>
      </c>
      <c r="BJ28" s="263" t="s">
        <v>483</v>
      </c>
      <c r="CH28" s="134" t="s">
        <v>484</v>
      </c>
      <c r="IF28" s="204"/>
    </row>
    <row r="29" spans="1:252" s="134" customFormat="1" ht="22" customHeight="1">
      <c r="BH29" s="426">
        <v>42768</v>
      </c>
      <c r="BI29" s="204" t="s">
        <v>60</v>
      </c>
      <c r="BJ29" s="134">
        <v>4.8098197279565963E-2</v>
      </c>
      <c r="CH29" s="134" t="s">
        <v>485</v>
      </c>
      <c r="IF29" s="204"/>
    </row>
    <row r="30" spans="1:252" s="134" customFormat="1" ht="20" customHeight="1">
      <c r="IF30" s="204"/>
    </row>
    <row r="31" spans="1:252" s="134" customFormat="1" ht="20" customHeight="1">
      <c r="IF31" s="204"/>
    </row>
    <row r="32" spans="1:252" s="134" customFormat="1" ht="20" customHeight="1">
      <c r="IF32" s="204"/>
    </row>
    <row r="33" spans="240:240" s="134" customFormat="1" ht="20" customHeight="1">
      <c r="IF33" s="204"/>
    </row>
    <row r="34" spans="240:240" s="134" customFormat="1" ht="20" customHeight="1">
      <c r="IF34" s="204"/>
    </row>
    <row r="35" spans="240:240" s="134" customFormat="1" ht="20" customHeight="1">
      <c r="IF35" s="204"/>
    </row>
    <row r="36" spans="240:240" s="134" customFormat="1" ht="20" customHeight="1">
      <c r="IF36" s="204"/>
    </row>
    <row r="37" spans="240:240" s="134" customFormat="1" ht="20" customHeight="1">
      <c r="IF37" s="204"/>
    </row>
    <row r="38" spans="240:240" s="134" customFormat="1" ht="20" customHeight="1">
      <c r="IF38" s="204"/>
    </row>
    <row r="39" spans="240:240" s="134" customFormat="1" ht="20" customHeight="1">
      <c r="IF39" s="204"/>
    </row>
    <row r="40" spans="240:240" s="134" customFormat="1" ht="20" customHeight="1">
      <c r="IF40" s="204"/>
    </row>
    <row r="41" spans="240:240" s="134" customFormat="1" ht="20" customHeight="1">
      <c r="IF41" s="204"/>
    </row>
    <row r="42" spans="240:240" s="134" customFormat="1" ht="20" customHeight="1">
      <c r="IF42" s="204"/>
    </row>
    <row r="43" spans="240:240" s="134" customFormat="1" ht="20" customHeight="1">
      <c r="IF43" s="204"/>
    </row>
    <row r="44" spans="240:240" s="134" customFormat="1" ht="20" customHeight="1">
      <c r="IF44" s="204"/>
    </row>
    <row r="45" spans="240:240" s="134" customFormat="1" ht="20" customHeight="1">
      <c r="IF45" s="204"/>
    </row>
    <row r="46" spans="240:240" s="134" customFormat="1" ht="20" customHeight="1">
      <c r="IF46" s="204"/>
    </row>
    <row r="47" spans="240:240" s="134" customFormat="1" ht="20" customHeight="1">
      <c r="IF47" s="204"/>
    </row>
    <row r="48" spans="240:240" s="134" customFormat="1" ht="20" customHeight="1">
      <c r="IF48" s="204"/>
    </row>
    <row r="49" spans="240:240" s="134" customFormat="1" ht="20" customHeight="1">
      <c r="IF49" s="204"/>
    </row>
    <row r="50" spans="240:240" s="134" customFormat="1" ht="20" customHeight="1">
      <c r="IF50" s="204"/>
    </row>
    <row r="51" spans="240:240" s="134" customFormat="1" ht="20" customHeight="1">
      <c r="IF51" s="204"/>
    </row>
    <row r="52" spans="240:240" s="134" customFormat="1" ht="20" customHeight="1">
      <c r="IF52" s="204"/>
    </row>
    <row r="53" spans="240:240" s="134" customFormat="1" ht="20" customHeight="1">
      <c r="IF53" s="204"/>
    </row>
  </sheetData>
  <mergeCells count="18">
    <mergeCell ref="P1:AB1"/>
    <mergeCell ref="AD1:AP1"/>
    <mergeCell ref="B1:N1"/>
    <mergeCell ref="IF1:IR1"/>
    <mergeCell ref="DX1:EJ1"/>
    <mergeCell ref="EL1:EX1"/>
    <mergeCell ref="EZ1:FL1"/>
    <mergeCell ref="FN1:FZ1"/>
    <mergeCell ref="GB1:GN1"/>
    <mergeCell ref="DJ1:DV1"/>
    <mergeCell ref="GP1:HB1"/>
    <mergeCell ref="HD1:HP1"/>
    <mergeCell ref="HR1:ID1"/>
    <mergeCell ref="AR1:BD1"/>
    <mergeCell ref="BF1:BR1"/>
    <mergeCell ref="BT1:CF1"/>
    <mergeCell ref="CH1:CT1"/>
    <mergeCell ref="CV1:DH1"/>
  </mergeCells>
  <phoneticPr fontId="8" type="noConversion"/>
  <pageMargins left="0.7" right="0.7" top="0.75" bottom="0.75" header="0.3" footer="0.3"/>
  <pageSetup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TW63"/>
  <sheetViews>
    <sheetView topLeftCell="A5" zoomScale="120" zoomScaleNormal="120" zoomScalePageLayoutView="150" workbookViewId="0">
      <selection activeCell="C7" sqref="C7:N37"/>
    </sheetView>
  </sheetViews>
  <sheetFormatPr baseColWidth="10" defaultColWidth="10.83203125" defaultRowHeight="20" customHeight="1"/>
  <cols>
    <col min="1" max="49" width="10.83203125" style="1"/>
    <col min="50" max="50" width="5.1640625" style="1" bestFit="1" customWidth="1"/>
    <col min="51" max="62" width="10.83203125" style="1"/>
    <col min="63" max="63" width="4.33203125" style="1" bestFit="1" customWidth="1"/>
    <col min="64" max="65" width="10.83203125" style="1"/>
    <col min="66" max="66" width="5.1640625" style="1" bestFit="1" customWidth="1"/>
    <col min="67" max="74" width="10.83203125" style="1"/>
    <col min="75" max="75" width="14.1640625" style="1" bestFit="1" customWidth="1"/>
    <col min="76" max="76" width="10.83203125" style="1"/>
    <col min="77" max="77" width="13.33203125" style="1" bestFit="1" customWidth="1"/>
    <col min="78" max="78" width="12.5" style="1" bestFit="1" customWidth="1"/>
    <col min="79" max="79" width="4.33203125" style="1" bestFit="1" customWidth="1"/>
    <col min="80" max="81" width="10.83203125" style="1"/>
    <col min="82" max="82" width="5.1640625" style="1" bestFit="1" customWidth="1"/>
    <col min="83" max="94" width="10.83203125" style="1"/>
    <col min="95" max="95" width="4.33203125" style="1" bestFit="1" customWidth="1"/>
    <col min="96" max="97" width="10.83203125" style="1"/>
    <col min="98" max="98" width="5.1640625" style="1" bestFit="1" customWidth="1"/>
    <col min="99" max="106" width="10.83203125" style="1"/>
    <col min="107" max="107" width="11.1640625" style="1" customWidth="1"/>
    <col min="108" max="109" width="10.83203125" style="1"/>
    <col min="110" max="110" width="12.1640625" style="1" bestFit="1" customWidth="1"/>
    <col min="111" max="111" width="4.33203125" style="1" bestFit="1" customWidth="1"/>
    <col min="112" max="113" width="10.83203125" style="1"/>
    <col min="114" max="114" width="5.1640625" style="1" bestFit="1" customWidth="1"/>
    <col min="115" max="126" width="10.83203125" style="1"/>
    <col min="127" max="127" width="4.33203125" style="1" bestFit="1" customWidth="1"/>
    <col min="128" max="129" width="10.83203125" style="1"/>
    <col min="130" max="130" width="5.1640625" style="1" bestFit="1" customWidth="1"/>
    <col min="131" max="142" width="10.83203125" style="1"/>
    <col min="143" max="143" width="4.33203125" style="1" bestFit="1" customWidth="1"/>
    <col min="144" max="145" width="10.83203125" style="1"/>
    <col min="146" max="146" width="5.1640625" style="1" bestFit="1" customWidth="1"/>
    <col min="147" max="158" width="10.83203125" style="1"/>
    <col min="159" max="159" width="4.33203125" style="1" bestFit="1" customWidth="1"/>
    <col min="160" max="161" width="10.83203125" style="1"/>
    <col min="162" max="162" width="5.1640625" style="1" bestFit="1" customWidth="1"/>
    <col min="163" max="174" width="10.83203125" style="1"/>
    <col min="175" max="175" width="4.33203125" style="1" bestFit="1" customWidth="1"/>
    <col min="176" max="177" width="10.83203125" style="1"/>
    <col min="178" max="178" width="5.1640625" style="1" bestFit="1" customWidth="1"/>
    <col min="179" max="190" width="10.83203125" style="1"/>
    <col min="191" max="191" width="4.33203125" style="1" bestFit="1" customWidth="1"/>
    <col min="192" max="193" width="10.83203125" style="1"/>
    <col min="194" max="194" width="5.1640625" style="1" bestFit="1" customWidth="1"/>
    <col min="195" max="206" width="10.83203125" style="1"/>
    <col min="207" max="207" width="4.33203125" style="1" bestFit="1" customWidth="1"/>
    <col min="208" max="209" width="10.83203125" style="1"/>
    <col min="210" max="210" width="5.1640625" style="1" bestFit="1" customWidth="1"/>
    <col min="211" max="222" width="10.83203125" style="1"/>
    <col min="223" max="223" width="4.33203125" style="1" bestFit="1" customWidth="1"/>
    <col min="224" max="238" width="10.83203125" style="1"/>
    <col min="239" max="239" width="4.33203125" style="1" bestFit="1" customWidth="1"/>
    <col min="240" max="241" width="10.83203125" style="1"/>
    <col min="242" max="242" width="5.1640625" style="1" bestFit="1" customWidth="1"/>
    <col min="243" max="254" width="10.83203125" style="1"/>
    <col min="255" max="255" width="4.33203125" style="1" bestFit="1" customWidth="1"/>
    <col min="256" max="257" width="10.83203125" style="1"/>
    <col min="258" max="258" width="5.1640625" style="1" bestFit="1" customWidth="1"/>
    <col min="259" max="270" width="10.83203125" style="1"/>
    <col min="271" max="271" width="4.33203125" style="1" bestFit="1" customWidth="1"/>
    <col min="272" max="273" width="10.83203125" style="1"/>
    <col min="274" max="274" width="5.1640625" style="1" bestFit="1" customWidth="1"/>
    <col min="275" max="286" width="10.83203125" style="1"/>
    <col min="287" max="287" width="4.33203125" style="1" bestFit="1" customWidth="1"/>
    <col min="288" max="289" width="10.83203125" style="1"/>
    <col min="290" max="290" width="5.1640625" style="1" bestFit="1" customWidth="1"/>
    <col min="291" max="302" width="10.83203125" style="1"/>
    <col min="303" max="303" width="4.33203125" style="1" bestFit="1" customWidth="1"/>
    <col min="304" max="305" width="10.83203125" style="1"/>
    <col min="306" max="306" width="5.1640625" style="1" bestFit="1" customWidth="1"/>
    <col min="307" max="318" width="10.83203125" style="1"/>
    <col min="319" max="319" width="4.33203125" style="1" bestFit="1" customWidth="1"/>
    <col min="320" max="321" width="10.83203125" style="1"/>
    <col min="322" max="322" width="5.1640625" style="1" bestFit="1" customWidth="1"/>
    <col min="323" max="334" width="10.83203125" style="1"/>
    <col min="335" max="335" width="4.33203125" style="1" bestFit="1" customWidth="1"/>
    <col min="336" max="337" width="10.83203125" style="1"/>
    <col min="338" max="338" width="5.1640625" style="1" bestFit="1" customWidth="1"/>
    <col min="339" max="350" width="10.83203125" style="1"/>
    <col min="351" max="351" width="4.33203125" style="1" bestFit="1" customWidth="1"/>
    <col min="352" max="353" width="10.83203125" style="1"/>
    <col min="354" max="354" width="5.1640625" style="1" bestFit="1" customWidth="1"/>
    <col min="355" max="366" width="10.83203125" style="1"/>
    <col min="367" max="367" width="4.33203125" style="1" bestFit="1" customWidth="1"/>
    <col min="368" max="369" width="10.83203125" style="1"/>
    <col min="370" max="370" width="5.1640625" style="1" bestFit="1" customWidth="1"/>
    <col min="371" max="382" width="10.83203125" style="1"/>
    <col min="383" max="383" width="4.33203125" style="1" bestFit="1" customWidth="1"/>
    <col min="384" max="385" width="10.83203125" style="1"/>
    <col min="386" max="386" width="5.1640625" style="1" bestFit="1" customWidth="1"/>
    <col min="387" max="398" width="10.83203125" style="1"/>
    <col min="399" max="399" width="4.33203125" style="1" bestFit="1" customWidth="1"/>
    <col min="400" max="401" width="10.83203125" style="1"/>
    <col min="402" max="402" width="5.1640625" style="1" bestFit="1" customWidth="1"/>
    <col min="403" max="414" width="10.83203125" style="1"/>
    <col min="415" max="415" width="4.33203125" style="1" bestFit="1" customWidth="1"/>
    <col min="416" max="417" width="10.83203125" style="1"/>
    <col min="418" max="418" width="5.1640625" style="1" bestFit="1" customWidth="1"/>
    <col min="419" max="430" width="10.83203125" style="1"/>
    <col min="431" max="431" width="4.33203125" style="1" bestFit="1" customWidth="1"/>
    <col min="432" max="433" width="10.83203125" style="1"/>
    <col min="434" max="434" width="5.1640625" style="1" bestFit="1" customWidth="1"/>
    <col min="435" max="446" width="10.83203125" style="1"/>
    <col min="447" max="447" width="4.33203125" style="1" bestFit="1" customWidth="1"/>
    <col min="448" max="449" width="10.83203125" style="1"/>
    <col min="450" max="450" width="5.1640625" style="1" bestFit="1" customWidth="1"/>
    <col min="451" max="462" width="10.83203125" style="1"/>
    <col min="463" max="463" width="4.33203125" style="1" bestFit="1" customWidth="1"/>
    <col min="464" max="465" width="10.83203125" style="1"/>
    <col min="466" max="466" width="5.1640625" style="1" bestFit="1" customWidth="1"/>
    <col min="467" max="478" width="10.83203125" style="1"/>
    <col min="479" max="479" width="4.33203125" style="1" bestFit="1" customWidth="1"/>
    <col min="480" max="481" width="10.83203125" style="1"/>
    <col min="482" max="482" width="5.1640625" style="1" bestFit="1" customWidth="1"/>
    <col min="483" max="494" width="10.83203125" style="1"/>
    <col min="495" max="495" width="4.33203125" style="1" bestFit="1" customWidth="1"/>
    <col min="496" max="497" width="10.83203125" style="1"/>
    <col min="498" max="498" width="5.1640625" style="1" bestFit="1" customWidth="1"/>
    <col min="499" max="510" width="10.83203125" style="1"/>
    <col min="511" max="511" width="4.33203125" style="1" bestFit="1" customWidth="1"/>
    <col min="512" max="513" width="10.83203125" style="1"/>
    <col min="514" max="514" width="5.1640625" style="1" bestFit="1" customWidth="1"/>
    <col min="515" max="526" width="10.83203125" style="1"/>
    <col min="527" max="527" width="4.33203125" style="1" bestFit="1" customWidth="1"/>
    <col min="528" max="529" width="10.83203125" style="1"/>
    <col min="530" max="530" width="5.1640625" style="1" bestFit="1" customWidth="1"/>
    <col min="531" max="542" width="10.83203125" style="1"/>
    <col min="543" max="543" width="4.33203125" style="1" bestFit="1" customWidth="1"/>
    <col min="544" max="16384" width="10.83203125" style="1"/>
  </cols>
  <sheetData>
    <row r="2" spans="2:543" ht="22" customHeight="1">
      <c r="B2" s="775" t="s">
        <v>129</v>
      </c>
      <c r="C2" s="775"/>
      <c r="D2" s="775"/>
      <c r="E2" s="775"/>
      <c r="F2" s="775"/>
      <c r="G2" s="775"/>
      <c r="H2" s="775"/>
      <c r="I2" s="775"/>
      <c r="J2" s="775"/>
      <c r="K2" s="775"/>
      <c r="L2" s="775"/>
      <c r="M2" s="775"/>
      <c r="N2" s="775"/>
      <c r="O2" s="775"/>
      <c r="R2" s="775" t="s">
        <v>129</v>
      </c>
      <c r="S2" s="775"/>
      <c r="T2" s="775"/>
      <c r="U2" s="775"/>
      <c r="V2" s="775"/>
      <c r="W2" s="775"/>
      <c r="X2" s="775"/>
      <c r="Y2" s="775"/>
      <c r="Z2" s="775"/>
      <c r="AA2" s="775"/>
      <c r="AB2" s="775"/>
      <c r="AC2" s="775"/>
      <c r="AD2" s="775"/>
      <c r="AE2" s="775"/>
      <c r="AH2" s="775" t="s">
        <v>129</v>
      </c>
      <c r="AI2" s="775"/>
      <c r="AJ2" s="775"/>
      <c r="AK2" s="775"/>
      <c r="AL2" s="775"/>
      <c r="AM2" s="775"/>
      <c r="AN2" s="775"/>
      <c r="AO2" s="775"/>
      <c r="AP2" s="775"/>
      <c r="AQ2" s="775"/>
      <c r="AR2" s="775"/>
      <c r="AS2" s="775"/>
      <c r="AT2" s="775"/>
      <c r="AU2" s="775"/>
      <c r="AX2" s="775" t="s">
        <v>129</v>
      </c>
      <c r="AY2" s="775"/>
      <c r="AZ2" s="775"/>
      <c r="BA2" s="775"/>
      <c r="BB2" s="775"/>
      <c r="BC2" s="775"/>
      <c r="BD2" s="775"/>
      <c r="BE2" s="775"/>
      <c r="BF2" s="775"/>
      <c r="BG2" s="775"/>
      <c r="BH2" s="775"/>
      <c r="BI2" s="775"/>
      <c r="BJ2" s="775"/>
      <c r="BK2" s="775"/>
      <c r="BN2" s="775" t="s">
        <v>129</v>
      </c>
      <c r="BO2" s="775"/>
      <c r="BP2" s="775"/>
      <c r="BQ2" s="775"/>
      <c r="BR2" s="775"/>
      <c r="BS2" s="775"/>
      <c r="BT2" s="775"/>
      <c r="BU2" s="775"/>
      <c r="BV2" s="775"/>
      <c r="BW2" s="775"/>
      <c r="BX2" s="775"/>
      <c r="BY2" s="775"/>
      <c r="BZ2" s="775"/>
      <c r="CA2" s="775"/>
      <c r="CD2" s="775" t="s">
        <v>129</v>
      </c>
      <c r="CE2" s="775"/>
      <c r="CF2" s="775"/>
      <c r="CG2" s="775"/>
      <c r="CH2" s="775"/>
      <c r="CI2" s="775"/>
      <c r="CJ2" s="775"/>
      <c r="CK2" s="775"/>
      <c r="CL2" s="775"/>
      <c r="CM2" s="775"/>
      <c r="CN2" s="775"/>
      <c r="CO2" s="775"/>
      <c r="CP2" s="775"/>
      <c r="CQ2" s="775"/>
      <c r="CT2" s="775" t="s">
        <v>129</v>
      </c>
      <c r="CU2" s="775"/>
      <c r="CV2" s="775"/>
      <c r="CW2" s="775"/>
      <c r="CX2" s="775"/>
      <c r="CY2" s="775"/>
      <c r="CZ2" s="775"/>
      <c r="DA2" s="775"/>
      <c r="DB2" s="775"/>
      <c r="DC2" s="775"/>
      <c r="DD2" s="775"/>
      <c r="DE2" s="775"/>
      <c r="DF2" s="775"/>
      <c r="DG2" s="775"/>
      <c r="DJ2" s="775" t="s">
        <v>129</v>
      </c>
      <c r="DK2" s="775"/>
      <c r="DL2" s="775"/>
      <c r="DM2" s="775"/>
      <c r="DN2" s="775"/>
      <c r="DO2" s="775"/>
      <c r="DP2" s="775"/>
      <c r="DQ2" s="775"/>
      <c r="DR2" s="775"/>
      <c r="DS2" s="775"/>
      <c r="DT2" s="775"/>
      <c r="DU2" s="775"/>
      <c r="DV2" s="775"/>
      <c r="DW2" s="775"/>
      <c r="DZ2" s="775" t="s">
        <v>129</v>
      </c>
      <c r="EA2" s="775"/>
      <c r="EB2" s="775"/>
      <c r="EC2" s="775"/>
      <c r="ED2" s="775"/>
      <c r="EE2" s="775"/>
      <c r="EF2" s="775"/>
      <c r="EG2" s="775"/>
      <c r="EH2" s="775"/>
      <c r="EI2" s="775"/>
      <c r="EJ2" s="775"/>
      <c r="EK2" s="775"/>
      <c r="EL2" s="775"/>
      <c r="EM2" s="775"/>
      <c r="EP2" s="775" t="s">
        <v>129</v>
      </c>
      <c r="EQ2" s="775"/>
      <c r="ER2" s="775"/>
      <c r="ES2" s="775"/>
      <c r="ET2" s="775"/>
      <c r="EU2" s="775"/>
      <c r="EV2" s="775"/>
      <c r="EW2" s="775"/>
      <c r="EX2" s="775"/>
      <c r="EY2" s="775"/>
      <c r="EZ2" s="775"/>
      <c r="FA2" s="775"/>
      <c r="FB2" s="775"/>
      <c r="FC2" s="775"/>
      <c r="FF2" s="775" t="s">
        <v>129</v>
      </c>
      <c r="FG2" s="775"/>
      <c r="FH2" s="775"/>
      <c r="FI2" s="775"/>
      <c r="FJ2" s="775"/>
      <c r="FK2" s="775"/>
      <c r="FL2" s="775"/>
      <c r="FM2" s="775"/>
      <c r="FN2" s="775"/>
      <c r="FO2" s="775"/>
      <c r="FP2" s="775"/>
      <c r="FQ2" s="775"/>
      <c r="FR2" s="775"/>
      <c r="FS2" s="775"/>
      <c r="FV2" s="775" t="s">
        <v>129</v>
      </c>
      <c r="FW2" s="775"/>
      <c r="FX2" s="775"/>
      <c r="FY2" s="775"/>
      <c r="FZ2" s="775"/>
      <c r="GA2" s="775"/>
      <c r="GB2" s="775"/>
      <c r="GC2" s="775"/>
      <c r="GD2" s="775"/>
      <c r="GE2" s="775"/>
      <c r="GF2" s="775"/>
      <c r="GG2" s="775"/>
      <c r="GH2" s="775"/>
      <c r="GI2" s="775"/>
      <c r="GL2" s="775" t="s">
        <v>129</v>
      </c>
      <c r="GM2" s="775"/>
      <c r="GN2" s="775"/>
      <c r="GO2" s="775"/>
      <c r="GP2" s="775"/>
      <c r="GQ2" s="775"/>
      <c r="GR2" s="775"/>
      <c r="GS2" s="775"/>
      <c r="GT2" s="775"/>
      <c r="GU2" s="775"/>
      <c r="GV2" s="775"/>
      <c r="GW2" s="775"/>
      <c r="GX2" s="775"/>
      <c r="GY2" s="775"/>
      <c r="HB2" s="775" t="s">
        <v>129</v>
      </c>
      <c r="HC2" s="775"/>
      <c r="HD2" s="775"/>
      <c r="HE2" s="775"/>
      <c r="HF2" s="775"/>
      <c r="HG2" s="775"/>
      <c r="HH2" s="775"/>
      <c r="HI2" s="775"/>
      <c r="HJ2" s="775"/>
      <c r="HK2" s="775"/>
      <c r="HL2" s="775"/>
      <c r="HM2" s="775"/>
      <c r="HN2" s="775"/>
      <c r="HO2" s="775"/>
      <c r="HP2" s="376"/>
      <c r="HQ2" s="376"/>
      <c r="HR2" s="775" t="s">
        <v>129</v>
      </c>
      <c r="HS2" s="775"/>
      <c r="HT2" s="775"/>
      <c r="HU2" s="775"/>
      <c r="HV2" s="775"/>
      <c r="HW2" s="775"/>
      <c r="HX2" s="775"/>
      <c r="HY2" s="775"/>
      <c r="HZ2" s="775"/>
      <c r="IA2" s="775"/>
      <c r="IB2" s="775"/>
      <c r="IC2" s="775"/>
      <c r="ID2" s="775"/>
      <c r="IE2" s="775"/>
      <c r="IF2" s="376"/>
      <c r="IG2" s="376"/>
      <c r="IH2" s="775" t="s">
        <v>129</v>
      </c>
      <c r="II2" s="775"/>
      <c r="IJ2" s="775"/>
      <c r="IK2" s="775"/>
      <c r="IL2" s="775"/>
      <c r="IM2" s="775"/>
      <c r="IN2" s="775"/>
      <c r="IO2" s="775"/>
      <c r="IP2" s="775"/>
      <c r="IQ2" s="775"/>
      <c r="IR2" s="775"/>
      <c r="IS2" s="775"/>
      <c r="IT2" s="775"/>
      <c r="IU2" s="775"/>
      <c r="IV2" s="376"/>
      <c r="IW2" s="376"/>
      <c r="IX2" s="775" t="s">
        <v>129</v>
      </c>
      <c r="IY2" s="775"/>
      <c r="IZ2" s="775"/>
      <c r="JA2" s="775"/>
      <c r="JB2" s="775"/>
      <c r="JC2" s="775"/>
      <c r="JD2" s="775"/>
      <c r="JE2" s="775"/>
      <c r="JF2" s="775"/>
      <c r="JG2" s="775"/>
      <c r="JH2" s="775"/>
      <c r="JI2" s="775"/>
      <c r="JJ2" s="775"/>
      <c r="JK2" s="775"/>
      <c r="JL2" s="376"/>
      <c r="JM2" s="376"/>
      <c r="JN2" s="775" t="s">
        <v>129</v>
      </c>
      <c r="JO2" s="775"/>
      <c r="JP2" s="775"/>
      <c r="JQ2" s="775"/>
      <c r="JR2" s="775"/>
      <c r="JS2" s="775"/>
      <c r="JT2" s="775"/>
      <c r="JU2" s="775"/>
      <c r="JV2" s="775"/>
      <c r="JW2" s="775"/>
      <c r="JX2" s="775"/>
      <c r="JY2" s="775"/>
      <c r="JZ2" s="775"/>
      <c r="KA2" s="775"/>
      <c r="KB2" s="376"/>
      <c r="KC2" s="376"/>
      <c r="KD2" s="775" t="s">
        <v>129</v>
      </c>
      <c r="KE2" s="775"/>
      <c r="KF2" s="775"/>
      <c r="KG2" s="775"/>
      <c r="KH2" s="775"/>
      <c r="KI2" s="775"/>
      <c r="KJ2" s="775"/>
      <c r="KK2" s="775"/>
      <c r="KL2" s="775"/>
      <c r="KM2" s="775"/>
      <c r="KN2" s="775"/>
      <c r="KO2" s="775"/>
      <c r="KP2" s="775"/>
      <c r="KQ2" s="775"/>
      <c r="KR2" s="376"/>
      <c r="KS2" s="376"/>
      <c r="KT2" s="775" t="s">
        <v>129</v>
      </c>
      <c r="KU2" s="775"/>
      <c r="KV2" s="775"/>
      <c r="KW2" s="775"/>
      <c r="KX2" s="775"/>
      <c r="KY2" s="775"/>
      <c r="KZ2" s="775"/>
      <c r="LA2" s="775"/>
      <c r="LB2" s="775"/>
      <c r="LC2" s="775"/>
      <c r="LD2" s="775"/>
      <c r="LE2" s="775"/>
      <c r="LF2" s="775"/>
      <c r="LG2" s="775"/>
      <c r="LH2" s="376"/>
      <c r="LI2" s="376"/>
      <c r="LJ2" s="775" t="s">
        <v>129</v>
      </c>
      <c r="LK2" s="775"/>
      <c r="LL2" s="775"/>
      <c r="LM2" s="775"/>
      <c r="LN2" s="775"/>
      <c r="LO2" s="775"/>
      <c r="LP2" s="775"/>
      <c r="LQ2" s="775"/>
      <c r="LR2" s="775"/>
      <c r="LS2" s="775"/>
      <c r="LT2" s="775"/>
      <c r="LU2" s="775"/>
      <c r="LV2" s="775"/>
      <c r="LW2" s="775"/>
      <c r="LX2" s="376"/>
      <c r="LY2" s="376"/>
      <c r="LZ2" s="775" t="s">
        <v>129</v>
      </c>
      <c r="MA2" s="775"/>
      <c r="MB2" s="775"/>
      <c r="MC2" s="775"/>
      <c r="MD2" s="775"/>
      <c r="ME2" s="775"/>
      <c r="MF2" s="775"/>
      <c r="MG2" s="775"/>
      <c r="MH2" s="775"/>
      <c r="MI2" s="775"/>
      <c r="MJ2" s="775"/>
      <c r="MK2" s="775"/>
      <c r="ML2" s="775"/>
      <c r="MM2" s="775"/>
      <c r="MN2" s="376"/>
      <c r="MO2" s="376"/>
      <c r="MP2" s="775" t="s">
        <v>129</v>
      </c>
      <c r="MQ2" s="775"/>
      <c r="MR2" s="775"/>
      <c r="MS2" s="775"/>
      <c r="MT2" s="775"/>
      <c r="MU2" s="775"/>
      <c r="MV2" s="775"/>
      <c r="MW2" s="775"/>
      <c r="MX2" s="775"/>
      <c r="MY2" s="775"/>
      <c r="MZ2" s="775"/>
      <c r="NA2" s="775"/>
      <c r="NB2" s="775"/>
      <c r="NC2" s="775"/>
      <c r="ND2" s="376"/>
      <c r="NE2" s="376"/>
      <c r="NF2" s="775" t="s">
        <v>129</v>
      </c>
      <c r="NG2" s="775"/>
      <c r="NH2" s="775"/>
      <c r="NI2" s="775"/>
      <c r="NJ2" s="775"/>
      <c r="NK2" s="775"/>
      <c r="NL2" s="775"/>
      <c r="NM2" s="775"/>
      <c r="NN2" s="775"/>
      <c r="NO2" s="775"/>
      <c r="NP2" s="775"/>
      <c r="NQ2" s="775"/>
      <c r="NR2" s="775"/>
      <c r="NS2" s="775"/>
      <c r="NT2" s="376"/>
      <c r="NU2" s="376"/>
      <c r="NV2" s="775" t="s">
        <v>129</v>
      </c>
      <c r="NW2" s="775"/>
      <c r="NX2" s="775"/>
      <c r="NY2" s="775"/>
      <c r="NZ2" s="775"/>
      <c r="OA2" s="775"/>
      <c r="OB2" s="775"/>
      <c r="OC2" s="775"/>
      <c r="OD2" s="775"/>
      <c r="OE2" s="775"/>
      <c r="OF2" s="775"/>
      <c r="OG2" s="775"/>
      <c r="OH2" s="775"/>
      <c r="OI2" s="775"/>
      <c r="OJ2" s="376"/>
      <c r="OK2" s="376"/>
      <c r="OL2" s="775" t="s">
        <v>129</v>
      </c>
      <c r="OM2" s="775"/>
      <c r="ON2" s="775"/>
      <c r="OO2" s="775"/>
      <c r="OP2" s="775"/>
      <c r="OQ2" s="775"/>
      <c r="OR2" s="775"/>
      <c r="OS2" s="775"/>
      <c r="OT2" s="775"/>
      <c r="OU2" s="775"/>
      <c r="OV2" s="775"/>
      <c r="OW2" s="775"/>
      <c r="OX2" s="775"/>
      <c r="OY2" s="775"/>
      <c r="OZ2" s="376"/>
      <c r="PA2" s="376"/>
      <c r="PB2" s="775" t="s">
        <v>129</v>
      </c>
      <c r="PC2" s="775"/>
      <c r="PD2" s="775"/>
      <c r="PE2" s="775"/>
      <c r="PF2" s="775"/>
      <c r="PG2" s="775"/>
      <c r="PH2" s="775"/>
      <c r="PI2" s="775"/>
      <c r="PJ2" s="775"/>
      <c r="PK2" s="775"/>
      <c r="PL2" s="775"/>
      <c r="PM2" s="775"/>
      <c r="PN2" s="775"/>
      <c r="PO2" s="775"/>
      <c r="PP2" s="376"/>
      <c r="PQ2" s="376"/>
      <c r="PR2" s="775" t="s">
        <v>129</v>
      </c>
      <c r="PS2" s="775"/>
      <c r="PT2" s="775"/>
      <c r="PU2" s="775"/>
      <c r="PV2" s="775"/>
      <c r="PW2" s="775"/>
      <c r="PX2" s="775"/>
      <c r="PY2" s="775"/>
      <c r="PZ2" s="775"/>
      <c r="QA2" s="775"/>
      <c r="QB2" s="775"/>
      <c r="QC2" s="775"/>
      <c r="QD2" s="775"/>
      <c r="QE2" s="775"/>
      <c r="QF2" s="376"/>
      <c r="QG2" s="376"/>
      <c r="QH2" s="775" t="s">
        <v>129</v>
      </c>
      <c r="QI2" s="775"/>
      <c r="QJ2" s="775"/>
      <c r="QK2" s="775"/>
      <c r="QL2" s="775"/>
      <c r="QM2" s="775"/>
      <c r="QN2" s="775"/>
      <c r="QO2" s="775"/>
      <c r="QP2" s="775"/>
      <c r="QQ2" s="775"/>
      <c r="QR2" s="775"/>
      <c r="QS2" s="775"/>
      <c r="QT2" s="775"/>
      <c r="QU2" s="775"/>
      <c r="QV2" s="376"/>
      <c r="QW2" s="376"/>
      <c r="QX2" s="775" t="s">
        <v>129</v>
      </c>
      <c r="QY2" s="775"/>
      <c r="QZ2" s="775"/>
      <c r="RA2" s="775"/>
      <c r="RB2" s="775"/>
      <c r="RC2" s="775"/>
      <c r="RD2" s="775"/>
      <c r="RE2" s="775"/>
      <c r="RF2" s="775"/>
      <c r="RG2" s="775"/>
      <c r="RH2" s="775"/>
      <c r="RI2" s="775"/>
      <c r="RJ2" s="775"/>
      <c r="RK2" s="775"/>
      <c r="RL2" s="376"/>
      <c r="RM2" s="376"/>
      <c r="RN2" s="775" t="s">
        <v>129</v>
      </c>
      <c r="RO2" s="775"/>
      <c r="RP2" s="775"/>
      <c r="RQ2" s="775"/>
      <c r="RR2" s="775"/>
      <c r="RS2" s="775"/>
      <c r="RT2" s="775"/>
      <c r="RU2" s="775"/>
      <c r="RV2" s="775"/>
      <c r="RW2" s="775"/>
      <c r="RX2" s="775"/>
      <c r="RY2" s="775"/>
      <c r="RZ2" s="775"/>
      <c r="SA2" s="775"/>
      <c r="SB2" s="376"/>
      <c r="SC2" s="376"/>
      <c r="SD2" s="775" t="s">
        <v>129</v>
      </c>
      <c r="SE2" s="775"/>
      <c r="SF2" s="775"/>
      <c r="SG2" s="775"/>
      <c r="SH2" s="775"/>
      <c r="SI2" s="775"/>
      <c r="SJ2" s="775"/>
      <c r="SK2" s="775"/>
      <c r="SL2" s="775"/>
      <c r="SM2" s="775"/>
      <c r="SN2" s="775"/>
      <c r="SO2" s="775"/>
      <c r="SP2" s="775"/>
      <c r="SQ2" s="775"/>
      <c r="SR2" s="376"/>
      <c r="SS2" s="376"/>
      <c r="ST2" s="775" t="s">
        <v>129</v>
      </c>
      <c r="SU2" s="775"/>
      <c r="SV2" s="775"/>
      <c r="SW2" s="775"/>
      <c r="SX2" s="775"/>
      <c r="SY2" s="775"/>
      <c r="SZ2" s="775"/>
      <c r="TA2" s="775"/>
      <c r="TB2" s="775"/>
      <c r="TC2" s="775"/>
      <c r="TD2" s="775"/>
      <c r="TE2" s="775"/>
      <c r="TF2" s="775"/>
      <c r="TG2" s="775"/>
      <c r="TH2" s="376"/>
      <c r="TI2" s="376"/>
      <c r="TJ2" s="775" t="s">
        <v>129</v>
      </c>
      <c r="TK2" s="775"/>
      <c r="TL2" s="775"/>
      <c r="TM2" s="775"/>
      <c r="TN2" s="775"/>
      <c r="TO2" s="775"/>
      <c r="TP2" s="775"/>
      <c r="TQ2" s="775"/>
      <c r="TR2" s="775"/>
      <c r="TS2" s="775"/>
      <c r="TT2" s="775"/>
      <c r="TU2" s="775"/>
      <c r="TV2" s="775"/>
      <c r="TW2" s="775"/>
    </row>
    <row r="3" spans="2:543" ht="22" customHeight="1">
      <c r="B3" s="775" t="s">
        <v>620</v>
      </c>
      <c r="C3" s="775"/>
      <c r="D3" s="775"/>
      <c r="E3" s="775"/>
      <c r="F3" s="775"/>
      <c r="G3" s="775"/>
      <c r="H3" s="775"/>
      <c r="I3" s="775"/>
      <c r="J3" s="775"/>
      <c r="K3" s="775"/>
      <c r="L3" s="775"/>
      <c r="M3" s="775"/>
      <c r="N3" s="775"/>
      <c r="O3" s="775"/>
      <c r="R3" s="775" t="s">
        <v>619</v>
      </c>
      <c r="S3" s="775"/>
      <c r="T3" s="775"/>
      <c r="U3" s="775"/>
      <c r="V3" s="775"/>
      <c r="W3" s="775"/>
      <c r="X3" s="775"/>
      <c r="Y3" s="775"/>
      <c r="Z3" s="775"/>
      <c r="AA3" s="775"/>
      <c r="AB3" s="775"/>
      <c r="AC3" s="775"/>
      <c r="AD3" s="775"/>
      <c r="AE3" s="775"/>
      <c r="AH3" s="775" t="s">
        <v>584</v>
      </c>
      <c r="AI3" s="775"/>
      <c r="AJ3" s="775"/>
      <c r="AK3" s="775"/>
      <c r="AL3" s="775"/>
      <c r="AM3" s="775"/>
      <c r="AN3" s="775"/>
      <c r="AO3" s="775"/>
      <c r="AP3" s="775"/>
      <c r="AQ3" s="775"/>
      <c r="AR3" s="775"/>
      <c r="AS3" s="775"/>
      <c r="AT3" s="775"/>
      <c r="AU3" s="775"/>
      <c r="AX3" s="775" t="s">
        <v>503</v>
      </c>
      <c r="AY3" s="775"/>
      <c r="AZ3" s="775"/>
      <c r="BA3" s="775"/>
      <c r="BB3" s="775"/>
      <c r="BC3" s="775"/>
      <c r="BD3" s="775"/>
      <c r="BE3" s="775"/>
      <c r="BF3" s="775"/>
      <c r="BG3" s="775"/>
      <c r="BH3" s="775"/>
      <c r="BI3" s="775"/>
      <c r="BJ3" s="775"/>
      <c r="BK3" s="775"/>
      <c r="BN3" s="775" t="s">
        <v>230</v>
      </c>
      <c r="BO3" s="775"/>
      <c r="BP3" s="775"/>
      <c r="BQ3" s="775"/>
      <c r="BR3" s="775"/>
      <c r="BS3" s="775"/>
      <c r="BT3" s="775"/>
      <c r="BU3" s="775"/>
      <c r="BV3" s="775"/>
      <c r="BW3" s="775"/>
      <c r="BX3" s="775"/>
      <c r="BY3" s="775"/>
      <c r="BZ3" s="775"/>
      <c r="CA3" s="775"/>
      <c r="CD3" s="775" t="s">
        <v>180</v>
      </c>
      <c r="CE3" s="775"/>
      <c r="CF3" s="775"/>
      <c r="CG3" s="775"/>
      <c r="CH3" s="775"/>
      <c r="CI3" s="775"/>
      <c r="CJ3" s="775"/>
      <c r="CK3" s="775"/>
      <c r="CL3" s="775"/>
      <c r="CM3" s="775"/>
      <c r="CN3" s="775"/>
      <c r="CO3" s="775"/>
      <c r="CP3" s="775"/>
      <c r="CQ3" s="775"/>
      <c r="CT3" s="775" t="s">
        <v>130</v>
      </c>
      <c r="CU3" s="775"/>
      <c r="CV3" s="775"/>
      <c r="CW3" s="775"/>
      <c r="CX3" s="775"/>
      <c r="CY3" s="775"/>
      <c r="CZ3" s="775"/>
      <c r="DA3" s="775"/>
      <c r="DB3" s="775"/>
      <c r="DC3" s="775"/>
      <c r="DD3" s="775"/>
      <c r="DE3" s="775"/>
      <c r="DF3" s="775"/>
      <c r="DG3" s="775"/>
      <c r="DJ3" s="775" t="s">
        <v>131</v>
      </c>
      <c r="DK3" s="775"/>
      <c r="DL3" s="775"/>
      <c r="DM3" s="775"/>
      <c r="DN3" s="775"/>
      <c r="DO3" s="775"/>
      <c r="DP3" s="775"/>
      <c r="DQ3" s="775"/>
      <c r="DR3" s="775"/>
      <c r="DS3" s="775"/>
      <c r="DT3" s="775"/>
      <c r="DU3" s="775"/>
      <c r="DV3" s="775"/>
      <c r="DW3" s="775"/>
      <c r="DZ3" s="775" t="s">
        <v>132</v>
      </c>
      <c r="EA3" s="775"/>
      <c r="EB3" s="775"/>
      <c r="EC3" s="775"/>
      <c r="ED3" s="775"/>
      <c r="EE3" s="775"/>
      <c r="EF3" s="775"/>
      <c r="EG3" s="775"/>
      <c r="EH3" s="775"/>
      <c r="EI3" s="775"/>
      <c r="EJ3" s="775"/>
      <c r="EK3" s="775"/>
      <c r="EL3" s="775"/>
      <c r="EM3" s="775"/>
      <c r="EP3" s="775" t="s">
        <v>133</v>
      </c>
      <c r="EQ3" s="775"/>
      <c r="ER3" s="775"/>
      <c r="ES3" s="775"/>
      <c r="ET3" s="775"/>
      <c r="EU3" s="775"/>
      <c r="EV3" s="775"/>
      <c r="EW3" s="775"/>
      <c r="EX3" s="775"/>
      <c r="EY3" s="775"/>
      <c r="EZ3" s="775"/>
      <c r="FA3" s="775"/>
      <c r="FB3" s="775"/>
      <c r="FC3" s="775"/>
      <c r="FF3" s="775" t="s">
        <v>134</v>
      </c>
      <c r="FG3" s="775"/>
      <c r="FH3" s="775"/>
      <c r="FI3" s="775"/>
      <c r="FJ3" s="775"/>
      <c r="FK3" s="775"/>
      <c r="FL3" s="775"/>
      <c r="FM3" s="775"/>
      <c r="FN3" s="775"/>
      <c r="FO3" s="775"/>
      <c r="FP3" s="775"/>
      <c r="FQ3" s="775"/>
      <c r="FR3" s="775"/>
      <c r="FS3" s="775"/>
      <c r="FV3" s="775" t="s">
        <v>135</v>
      </c>
      <c r="FW3" s="775"/>
      <c r="FX3" s="775"/>
      <c r="FY3" s="775"/>
      <c r="FZ3" s="775"/>
      <c r="GA3" s="775"/>
      <c r="GB3" s="775"/>
      <c r="GC3" s="775"/>
      <c r="GD3" s="775"/>
      <c r="GE3" s="775"/>
      <c r="GF3" s="775"/>
      <c r="GG3" s="775"/>
      <c r="GH3" s="775"/>
      <c r="GI3" s="775"/>
      <c r="GL3" s="775" t="s">
        <v>136</v>
      </c>
      <c r="GM3" s="775"/>
      <c r="GN3" s="775"/>
      <c r="GO3" s="775"/>
      <c r="GP3" s="775"/>
      <c r="GQ3" s="775"/>
      <c r="GR3" s="775"/>
      <c r="GS3" s="775"/>
      <c r="GT3" s="775"/>
      <c r="GU3" s="775"/>
      <c r="GV3" s="775"/>
      <c r="GW3" s="775"/>
      <c r="GX3" s="775"/>
      <c r="GY3" s="775"/>
      <c r="HB3" s="775" t="s">
        <v>504</v>
      </c>
      <c r="HC3" s="775"/>
      <c r="HD3" s="775"/>
      <c r="HE3" s="775"/>
      <c r="HF3" s="775"/>
      <c r="HG3" s="775"/>
      <c r="HH3" s="775"/>
      <c r="HI3" s="775"/>
      <c r="HJ3" s="775"/>
      <c r="HK3" s="775"/>
      <c r="HL3" s="775"/>
      <c r="HM3" s="775"/>
      <c r="HN3" s="775"/>
      <c r="HO3" s="775"/>
      <c r="HP3" s="376"/>
      <c r="HQ3" s="376"/>
      <c r="HR3" s="775" t="s">
        <v>505</v>
      </c>
      <c r="HS3" s="775"/>
      <c r="HT3" s="775"/>
      <c r="HU3" s="775"/>
      <c r="HV3" s="775"/>
      <c r="HW3" s="775"/>
      <c r="HX3" s="775"/>
      <c r="HY3" s="775"/>
      <c r="HZ3" s="775"/>
      <c r="IA3" s="775"/>
      <c r="IB3" s="775"/>
      <c r="IC3" s="775"/>
      <c r="ID3" s="775"/>
      <c r="IE3" s="775"/>
      <c r="IF3" s="376"/>
      <c r="IG3" s="376"/>
      <c r="IH3" s="775" t="s">
        <v>506</v>
      </c>
      <c r="II3" s="775"/>
      <c r="IJ3" s="775"/>
      <c r="IK3" s="775"/>
      <c r="IL3" s="775"/>
      <c r="IM3" s="775"/>
      <c r="IN3" s="775"/>
      <c r="IO3" s="775"/>
      <c r="IP3" s="775"/>
      <c r="IQ3" s="775"/>
      <c r="IR3" s="775"/>
      <c r="IS3" s="775"/>
      <c r="IT3" s="775"/>
      <c r="IU3" s="775"/>
      <c r="IV3" s="376"/>
      <c r="IW3" s="376"/>
      <c r="IX3" s="775" t="s">
        <v>507</v>
      </c>
      <c r="IY3" s="775"/>
      <c r="IZ3" s="775"/>
      <c r="JA3" s="775"/>
      <c r="JB3" s="775"/>
      <c r="JC3" s="775"/>
      <c r="JD3" s="775"/>
      <c r="JE3" s="775"/>
      <c r="JF3" s="775"/>
      <c r="JG3" s="775"/>
      <c r="JH3" s="775"/>
      <c r="JI3" s="775"/>
      <c r="JJ3" s="775"/>
      <c r="JK3" s="775"/>
      <c r="JL3" s="376"/>
      <c r="JM3" s="376"/>
      <c r="JN3" s="775" t="s">
        <v>508</v>
      </c>
      <c r="JO3" s="775"/>
      <c r="JP3" s="775"/>
      <c r="JQ3" s="775"/>
      <c r="JR3" s="775"/>
      <c r="JS3" s="775"/>
      <c r="JT3" s="775"/>
      <c r="JU3" s="775"/>
      <c r="JV3" s="775"/>
      <c r="JW3" s="775"/>
      <c r="JX3" s="775"/>
      <c r="JY3" s="775"/>
      <c r="JZ3" s="775"/>
      <c r="KA3" s="775"/>
      <c r="KB3" s="376"/>
      <c r="KC3" s="376"/>
      <c r="KD3" s="775" t="s">
        <v>509</v>
      </c>
      <c r="KE3" s="775"/>
      <c r="KF3" s="775"/>
      <c r="KG3" s="775"/>
      <c r="KH3" s="775"/>
      <c r="KI3" s="775"/>
      <c r="KJ3" s="775"/>
      <c r="KK3" s="775"/>
      <c r="KL3" s="775"/>
      <c r="KM3" s="775"/>
      <c r="KN3" s="775"/>
      <c r="KO3" s="775"/>
      <c r="KP3" s="775"/>
      <c r="KQ3" s="775"/>
      <c r="KR3" s="376"/>
      <c r="KS3" s="376"/>
      <c r="KT3" s="775" t="s">
        <v>510</v>
      </c>
      <c r="KU3" s="775"/>
      <c r="KV3" s="775"/>
      <c r="KW3" s="775"/>
      <c r="KX3" s="775"/>
      <c r="KY3" s="775"/>
      <c r="KZ3" s="775"/>
      <c r="LA3" s="775"/>
      <c r="LB3" s="775"/>
      <c r="LC3" s="775"/>
      <c r="LD3" s="775"/>
      <c r="LE3" s="775"/>
      <c r="LF3" s="775"/>
      <c r="LG3" s="775"/>
      <c r="LH3" s="376"/>
      <c r="LI3" s="376"/>
      <c r="LJ3" s="775" t="s">
        <v>511</v>
      </c>
      <c r="LK3" s="775"/>
      <c r="LL3" s="775"/>
      <c r="LM3" s="775"/>
      <c r="LN3" s="775"/>
      <c r="LO3" s="775"/>
      <c r="LP3" s="775"/>
      <c r="LQ3" s="775"/>
      <c r="LR3" s="775"/>
      <c r="LS3" s="775"/>
      <c r="LT3" s="775"/>
      <c r="LU3" s="775"/>
      <c r="LV3" s="775"/>
      <c r="LW3" s="775"/>
      <c r="LX3" s="376"/>
      <c r="LY3" s="376"/>
      <c r="LZ3" s="775" t="s">
        <v>512</v>
      </c>
      <c r="MA3" s="775"/>
      <c r="MB3" s="775"/>
      <c r="MC3" s="775"/>
      <c r="MD3" s="775"/>
      <c r="ME3" s="775"/>
      <c r="MF3" s="775"/>
      <c r="MG3" s="775"/>
      <c r="MH3" s="775"/>
      <c r="MI3" s="775"/>
      <c r="MJ3" s="775"/>
      <c r="MK3" s="775"/>
      <c r="ML3" s="775"/>
      <c r="MM3" s="775"/>
      <c r="MN3" s="376"/>
      <c r="MO3" s="376"/>
      <c r="MP3" s="775" t="s">
        <v>513</v>
      </c>
      <c r="MQ3" s="775"/>
      <c r="MR3" s="775"/>
      <c r="MS3" s="775"/>
      <c r="MT3" s="775"/>
      <c r="MU3" s="775"/>
      <c r="MV3" s="775"/>
      <c r="MW3" s="775"/>
      <c r="MX3" s="775"/>
      <c r="MY3" s="775"/>
      <c r="MZ3" s="775"/>
      <c r="NA3" s="775"/>
      <c r="NB3" s="775"/>
      <c r="NC3" s="775"/>
      <c r="ND3" s="376"/>
      <c r="NE3" s="376"/>
      <c r="NF3" s="775" t="s">
        <v>514</v>
      </c>
      <c r="NG3" s="775"/>
      <c r="NH3" s="775"/>
      <c r="NI3" s="775"/>
      <c r="NJ3" s="775"/>
      <c r="NK3" s="775"/>
      <c r="NL3" s="775"/>
      <c r="NM3" s="775"/>
      <c r="NN3" s="775"/>
      <c r="NO3" s="775"/>
      <c r="NP3" s="775"/>
      <c r="NQ3" s="775"/>
      <c r="NR3" s="775"/>
      <c r="NS3" s="775"/>
      <c r="NT3" s="376"/>
      <c r="NU3" s="376"/>
      <c r="NV3" s="775" t="s">
        <v>515</v>
      </c>
      <c r="NW3" s="775"/>
      <c r="NX3" s="775"/>
      <c r="NY3" s="775"/>
      <c r="NZ3" s="775"/>
      <c r="OA3" s="775"/>
      <c r="OB3" s="775"/>
      <c r="OC3" s="775"/>
      <c r="OD3" s="775"/>
      <c r="OE3" s="775"/>
      <c r="OF3" s="775"/>
      <c r="OG3" s="775"/>
      <c r="OH3" s="775"/>
      <c r="OI3" s="775"/>
      <c r="OJ3" s="376"/>
      <c r="OK3" s="376"/>
      <c r="OL3" s="775" t="s">
        <v>516</v>
      </c>
      <c r="OM3" s="775"/>
      <c r="ON3" s="775"/>
      <c r="OO3" s="775"/>
      <c r="OP3" s="775"/>
      <c r="OQ3" s="775"/>
      <c r="OR3" s="775"/>
      <c r="OS3" s="775"/>
      <c r="OT3" s="775"/>
      <c r="OU3" s="775"/>
      <c r="OV3" s="775"/>
      <c r="OW3" s="775"/>
      <c r="OX3" s="775"/>
      <c r="OY3" s="775"/>
      <c r="OZ3" s="376"/>
      <c r="PA3" s="376"/>
      <c r="PB3" s="775" t="s">
        <v>517</v>
      </c>
      <c r="PC3" s="775"/>
      <c r="PD3" s="775"/>
      <c r="PE3" s="775"/>
      <c r="PF3" s="775"/>
      <c r="PG3" s="775"/>
      <c r="PH3" s="775"/>
      <c r="PI3" s="775"/>
      <c r="PJ3" s="775"/>
      <c r="PK3" s="775"/>
      <c r="PL3" s="775"/>
      <c r="PM3" s="775"/>
      <c r="PN3" s="775"/>
      <c r="PO3" s="775"/>
      <c r="PP3" s="376"/>
      <c r="PQ3" s="376"/>
      <c r="PR3" s="775" t="s">
        <v>518</v>
      </c>
      <c r="PS3" s="775"/>
      <c r="PT3" s="775"/>
      <c r="PU3" s="775"/>
      <c r="PV3" s="775"/>
      <c r="PW3" s="775"/>
      <c r="PX3" s="775"/>
      <c r="PY3" s="775"/>
      <c r="PZ3" s="775"/>
      <c r="QA3" s="775"/>
      <c r="QB3" s="775"/>
      <c r="QC3" s="775"/>
      <c r="QD3" s="775"/>
      <c r="QE3" s="775"/>
      <c r="QF3" s="376"/>
      <c r="QG3" s="376"/>
      <c r="QH3" s="775" t="s">
        <v>519</v>
      </c>
      <c r="QI3" s="775"/>
      <c r="QJ3" s="775"/>
      <c r="QK3" s="775"/>
      <c r="QL3" s="775"/>
      <c r="QM3" s="775"/>
      <c r="QN3" s="775"/>
      <c r="QO3" s="775"/>
      <c r="QP3" s="775"/>
      <c r="QQ3" s="775"/>
      <c r="QR3" s="775"/>
      <c r="QS3" s="775"/>
      <c r="QT3" s="775"/>
      <c r="QU3" s="775"/>
      <c r="QV3" s="376"/>
      <c r="QW3" s="376"/>
      <c r="QX3" s="775" t="s">
        <v>520</v>
      </c>
      <c r="QY3" s="775"/>
      <c r="QZ3" s="775"/>
      <c r="RA3" s="775"/>
      <c r="RB3" s="775"/>
      <c r="RC3" s="775"/>
      <c r="RD3" s="775"/>
      <c r="RE3" s="775"/>
      <c r="RF3" s="775"/>
      <c r="RG3" s="775"/>
      <c r="RH3" s="775"/>
      <c r="RI3" s="775"/>
      <c r="RJ3" s="775"/>
      <c r="RK3" s="775"/>
      <c r="RL3" s="376"/>
      <c r="RM3" s="376"/>
      <c r="RN3" s="775" t="s">
        <v>521</v>
      </c>
      <c r="RO3" s="775"/>
      <c r="RP3" s="775"/>
      <c r="RQ3" s="775"/>
      <c r="RR3" s="775"/>
      <c r="RS3" s="775"/>
      <c r="RT3" s="775"/>
      <c r="RU3" s="775"/>
      <c r="RV3" s="775"/>
      <c r="RW3" s="775"/>
      <c r="RX3" s="775"/>
      <c r="RY3" s="775"/>
      <c r="RZ3" s="775"/>
      <c r="SA3" s="775"/>
      <c r="SB3" s="376"/>
      <c r="SC3" s="376"/>
      <c r="SD3" s="775" t="s">
        <v>522</v>
      </c>
      <c r="SE3" s="775"/>
      <c r="SF3" s="775"/>
      <c r="SG3" s="775"/>
      <c r="SH3" s="775"/>
      <c r="SI3" s="775"/>
      <c r="SJ3" s="775"/>
      <c r="SK3" s="775"/>
      <c r="SL3" s="775"/>
      <c r="SM3" s="775"/>
      <c r="SN3" s="775"/>
      <c r="SO3" s="775"/>
      <c r="SP3" s="775"/>
      <c r="SQ3" s="775"/>
      <c r="SR3" s="376"/>
      <c r="SS3" s="376"/>
      <c r="ST3" s="775" t="s">
        <v>523</v>
      </c>
      <c r="SU3" s="775"/>
      <c r="SV3" s="775"/>
      <c r="SW3" s="775"/>
      <c r="SX3" s="775"/>
      <c r="SY3" s="775"/>
      <c r="SZ3" s="775"/>
      <c r="TA3" s="775"/>
      <c r="TB3" s="775"/>
      <c r="TC3" s="775"/>
      <c r="TD3" s="775"/>
      <c r="TE3" s="775"/>
      <c r="TF3" s="775"/>
      <c r="TG3" s="775"/>
      <c r="TH3" s="376"/>
      <c r="TI3" s="376"/>
      <c r="TJ3" s="775" t="s">
        <v>524</v>
      </c>
      <c r="TK3" s="775"/>
      <c r="TL3" s="775"/>
      <c r="TM3" s="775"/>
      <c r="TN3" s="775"/>
      <c r="TO3" s="775"/>
      <c r="TP3" s="775"/>
      <c r="TQ3" s="775"/>
      <c r="TR3" s="775"/>
      <c r="TS3" s="775"/>
      <c r="TT3" s="775"/>
      <c r="TU3" s="775"/>
      <c r="TV3" s="775"/>
      <c r="TW3" s="775"/>
    </row>
    <row r="4" spans="2:543" ht="16">
      <c r="B4" s="136"/>
      <c r="C4" s="136"/>
      <c r="D4" s="136"/>
      <c r="E4" s="136"/>
      <c r="F4" s="136"/>
      <c r="G4" s="136"/>
      <c r="H4" s="136"/>
      <c r="I4" s="136"/>
      <c r="J4" s="136"/>
      <c r="K4" s="136"/>
      <c r="L4" s="136"/>
      <c r="M4" s="136"/>
      <c r="N4" s="136"/>
      <c r="O4" s="136"/>
      <c r="R4" s="136"/>
      <c r="S4" s="136"/>
      <c r="T4" s="136"/>
      <c r="U4" s="136"/>
      <c r="V4" s="136"/>
      <c r="W4" s="136"/>
      <c r="X4" s="136"/>
      <c r="Y4" s="136"/>
      <c r="Z4" s="136"/>
      <c r="AA4" s="136"/>
      <c r="AB4" s="136"/>
      <c r="AC4" s="136"/>
      <c r="AD4" s="136"/>
      <c r="AE4" s="136"/>
      <c r="AH4" s="136"/>
      <c r="AI4" s="136"/>
      <c r="AJ4" s="136"/>
      <c r="AK4" s="136"/>
      <c r="AL4" s="136"/>
      <c r="AM4" s="136"/>
      <c r="AN4" s="136"/>
      <c r="AO4" s="136"/>
      <c r="AP4" s="136"/>
      <c r="AQ4" s="136"/>
      <c r="AR4" s="136"/>
      <c r="AS4" s="136"/>
      <c r="AT4" s="136"/>
      <c r="AU4" s="136"/>
      <c r="AX4" s="136"/>
      <c r="AY4" s="136"/>
      <c r="AZ4" s="136"/>
      <c r="BA4" s="136"/>
      <c r="BB4" s="136"/>
      <c r="BC4" s="136"/>
      <c r="BD4" s="136"/>
      <c r="BE4" s="136"/>
      <c r="BF4" s="136"/>
      <c r="BG4" s="136"/>
      <c r="BH4" s="136"/>
      <c r="BI4" s="136"/>
      <c r="BJ4" s="136"/>
      <c r="BK4" s="136"/>
      <c r="BN4" s="136"/>
      <c r="BO4" s="136"/>
      <c r="BP4" s="136"/>
      <c r="BQ4" s="136"/>
      <c r="BR4" s="136"/>
      <c r="BS4" s="136"/>
      <c r="BT4" s="136"/>
      <c r="BU4" s="136"/>
      <c r="BV4" s="136"/>
      <c r="BW4" s="136"/>
      <c r="BX4" s="136"/>
      <c r="BY4" s="136"/>
      <c r="BZ4" s="136"/>
      <c r="CA4" s="136"/>
      <c r="CD4" s="136"/>
      <c r="CE4" s="136"/>
      <c r="CF4" s="136"/>
      <c r="CG4" s="136"/>
      <c r="CH4" s="136"/>
      <c r="CI4" s="136"/>
      <c r="CJ4" s="136"/>
      <c r="CK4" s="136"/>
      <c r="CL4" s="136"/>
      <c r="CM4" s="136"/>
      <c r="CN4" s="136"/>
      <c r="CO4" s="136"/>
      <c r="CP4" s="136"/>
      <c r="CQ4" s="136"/>
      <c r="HB4" s="136"/>
      <c r="HC4" s="136"/>
      <c r="HD4" s="136"/>
      <c r="HE4" s="136"/>
      <c r="HF4" s="136"/>
      <c r="HG4" s="136"/>
      <c r="HH4" s="136"/>
      <c r="HI4" s="136"/>
      <c r="HJ4" s="136"/>
      <c r="HK4" s="136"/>
      <c r="HL4" s="136"/>
      <c r="HM4" s="136"/>
      <c r="HN4" s="136"/>
      <c r="HO4" s="136"/>
      <c r="HP4" s="376"/>
      <c r="HQ4" s="376"/>
      <c r="HR4" s="136"/>
      <c r="HS4" s="136"/>
      <c r="HT4" s="136"/>
      <c r="HU4" s="136"/>
      <c r="HV4" s="136"/>
      <c r="HW4" s="136"/>
      <c r="HX4" s="136"/>
      <c r="HY4" s="136"/>
      <c r="HZ4" s="136"/>
      <c r="IA4" s="136"/>
      <c r="IB4" s="136"/>
      <c r="IC4" s="136"/>
      <c r="ID4" s="136"/>
      <c r="IE4" s="136"/>
      <c r="IF4" s="376"/>
      <c r="IG4" s="376"/>
      <c r="IH4" s="136"/>
      <c r="II4" s="136"/>
      <c r="IJ4" s="136"/>
      <c r="IK4" s="136"/>
      <c r="IL4" s="136"/>
      <c r="IM4" s="136"/>
      <c r="IN4" s="136"/>
      <c r="IO4" s="136"/>
      <c r="IP4" s="136"/>
      <c r="IQ4" s="136"/>
      <c r="IR4" s="136"/>
      <c r="IS4" s="136"/>
      <c r="IT4" s="136"/>
      <c r="IU4" s="136"/>
      <c r="IV4" s="376"/>
      <c r="IW4" s="376"/>
      <c r="IX4" s="136"/>
      <c r="IY4" s="136"/>
      <c r="IZ4" s="136"/>
      <c r="JA4" s="136"/>
      <c r="JB4" s="136"/>
      <c r="JC4" s="136"/>
      <c r="JD4" s="136"/>
      <c r="JE4" s="136"/>
      <c r="JF4" s="136"/>
      <c r="JG4" s="136"/>
      <c r="JH4" s="136"/>
      <c r="JI4" s="136"/>
      <c r="JJ4" s="136"/>
      <c r="JK4" s="136"/>
      <c r="JL4" s="376"/>
      <c r="JM4" s="376"/>
      <c r="JN4" s="136"/>
      <c r="JO4" s="136"/>
      <c r="JP4" s="136"/>
      <c r="JQ4" s="136"/>
      <c r="JR4" s="136"/>
      <c r="JS4" s="136"/>
      <c r="JT4" s="136"/>
      <c r="JU4" s="136"/>
      <c r="JV4" s="136"/>
      <c r="JW4" s="136"/>
      <c r="JX4" s="136"/>
      <c r="JY4" s="136"/>
      <c r="JZ4" s="136"/>
      <c r="KA4" s="136"/>
      <c r="KB4" s="376"/>
      <c r="KC4" s="376"/>
      <c r="KD4" s="136"/>
      <c r="KE4" s="136"/>
      <c r="KF4" s="136"/>
      <c r="KG4" s="136"/>
      <c r="KH4" s="136"/>
      <c r="KI4" s="136"/>
      <c r="KJ4" s="136"/>
      <c r="KK4" s="136"/>
      <c r="KL4" s="136"/>
      <c r="KM4" s="136"/>
      <c r="KN4" s="136"/>
      <c r="KO4" s="136"/>
      <c r="KP4" s="136"/>
      <c r="KQ4" s="136"/>
      <c r="KR4" s="376"/>
      <c r="KS4" s="376"/>
      <c r="KT4" s="136"/>
      <c r="KU4" s="136"/>
      <c r="KV4" s="136"/>
      <c r="KW4" s="136"/>
      <c r="KX4" s="136"/>
      <c r="KY4" s="136"/>
      <c r="KZ4" s="136"/>
      <c r="LA4" s="136"/>
      <c r="LB4" s="136"/>
      <c r="LC4" s="136"/>
      <c r="LD4" s="136"/>
      <c r="LE4" s="136"/>
      <c r="LF4" s="136"/>
      <c r="LG4" s="136"/>
      <c r="LH4" s="376"/>
      <c r="LI4" s="376"/>
      <c r="LJ4" s="136"/>
      <c r="LK4" s="136"/>
      <c r="LL4" s="136"/>
      <c r="LM4" s="136"/>
      <c r="LN4" s="136"/>
      <c r="LO4" s="136"/>
      <c r="LP4" s="136"/>
      <c r="LQ4" s="136"/>
      <c r="LR4" s="136"/>
      <c r="LS4" s="136"/>
      <c r="LT4" s="136"/>
      <c r="LU4" s="136"/>
      <c r="LV4" s="136"/>
      <c r="LW4" s="136"/>
      <c r="LX4" s="376"/>
      <c r="LY4" s="376"/>
      <c r="LZ4" s="136"/>
      <c r="MA4" s="136"/>
      <c r="MB4" s="136"/>
      <c r="MC4" s="136"/>
      <c r="MD4" s="136"/>
      <c r="ME4" s="136"/>
      <c r="MF4" s="136"/>
      <c r="MG4" s="136"/>
      <c r="MH4" s="136"/>
      <c r="MI4" s="136"/>
      <c r="MJ4" s="136"/>
      <c r="MK4" s="136"/>
      <c r="ML4" s="136"/>
      <c r="MM4" s="136"/>
      <c r="MN4" s="376"/>
      <c r="MO4" s="376"/>
      <c r="MP4" s="136"/>
      <c r="MQ4" s="136"/>
      <c r="MR4" s="136"/>
      <c r="MS4" s="136"/>
      <c r="MT4" s="136"/>
      <c r="MU4" s="136"/>
      <c r="MV4" s="136"/>
      <c r="MW4" s="136"/>
      <c r="MX4" s="136"/>
      <c r="MY4" s="136"/>
      <c r="MZ4" s="136"/>
      <c r="NA4" s="136"/>
      <c r="NB4" s="136"/>
      <c r="NC4" s="136"/>
      <c r="ND4" s="376"/>
      <c r="NE4" s="376"/>
      <c r="NF4" s="136"/>
      <c r="NG4" s="136"/>
      <c r="NH4" s="136"/>
      <c r="NI4" s="136"/>
      <c r="NJ4" s="136"/>
      <c r="NK4" s="136"/>
      <c r="NL4" s="136"/>
      <c r="NM4" s="136"/>
      <c r="NN4" s="136"/>
      <c r="NO4" s="136"/>
      <c r="NP4" s="136"/>
      <c r="NQ4" s="136"/>
      <c r="NR4" s="136"/>
      <c r="NS4" s="136"/>
      <c r="NT4" s="376"/>
      <c r="NU4" s="376"/>
      <c r="NV4" s="136"/>
      <c r="NW4" s="136"/>
      <c r="NX4" s="136"/>
      <c r="NY4" s="136"/>
      <c r="NZ4" s="136"/>
      <c r="OA4" s="136"/>
      <c r="OB4" s="136"/>
      <c r="OC4" s="136"/>
      <c r="OD4" s="136"/>
      <c r="OE4" s="136"/>
      <c r="OF4" s="136"/>
      <c r="OG4" s="136"/>
      <c r="OH4" s="136"/>
      <c r="OI4" s="136"/>
      <c r="OJ4" s="376"/>
      <c r="OK4" s="376"/>
      <c r="OL4" s="136"/>
      <c r="OM4" s="136"/>
      <c r="ON4" s="136"/>
      <c r="OO4" s="136"/>
      <c r="OP4" s="136"/>
      <c r="OQ4" s="136"/>
      <c r="OR4" s="136"/>
      <c r="OS4" s="136"/>
      <c r="OT4" s="136"/>
      <c r="OU4" s="136"/>
      <c r="OV4" s="136"/>
      <c r="OW4" s="136"/>
      <c r="OX4" s="136"/>
      <c r="OY4" s="136"/>
      <c r="OZ4" s="376"/>
      <c r="PA4" s="376"/>
      <c r="PB4" s="136"/>
      <c r="PC4" s="136"/>
      <c r="PD4" s="136"/>
      <c r="PE4" s="136"/>
      <c r="PF4" s="136"/>
      <c r="PG4" s="136"/>
      <c r="PH4" s="136"/>
      <c r="PI4" s="136"/>
      <c r="PJ4" s="136"/>
      <c r="PK4" s="136"/>
      <c r="PL4" s="136"/>
      <c r="PM4" s="136"/>
      <c r="PN4" s="136"/>
      <c r="PO4" s="136"/>
      <c r="PP4" s="376"/>
      <c r="PQ4" s="376"/>
      <c r="PR4" s="136"/>
      <c r="PS4" s="136"/>
      <c r="PT4" s="136"/>
      <c r="PU4" s="136"/>
      <c r="PV4" s="136"/>
      <c r="PW4" s="136"/>
      <c r="PX4" s="136"/>
      <c r="PY4" s="136"/>
      <c r="PZ4" s="136"/>
      <c r="QA4" s="136"/>
      <c r="QB4" s="136"/>
      <c r="QC4" s="136"/>
      <c r="QD4" s="136"/>
      <c r="QE4" s="136"/>
      <c r="QF4" s="376"/>
      <c r="QG4" s="376"/>
      <c r="QH4" s="136"/>
      <c r="QI4" s="136"/>
      <c r="QJ4" s="136"/>
      <c r="QK4" s="136"/>
      <c r="QL4" s="136"/>
      <c r="QM4" s="136"/>
      <c r="QN4" s="136"/>
      <c r="QO4" s="136"/>
      <c r="QP4" s="136"/>
      <c r="QQ4" s="136"/>
      <c r="QR4" s="136"/>
      <c r="QS4" s="136"/>
      <c r="QT4" s="136"/>
      <c r="QU4" s="136"/>
      <c r="QV4" s="376"/>
      <c r="QW4" s="376"/>
      <c r="QX4" s="136"/>
      <c r="QY4" s="136"/>
      <c r="QZ4" s="136"/>
      <c r="RA4" s="136"/>
      <c r="RB4" s="136"/>
      <c r="RC4" s="136"/>
      <c r="RD4" s="136"/>
      <c r="RE4" s="136"/>
      <c r="RF4" s="136"/>
      <c r="RG4" s="136"/>
      <c r="RH4" s="136"/>
      <c r="RI4" s="136"/>
      <c r="RJ4" s="136"/>
      <c r="RK4" s="136"/>
      <c r="RL4" s="376"/>
      <c r="RM4" s="376"/>
      <c r="RN4" s="136"/>
      <c r="RO4" s="136"/>
      <c r="RP4" s="136"/>
      <c r="RQ4" s="136"/>
      <c r="RR4" s="136"/>
      <c r="RS4" s="136"/>
      <c r="RT4" s="136"/>
      <c r="RU4" s="136"/>
      <c r="RV4" s="136"/>
      <c r="RW4" s="136"/>
      <c r="RX4" s="136"/>
      <c r="RY4" s="136"/>
      <c r="RZ4" s="136"/>
      <c r="SA4" s="136"/>
      <c r="SB4" s="376"/>
      <c r="SC4" s="376"/>
      <c r="SD4" s="136"/>
      <c r="SE4" s="136"/>
      <c r="SF4" s="136"/>
      <c r="SG4" s="136"/>
      <c r="SH4" s="136"/>
      <c r="SI4" s="136"/>
      <c r="SJ4" s="136"/>
      <c r="SK4" s="136"/>
      <c r="SL4" s="136"/>
      <c r="SM4" s="136"/>
      <c r="SN4" s="136"/>
      <c r="SO4" s="136"/>
      <c r="SP4" s="136"/>
      <c r="SQ4" s="136"/>
      <c r="SR4" s="376"/>
      <c r="SS4" s="376"/>
      <c r="ST4" s="136"/>
      <c r="SU4" s="136"/>
      <c r="SV4" s="136"/>
      <c r="SW4" s="136"/>
      <c r="SX4" s="136"/>
      <c r="SY4" s="136"/>
      <c r="SZ4" s="136"/>
      <c r="TA4" s="136"/>
      <c r="TB4" s="136"/>
      <c r="TC4" s="136"/>
      <c r="TD4" s="136"/>
      <c r="TE4" s="136"/>
      <c r="TF4" s="136"/>
      <c r="TG4" s="136"/>
      <c r="TH4" s="376"/>
      <c r="TI4" s="376"/>
      <c r="TJ4" s="136"/>
      <c r="TK4" s="136"/>
      <c r="TL4" s="136"/>
      <c r="TM4" s="136"/>
      <c r="TN4" s="136"/>
      <c r="TO4" s="136"/>
      <c r="TP4" s="136"/>
      <c r="TQ4" s="136"/>
      <c r="TR4" s="136"/>
      <c r="TS4" s="136"/>
      <c r="TT4" s="136"/>
      <c r="TU4" s="136"/>
      <c r="TV4" s="136"/>
      <c r="TW4" s="136"/>
    </row>
    <row r="5" spans="2:543" s="472" customFormat="1" ht="16">
      <c r="B5" s="335">
        <v>2022</v>
      </c>
      <c r="C5" s="472">
        <v>2022.01</v>
      </c>
      <c r="D5" s="472">
        <v>2022.02</v>
      </c>
      <c r="E5" s="472">
        <v>2022.03</v>
      </c>
      <c r="F5" s="472">
        <v>2022.04</v>
      </c>
      <c r="G5" s="472">
        <v>2022.05</v>
      </c>
      <c r="H5" s="472">
        <v>2022.06</v>
      </c>
      <c r="I5" s="472">
        <v>2022.07</v>
      </c>
      <c r="J5" s="472">
        <v>2022.08</v>
      </c>
      <c r="K5" s="472">
        <v>2022.09</v>
      </c>
      <c r="L5" s="472">
        <v>2022.1</v>
      </c>
      <c r="M5" s="472">
        <v>2022.11</v>
      </c>
      <c r="N5" s="472">
        <v>2022.12</v>
      </c>
      <c r="O5" s="335"/>
      <c r="R5" s="335">
        <v>2021</v>
      </c>
      <c r="S5" s="472">
        <v>2021.01</v>
      </c>
      <c r="T5" s="472">
        <v>2021.02</v>
      </c>
      <c r="U5" s="472">
        <v>2021.03</v>
      </c>
      <c r="V5" s="472">
        <v>2021.04</v>
      </c>
      <c r="W5" s="472">
        <v>2021.05</v>
      </c>
      <c r="X5" s="472">
        <v>2021.06</v>
      </c>
      <c r="Y5" s="472">
        <v>2021.07</v>
      </c>
      <c r="Z5" s="472">
        <v>2021.08</v>
      </c>
      <c r="AA5" s="472">
        <v>2021.09</v>
      </c>
      <c r="AB5" s="472">
        <v>2021.1</v>
      </c>
      <c r="AC5" s="472">
        <v>2021.11</v>
      </c>
      <c r="AD5" s="472">
        <v>2021.12</v>
      </c>
      <c r="AE5" s="335"/>
      <c r="AH5" s="335">
        <v>2020</v>
      </c>
      <c r="AI5" s="472">
        <v>2020.01</v>
      </c>
      <c r="AJ5" s="472">
        <v>2020.02</v>
      </c>
      <c r="AK5" s="472">
        <v>2020.03</v>
      </c>
      <c r="AL5" s="472">
        <v>2020.04</v>
      </c>
      <c r="AM5" s="472">
        <v>2020.05</v>
      </c>
      <c r="AN5" s="472">
        <v>2020.06</v>
      </c>
      <c r="AO5" s="472">
        <v>2020.07</v>
      </c>
      <c r="AP5" s="472">
        <v>2020.08</v>
      </c>
      <c r="AQ5" s="472">
        <v>2020.09</v>
      </c>
      <c r="AR5" s="472">
        <v>2020.1</v>
      </c>
      <c r="AS5" s="472">
        <v>2020.11</v>
      </c>
      <c r="AT5" s="472">
        <v>2020.12</v>
      </c>
      <c r="AU5" s="335"/>
      <c r="AX5" s="335">
        <f>+BN5+1</f>
        <v>2019</v>
      </c>
      <c r="AY5" s="335">
        <f>+AX5+0.01</f>
        <v>2019.01</v>
      </c>
      <c r="AZ5" s="335">
        <f t="shared" ref="AZ5:BJ5" si="0">+AY5+0.01</f>
        <v>2019.02</v>
      </c>
      <c r="BA5" s="335">
        <f t="shared" si="0"/>
        <v>2019.03</v>
      </c>
      <c r="BB5" s="335">
        <f t="shared" si="0"/>
        <v>2019.04</v>
      </c>
      <c r="BC5" s="335">
        <f t="shared" si="0"/>
        <v>2019.05</v>
      </c>
      <c r="BD5" s="335">
        <f t="shared" si="0"/>
        <v>2019.06</v>
      </c>
      <c r="BE5" s="335">
        <f t="shared" si="0"/>
        <v>2019.07</v>
      </c>
      <c r="BF5" s="335">
        <f t="shared" si="0"/>
        <v>2019.08</v>
      </c>
      <c r="BG5" s="335">
        <f t="shared" si="0"/>
        <v>2019.09</v>
      </c>
      <c r="BH5" s="335">
        <f t="shared" si="0"/>
        <v>2019.1</v>
      </c>
      <c r="BI5" s="335">
        <f t="shared" si="0"/>
        <v>2019.11</v>
      </c>
      <c r="BJ5" s="335">
        <f t="shared" si="0"/>
        <v>2019.12</v>
      </c>
      <c r="BK5" s="335"/>
      <c r="BN5" s="335">
        <v>2018</v>
      </c>
      <c r="BO5" s="472">
        <v>2018.01</v>
      </c>
      <c r="BP5" s="472">
        <v>2018.02</v>
      </c>
      <c r="BQ5" s="472">
        <v>2018.03</v>
      </c>
      <c r="BR5" s="472">
        <v>2018.04</v>
      </c>
      <c r="BS5" s="472">
        <v>2018.05</v>
      </c>
      <c r="BT5" s="472">
        <v>2018.06</v>
      </c>
      <c r="BU5" s="472">
        <v>2018.07</v>
      </c>
      <c r="BV5" s="472">
        <v>2018.08</v>
      </c>
      <c r="BW5" s="472">
        <v>2018.09</v>
      </c>
      <c r="BX5" s="472">
        <v>2018.1</v>
      </c>
      <c r="BY5" s="472">
        <v>2018.11</v>
      </c>
      <c r="BZ5" s="472">
        <v>2018.12</v>
      </c>
      <c r="CA5" s="335"/>
      <c r="CD5" s="335">
        <v>2017</v>
      </c>
      <c r="CE5" s="472">
        <v>2017.01</v>
      </c>
      <c r="CF5" s="472">
        <v>2017.02</v>
      </c>
      <c r="CG5" s="472">
        <v>2017.03</v>
      </c>
      <c r="CH5" s="472">
        <v>2017.04</v>
      </c>
      <c r="CI5" s="472">
        <v>2017.05</v>
      </c>
      <c r="CJ5" s="472">
        <v>2017.06</v>
      </c>
      <c r="CK5" s="472">
        <v>2017.07</v>
      </c>
      <c r="CL5" s="472">
        <v>2017.08</v>
      </c>
      <c r="CM5" s="472">
        <v>2017.09</v>
      </c>
      <c r="CN5" s="472">
        <v>2017.1</v>
      </c>
      <c r="CO5" s="472">
        <v>2017.11</v>
      </c>
      <c r="CP5" s="472">
        <v>2017.12</v>
      </c>
      <c r="CQ5" s="335"/>
      <c r="CT5" s="472">
        <f>+DJ5+1</f>
        <v>2016</v>
      </c>
      <c r="CU5" s="472">
        <f>+CT5+0.01</f>
        <v>2016.01</v>
      </c>
      <c r="CV5" s="472">
        <f t="shared" ref="CV5:DF5" si="1">+CU5+0.01</f>
        <v>2016.02</v>
      </c>
      <c r="CW5" s="472">
        <f t="shared" si="1"/>
        <v>2016.03</v>
      </c>
      <c r="CX5" s="472">
        <f t="shared" si="1"/>
        <v>2016.04</v>
      </c>
      <c r="CY5" s="472">
        <f t="shared" si="1"/>
        <v>2016.05</v>
      </c>
      <c r="CZ5" s="472">
        <f t="shared" si="1"/>
        <v>2016.06</v>
      </c>
      <c r="DA5" s="472">
        <f t="shared" si="1"/>
        <v>2016.07</v>
      </c>
      <c r="DB5" s="472">
        <f t="shared" si="1"/>
        <v>2016.08</v>
      </c>
      <c r="DC5" s="472">
        <f t="shared" si="1"/>
        <v>2016.09</v>
      </c>
      <c r="DD5" s="472">
        <f t="shared" si="1"/>
        <v>2016.1</v>
      </c>
      <c r="DE5" s="472">
        <f t="shared" si="1"/>
        <v>2016.11</v>
      </c>
      <c r="DF5" s="472">
        <f t="shared" si="1"/>
        <v>2016.12</v>
      </c>
      <c r="DJ5" s="472">
        <f>+DZ5+1</f>
        <v>2015</v>
      </c>
      <c r="DK5" s="472">
        <f>+DJ5+0.01</f>
        <v>2015.01</v>
      </c>
      <c r="DL5" s="472">
        <f t="shared" ref="DL5:DV5" si="2">+DK5+0.01</f>
        <v>2015.02</v>
      </c>
      <c r="DM5" s="472">
        <f t="shared" si="2"/>
        <v>2015.03</v>
      </c>
      <c r="DN5" s="472">
        <f t="shared" si="2"/>
        <v>2015.04</v>
      </c>
      <c r="DO5" s="472">
        <f t="shared" si="2"/>
        <v>2015.05</v>
      </c>
      <c r="DP5" s="472">
        <f t="shared" si="2"/>
        <v>2015.06</v>
      </c>
      <c r="DQ5" s="472">
        <f t="shared" si="2"/>
        <v>2015.07</v>
      </c>
      <c r="DR5" s="472">
        <f t="shared" si="2"/>
        <v>2015.08</v>
      </c>
      <c r="DS5" s="472">
        <f t="shared" si="2"/>
        <v>2015.09</v>
      </c>
      <c r="DT5" s="472">
        <f t="shared" si="2"/>
        <v>2015.1</v>
      </c>
      <c r="DU5" s="472">
        <f t="shared" si="2"/>
        <v>2015.11</v>
      </c>
      <c r="DV5" s="472">
        <f t="shared" si="2"/>
        <v>2015.12</v>
      </c>
      <c r="DZ5" s="472">
        <f>+EP5+1</f>
        <v>2014</v>
      </c>
      <c r="EA5" s="472">
        <f>+DZ5+0.01</f>
        <v>2014.01</v>
      </c>
      <c r="EB5" s="472">
        <f t="shared" ref="EB5:EL5" si="3">+EA5+0.01</f>
        <v>2014.02</v>
      </c>
      <c r="EC5" s="472">
        <f t="shared" si="3"/>
        <v>2014.03</v>
      </c>
      <c r="ED5" s="472">
        <f t="shared" si="3"/>
        <v>2014.04</v>
      </c>
      <c r="EE5" s="472">
        <f t="shared" si="3"/>
        <v>2014.05</v>
      </c>
      <c r="EF5" s="472">
        <f t="shared" si="3"/>
        <v>2014.06</v>
      </c>
      <c r="EG5" s="472">
        <f t="shared" si="3"/>
        <v>2014.07</v>
      </c>
      <c r="EH5" s="472">
        <f t="shared" si="3"/>
        <v>2014.08</v>
      </c>
      <c r="EI5" s="472">
        <f t="shared" si="3"/>
        <v>2014.09</v>
      </c>
      <c r="EJ5" s="472">
        <f t="shared" si="3"/>
        <v>2014.1</v>
      </c>
      <c r="EK5" s="472">
        <f t="shared" si="3"/>
        <v>2014.11</v>
      </c>
      <c r="EL5" s="472">
        <f t="shared" si="3"/>
        <v>2014.12</v>
      </c>
      <c r="EP5" s="472">
        <f>+FF5+1</f>
        <v>2013</v>
      </c>
      <c r="EQ5" s="472">
        <f>+EP5+0.01</f>
        <v>2013.01</v>
      </c>
      <c r="ER5" s="472">
        <f t="shared" ref="ER5:FB5" si="4">+EQ5+0.01</f>
        <v>2013.02</v>
      </c>
      <c r="ES5" s="472">
        <f t="shared" si="4"/>
        <v>2013.03</v>
      </c>
      <c r="ET5" s="472">
        <f t="shared" si="4"/>
        <v>2013.04</v>
      </c>
      <c r="EU5" s="472">
        <f t="shared" si="4"/>
        <v>2013.05</v>
      </c>
      <c r="EV5" s="472">
        <f t="shared" si="4"/>
        <v>2013.06</v>
      </c>
      <c r="EW5" s="472">
        <f t="shared" si="4"/>
        <v>2013.07</v>
      </c>
      <c r="EX5" s="472">
        <f t="shared" si="4"/>
        <v>2013.08</v>
      </c>
      <c r="EY5" s="472">
        <f t="shared" si="4"/>
        <v>2013.09</v>
      </c>
      <c r="EZ5" s="472">
        <f t="shared" si="4"/>
        <v>2013.1</v>
      </c>
      <c r="FA5" s="472">
        <f t="shared" si="4"/>
        <v>2013.11</v>
      </c>
      <c r="FB5" s="472">
        <f t="shared" si="4"/>
        <v>2013.12</v>
      </c>
      <c r="FF5" s="472">
        <f>+FV5+1</f>
        <v>2012</v>
      </c>
      <c r="FG5" s="472">
        <f>+FF5+0.01</f>
        <v>2012.01</v>
      </c>
      <c r="FH5" s="472">
        <f t="shared" ref="FH5:FR5" si="5">+FG5+0.01</f>
        <v>2012.02</v>
      </c>
      <c r="FI5" s="472">
        <f t="shared" si="5"/>
        <v>2012.03</v>
      </c>
      <c r="FJ5" s="472">
        <f t="shared" si="5"/>
        <v>2012.04</v>
      </c>
      <c r="FK5" s="472">
        <f t="shared" si="5"/>
        <v>2012.05</v>
      </c>
      <c r="FL5" s="472">
        <f t="shared" si="5"/>
        <v>2012.06</v>
      </c>
      <c r="FM5" s="472">
        <f t="shared" si="5"/>
        <v>2012.07</v>
      </c>
      <c r="FN5" s="472">
        <f t="shared" si="5"/>
        <v>2012.08</v>
      </c>
      <c r="FO5" s="472">
        <f t="shared" si="5"/>
        <v>2012.09</v>
      </c>
      <c r="FP5" s="472">
        <f t="shared" si="5"/>
        <v>2012.1</v>
      </c>
      <c r="FQ5" s="472">
        <f t="shared" si="5"/>
        <v>2012.11</v>
      </c>
      <c r="FR5" s="472">
        <f t="shared" si="5"/>
        <v>2012.12</v>
      </c>
      <c r="FV5" s="472">
        <f>+GL5+1</f>
        <v>2011</v>
      </c>
      <c r="FW5" s="472">
        <f>+FV5+0.01</f>
        <v>2011.01</v>
      </c>
      <c r="FX5" s="472">
        <f t="shared" ref="FX5:GH5" si="6">+FW5+0.01</f>
        <v>2011.02</v>
      </c>
      <c r="FY5" s="472">
        <f t="shared" si="6"/>
        <v>2011.03</v>
      </c>
      <c r="FZ5" s="472">
        <f t="shared" si="6"/>
        <v>2011.04</v>
      </c>
      <c r="GA5" s="472">
        <f t="shared" si="6"/>
        <v>2011.05</v>
      </c>
      <c r="GB5" s="472">
        <f t="shared" si="6"/>
        <v>2011.06</v>
      </c>
      <c r="GC5" s="472">
        <f t="shared" si="6"/>
        <v>2011.07</v>
      </c>
      <c r="GD5" s="472">
        <f t="shared" si="6"/>
        <v>2011.08</v>
      </c>
      <c r="GE5" s="472">
        <f t="shared" si="6"/>
        <v>2011.09</v>
      </c>
      <c r="GF5" s="472">
        <f t="shared" si="6"/>
        <v>2011.1</v>
      </c>
      <c r="GG5" s="472">
        <f t="shared" si="6"/>
        <v>2011.11</v>
      </c>
      <c r="GH5" s="472">
        <f t="shared" si="6"/>
        <v>2011.12</v>
      </c>
      <c r="GL5" s="472">
        <v>2010</v>
      </c>
      <c r="GM5" s="472">
        <f>+GL5+0.01</f>
        <v>2010.01</v>
      </c>
      <c r="GN5" s="472">
        <f t="shared" ref="GN5:GX5" si="7">+GM5+0.01</f>
        <v>2010.02</v>
      </c>
      <c r="GO5" s="472">
        <f t="shared" si="7"/>
        <v>2010.03</v>
      </c>
      <c r="GP5" s="472">
        <f t="shared" si="7"/>
        <v>2010.04</v>
      </c>
      <c r="GQ5" s="472">
        <f t="shared" si="7"/>
        <v>2010.05</v>
      </c>
      <c r="GR5" s="472">
        <f t="shared" si="7"/>
        <v>2010.06</v>
      </c>
      <c r="GS5" s="472">
        <f t="shared" si="7"/>
        <v>2010.07</v>
      </c>
      <c r="GT5" s="472">
        <f t="shared" si="7"/>
        <v>2010.08</v>
      </c>
      <c r="GU5" s="472">
        <f t="shared" si="7"/>
        <v>2010.09</v>
      </c>
      <c r="GV5" s="472">
        <f t="shared" si="7"/>
        <v>2010.1</v>
      </c>
      <c r="GW5" s="472">
        <f t="shared" si="7"/>
        <v>2010.11</v>
      </c>
      <c r="GX5" s="472">
        <f t="shared" si="7"/>
        <v>2010.12</v>
      </c>
      <c r="HB5" s="335">
        <v>2009</v>
      </c>
      <c r="HC5" s="335">
        <v>2009.01</v>
      </c>
      <c r="HD5" s="335">
        <v>2009.02</v>
      </c>
      <c r="HE5" s="335">
        <v>2009.03</v>
      </c>
      <c r="HF5" s="335">
        <v>2009.04</v>
      </c>
      <c r="HG5" s="335">
        <v>2009.05</v>
      </c>
      <c r="HH5" s="335">
        <v>2009.06</v>
      </c>
      <c r="HI5" s="335">
        <v>2009.07</v>
      </c>
      <c r="HJ5" s="335">
        <v>2009.08</v>
      </c>
      <c r="HK5" s="335">
        <v>2009.09</v>
      </c>
      <c r="HL5" s="335">
        <v>2009.1</v>
      </c>
      <c r="HM5" s="335">
        <v>2009.11</v>
      </c>
      <c r="HN5" s="335">
        <v>2009.12</v>
      </c>
      <c r="HO5" s="335"/>
      <c r="HP5" s="377"/>
      <c r="HQ5" s="377"/>
      <c r="HR5" s="335">
        <v>2008</v>
      </c>
      <c r="HS5" s="335">
        <v>2008.01</v>
      </c>
      <c r="HT5" s="335">
        <v>2008.02</v>
      </c>
      <c r="HU5" s="335">
        <v>2008.03</v>
      </c>
      <c r="HV5" s="335">
        <v>2008.04</v>
      </c>
      <c r="HW5" s="335">
        <v>2008.05</v>
      </c>
      <c r="HX5" s="335">
        <v>2008.06</v>
      </c>
      <c r="HY5" s="335">
        <v>2008.07</v>
      </c>
      <c r="HZ5" s="335">
        <v>2008.08</v>
      </c>
      <c r="IA5" s="335">
        <v>2008.09</v>
      </c>
      <c r="IB5" s="335">
        <v>2008.1</v>
      </c>
      <c r="IC5" s="335">
        <v>2008.11</v>
      </c>
      <c r="ID5" s="335">
        <v>2008.12</v>
      </c>
      <c r="IE5" s="335"/>
      <c r="IF5" s="377"/>
      <c r="IG5" s="377"/>
      <c r="IH5" s="335">
        <v>2007</v>
      </c>
      <c r="II5" s="335">
        <v>2007.01</v>
      </c>
      <c r="IJ5" s="335">
        <v>2007.02</v>
      </c>
      <c r="IK5" s="335">
        <v>2007.03</v>
      </c>
      <c r="IL5" s="335">
        <v>2007.04</v>
      </c>
      <c r="IM5" s="335">
        <v>2007.05</v>
      </c>
      <c r="IN5" s="335">
        <v>2007.06</v>
      </c>
      <c r="IO5" s="335">
        <v>2007.07</v>
      </c>
      <c r="IP5" s="335">
        <v>2007.08</v>
      </c>
      <c r="IQ5" s="335">
        <v>2007.09</v>
      </c>
      <c r="IR5" s="335">
        <v>2007.1</v>
      </c>
      <c r="IS5" s="335">
        <v>2007.11</v>
      </c>
      <c r="IT5" s="335">
        <v>2007.12</v>
      </c>
      <c r="IU5" s="335"/>
      <c r="IV5" s="377"/>
      <c r="IW5" s="377"/>
      <c r="IX5" s="335">
        <v>2006</v>
      </c>
      <c r="IY5" s="335">
        <v>2006.01</v>
      </c>
      <c r="IZ5" s="335">
        <v>2006.02</v>
      </c>
      <c r="JA5" s="335">
        <v>2006.03</v>
      </c>
      <c r="JB5" s="335">
        <v>2006.04</v>
      </c>
      <c r="JC5" s="335">
        <v>2006.05</v>
      </c>
      <c r="JD5" s="335">
        <v>2006.06</v>
      </c>
      <c r="JE5" s="335">
        <v>2006.07</v>
      </c>
      <c r="JF5" s="335">
        <v>2006.08</v>
      </c>
      <c r="JG5" s="335">
        <v>2006.09</v>
      </c>
      <c r="JH5" s="335">
        <v>2006.1</v>
      </c>
      <c r="JI5" s="335">
        <v>2006.11</v>
      </c>
      <c r="JJ5" s="335">
        <v>2006.12</v>
      </c>
      <c r="JK5" s="335"/>
      <c r="JL5" s="377"/>
      <c r="JM5" s="377"/>
      <c r="JN5" s="335">
        <v>2005</v>
      </c>
      <c r="JO5" s="335">
        <v>2005.01</v>
      </c>
      <c r="JP5" s="335">
        <v>2005.02</v>
      </c>
      <c r="JQ5" s="335">
        <v>2005.03</v>
      </c>
      <c r="JR5" s="335">
        <v>2005.04</v>
      </c>
      <c r="JS5" s="335">
        <v>2005.05</v>
      </c>
      <c r="JT5" s="335">
        <v>2005.06</v>
      </c>
      <c r="JU5" s="335">
        <v>2005.07</v>
      </c>
      <c r="JV5" s="335">
        <v>2005.08</v>
      </c>
      <c r="JW5" s="335">
        <v>2005.09</v>
      </c>
      <c r="JX5" s="335">
        <v>2005.1</v>
      </c>
      <c r="JY5" s="335">
        <v>2005.11</v>
      </c>
      <c r="JZ5" s="335">
        <v>2005.12</v>
      </c>
      <c r="KA5" s="335"/>
      <c r="KB5" s="377"/>
      <c r="KC5" s="377"/>
      <c r="KD5" s="335">
        <v>2004</v>
      </c>
      <c r="KE5" s="335">
        <v>2004.01</v>
      </c>
      <c r="KF5" s="335">
        <v>2004.02</v>
      </c>
      <c r="KG5" s="335">
        <v>2004.03</v>
      </c>
      <c r="KH5" s="335">
        <v>2004.04</v>
      </c>
      <c r="KI5" s="335">
        <v>2004.05</v>
      </c>
      <c r="KJ5" s="335">
        <v>2004.06</v>
      </c>
      <c r="KK5" s="335">
        <v>2004.07</v>
      </c>
      <c r="KL5" s="335">
        <v>2004.08</v>
      </c>
      <c r="KM5" s="335">
        <v>2004.09</v>
      </c>
      <c r="KN5" s="335">
        <v>2004.1</v>
      </c>
      <c r="KO5" s="335">
        <v>2004.11</v>
      </c>
      <c r="KP5" s="335">
        <v>2004.12</v>
      </c>
      <c r="KQ5" s="335"/>
      <c r="KR5" s="377"/>
      <c r="KS5" s="377"/>
      <c r="KT5" s="335">
        <v>2003</v>
      </c>
      <c r="KU5" s="335">
        <v>2003.01</v>
      </c>
      <c r="KV5" s="335">
        <v>2003.02</v>
      </c>
      <c r="KW5" s="335">
        <v>2003.03</v>
      </c>
      <c r="KX5" s="335">
        <v>2003.04</v>
      </c>
      <c r="KY5" s="335">
        <v>2003.05</v>
      </c>
      <c r="KZ5" s="335">
        <v>2003.06</v>
      </c>
      <c r="LA5" s="335">
        <v>2003.07</v>
      </c>
      <c r="LB5" s="335">
        <v>2003.08</v>
      </c>
      <c r="LC5" s="335">
        <v>2003.09</v>
      </c>
      <c r="LD5" s="335">
        <v>2003.1</v>
      </c>
      <c r="LE5" s="335">
        <v>2003.11</v>
      </c>
      <c r="LF5" s="335">
        <v>2003.12</v>
      </c>
      <c r="LG5" s="335"/>
      <c r="LH5" s="377"/>
      <c r="LI5" s="377"/>
      <c r="LJ5" s="335">
        <v>2002</v>
      </c>
      <c r="LK5" s="335">
        <v>2002.01</v>
      </c>
      <c r="LL5" s="335">
        <v>2002.02</v>
      </c>
      <c r="LM5" s="335">
        <v>2002.03</v>
      </c>
      <c r="LN5" s="335">
        <v>2002.04</v>
      </c>
      <c r="LO5" s="335">
        <v>2002.05</v>
      </c>
      <c r="LP5" s="335">
        <v>2002.06</v>
      </c>
      <c r="LQ5" s="335">
        <v>2002.07</v>
      </c>
      <c r="LR5" s="335">
        <v>2002.08</v>
      </c>
      <c r="LS5" s="335">
        <v>2002.09</v>
      </c>
      <c r="LT5" s="335">
        <v>2002.1</v>
      </c>
      <c r="LU5" s="335">
        <v>2002.11</v>
      </c>
      <c r="LV5" s="335">
        <v>2002.12</v>
      </c>
      <c r="LW5" s="335"/>
      <c r="LX5" s="377"/>
      <c r="LY5" s="377"/>
      <c r="LZ5" s="335">
        <v>2001</v>
      </c>
      <c r="MA5" s="335">
        <v>2001.01</v>
      </c>
      <c r="MB5" s="335">
        <v>2001.02</v>
      </c>
      <c r="MC5" s="335">
        <v>2001.03</v>
      </c>
      <c r="MD5" s="335">
        <v>2001.04</v>
      </c>
      <c r="ME5" s="335">
        <v>2001.05</v>
      </c>
      <c r="MF5" s="335">
        <v>2001.06</v>
      </c>
      <c r="MG5" s="335">
        <v>2001.07</v>
      </c>
      <c r="MH5" s="335">
        <v>2001.08</v>
      </c>
      <c r="MI5" s="335">
        <v>2001.09</v>
      </c>
      <c r="MJ5" s="335">
        <v>2001.1</v>
      </c>
      <c r="MK5" s="335">
        <v>2001.11</v>
      </c>
      <c r="ML5" s="335">
        <v>2001.12</v>
      </c>
      <c r="MM5" s="335"/>
      <c r="MN5" s="377"/>
      <c r="MO5" s="377"/>
      <c r="MP5" s="335">
        <v>2000</v>
      </c>
      <c r="MQ5" s="335">
        <v>2000.01</v>
      </c>
      <c r="MR5" s="335">
        <v>2000.02</v>
      </c>
      <c r="MS5" s="335">
        <v>2000.03</v>
      </c>
      <c r="MT5" s="335">
        <v>2000.04</v>
      </c>
      <c r="MU5" s="335">
        <v>2000.05</v>
      </c>
      <c r="MV5" s="335">
        <v>2000.06</v>
      </c>
      <c r="MW5" s="335">
        <v>2000.07</v>
      </c>
      <c r="MX5" s="335">
        <v>2000.08</v>
      </c>
      <c r="MY5" s="335">
        <v>2000.09</v>
      </c>
      <c r="MZ5" s="335">
        <v>2000.1</v>
      </c>
      <c r="NA5" s="335">
        <v>2000.11</v>
      </c>
      <c r="NB5" s="335">
        <v>2000.12</v>
      </c>
      <c r="NC5" s="335"/>
      <c r="ND5" s="377"/>
      <c r="NE5" s="377"/>
      <c r="NF5" s="335">
        <v>1999</v>
      </c>
      <c r="NG5" s="335">
        <v>1999.01</v>
      </c>
      <c r="NH5" s="335">
        <v>1999.02</v>
      </c>
      <c r="NI5" s="335">
        <v>1999.03</v>
      </c>
      <c r="NJ5" s="335">
        <v>1999.04</v>
      </c>
      <c r="NK5" s="335">
        <v>1999.05</v>
      </c>
      <c r="NL5" s="335">
        <v>1999.06</v>
      </c>
      <c r="NM5" s="335">
        <v>1999.07</v>
      </c>
      <c r="NN5" s="335">
        <v>1999.08</v>
      </c>
      <c r="NO5" s="335">
        <v>1999.09</v>
      </c>
      <c r="NP5" s="335">
        <v>1999.1</v>
      </c>
      <c r="NQ5" s="335">
        <v>1999.11</v>
      </c>
      <c r="NR5" s="335">
        <v>1999.12</v>
      </c>
      <c r="NS5" s="335"/>
      <c r="NT5" s="377"/>
      <c r="NU5" s="377"/>
      <c r="NV5" s="335">
        <v>1998</v>
      </c>
      <c r="NW5" s="335">
        <v>1998.01</v>
      </c>
      <c r="NX5" s="335">
        <v>1998.02</v>
      </c>
      <c r="NY5" s="335">
        <v>1998.03</v>
      </c>
      <c r="NZ5" s="335">
        <v>1998.04</v>
      </c>
      <c r="OA5" s="335">
        <v>1998.05</v>
      </c>
      <c r="OB5" s="335">
        <v>1998.06</v>
      </c>
      <c r="OC5" s="335">
        <v>1998.07</v>
      </c>
      <c r="OD5" s="335">
        <v>1998.08</v>
      </c>
      <c r="OE5" s="335">
        <v>1998.09</v>
      </c>
      <c r="OF5" s="335">
        <v>1998.1</v>
      </c>
      <c r="OG5" s="335">
        <v>1998.11</v>
      </c>
      <c r="OH5" s="335">
        <v>1998.12</v>
      </c>
      <c r="OI5" s="335"/>
      <c r="OJ5" s="377"/>
      <c r="OK5" s="377"/>
      <c r="OL5" s="335">
        <v>1997</v>
      </c>
      <c r="OM5" s="335">
        <v>1997.01</v>
      </c>
      <c r="ON5" s="335">
        <v>1997.02</v>
      </c>
      <c r="OO5" s="335">
        <v>1997.03</v>
      </c>
      <c r="OP5" s="335">
        <v>1997.04</v>
      </c>
      <c r="OQ5" s="335">
        <v>1997.05</v>
      </c>
      <c r="OR5" s="335">
        <v>1997.06</v>
      </c>
      <c r="OS5" s="335">
        <v>1997.07</v>
      </c>
      <c r="OT5" s="335">
        <v>1997.08</v>
      </c>
      <c r="OU5" s="335">
        <v>1997.09</v>
      </c>
      <c r="OV5" s="335">
        <v>1997.1</v>
      </c>
      <c r="OW5" s="335">
        <v>1997.11</v>
      </c>
      <c r="OX5" s="335">
        <v>1997.12</v>
      </c>
      <c r="OY5" s="335"/>
      <c r="OZ5" s="377"/>
      <c r="PA5" s="377"/>
      <c r="PB5" s="335">
        <v>1996</v>
      </c>
      <c r="PC5" s="335">
        <v>1996.01</v>
      </c>
      <c r="PD5" s="335">
        <v>1996.02</v>
      </c>
      <c r="PE5" s="335">
        <v>1996.03</v>
      </c>
      <c r="PF5" s="335">
        <v>1996.04</v>
      </c>
      <c r="PG5" s="335">
        <v>1996.05</v>
      </c>
      <c r="PH5" s="335">
        <v>1996.06</v>
      </c>
      <c r="PI5" s="335">
        <v>1996.07</v>
      </c>
      <c r="PJ5" s="335">
        <v>1996.08</v>
      </c>
      <c r="PK5" s="335">
        <v>1996.09</v>
      </c>
      <c r="PL5" s="335">
        <v>1996.1</v>
      </c>
      <c r="PM5" s="335">
        <v>1996.11</v>
      </c>
      <c r="PN5" s="335">
        <v>1996.12</v>
      </c>
      <c r="PO5" s="335"/>
      <c r="PP5" s="377"/>
      <c r="PQ5" s="377"/>
      <c r="PR5" s="335">
        <v>1995</v>
      </c>
      <c r="PS5" s="335">
        <v>1995.01</v>
      </c>
      <c r="PT5" s="335">
        <v>1995.02</v>
      </c>
      <c r="PU5" s="335">
        <v>1995.03</v>
      </c>
      <c r="PV5" s="335">
        <v>1995.04</v>
      </c>
      <c r="PW5" s="335">
        <v>1995.05</v>
      </c>
      <c r="PX5" s="335">
        <v>1995.06</v>
      </c>
      <c r="PY5" s="335">
        <v>1995.07</v>
      </c>
      <c r="PZ5" s="335">
        <v>1995.08</v>
      </c>
      <c r="QA5" s="335">
        <v>1995.09</v>
      </c>
      <c r="QB5" s="335">
        <v>1995.1</v>
      </c>
      <c r="QC5" s="335">
        <v>1995.11</v>
      </c>
      <c r="QD5" s="335">
        <v>1995.12</v>
      </c>
      <c r="QE5" s="335"/>
      <c r="QF5" s="377"/>
      <c r="QG5" s="377"/>
      <c r="QH5" s="335">
        <v>1994</v>
      </c>
      <c r="QI5" s="335">
        <v>1994.01</v>
      </c>
      <c r="QJ5" s="335">
        <v>1994.02</v>
      </c>
      <c r="QK5" s="335">
        <v>1994.03</v>
      </c>
      <c r="QL5" s="335">
        <v>1994.04</v>
      </c>
      <c r="QM5" s="335">
        <v>1994.05</v>
      </c>
      <c r="QN5" s="335">
        <v>1994.06</v>
      </c>
      <c r="QO5" s="335">
        <v>1994.07</v>
      </c>
      <c r="QP5" s="335">
        <v>1994.08</v>
      </c>
      <c r="QQ5" s="335">
        <v>1994.09</v>
      </c>
      <c r="QR5" s="335">
        <v>1994.1</v>
      </c>
      <c r="QS5" s="335">
        <v>1994.11</v>
      </c>
      <c r="QT5" s="335">
        <v>1994.12</v>
      </c>
      <c r="QU5" s="335"/>
      <c r="QV5" s="377"/>
      <c r="QW5" s="377"/>
      <c r="QX5" s="335">
        <v>1993</v>
      </c>
      <c r="QY5" s="335">
        <v>1993.01</v>
      </c>
      <c r="QZ5" s="335">
        <v>1993.02</v>
      </c>
      <c r="RA5" s="335">
        <v>1993.03</v>
      </c>
      <c r="RB5" s="335">
        <v>1993.04</v>
      </c>
      <c r="RC5" s="335">
        <v>1993.05</v>
      </c>
      <c r="RD5" s="335">
        <v>1993.06</v>
      </c>
      <c r="RE5" s="335">
        <v>1993.07</v>
      </c>
      <c r="RF5" s="335">
        <v>1993.08</v>
      </c>
      <c r="RG5" s="335">
        <v>1993.09</v>
      </c>
      <c r="RH5" s="335">
        <v>1993.1</v>
      </c>
      <c r="RI5" s="335">
        <v>1993.11</v>
      </c>
      <c r="RJ5" s="335">
        <v>1993.12</v>
      </c>
      <c r="RK5" s="335"/>
      <c r="RL5" s="377"/>
      <c r="RM5" s="377"/>
      <c r="RN5" s="335">
        <v>1992</v>
      </c>
      <c r="RO5" s="335">
        <v>1992.01</v>
      </c>
      <c r="RP5" s="335">
        <v>1992.02</v>
      </c>
      <c r="RQ5" s="335">
        <v>1992.03</v>
      </c>
      <c r="RR5" s="335">
        <v>1992.04</v>
      </c>
      <c r="RS5" s="335">
        <v>1992.05</v>
      </c>
      <c r="RT5" s="335">
        <v>1992.06</v>
      </c>
      <c r="RU5" s="335">
        <v>1992.07</v>
      </c>
      <c r="RV5" s="335">
        <v>1992.08</v>
      </c>
      <c r="RW5" s="335">
        <v>1992.09</v>
      </c>
      <c r="RX5" s="335">
        <v>1992.1</v>
      </c>
      <c r="RY5" s="335">
        <v>1992.11</v>
      </c>
      <c r="RZ5" s="335">
        <v>1992.12</v>
      </c>
      <c r="SA5" s="335"/>
      <c r="SB5" s="377"/>
      <c r="SC5" s="377"/>
      <c r="SD5" s="335">
        <v>1991</v>
      </c>
      <c r="SE5" s="335">
        <v>1991.01</v>
      </c>
      <c r="SF5" s="335">
        <v>1991.02</v>
      </c>
      <c r="SG5" s="335">
        <v>1991.03</v>
      </c>
      <c r="SH5" s="335">
        <v>1991.04</v>
      </c>
      <c r="SI5" s="335">
        <v>1991.05</v>
      </c>
      <c r="SJ5" s="335">
        <v>1991.06</v>
      </c>
      <c r="SK5" s="335">
        <v>1991.07</v>
      </c>
      <c r="SL5" s="335">
        <v>1991.08</v>
      </c>
      <c r="SM5" s="335">
        <v>1991.09</v>
      </c>
      <c r="SN5" s="335">
        <v>1991.1</v>
      </c>
      <c r="SO5" s="335">
        <v>1991.11</v>
      </c>
      <c r="SP5" s="335">
        <v>1991.12</v>
      </c>
      <c r="SQ5" s="335"/>
      <c r="SR5" s="377"/>
      <c r="SS5" s="377"/>
      <c r="ST5" s="335">
        <v>1990</v>
      </c>
      <c r="SU5" s="335">
        <v>1990.01</v>
      </c>
      <c r="SV5" s="335">
        <v>1990.02</v>
      </c>
      <c r="SW5" s="335">
        <v>1990.03</v>
      </c>
      <c r="SX5" s="335">
        <v>1990.04</v>
      </c>
      <c r="SY5" s="335">
        <v>1990.05</v>
      </c>
      <c r="SZ5" s="335">
        <v>1990.06</v>
      </c>
      <c r="TA5" s="335">
        <v>1990.07</v>
      </c>
      <c r="TB5" s="335">
        <v>1990.08</v>
      </c>
      <c r="TC5" s="335">
        <v>1990.09</v>
      </c>
      <c r="TD5" s="335">
        <v>1990.1</v>
      </c>
      <c r="TE5" s="335">
        <v>1990.11</v>
      </c>
      <c r="TF5" s="335">
        <v>1990.12</v>
      </c>
      <c r="TG5" s="335"/>
      <c r="TH5" s="377"/>
      <c r="TI5" s="377"/>
      <c r="TJ5" s="335">
        <v>1989</v>
      </c>
      <c r="TK5" s="335">
        <v>1989.01</v>
      </c>
      <c r="TL5" s="335">
        <v>1989.02</v>
      </c>
      <c r="TM5" s="335">
        <v>1989.03</v>
      </c>
      <c r="TN5" s="335">
        <v>1989.04</v>
      </c>
      <c r="TO5" s="335">
        <v>1989.05</v>
      </c>
      <c r="TP5" s="335">
        <v>1989.06</v>
      </c>
      <c r="TQ5" s="335">
        <v>1989.07</v>
      </c>
      <c r="TR5" s="335">
        <v>1989.08</v>
      </c>
      <c r="TS5" s="335">
        <v>1989.09</v>
      </c>
      <c r="TT5" s="335">
        <v>1989.1</v>
      </c>
      <c r="TU5" s="335">
        <v>1989.11</v>
      </c>
      <c r="TV5" s="335">
        <v>1989.12</v>
      </c>
      <c r="TW5" s="335"/>
    </row>
    <row r="6" spans="2:543" ht="33" customHeight="1">
      <c r="B6" s="336" t="s">
        <v>137</v>
      </c>
      <c r="C6" s="336" t="s">
        <v>138</v>
      </c>
      <c r="D6" s="336" t="s">
        <v>139</v>
      </c>
      <c r="E6" s="336" t="s">
        <v>140</v>
      </c>
      <c r="F6" s="336" t="s">
        <v>141</v>
      </c>
      <c r="G6" s="336" t="s">
        <v>142</v>
      </c>
      <c r="H6" s="336" t="s">
        <v>143</v>
      </c>
      <c r="I6" s="336" t="s">
        <v>144</v>
      </c>
      <c r="J6" s="336" t="s">
        <v>145</v>
      </c>
      <c r="K6" s="336" t="s">
        <v>146</v>
      </c>
      <c r="L6" s="336" t="s">
        <v>147</v>
      </c>
      <c r="M6" s="336" t="s">
        <v>148</v>
      </c>
      <c r="N6" s="336" t="s">
        <v>149</v>
      </c>
      <c r="O6" s="336" t="s">
        <v>137</v>
      </c>
      <c r="R6" s="336" t="s">
        <v>137</v>
      </c>
      <c r="S6" s="336" t="s">
        <v>138</v>
      </c>
      <c r="T6" s="336" t="s">
        <v>139</v>
      </c>
      <c r="U6" s="336" t="s">
        <v>140</v>
      </c>
      <c r="V6" s="336" t="s">
        <v>141</v>
      </c>
      <c r="W6" s="336" t="s">
        <v>142</v>
      </c>
      <c r="X6" s="336" t="s">
        <v>143</v>
      </c>
      <c r="Y6" s="336" t="s">
        <v>144</v>
      </c>
      <c r="Z6" s="336" t="s">
        <v>145</v>
      </c>
      <c r="AA6" s="336" t="s">
        <v>146</v>
      </c>
      <c r="AB6" s="336" t="s">
        <v>147</v>
      </c>
      <c r="AC6" s="336" t="s">
        <v>148</v>
      </c>
      <c r="AD6" s="336" t="s">
        <v>149</v>
      </c>
      <c r="AE6" s="336" t="s">
        <v>137</v>
      </c>
      <c r="AH6" s="336" t="s">
        <v>137</v>
      </c>
      <c r="AI6" s="336" t="s">
        <v>138</v>
      </c>
      <c r="AJ6" s="336" t="s">
        <v>139</v>
      </c>
      <c r="AK6" s="336" t="s">
        <v>140</v>
      </c>
      <c r="AL6" s="336" t="s">
        <v>141</v>
      </c>
      <c r="AM6" s="336" t="s">
        <v>142</v>
      </c>
      <c r="AN6" s="336" t="s">
        <v>143</v>
      </c>
      <c r="AO6" s="336" t="s">
        <v>144</v>
      </c>
      <c r="AP6" s="336" t="s">
        <v>145</v>
      </c>
      <c r="AQ6" s="336" t="s">
        <v>146</v>
      </c>
      <c r="AR6" s="336" t="s">
        <v>147</v>
      </c>
      <c r="AS6" s="336" t="s">
        <v>148</v>
      </c>
      <c r="AT6" s="336" t="s">
        <v>149</v>
      </c>
      <c r="AU6" s="336" t="s">
        <v>137</v>
      </c>
      <c r="AX6" s="336" t="s">
        <v>137</v>
      </c>
      <c r="AY6" s="336" t="s">
        <v>138</v>
      </c>
      <c r="AZ6" s="336" t="s">
        <v>139</v>
      </c>
      <c r="BA6" s="336" t="s">
        <v>140</v>
      </c>
      <c r="BB6" s="336" t="s">
        <v>141</v>
      </c>
      <c r="BC6" s="336" t="s">
        <v>142</v>
      </c>
      <c r="BD6" s="336" t="s">
        <v>143</v>
      </c>
      <c r="BE6" s="336" t="s">
        <v>144</v>
      </c>
      <c r="BF6" s="336" t="s">
        <v>145</v>
      </c>
      <c r="BG6" s="336" t="s">
        <v>146</v>
      </c>
      <c r="BH6" s="336" t="s">
        <v>147</v>
      </c>
      <c r="BI6" s="336" t="s">
        <v>148</v>
      </c>
      <c r="BJ6" s="336" t="s">
        <v>149</v>
      </c>
      <c r="BK6" s="336" t="s">
        <v>137</v>
      </c>
      <c r="BN6" s="336" t="s">
        <v>137</v>
      </c>
      <c r="BO6" s="336" t="s">
        <v>138</v>
      </c>
      <c r="BP6" s="336" t="s">
        <v>139</v>
      </c>
      <c r="BQ6" s="336" t="s">
        <v>140</v>
      </c>
      <c r="BR6" s="336" t="s">
        <v>141</v>
      </c>
      <c r="BS6" s="336" t="s">
        <v>142</v>
      </c>
      <c r="BT6" s="336" t="s">
        <v>143</v>
      </c>
      <c r="BU6" s="336" t="s">
        <v>144</v>
      </c>
      <c r="BV6" s="336" t="s">
        <v>145</v>
      </c>
      <c r="BW6" s="336" t="s">
        <v>146</v>
      </c>
      <c r="BX6" s="336" t="s">
        <v>147</v>
      </c>
      <c r="BY6" s="336" t="s">
        <v>148</v>
      </c>
      <c r="BZ6" s="336" t="s">
        <v>149</v>
      </c>
      <c r="CA6" s="336" t="s">
        <v>137</v>
      </c>
      <c r="CD6" s="336" t="s">
        <v>137</v>
      </c>
      <c r="CE6" s="336" t="s">
        <v>138</v>
      </c>
      <c r="CF6" s="336" t="s">
        <v>139</v>
      </c>
      <c r="CG6" s="336" t="s">
        <v>140</v>
      </c>
      <c r="CH6" s="336" t="s">
        <v>141</v>
      </c>
      <c r="CI6" s="336" t="s">
        <v>142</v>
      </c>
      <c r="CJ6" s="336" t="s">
        <v>143</v>
      </c>
      <c r="CK6" s="336" t="s">
        <v>144</v>
      </c>
      <c r="CL6" s="336" t="s">
        <v>145</v>
      </c>
      <c r="CM6" s="336" t="s">
        <v>146</v>
      </c>
      <c r="CN6" s="336" t="s">
        <v>147</v>
      </c>
      <c r="CO6" s="336" t="s">
        <v>148</v>
      </c>
      <c r="CP6" s="336" t="s">
        <v>149</v>
      </c>
      <c r="CQ6" s="336" t="s">
        <v>137</v>
      </c>
      <c r="CT6" s="336" t="s">
        <v>137</v>
      </c>
      <c r="CU6" s="336" t="s">
        <v>138</v>
      </c>
      <c r="CV6" s="336" t="s">
        <v>139</v>
      </c>
      <c r="CW6" s="336" t="s">
        <v>140</v>
      </c>
      <c r="CX6" s="336" t="s">
        <v>141</v>
      </c>
      <c r="CY6" s="336" t="s">
        <v>142</v>
      </c>
      <c r="CZ6" s="336" t="s">
        <v>143</v>
      </c>
      <c r="DA6" s="336" t="s">
        <v>144</v>
      </c>
      <c r="DB6" s="336" t="s">
        <v>145</v>
      </c>
      <c r="DC6" s="336" t="s">
        <v>146</v>
      </c>
      <c r="DD6" s="336" t="s">
        <v>147</v>
      </c>
      <c r="DE6" s="336" t="s">
        <v>148</v>
      </c>
      <c r="DF6" s="336" t="s">
        <v>149</v>
      </c>
      <c r="DG6" s="336" t="s">
        <v>137</v>
      </c>
      <c r="DJ6" s="336" t="s">
        <v>137</v>
      </c>
      <c r="DK6" s="336" t="s">
        <v>138</v>
      </c>
      <c r="DL6" s="336" t="s">
        <v>139</v>
      </c>
      <c r="DM6" s="336" t="s">
        <v>140</v>
      </c>
      <c r="DN6" s="336" t="s">
        <v>141</v>
      </c>
      <c r="DO6" s="336" t="s">
        <v>142</v>
      </c>
      <c r="DP6" s="336" t="s">
        <v>143</v>
      </c>
      <c r="DQ6" s="336" t="s">
        <v>144</v>
      </c>
      <c r="DR6" s="336" t="s">
        <v>145</v>
      </c>
      <c r="DS6" s="336" t="s">
        <v>146</v>
      </c>
      <c r="DT6" s="336" t="s">
        <v>147</v>
      </c>
      <c r="DU6" s="336" t="s">
        <v>148</v>
      </c>
      <c r="DV6" s="336" t="s">
        <v>149</v>
      </c>
      <c r="DW6" s="336" t="s">
        <v>137</v>
      </c>
      <c r="DZ6" s="336" t="s">
        <v>137</v>
      </c>
      <c r="EA6" s="336" t="s">
        <v>138</v>
      </c>
      <c r="EB6" s="336" t="s">
        <v>139</v>
      </c>
      <c r="EC6" s="336" t="s">
        <v>140</v>
      </c>
      <c r="ED6" s="336" t="s">
        <v>141</v>
      </c>
      <c r="EE6" s="336" t="s">
        <v>142</v>
      </c>
      <c r="EF6" s="336" t="s">
        <v>143</v>
      </c>
      <c r="EG6" s="336" t="s">
        <v>144</v>
      </c>
      <c r="EH6" s="336" t="s">
        <v>145</v>
      </c>
      <c r="EI6" s="336" t="s">
        <v>146</v>
      </c>
      <c r="EJ6" s="336" t="s">
        <v>147</v>
      </c>
      <c r="EK6" s="336" t="s">
        <v>148</v>
      </c>
      <c r="EL6" s="336" t="s">
        <v>149</v>
      </c>
      <c r="EM6" s="336" t="s">
        <v>137</v>
      </c>
      <c r="EP6" s="336" t="s">
        <v>137</v>
      </c>
      <c r="EQ6" s="336" t="s">
        <v>138</v>
      </c>
      <c r="ER6" s="336" t="s">
        <v>139</v>
      </c>
      <c r="ES6" s="336" t="s">
        <v>140</v>
      </c>
      <c r="ET6" s="336" t="s">
        <v>141</v>
      </c>
      <c r="EU6" s="336" t="s">
        <v>142</v>
      </c>
      <c r="EV6" s="336" t="s">
        <v>143</v>
      </c>
      <c r="EW6" s="336" t="s">
        <v>144</v>
      </c>
      <c r="EX6" s="336" t="s">
        <v>145</v>
      </c>
      <c r="EY6" s="336" t="s">
        <v>146</v>
      </c>
      <c r="EZ6" s="336" t="s">
        <v>147</v>
      </c>
      <c r="FA6" s="336" t="s">
        <v>148</v>
      </c>
      <c r="FB6" s="336" t="s">
        <v>149</v>
      </c>
      <c r="FC6" s="336" t="s">
        <v>137</v>
      </c>
      <c r="FF6" s="336" t="s">
        <v>137</v>
      </c>
      <c r="FG6" s="336" t="s">
        <v>138</v>
      </c>
      <c r="FH6" s="336" t="s">
        <v>139</v>
      </c>
      <c r="FI6" s="336" t="s">
        <v>140</v>
      </c>
      <c r="FJ6" s="336" t="s">
        <v>141</v>
      </c>
      <c r="FK6" s="336" t="s">
        <v>142</v>
      </c>
      <c r="FL6" s="336" t="s">
        <v>143</v>
      </c>
      <c r="FM6" s="336" t="s">
        <v>144</v>
      </c>
      <c r="FN6" s="336" t="s">
        <v>145</v>
      </c>
      <c r="FO6" s="336" t="s">
        <v>146</v>
      </c>
      <c r="FP6" s="336" t="s">
        <v>147</v>
      </c>
      <c r="FQ6" s="336" t="s">
        <v>148</v>
      </c>
      <c r="FR6" s="336" t="s">
        <v>149</v>
      </c>
      <c r="FS6" s="336" t="s">
        <v>137</v>
      </c>
      <c r="FV6" s="336" t="s">
        <v>137</v>
      </c>
      <c r="FW6" s="336" t="s">
        <v>138</v>
      </c>
      <c r="FX6" s="336" t="s">
        <v>139</v>
      </c>
      <c r="FY6" s="336" t="s">
        <v>140</v>
      </c>
      <c r="FZ6" s="336" t="s">
        <v>141</v>
      </c>
      <c r="GA6" s="336" t="s">
        <v>142</v>
      </c>
      <c r="GB6" s="336" t="s">
        <v>143</v>
      </c>
      <c r="GC6" s="336" t="s">
        <v>144</v>
      </c>
      <c r="GD6" s="336" t="s">
        <v>145</v>
      </c>
      <c r="GE6" s="336" t="s">
        <v>146</v>
      </c>
      <c r="GF6" s="336" t="s">
        <v>147</v>
      </c>
      <c r="GG6" s="336" t="s">
        <v>148</v>
      </c>
      <c r="GH6" s="336" t="s">
        <v>149</v>
      </c>
      <c r="GI6" s="336" t="s">
        <v>137</v>
      </c>
      <c r="GL6" s="336" t="s">
        <v>137</v>
      </c>
      <c r="GM6" s="336" t="s">
        <v>138</v>
      </c>
      <c r="GN6" s="336" t="s">
        <v>139</v>
      </c>
      <c r="GO6" s="336" t="s">
        <v>140</v>
      </c>
      <c r="GP6" s="336" t="s">
        <v>141</v>
      </c>
      <c r="GQ6" s="336" t="s">
        <v>142</v>
      </c>
      <c r="GR6" s="336" t="s">
        <v>143</v>
      </c>
      <c r="GS6" s="336" t="s">
        <v>144</v>
      </c>
      <c r="GT6" s="336" t="s">
        <v>145</v>
      </c>
      <c r="GU6" s="336" t="s">
        <v>146</v>
      </c>
      <c r="GV6" s="336" t="s">
        <v>147</v>
      </c>
      <c r="GW6" s="336" t="s">
        <v>148</v>
      </c>
      <c r="GX6" s="336" t="s">
        <v>149</v>
      </c>
      <c r="GY6" s="336" t="s">
        <v>137</v>
      </c>
      <c r="HB6" s="336" t="s">
        <v>137</v>
      </c>
      <c r="HC6" s="336" t="s">
        <v>138</v>
      </c>
      <c r="HD6" s="336" t="s">
        <v>139</v>
      </c>
      <c r="HE6" s="336" t="s">
        <v>140</v>
      </c>
      <c r="HF6" s="336" t="s">
        <v>141</v>
      </c>
      <c r="HG6" s="336" t="s">
        <v>142</v>
      </c>
      <c r="HH6" s="336" t="s">
        <v>143</v>
      </c>
      <c r="HI6" s="336" t="s">
        <v>144</v>
      </c>
      <c r="HJ6" s="336" t="s">
        <v>145</v>
      </c>
      <c r="HK6" s="336" t="s">
        <v>146</v>
      </c>
      <c r="HL6" s="336" t="s">
        <v>147</v>
      </c>
      <c r="HM6" s="336" t="s">
        <v>148</v>
      </c>
      <c r="HN6" s="336" t="s">
        <v>149</v>
      </c>
      <c r="HO6" s="336" t="s">
        <v>137</v>
      </c>
      <c r="HP6" s="376"/>
      <c r="HQ6" s="376"/>
      <c r="HR6" s="336" t="s">
        <v>137</v>
      </c>
      <c r="HS6" s="336" t="s">
        <v>138</v>
      </c>
      <c r="HT6" s="336" t="s">
        <v>139</v>
      </c>
      <c r="HU6" s="336" t="s">
        <v>140</v>
      </c>
      <c r="HV6" s="336" t="s">
        <v>141</v>
      </c>
      <c r="HW6" s="336" t="s">
        <v>142</v>
      </c>
      <c r="HX6" s="336" t="s">
        <v>143</v>
      </c>
      <c r="HY6" s="336" t="s">
        <v>144</v>
      </c>
      <c r="HZ6" s="336" t="s">
        <v>145</v>
      </c>
      <c r="IA6" s="336" t="s">
        <v>146</v>
      </c>
      <c r="IB6" s="336" t="s">
        <v>147</v>
      </c>
      <c r="IC6" s="336" t="s">
        <v>148</v>
      </c>
      <c r="ID6" s="336" t="s">
        <v>149</v>
      </c>
      <c r="IE6" s="336" t="s">
        <v>137</v>
      </c>
      <c r="IF6" s="376"/>
      <c r="IG6" s="376"/>
      <c r="IH6" s="336" t="s">
        <v>137</v>
      </c>
      <c r="II6" s="336" t="s">
        <v>138</v>
      </c>
      <c r="IJ6" s="336" t="s">
        <v>139</v>
      </c>
      <c r="IK6" s="336" t="s">
        <v>140</v>
      </c>
      <c r="IL6" s="336" t="s">
        <v>141</v>
      </c>
      <c r="IM6" s="336" t="s">
        <v>142</v>
      </c>
      <c r="IN6" s="336" t="s">
        <v>143</v>
      </c>
      <c r="IO6" s="336" t="s">
        <v>144</v>
      </c>
      <c r="IP6" s="336" t="s">
        <v>145</v>
      </c>
      <c r="IQ6" s="336" t="s">
        <v>146</v>
      </c>
      <c r="IR6" s="336" t="s">
        <v>147</v>
      </c>
      <c r="IS6" s="336" t="s">
        <v>148</v>
      </c>
      <c r="IT6" s="336" t="s">
        <v>149</v>
      </c>
      <c r="IU6" s="336" t="s">
        <v>137</v>
      </c>
      <c r="IV6" s="376"/>
      <c r="IW6" s="376"/>
      <c r="IX6" s="336" t="s">
        <v>137</v>
      </c>
      <c r="IY6" s="336" t="s">
        <v>138</v>
      </c>
      <c r="IZ6" s="336" t="s">
        <v>139</v>
      </c>
      <c r="JA6" s="336" t="s">
        <v>140</v>
      </c>
      <c r="JB6" s="336" t="s">
        <v>141</v>
      </c>
      <c r="JC6" s="336" t="s">
        <v>142</v>
      </c>
      <c r="JD6" s="336" t="s">
        <v>143</v>
      </c>
      <c r="JE6" s="336" t="s">
        <v>144</v>
      </c>
      <c r="JF6" s="336" t="s">
        <v>145</v>
      </c>
      <c r="JG6" s="336" t="s">
        <v>146</v>
      </c>
      <c r="JH6" s="336" t="s">
        <v>147</v>
      </c>
      <c r="JI6" s="336" t="s">
        <v>148</v>
      </c>
      <c r="JJ6" s="336" t="s">
        <v>149</v>
      </c>
      <c r="JK6" s="336" t="s">
        <v>137</v>
      </c>
      <c r="JL6" s="376"/>
      <c r="JM6" s="376"/>
      <c r="JN6" s="336" t="s">
        <v>137</v>
      </c>
      <c r="JO6" s="336" t="s">
        <v>138</v>
      </c>
      <c r="JP6" s="336" t="s">
        <v>139</v>
      </c>
      <c r="JQ6" s="336" t="s">
        <v>140</v>
      </c>
      <c r="JR6" s="336" t="s">
        <v>141</v>
      </c>
      <c r="JS6" s="336" t="s">
        <v>142</v>
      </c>
      <c r="JT6" s="336" t="s">
        <v>143</v>
      </c>
      <c r="JU6" s="336" t="s">
        <v>144</v>
      </c>
      <c r="JV6" s="336" t="s">
        <v>145</v>
      </c>
      <c r="JW6" s="336" t="s">
        <v>146</v>
      </c>
      <c r="JX6" s="336" t="s">
        <v>147</v>
      </c>
      <c r="JY6" s="336" t="s">
        <v>148</v>
      </c>
      <c r="JZ6" s="336" t="s">
        <v>149</v>
      </c>
      <c r="KA6" s="336" t="s">
        <v>137</v>
      </c>
      <c r="KB6" s="376"/>
      <c r="KC6" s="376"/>
      <c r="KD6" s="336" t="s">
        <v>137</v>
      </c>
      <c r="KE6" s="336" t="s">
        <v>138</v>
      </c>
      <c r="KF6" s="336" t="s">
        <v>139</v>
      </c>
      <c r="KG6" s="336" t="s">
        <v>140</v>
      </c>
      <c r="KH6" s="336" t="s">
        <v>141</v>
      </c>
      <c r="KI6" s="336" t="s">
        <v>142</v>
      </c>
      <c r="KJ6" s="336" t="s">
        <v>143</v>
      </c>
      <c r="KK6" s="336" t="s">
        <v>144</v>
      </c>
      <c r="KL6" s="336" t="s">
        <v>145</v>
      </c>
      <c r="KM6" s="336" t="s">
        <v>146</v>
      </c>
      <c r="KN6" s="336" t="s">
        <v>147</v>
      </c>
      <c r="KO6" s="336" t="s">
        <v>148</v>
      </c>
      <c r="KP6" s="336" t="s">
        <v>149</v>
      </c>
      <c r="KQ6" s="336" t="s">
        <v>137</v>
      </c>
      <c r="KR6" s="376"/>
      <c r="KS6" s="376"/>
      <c r="KT6" s="336" t="s">
        <v>137</v>
      </c>
      <c r="KU6" s="336" t="s">
        <v>138</v>
      </c>
      <c r="KV6" s="336" t="s">
        <v>139</v>
      </c>
      <c r="KW6" s="336" t="s">
        <v>140</v>
      </c>
      <c r="KX6" s="336" t="s">
        <v>141</v>
      </c>
      <c r="KY6" s="336" t="s">
        <v>142</v>
      </c>
      <c r="KZ6" s="336" t="s">
        <v>143</v>
      </c>
      <c r="LA6" s="336" t="s">
        <v>144</v>
      </c>
      <c r="LB6" s="336" t="s">
        <v>145</v>
      </c>
      <c r="LC6" s="336" t="s">
        <v>146</v>
      </c>
      <c r="LD6" s="336" t="s">
        <v>147</v>
      </c>
      <c r="LE6" s="336" t="s">
        <v>148</v>
      </c>
      <c r="LF6" s="336" t="s">
        <v>149</v>
      </c>
      <c r="LG6" s="336" t="s">
        <v>137</v>
      </c>
      <c r="LH6" s="376"/>
      <c r="LI6" s="376"/>
      <c r="LJ6" s="336" t="s">
        <v>137</v>
      </c>
      <c r="LK6" s="336" t="s">
        <v>138</v>
      </c>
      <c r="LL6" s="336" t="s">
        <v>139</v>
      </c>
      <c r="LM6" s="336" t="s">
        <v>140</v>
      </c>
      <c r="LN6" s="336" t="s">
        <v>141</v>
      </c>
      <c r="LO6" s="336" t="s">
        <v>142</v>
      </c>
      <c r="LP6" s="336" t="s">
        <v>143</v>
      </c>
      <c r="LQ6" s="336" t="s">
        <v>144</v>
      </c>
      <c r="LR6" s="336" t="s">
        <v>145</v>
      </c>
      <c r="LS6" s="336" t="s">
        <v>146</v>
      </c>
      <c r="LT6" s="336" t="s">
        <v>147</v>
      </c>
      <c r="LU6" s="336" t="s">
        <v>148</v>
      </c>
      <c r="LV6" s="336" t="s">
        <v>149</v>
      </c>
      <c r="LW6" s="336" t="s">
        <v>137</v>
      </c>
      <c r="LX6" s="376"/>
      <c r="LY6" s="376"/>
      <c r="LZ6" s="336" t="s">
        <v>137</v>
      </c>
      <c r="MA6" s="336" t="s">
        <v>138</v>
      </c>
      <c r="MB6" s="336" t="s">
        <v>139</v>
      </c>
      <c r="MC6" s="336" t="s">
        <v>140</v>
      </c>
      <c r="MD6" s="336" t="s">
        <v>141</v>
      </c>
      <c r="ME6" s="336" t="s">
        <v>142</v>
      </c>
      <c r="MF6" s="336" t="s">
        <v>143</v>
      </c>
      <c r="MG6" s="336" t="s">
        <v>144</v>
      </c>
      <c r="MH6" s="336" t="s">
        <v>145</v>
      </c>
      <c r="MI6" s="336" t="s">
        <v>146</v>
      </c>
      <c r="MJ6" s="336" t="s">
        <v>147</v>
      </c>
      <c r="MK6" s="336" t="s">
        <v>148</v>
      </c>
      <c r="ML6" s="336" t="s">
        <v>149</v>
      </c>
      <c r="MM6" s="336" t="s">
        <v>137</v>
      </c>
      <c r="MN6" s="376"/>
      <c r="MO6" s="376"/>
      <c r="MP6" s="336" t="s">
        <v>137</v>
      </c>
      <c r="MQ6" s="336" t="s">
        <v>138</v>
      </c>
      <c r="MR6" s="336" t="s">
        <v>139</v>
      </c>
      <c r="MS6" s="336" t="s">
        <v>140</v>
      </c>
      <c r="MT6" s="336" t="s">
        <v>141</v>
      </c>
      <c r="MU6" s="336" t="s">
        <v>142</v>
      </c>
      <c r="MV6" s="336" t="s">
        <v>143</v>
      </c>
      <c r="MW6" s="336" t="s">
        <v>144</v>
      </c>
      <c r="MX6" s="336" t="s">
        <v>145</v>
      </c>
      <c r="MY6" s="336" t="s">
        <v>146</v>
      </c>
      <c r="MZ6" s="336" t="s">
        <v>147</v>
      </c>
      <c r="NA6" s="336" t="s">
        <v>148</v>
      </c>
      <c r="NB6" s="336" t="s">
        <v>149</v>
      </c>
      <c r="NC6" s="336" t="s">
        <v>137</v>
      </c>
      <c r="ND6" s="376"/>
      <c r="NE6" s="376"/>
      <c r="NF6" s="336" t="s">
        <v>137</v>
      </c>
      <c r="NG6" s="336" t="s">
        <v>138</v>
      </c>
      <c r="NH6" s="336" t="s">
        <v>139</v>
      </c>
      <c r="NI6" s="336" t="s">
        <v>140</v>
      </c>
      <c r="NJ6" s="336" t="s">
        <v>141</v>
      </c>
      <c r="NK6" s="336" t="s">
        <v>142</v>
      </c>
      <c r="NL6" s="336" t="s">
        <v>143</v>
      </c>
      <c r="NM6" s="336" t="s">
        <v>144</v>
      </c>
      <c r="NN6" s="336" t="s">
        <v>145</v>
      </c>
      <c r="NO6" s="336" t="s">
        <v>146</v>
      </c>
      <c r="NP6" s="336" t="s">
        <v>147</v>
      </c>
      <c r="NQ6" s="336" t="s">
        <v>148</v>
      </c>
      <c r="NR6" s="336" t="s">
        <v>149</v>
      </c>
      <c r="NS6" s="336" t="s">
        <v>137</v>
      </c>
      <c r="NT6" s="376"/>
      <c r="NU6" s="376"/>
      <c r="NV6" s="336" t="s">
        <v>137</v>
      </c>
      <c r="NW6" s="336" t="s">
        <v>138</v>
      </c>
      <c r="NX6" s="336" t="s">
        <v>139</v>
      </c>
      <c r="NY6" s="336" t="s">
        <v>140</v>
      </c>
      <c r="NZ6" s="336" t="s">
        <v>141</v>
      </c>
      <c r="OA6" s="336" t="s">
        <v>142</v>
      </c>
      <c r="OB6" s="336" t="s">
        <v>143</v>
      </c>
      <c r="OC6" s="336" t="s">
        <v>144</v>
      </c>
      <c r="OD6" s="336" t="s">
        <v>145</v>
      </c>
      <c r="OE6" s="336" t="s">
        <v>146</v>
      </c>
      <c r="OF6" s="336" t="s">
        <v>147</v>
      </c>
      <c r="OG6" s="336" t="s">
        <v>148</v>
      </c>
      <c r="OH6" s="336" t="s">
        <v>149</v>
      </c>
      <c r="OI6" s="336" t="s">
        <v>137</v>
      </c>
      <c r="OJ6" s="376"/>
      <c r="OK6" s="376"/>
      <c r="OL6" s="336" t="s">
        <v>137</v>
      </c>
      <c r="OM6" s="336" t="s">
        <v>138</v>
      </c>
      <c r="ON6" s="336" t="s">
        <v>139</v>
      </c>
      <c r="OO6" s="336" t="s">
        <v>140</v>
      </c>
      <c r="OP6" s="336" t="s">
        <v>141</v>
      </c>
      <c r="OQ6" s="336" t="s">
        <v>142</v>
      </c>
      <c r="OR6" s="336" t="s">
        <v>143</v>
      </c>
      <c r="OS6" s="336" t="s">
        <v>144</v>
      </c>
      <c r="OT6" s="336" t="s">
        <v>145</v>
      </c>
      <c r="OU6" s="336" t="s">
        <v>146</v>
      </c>
      <c r="OV6" s="336" t="s">
        <v>147</v>
      </c>
      <c r="OW6" s="336" t="s">
        <v>148</v>
      </c>
      <c r="OX6" s="336" t="s">
        <v>149</v>
      </c>
      <c r="OY6" s="336" t="s">
        <v>137</v>
      </c>
      <c r="OZ6" s="376"/>
      <c r="PA6" s="376"/>
      <c r="PB6" s="336" t="s">
        <v>137</v>
      </c>
      <c r="PC6" s="336" t="s">
        <v>138</v>
      </c>
      <c r="PD6" s="336" t="s">
        <v>139</v>
      </c>
      <c r="PE6" s="336" t="s">
        <v>140</v>
      </c>
      <c r="PF6" s="336" t="s">
        <v>141</v>
      </c>
      <c r="PG6" s="336" t="s">
        <v>142</v>
      </c>
      <c r="PH6" s="336" t="s">
        <v>143</v>
      </c>
      <c r="PI6" s="336" t="s">
        <v>144</v>
      </c>
      <c r="PJ6" s="336" t="s">
        <v>145</v>
      </c>
      <c r="PK6" s="336" t="s">
        <v>146</v>
      </c>
      <c r="PL6" s="336" t="s">
        <v>147</v>
      </c>
      <c r="PM6" s="336" t="s">
        <v>148</v>
      </c>
      <c r="PN6" s="336" t="s">
        <v>149</v>
      </c>
      <c r="PO6" s="336" t="s">
        <v>137</v>
      </c>
      <c r="PP6" s="376"/>
      <c r="PQ6" s="376"/>
      <c r="PR6" s="336" t="s">
        <v>137</v>
      </c>
      <c r="PS6" s="336" t="s">
        <v>138</v>
      </c>
      <c r="PT6" s="336" t="s">
        <v>139</v>
      </c>
      <c r="PU6" s="336" t="s">
        <v>140</v>
      </c>
      <c r="PV6" s="336" t="s">
        <v>141</v>
      </c>
      <c r="PW6" s="336" t="s">
        <v>142</v>
      </c>
      <c r="PX6" s="336" t="s">
        <v>143</v>
      </c>
      <c r="PY6" s="336" t="s">
        <v>144</v>
      </c>
      <c r="PZ6" s="336" t="s">
        <v>145</v>
      </c>
      <c r="QA6" s="336" t="s">
        <v>146</v>
      </c>
      <c r="QB6" s="336" t="s">
        <v>147</v>
      </c>
      <c r="QC6" s="336" t="s">
        <v>148</v>
      </c>
      <c r="QD6" s="336" t="s">
        <v>149</v>
      </c>
      <c r="QE6" s="336" t="s">
        <v>137</v>
      </c>
      <c r="QF6" s="376"/>
      <c r="QG6" s="376"/>
      <c r="QH6" s="336" t="s">
        <v>137</v>
      </c>
      <c r="QI6" s="336" t="s">
        <v>138</v>
      </c>
      <c r="QJ6" s="336" t="s">
        <v>139</v>
      </c>
      <c r="QK6" s="336" t="s">
        <v>140</v>
      </c>
      <c r="QL6" s="336" t="s">
        <v>141</v>
      </c>
      <c r="QM6" s="336" t="s">
        <v>142</v>
      </c>
      <c r="QN6" s="336" t="s">
        <v>143</v>
      </c>
      <c r="QO6" s="336" t="s">
        <v>144</v>
      </c>
      <c r="QP6" s="336" t="s">
        <v>145</v>
      </c>
      <c r="QQ6" s="336" t="s">
        <v>146</v>
      </c>
      <c r="QR6" s="336" t="s">
        <v>147</v>
      </c>
      <c r="QS6" s="336" t="s">
        <v>148</v>
      </c>
      <c r="QT6" s="336" t="s">
        <v>149</v>
      </c>
      <c r="QU6" s="336" t="s">
        <v>137</v>
      </c>
      <c r="QV6" s="376"/>
      <c r="QW6" s="376"/>
      <c r="QX6" s="336" t="s">
        <v>137</v>
      </c>
      <c r="QY6" s="336" t="s">
        <v>138</v>
      </c>
      <c r="QZ6" s="336" t="s">
        <v>139</v>
      </c>
      <c r="RA6" s="336" t="s">
        <v>140</v>
      </c>
      <c r="RB6" s="336" t="s">
        <v>141</v>
      </c>
      <c r="RC6" s="336" t="s">
        <v>142</v>
      </c>
      <c r="RD6" s="336" t="s">
        <v>143</v>
      </c>
      <c r="RE6" s="336" t="s">
        <v>144</v>
      </c>
      <c r="RF6" s="336" t="s">
        <v>145</v>
      </c>
      <c r="RG6" s="336" t="s">
        <v>146</v>
      </c>
      <c r="RH6" s="336" t="s">
        <v>147</v>
      </c>
      <c r="RI6" s="336" t="s">
        <v>148</v>
      </c>
      <c r="RJ6" s="336" t="s">
        <v>149</v>
      </c>
      <c r="RK6" s="336" t="s">
        <v>137</v>
      </c>
      <c r="RL6" s="376"/>
      <c r="RM6" s="376"/>
      <c r="RN6" s="336" t="s">
        <v>137</v>
      </c>
      <c r="RO6" s="336" t="s">
        <v>138</v>
      </c>
      <c r="RP6" s="336" t="s">
        <v>139</v>
      </c>
      <c r="RQ6" s="336" t="s">
        <v>140</v>
      </c>
      <c r="RR6" s="336" t="s">
        <v>141</v>
      </c>
      <c r="RS6" s="336" t="s">
        <v>142</v>
      </c>
      <c r="RT6" s="336" t="s">
        <v>143</v>
      </c>
      <c r="RU6" s="336" t="s">
        <v>144</v>
      </c>
      <c r="RV6" s="336" t="s">
        <v>145</v>
      </c>
      <c r="RW6" s="336" t="s">
        <v>146</v>
      </c>
      <c r="RX6" s="336" t="s">
        <v>147</v>
      </c>
      <c r="RY6" s="336" t="s">
        <v>148</v>
      </c>
      <c r="RZ6" s="336" t="s">
        <v>149</v>
      </c>
      <c r="SA6" s="336" t="s">
        <v>137</v>
      </c>
      <c r="SB6" s="376"/>
      <c r="SC6" s="376"/>
      <c r="SD6" s="336" t="s">
        <v>137</v>
      </c>
      <c r="SE6" s="336" t="s">
        <v>138</v>
      </c>
      <c r="SF6" s="336" t="s">
        <v>139</v>
      </c>
      <c r="SG6" s="336" t="s">
        <v>140</v>
      </c>
      <c r="SH6" s="336" t="s">
        <v>141</v>
      </c>
      <c r="SI6" s="336" t="s">
        <v>142</v>
      </c>
      <c r="SJ6" s="336" t="s">
        <v>143</v>
      </c>
      <c r="SK6" s="336" t="s">
        <v>144</v>
      </c>
      <c r="SL6" s="336" t="s">
        <v>145</v>
      </c>
      <c r="SM6" s="336" t="s">
        <v>146</v>
      </c>
      <c r="SN6" s="336" t="s">
        <v>147</v>
      </c>
      <c r="SO6" s="336" t="s">
        <v>148</v>
      </c>
      <c r="SP6" s="336" t="s">
        <v>149</v>
      </c>
      <c r="SQ6" s="336" t="s">
        <v>137</v>
      </c>
      <c r="SR6" s="376"/>
      <c r="SS6" s="376"/>
      <c r="ST6" s="336" t="s">
        <v>137</v>
      </c>
      <c r="SU6" s="336" t="s">
        <v>138</v>
      </c>
      <c r="SV6" s="336" t="s">
        <v>139</v>
      </c>
      <c r="SW6" s="336" t="s">
        <v>140</v>
      </c>
      <c r="SX6" s="336" t="s">
        <v>141</v>
      </c>
      <c r="SY6" s="336" t="s">
        <v>142</v>
      </c>
      <c r="SZ6" s="336" t="s">
        <v>143</v>
      </c>
      <c r="TA6" s="336" t="s">
        <v>144</v>
      </c>
      <c r="TB6" s="336" t="s">
        <v>145</v>
      </c>
      <c r="TC6" s="336" t="s">
        <v>146</v>
      </c>
      <c r="TD6" s="336" t="s">
        <v>147</v>
      </c>
      <c r="TE6" s="336" t="s">
        <v>148</v>
      </c>
      <c r="TF6" s="336" t="s">
        <v>149</v>
      </c>
      <c r="TG6" s="336" t="s">
        <v>137</v>
      </c>
      <c r="TH6" s="376"/>
      <c r="TI6" s="376"/>
      <c r="TJ6" s="336" t="s">
        <v>137</v>
      </c>
      <c r="TK6" s="336" t="s">
        <v>138</v>
      </c>
      <c r="TL6" s="336" t="s">
        <v>139</v>
      </c>
      <c r="TM6" s="336" t="s">
        <v>140</v>
      </c>
      <c r="TN6" s="336" t="s">
        <v>141</v>
      </c>
      <c r="TO6" s="336" t="s">
        <v>142</v>
      </c>
      <c r="TP6" s="336" t="s">
        <v>143</v>
      </c>
      <c r="TQ6" s="336" t="s">
        <v>144</v>
      </c>
      <c r="TR6" s="336" t="s">
        <v>145</v>
      </c>
      <c r="TS6" s="336" t="s">
        <v>146</v>
      </c>
      <c r="TT6" s="336" t="s">
        <v>147</v>
      </c>
      <c r="TU6" s="336" t="s">
        <v>148</v>
      </c>
      <c r="TV6" s="336" t="s">
        <v>149</v>
      </c>
      <c r="TW6" s="336" t="s">
        <v>137</v>
      </c>
    </row>
    <row r="7" spans="2:543" s="4" customFormat="1" ht="23" customHeight="1">
      <c r="B7" s="509">
        <v>1</v>
      </c>
      <c r="C7" s="541">
        <v>20.515699999999999</v>
      </c>
      <c r="D7" s="541">
        <v>20.8597</v>
      </c>
      <c r="E7" s="541">
        <v>20.4465</v>
      </c>
      <c r="F7" s="541">
        <v>19.863199999999999</v>
      </c>
      <c r="G7" s="541">
        <v>20.567</v>
      </c>
      <c r="H7" s="541">
        <v>19.4953</v>
      </c>
      <c r="I7" s="541">
        <v>20.144300000000001</v>
      </c>
      <c r="J7" s="541">
        <v>20.377800000000001</v>
      </c>
      <c r="K7" s="541">
        <v>20.1465</v>
      </c>
      <c r="L7" s="541">
        <v>20.192699999999999</v>
      </c>
      <c r="M7" s="541">
        <v>19.830300000000001</v>
      </c>
      <c r="N7" s="541">
        <v>19.216000000000001</v>
      </c>
      <c r="O7" s="509">
        <v>1</v>
      </c>
      <c r="R7" s="509">
        <v>1</v>
      </c>
      <c r="S7" s="541">
        <v>19.935199999999998</v>
      </c>
      <c r="T7" s="541">
        <v>20.2697</v>
      </c>
      <c r="U7" s="541">
        <v>20.8523</v>
      </c>
      <c r="V7" s="541">
        <v>20.602499999999999</v>
      </c>
      <c r="W7" s="541">
        <v>20.097799999999999</v>
      </c>
      <c r="X7" s="541">
        <v>19.944199999999999</v>
      </c>
      <c r="Y7" s="541">
        <v>19.8157</v>
      </c>
      <c r="Z7" s="541">
        <v>19.844799999999999</v>
      </c>
      <c r="AA7" s="541">
        <v>20.1403</v>
      </c>
      <c r="AB7" s="541">
        <v>20.497699999999998</v>
      </c>
      <c r="AC7" s="541">
        <v>20.325500000000002</v>
      </c>
      <c r="AD7" s="541">
        <v>21.7333</v>
      </c>
      <c r="AE7" s="509">
        <v>1</v>
      </c>
      <c r="AH7" s="509">
        <v>1</v>
      </c>
      <c r="AI7" s="541">
        <v>18.872699999999998</v>
      </c>
      <c r="AJ7" s="541">
        <v>18.785299999999999</v>
      </c>
      <c r="AK7" s="541">
        <v>19.397300000000001</v>
      </c>
      <c r="AL7" s="541">
        <v>24.285299999999999</v>
      </c>
      <c r="AM7" s="541">
        <v>24.0002</v>
      </c>
      <c r="AN7" s="541">
        <v>22.204000000000001</v>
      </c>
      <c r="AO7" s="541">
        <v>23.1325</v>
      </c>
      <c r="AP7" s="541">
        <v>22.172699999999999</v>
      </c>
      <c r="AQ7" s="541">
        <v>21.860199999999999</v>
      </c>
      <c r="AR7" s="541">
        <v>22.3598</v>
      </c>
      <c r="AS7" s="541">
        <v>21.376999999999999</v>
      </c>
      <c r="AT7" s="541">
        <v>20.0777</v>
      </c>
      <c r="AU7" s="509">
        <v>1</v>
      </c>
      <c r="AX7" s="509">
        <v>1</v>
      </c>
      <c r="AY7" s="528">
        <v>19.656600000000001</v>
      </c>
      <c r="AZ7" s="528">
        <v>19.162299999999998</v>
      </c>
      <c r="BA7" s="528">
        <v>19.220099999999999</v>
      </c>
      <c r="BB7" s="528">
        <v>19.379300000000001</v>
      </c>
      <c r="BC7" s="528">
        <v>19.012</v>
      </c>
      <c r="BD7" s="528">
        <v>19.068300000000001</v>
      </c>
      <c r="BE7" s="528">
        <v>19.168500000000002</v>
      </c>
      <c r="BF7" s="528">
        <v>19.0747</v>
      </c>
      <c r="BG7" s="528">
        <v>20.098800000000001</v>
      </c>
      <c r="BH7" s="528">
        <v>19.680800000000001</v>
      </c>
      <c r="BI7" s="528">
        <v>19.164300000000001</v>
      </c>
      <c r="BJ7" s="528">
        <v>19.6113</v>
      </c>
      <c r="BK7" s="509">
        <v>1</v>
      </c>
      <c r="BN7" s="509">
        <v>1</v>
      </c>
      <c r="BO7" s="528">
        <v>19.735399999999998</v>
      </c>
      <c r="BP7" s="528">
        <v>18.6982</v>
      </c>
      <c r="BQ7" s="528">
        <v>18.790199999999999</v>
      </c>
      <c r="BR7" s="528">
        <v>18.3445</v>
      </c>
      <c r="BS7" s="528">
        <v>18.684699999999999</v>
      </c>
      <c r="BT7" s="528">
        <v>19.732199999999999</v>
      </c>
      <c r="BU7" s="528">
        <v>19.863299999999999</v>
      </c>
      <c r="BV7" s="528">
        <v>18.5413</v>
      </c>
      <c r="BW7" s="528">
        <v>19.125800000000002</v>
      </c>
      <c r="BX7" s="528">
        <v>18.812000000000001</v>
      </c>
      <c r="BY7" s="528">
        <v>20.0258</v>
      </c>
      <c r="BZ7" s="528">
        <v>20.221699999999998</v>
      </c>
      <c r="CA7" s="509">
        <v>1</v>
      </c>
      <c r="CD7" s="509">
        <v>1</v>
      </c>
      <c r="CE7" s="528">
        <v>20.664000000000001</v>
      </c>
      <c r="CF7" s="528">
        <v>20.758800000000001</v>
      </c>
      <c r="CG7" s="528">
        <v>19.8322</v>
      </c>
      <c r="CH7" s="528">
        <v>18.707899999999999</v>
      </c>
      <c r="CI7" s="528">
        <v>19.067</v>
      </c>
      <c r="CJ7" s="528">
        <v>18.664300000000001</v>
      </c>
      <c r="CK7" s="528">
        <v>18.027899999999999</v>
      </c>
      <c r="CL7" s="528">
        <v>17.743500000000001</v>
      </c>
      <c r="CM7" s="528">
        <v>17.775300000000001</v>
      </c>
      <c r="CN7" s="528">
        <v>18.197900000000001</v>
      </c>
      <c r="CO7" s="528">
        <v>19.218800000000002</v>
      </c>
      <c r="CP7" s="528">
        <v>18.518999999999998</v>
      </c>
      <c r="CQ7" s="509">
        <v>1</v>
      </c>
      <c r="CT7" s="509">
        <v>1</v>
      </c>
      <c r="CU7" s="528">
        <v>17.3398</v>
      </c>
      <c r="CV7" s="528">
        <v>18.290600000000001</v>
      </c>
      <c r="CW7" s="528">
        <v>18.1706</v>
      </c>
      <c r="CX7" s="528">
        <v>17.250900000000001</v>
      </c>
      <c r="CY7" s="528">
        <v>17.212499999999999</v>
      </c>
      <c r="CZ7" s="528">
        <v>18.477699999999999</v>
      </c>
      <c r="DA7" s="528">
        <v>18.555</v>
      </c>
      <c r="DB7" s="528">
        <v>18.8979</v>
      </c>
      <c r="DC7" s="528">
        <v>18.795300000000001</v>
      </c>
      <c r="DD7" s="528">
        <v>19.4086</v>
      </c>
      <c r="DE7" s="528">
        <v>18.730399999999999</v>
      </c>
      <c r="DF7" s="528">
        <v>20.622499999999999</v>
      </c>
      <c r="DG7" s="509">
        <v>1</v>
      </c>
      <c r="DJ7" s="509">
        <v>1</v>
      </c>
      <c r="DK7" s="528">
        <v>14.7348</v>
      </c>
      <c r="DL7" s="528">
        <v>14.8414</v>
      </c>
      <c r="DM7" s="528">
        <v>14.962400000000001</v>
      </c>
      <c r="DN7" s="528">
        <v>15.242699999999999</v>
      </c>
      <c r="DO7" s="528">
        <v>15.2043</v>
      </c>
      <c r="DP7" s="528">
        <v>15.373699999999999</v>
      </c>
      <c r="DQ7" s="528">
        <v>15.6599</v>
      </c>
      <c r="DR7" s="528">
        <v>16.213999999999999</v>
      </c>
      <c r="DS7" s="528">
        <v>16.7684</v>
      </c>
      <c r="DT7" s="528">
        <v>17.077100000000002</v>
      </c>
      <c r="DU7" s="528">
        <v>16.6219</v>
      </c>
      <c r="DV7" s="528">
        <v>16.578399999999998</v>
      </c>
      <c r="DW7" s="509">
        <v>1</v>
      </c>
      <c r="DZ7" s="509">
        <v>1</v>
      </c>
      <c r="EA7" s="528">
        <v>13.065200000000001</v>
      </c>
      <c r="EB7" s="528">
        <v>13.3207</v>
      </c>
      <c r="EC7" s="528">
        <v>13.3066</v>
      </c>
      <c r="ED7" s="528">
        <v>13.084099999999999</v>
      </c>
      <c r="EE7" s="528">
        <v>13.103899999999999</v>
      </c>
      <c r="EF7" s="528">
        <v>12.8462</v>
      </c>
      <c r="EG7" s="528">
        <v>13.0002</v>
      </c>
      <c r="EH7" s="528">
        <v>13.1357</v>
      </c>
      <c r="EI7" s="528">
        <v>13.110900000000001</v>
      </c>
      <c r="EJ7" s="528">
        <v>13.489100000000001</v>
      </c>
      <c r="EK7" s="528">
        <v>13.4316</v>
      </c>
      <c r="EL7" s="528">
        <v>13.7667</v>
      </c>
      <c r="EM7" s="509">
        <v>1</v>
      </c>
      <c r="EP7" s="509">
        <v>1</v>
      </c>
      <c r="EQ7" s="528">
        <v>12.988</v>
      </c>
      <c r="ER7" s="528">
        <v>12.7408</v>
      </c>
      <c r="ES7" s="528">
        <v>12.8322</v>
      </c>
      <c r="ET7" s="528">
        <v>12.3546</v>
      </c>
      <c r="EU7" s="528">
        <v>12.1326</v>
      </c>
      <c r="EV7" s="528">
        <v>12.7781</v>
      </c>
      <c r="EW7" s="528">
        <v>13.0235</v>
      </c>
      <c r="EX7" s="528">
        <v>12.763500000000001</v>
      </c>
      <c r="EY7" s="528">
        <v>13.3104</v>
      </c>
      <c r="EZ7" s="528">
        <v>13.145</v>
      </c>
      <c r="FA7" s="528">
        <v>12.864000000000001</v>
      </c>
      <c r="FB7" s="528">
        <v>13.083600000000001</v>
      </c>
      <c r="FC7" s="509">
        <v>1</v>
      </c>
      <c r="FF7" s="509">
        <v>1</v>
      </c>
      <c r="FG7" s="528">
        <v>13.9787</v>
      </c>
      <c r="FH7" s="528">
        <v>13.0063</v>
      </c>
      <c r="FI7" s="528">
        <v>12.8575</v>
      </c>
      <c r="FJ7" s="528">
        <v>12.8489</v>
      </c>
      <c r="FK7" s="528">
        <v>13.014099999999999</v>
      </c>
      <c r="FL7" s="528">
        <v>14.0749</v>
      </c>
      <c r="FM7" s="528">
        <v>13.653</v>
      </c>
      <c r="FN7" s="528">
        <v>13.2644</v>
      </c>
      <c r="FO7" s="528">
        <v>13.417199999999999</v>
      </c>
      <c r="FP7" s="528">
        <v>12.8521</v>
      </c>
      <c r="FQ7" s="528">
        <v>13.049799999999999</v>
      </c>
      <c r="FR7" s="528">
        <v>12.9617</v>
      </c>
      <c r="FS7" s="509">
        <v>1</v>
      </c>
      <c r="FV7" s="509">
        <v>1</v>
      </c>
      <c r="FW7" s="528">
        <v>12.3817</v>
      </c>
      <c r="FX7" s="528">
        <v>12.1214</v>
      </c>
      <c r="FY7" s="528">
        <v>12.1235</v>
      </c>
      <c r="FZ7" s="528">
        <v>11.921900000000001</v>
      </c>
      <c r="GA7" s="528">
        <v>11.5428</v>
      </c>
      <c r="GB7" s="528">
        <v>11.612299999999999</v>
      </c>
      <c r="GC7" s="528">
        <v>11.774800000000001</v>
      </c>
      <c r="GD7" s="528">
        <v>11.6821</v>
      </c>
      <c r="GE7" s="528">
        <v>12.4838</v>
      </c>
      <c r="GF7" s="528">
        <v>13.4567</v>
      </c>
      <c r="GG7" s="528">
        <v>13.113200000000001</v>
      </c>
      <c r="GH7" s="528">
        <v>13.953799999999999</v>
      </c>
      <c r="GI7" s="509">
        <v>1</v>
      </c>
      <c r="GL7" s="509">
        <v>1</v>
      </c>
      <c r="GM7" s="528">
        <v>13.043699999999999</v>
      </c>
      <c r="GN7" s="528">
        <v>12.9975</v>
      </c>
      <c r="GO7" s="528">
        <v>12.850300000000001</v>
      </c>
      <c r="GP7" s="528">
        <v>12.4145</v>
      </c>
      <c r="GQ7" s="528">
        <v>12.246499999999999</v>
      </c>
      <c r="GR7" s="528">
        <v>12.8589</v>
      </c>
      <c r="GS7" s="528">
        <v>12.839399999999999</v>
      </c>
      <c r="GT7" s="528">
        <v>12.703799999999999</v>
      </c>
      <c r="GU7" s="528">
        <v>13.136699999999999</v>
      </c>
      <c r="GV7" s="528">
        <v>12.4801</v>
      </c>
      <c r="GW7" s="528">
        <v>12.4023</v>
      </c>
      <c r="GX7" s="528">
        <v>12.553800000000001</v>
      </c>
      <c r="GY7" s="509">
        <v>1</v>
      </c>
      <c r="HB7" s="509">
        <v>1</v>
      </c>
      <c r="HC7" s="528">
        <v>13.7738</v>
      </c>
      <c r="HD7" s="528">
        <v>14.1975</v>
      </c>
      <c r="HE7" s="528">
        <v>14.9322</v>
      </c>
      <c r="HF7" s="528">
        <v>14.3855</v>
      </c>
      <c r="HG7" s="528">
        <v>13.6485</v>
      </c>
      <c r="HH7" s="528">
        <v>13.233700000000001</v>
      </c>
      <c r="HI7" s="528">
        <v>13.1812</v>
      </c>
      <c r="HJ7" s="528">
        <v>13.222300000000001</v>
      </c>
      <c r="HK7" s="528">
        <v>13.257899999999999</v>
      </c>
      <c r="HL7" s="528">
        <v>13.551299999999999</v>
      </c>
      <c r="HM7" s="528">
        <v>13.0825</v>
      </c>
      <c r="HN7" s="528">
        <v>12.9139</v>
      </c>
      <c r="HO7" s="509">
        <v>1</v>
      </c>
      <c r="HP7" s="529"/>
      <c r="HQ7" s="529"/>
      <c r="HR7" s="509">
        <v>1</v>
      </c>
      <c r="HS7" s="528">
        <v>10.904299999999999</v>
      </c>
      <c r="HT7" s="528">
        <v>10.837400000000001</v>
      </c>
      <c r="HU7" s="528">
        <v>10.6813</v>
      </c>
      <c r="HV7" s="528">
        <v>10.698700000000001</v>
      </c>
      <c r="HW7" s="528">
        <v>10.527200000000001</v>
      </c>
      <c r="HX7" s="528">
        <v>10.3066</v>
      </c>
      <c r="HY7" s="528">
        <v>10.3028</v>
      </c>
      <c r="HZ7" s="528">
        <v>10.034000000000001</v>
      </c>
      <c r="IA7" s="528">
        <v>10.1822</v>
      </c>
      <c r="IB7" s="528">
        <v>10.9397</v>
      </c>
      <c r="IC7" s="528">
        <v>12.834199999999999</v>
      </c>
      <c r="ID7" s="528">
        <v>13.2325</v>
      </c>
      <c r="IE7" s="509">
        <v>1</v>
      </c>
      <c r="IF7" s="529"/>
      <c r="IG7" s="529"/>
      <c r="IH7" s="509">
        <v>1</v>
      </c>
      <c r="II7" s="528">
        <v>10.875500000000001</v>
      </c>
      <c r="IJ7" s="528">
        <v>11.0548</v>
      </c>
      <c r="IK7" s="528">
        <v>11.1493</v>
      </c>
      <c r="IL7" s="528">
        <v>11.050700000000001</v>
      </c>
      <c r="IM7" s="528">
        <v>10.9305</v>
      </c>
      <c r="IN7" s="528">
        <v>10.818</v>
      </c>
      <c r="IO7" s="528">
        <v>10.7926</v>
      </c>
      <c r="IP7" s="528">
        <v>10.981199999999999</v>
      </c>
      <c r="IQ7" s="528">
        <v>11.0848</v>
      </c>
      <c r="IR7" s="528">
        <v>10.920299999999999</v>
      </c>
      <c r="IS7" s="528">
        <v>10.719799999999999</v>
      </c>
      <c r="IT7" s="528">
        <v>10.941700000000001</v>
      </c>
      <c r="IU7" s="509">
        <v>1</v>
      </c>
      <c r="IV7" s="529"/>
      <c r="IW7" s="529"/>
      <c r="IX7" s="509">
        <v>1</v>
      </c>
      <c r="IY7" s="528">
        <v>10.710900000000001</v>
      </c>
      <c r="IZ7" s="528">
        <v>10.441599999999999</v>
      </c>
      <c r="JA7" s="528">
        <v>10.466100000000001</v>
      </c>
      <c r="JB7" s="528">
        <v>10.922800000000001</v>
      </c>
      <c r="JC7" s="528">
        <v>11.1135</v>
      </c>
      <c r="JD7" s="528">
        <v>11.269299999999999</v>
      </c>
      <c r="JE7" s="528">
        <v>11.4009</v>
      </c>
      <c r="JF7" s="528">
        <v>10.8947</v>
      </c>
      <c r="JG7" s="528">
        <v>10.865</v>
      </c>
      <c r="JH7" s="528">
        <v>11.0502</v>
      </c>
      <c r="JI7" s="528">
        <v>10.773999999999999</v>
      </c>
      <c r="JJ7" s="528">
        <v>10.9983</v>
      </c>
      <c r="JK7" s="509">
        <v>1</v>
      </c>
      <c r="JL7" s="529"/>
      <c r="JM7" s="529"/>
      <c r="JN7" s="509">
        <v>1</v>
      </c>
      <c r="JO7" s="528">
        <v>11.218299999999999</v>
      </c>
      <c r="JP7" s="528">
        <v>11.2613</v>
      </c>
      <c r="JQ7" s="528">
        <v>11.108599999999999</v>
      </c>
      <c r="JR7" s="528">
        <v>11.2293</v>
      </c>
      <c r="JS7" s="528">
        <v>11.1159</v>
      </c>
      <c r="JT7" s="528">
        <v>10.869899999999999</v>
      </c>
      <c r="JU7" s="528">
        <v>10.7645</v>
      </c>
      <c r="JV7" s="528">
        <v>10.620100000000001</v>
      </c>
      <c r="JW7" s="528">
        <v>10.8377</v>
      </c>
      <c r="JX7" s="528">
        <v>10.8131</v>
      </c>
      <c r="JY7" s="528">
        <v>10.8447</v>
      </c>
      <c r="JZ7" s="528">
        <v>10.5702</v>
      </c>
      <c r="KA7" s="509">
        <v>1</v>
      </c>
      <c r="KB7" s="529"/>
      <c r="KC7" s="529"/>
      <c r="KD7" s="509">
        <v>1</v>
      </c>
      <c r="KE7" s="528">
        <v>11.1998</v>
      </c>
      <c r="KF7" s="528">
        <v>11.084300000000001</v>
      </c>
      <c r="KG7" s="528">
        <v>11.0715</v>
      </c>
      <c r="KH7" s="528">
        <v>11.2103</v>
      </c>
      <c r="KI7" s="528">
        <v>11.4068</v>
      </c>
      <c r="KJ7" s="528">
        <v>11.412800000000001</v>
      </c>
      <c r="KK7" s="528">
        <v>11.5297</v>
      </c>
      <c r="KL7" s="528">
        <v>11.430199999999999</v>
      </c>
      <c r="KM7" s="528">
        <v>11.4231</v>
      </c>
      <c r="KN7" s="528">
        <v>11.428800000000001</v>
      </c>
      <c r="KO7" s="528">
        <v>11.529299999999999</v>
      </c>
      <c r="KP7" s="528">
        <v>11.266</v>
      </c>
      <c r="KQ7" s="509">
        <v>1</v>
      </c>
      <c r="KR7" s="529"/>
      <c r="KS7" s="529"/>
      <c r="KT7" s="509">
        <v>1</v>
      </c>
      <c r="KU7" s="528">
        <v>10.3613</v>
      </c>
      <c r="KV7" s="528">
        <v>10.8636</v>
      </c>
      <c r="KW7" s="528">
        <v>11.033300000000001</v>
      </c>
      <c r="KX7" s="528">
        <v>10.6698</v>
      </c>
      <c r="KY7" s="528">
        <v>10.345000000000001</v>
      </c>
      <c r="KZ7" s="528">
        <v>10.320499999999999</v>
      </c>
      <c r="LA7" s="528">
        <v>10.4176</v>
      </c>
      <c r="LB7" s="528">
        <v>10.487</v>
      </c>
      <c r="LC7" s="528">
        <v>10.980600000000001</v>
      </c>
      <c r="LD7" s="528">
        <v>11.044600000000001</v>
      </c>
      <c r="LE7" s="528">
        <v>11.1058</v>
      </c>
      <c r="LF7" s="528">
        <v>11.3385</v>
      </c>
      <c r="LG7" s="509">
        <v>1</v>
      </c>
      <c r="LH7" s="529"/>
      <c r="LI7" s="529"/>
      <c r="LJ7" s="509">
        <v>1</v>
      </c>
      <c r="LK7" s="528">
        <v>9.1692</v>
      </c>
      <c r="LL7" s="528">
        <v>9.1974</v>
      </c>
      <c r="LM7" s="528">
        <v>9.0919000000000008</v>
      </c>
      <c r="LN7" s="528">
        <v>9.0243000000000002</v>
      </c>
      <c r="LO7" s="528">
        <v>9.3542000000000005</v>
      </c>
      <c r="LP7" s="528">
        <v>9.7148000000000003</v>
      </c>
      <c r="LQ7" s="528">
        <v>9.9614999999999991</v>
      </c>
      <c r="LR7" s="528">
        <v>9.7409999999999997</v>
      </c>
      <c r="LS7" s="528">
        <v>9.9192999999999998</v>
      </c>
      <c r="LT7" s="528">
        <v>10.1767</v>
      </c>
      <c r="LU7" s="528">
        <v>10.2263</v>
      </c>
      <c r="LV7" s="528">
        <v>10.119300000000001</v>
      </c>
      <c r="LW7" s="509">
        <v>1</v>
      </c>
      <c r="LX7" s="529"/>
      <c r="LY7" s="529"/>
      <c r="LZ7" s="509">
        <v>1</v>
      </c>
      <c r="MA7" s="528">
        <v>9.5997000000000003</v>
      </c>
      <c r="MB7" s="528">
        <v>9.6692</v>
      </c>
      <c r="MC7" s="528">
        <v>9.6827000000000005</v>
      </c>
      <c r="MD7" s="528">
        <v>9.5203000000000007</v>
      </c>
      <c r="ME7" s="528">
        <v>9.3048999999999999</v>
      </c>
      <c r="MF7" s="528">
        <v>9.1653000000000002</v>
      </c>
      <c r="MG7" s="528">
        <v>9.09</v>
      </c>
      <c r="MH7" s="528">
        <v>9.1471999999999998</v>
      </c>
      <c r="MI7" s="528">
        <v>9.1692</v>
      </c>
      <c r="MJ7" s="528">
        <v>9.5541999999999998</v>
      </c>
      <c r="MK7" s="528">
        <v>9.2682000000000002</v>
      </c>
      <c r="ML7" s="528">
        <v>9.2814999999999994</v>
      </c>
      <c r="MM7" s="509">
        <v>1</v>
      </c>
      <c r="MN7" s="529"/>
      <c r="MO7" s="529"/>
      <c r="MP7" s="509">
        <v>1</v>
      </c>
      <c r="MQ7" s="528">
        <v>9.5221999999999998</v>
      </c>
      <c r="MR7" s="528">
        <v>9.5726999999999993</v>
      </c>
      <c r="MS7" s="528">
        <v>9.4032999999999998</v>
      </c>
      <c r="MT7" s="528">
        <v>9.3015000000000008</v>
      </c>
      <c r="MU7" s="528">
        <v>9.4520999999999997</v>
      </c>
      <c r="MV7" s="528">
        <v>9.516</v>
      </c>
      <c r="MW7" s="528">
        <v>9.9002999999999997</v>
      </c>
      <c r="MX7" s="528">
        <v>9.3577999999999992</v>
      </c>
      <c r="MY7" s="528">
        <v>9.2108000000000008</v>
      </c>
      <c r="MZ7" s="528">
        <v>9.4290000000000003</v>
      </c>
      <c r="NA7" s="528">
        <v>9.5995000000000008</v>
      </c>
      <c r="NB7" s="528">
        <v>9.3972999999999995</v>
      </c>
      <c r="NC7" s="509">
        <v>1</v>
      </c>
      <c r="ND7" s="529"/>
      <c r="NE7" s="529"/>
      <c r="NF7" s="509">
        <v>1</v>
      </c>
      <c r="NG7" s="528">
        <v>9.9395000000000007</v>
      </c>
      <c r="NH7" s="528">
        <v>10.1752</v>
      </c>
      <c r="NI7" s="528">
        <v>9.9835999999999991</v>
      </c>
      <c r="NJ7" s="528">
        <v>9.5375999999999994</v>
      </c>
      <c r="NK7" s="528">
        <v>9.2622</v>
      </c>
      <c r="NL7" s="528">
        <v>9.7833000000000006</v>
      </c>
      <c r="NM7" s="528">
        <v>9.4164999999999992</v>
      </c>
      <c r="NN7" s="528">
        <v>9.4260000000000002</v>
      </c>
      <c r="NO7" s="528">
        <v>9.4094999999999995</v>
      </c>
      <c r="NP7" s="528">
        <v>9.3565000000000005</v>
      </c>
      <c r="NQ7" s="528">
        <v>9.6356999999999999</v>
      </c>
      <c r="NR7" s="528">
        <v>9.3736999999999995</v>
      </c>
      <c r="NS7" s="509">
        <v>1</v>
      </c>
      <c r="NT7" s="529"/>
      <c r="NU7" s="529"/>
      <c r="NV7" s="509">
        <v>1</v>
      </c>
      <c r="NW7" s="528">
        <v>8.0640000000000001</v>
      </c>
      <c r="NX7" s="528">
        <v>8.4640000000000004</v>
      </c>
      <c r="NY7" s="528">
        <v>8.5582999999999991</v>
      </c>
      <c r="NZ7" s="528">
        <v>8.5352999999999994</v>
      </c>
      <c r="OA7" s="528">
        <v>8.5029000000000003</v>
      </c>
      <c r="OB7" s="528">
        <v>8.7873000000000001</v>
      </c>
      <c r="OC7" s="528">
        <v>9.0228000000000002</v>
      </c>
      <c r="OD7" s="528">
        <v>8.9008000000000003</v>
      </c>
      <c r="OE7" s="528">
        <v>10.0275</v>
      </c>
      <c r="OF7" s="528">
        <v>10.1119</v>
      </c>
      <c r="OG7" s="528">
        <v>10.219799999999999</v>
      </c>
      <c r="OH7" s="528">
        <v>9.9675999999999991</v>
      </c>
      <c r="OI7" s="509">
        <v>1</v>
      </c>
      <c r="OJ7" s="529"/>
      <c r="OK7" s="529"/>
      <c r="OL7" s="509">
        <v>1</v>
      </c>
      <c r="OM7" s="528">
        <v>7.8556999999999997</v>
      </c>
      <c r="ON7" s="528">
        <v>7.8409000000000004</v>
      </c>
      <c r="OO7" s="528">
        <v>7.8357999999999999</v>
      </c>
      <c r="OP7" s="528">
        <v>7.9126000000000003</v>
      </c>
      <c r="OQ7" s="528">
        <v>7.9743000000000004</v>
      </c>
      <c r="OR7" s="528">
        <v>7.9081999999999999</v>
      </c>
      <c r="OS7" s="528">
        <v>7.9516999999999998</v>
      </c>
      <c r="OT7" s="528">
        <v>7.7657999999999996</v>
      </c>
      <c r="OU7" s="528">
        <v>7.7746000000000004</v>
      </c>
      <c r="OV7" s="528">
        <v>7.8158000000000003</v>
      </c>
      <c r="OW7" s="528">
        <v>8.3432999999999993</v>
      </c>
      <c r="OX7" s="528">
        <v>8.2164999999999999</v>
      </c>
      <c r="OY7" s="509">
        <v>1</v>
      </c>
      <c r="OZ7" s="529"/>
      <c r="PA7" s="529"/>
      <c r="PB7" s="509">
        <v>1</v>
      </c>
      <c r="PC7" s="528">
        <v>7.6841999999999997</v>
      </c>
      <c r="PD7" s="528">
        <v>7.3699000000000003</v>
      </c>
      <c r="PE7" s="528">
        <v>7.5572999999999997</v>
      </c>
      <c r="PF7" s="528">
        <v>7.5526</v>
      </c>
      <c r="PG7" s="528">
        <v>7.4526000000000003</v>
      </c>
      <c r="PH7" s="528">
        <v>7.4367000000000001</v>
      </c>
      <c r="PI7" s="528">
        <v>7.6322999999999999</v>
      </c>
      <c r="PJ7" s="528">
        <v>7.5712999999999999</v>
      </c>
      <c r="PK7" s="528">
        <v>7.5205000000000002</v>
      </c>
      <c r="PL7" s="528">
        <v>7.5382999999999996</v>
      </c>
      <c r="PM7" s="528">
        <v>7.9882999999999997</v>
      </c>
      <c r="PN7" s="528">
        <v>7.8857999999999997</v>
      </c>
      <c r="PO7" s="509">
        <v>1</v>
      </c>
      <c r="PP7" s="529"/>
      <c r="PQ7" s="529"/>
      <c r="PR7" s="509">
        <v>1</v>
      </c>
      <c r="PS7" s="528">
        <v>4.9400000000000004</v>
      </c>
      <c r="PT7" s="528">
        <v>6.5</v>
      </c>
      <c r="PU7" s="528">
        <v>6.0774999999999997</v>
      </c>
      <c r="PV7" s="528">
        <v>6.78</v>
      </c>
      <c r="PW7" s="528">
        <v>5.8982999999999999</v>
      </c>
      <c r="PX7" s="528">
        <v>6.26</v>
      </c>
      <c r="PY7" s="528">
        <v>6.2621000000000002</v>
      </c>
      <c r="PZ7" s="528">
        <v>6.1052</v>
      </c>
      <c r="QA7" s="528">
        <v>6.28</v>
      </c>
      <c r="QB7" s="528">
        <v>6.4042000000000003</v>
      </c>
      <c r="QC7" s="528">
        <v>6.9341999999999997</v>
      </c>
      <c r="QD7" s="528">
        <v>7.4775</v>
      </c>
      <c r="QE7" s="509">
        <v>1</v>
      </c>
      <c r="QF7" s="529"/>
      <c r="QG7" s="529"/>
      <c r="QH7" s="509">
        <v>1</v>
      </c>
      <c r="QI7" s="528">
        <v>3.1099000000000001</v>
      </c>
      <c r="QJ7" s="528">
        <v>3.1059000000000001</v>
      </c>
      <c r="QK7" s="528">
        <v>3.2113</v>
      </c>
      <c r="QL7" s="528">
        <v>3.35</v>
      </c>
      <c r="QM7" s="528">
        <v>3.2763</v>
      </c>
      <c r="QN7" s="528">
        <v>3.3275999999999999</v>
      </c>
      <c r="QO7" s="528">
        <v>3.3864999999999998</v>
      </c>
      <c r="QP7" s="528">
        <v>3.4005999999999998</v>
      </c>
      <c r="QQ7" s="528">
        <v>3.3815</v>
      </c>
      <c r="QR7" s="528">
        <v>3.3980000000000001</v>
      </c>
      <c r="QS7" s="528">
        <v>3.4359999999999999</v>
      </c>
      <c r="QT7" s="528">
        <v>3.4409999999999998</v>
      </c>
      <c r="QU7" s="509">
        <v>1</v>
      </c>
      <c r="QV7" s="529"/>
      <c r="QW7" s="529"/>
      <c r="QX7" s="509">
        <v>1</v>
      </c>
      <c r="QY7" s="528">
        <v>3.1230000000000002</v>
      </c>
      <c r="QZ7" s="528">
        <v>3.1030000000000002</v>
      </c>
      <c r="RA7" s="528">
        <v>3.0973999999999999</v>
      </c>
      <c r="RB7" s="528">
        <v>3.0937000000000001</v>
      </c>
      <c r="RC7" s="528">
        <v>3.1152000000000002</v>
      </c>
      <c r="RD7" s="528">
        <v>3.1223999999999998</v>
      </c>
      <c r="RE7" s="528">
        <v>3.1185999999999998</v>
      </c>
      <c r="RF7" s="528">
        <v>3.1204000000000001</v>
      </c>
      <c r="RG7" s="528">
        <v>3.1141999999999999</v>
      </c>
      <c r="RH7" s="528">
        <v>3.1177999999999999</v>
      </c>
      <c r="RI7" s="528">
        <v>3.1293000000000002</v>
      </c>
      <c r="RJ7" s="528">
        <v>3.1065</v>
      </c>
      <c r="RK7" s="509">
        <v>1</v>
      </c>
      <c r="RL7" s="529"/>
      <c r="RM7" s="529"/>
      <c r="RN7" s="509">
        <v>1</v>
      </c>
      <c r="RO7" s="528">
        <v>3.0739000000000001</v>
      </c>
      <c r="RP7" s="528">
        <v>3.0684999999999998</v>
      </c>
      <c r="RQ7" s="528">
        <v>3.0608</v>
      </c>
      <c r="RR7" s="528">
        <v>3.0682999999999998</v>
      </c>
      <c r="RS7" s="528">
        <v>3.0794000000000001</v>
      </c>
      <c r="RT7" s="528">
        <v>3.1168</v>
      </c>
      <c r="RU7" s="528">
        <v>3.1229</v>
      </c>
      <c r="RV7" s="528">
        <v>3.1113</v>
      </c>
      <c r="RW7" s="528">
        <v>3.081</v>
      </c>
      <c r="RX7" s="528">
        <v>3.1131000000000002</v>
      </c>
      <c r="RY7" s="528">
        <v>3.1309</v>
      </c>
      <c r="RZ7" s="528">
        <v>3.1149</v>
      </c>
      <c r="SA7" s="509">
        <v>1</v>
      </c>
      <c r="SB7" s="529"/>
      <c r="SC7" s="529"/>
      <c r="SD7" s="509">
        <v>1</v>
      </c>
      <c r="SE7" s="528">
        <v>2.9453999999999998</v>
      </c>
      <c r="SF7" s="528">
        <v>2.9586000000000001</v>
      </c>
      <c r="SG7" s="528">
        <v>2.9698000000000002</v>
      </c>
      <c r="SH7" s="528">
        <v>2.9813999999999998</v>
      </c>
      <c r="SI7" s="528">
        <v>2.9942000000000002</v>
      </c>
      <c r="SJ7" s="528">
        <v>3.0066000000000002</v>
      </c>
      <c r="SK7" s="528">
        <v>3.0177999999999998</v>
      </c>
      <c r="SL7" s="528">
        <v>3.0310000000000001</v>
      </c>
      <c r="SM7" s="528">
        <v>3.0430000000000001</v>
      </c>
      <c r="SN7" s="528">
        <v>3.0562</v>
      </c>
      <c r="SO7" s="528">
        <v>3.0686</v>
      </c>
      <c r="SP7" s="528">
        <v>3.0676899999999998</v>
      </c>
      <c r="SQ7" s="509">
        <v>1</v>
      </c>
      <c r="SR7" s="529"/>
      <c r="SS7" s="529"/>
      <c r="ST7" s="509">
        <v>1</v>
      </c>
      <c r="SU7" s="528">
        <v>2.641</v>
      </c>
      <c r="SV7" s="528">
        <v>2.6739999999999999</v>
      </c>
      <c r="SW7" s="528">
        <v>2.702</v>
      </c>
      <c r="SX7" s="528">
        <v>2.7320000000000002</v>
      </c>
      <c r="SY7" s="528">
        <v>2.7610000000000001</v>
      </c>
      <c r="SZ7" s="528">
        <v>2.7938000000000001</v>
      </c>
      <c r="TA7" s="528">
        <v>2.8170000000000002</v>
      </c>
      <c r="TB7" s="528">
        <v>2.8426</v>
      </c>
      <c r="TC7" s="528">
        <v>2.8673999999999999</v>
      </c>
      <c r="TD7" s="528">
        <v>2.8898000000000001</v>
      </c>
      <c r="TE7" s="528">
        <v>2.278</v>
      </c>
      <c r="TF7" s="528">
        <v>2.9338000000000002</v>
      </c>
      <c r="TG7" s="509">
        <v>1</v>
      </c>
      <c r="TH7" s="529"/>
      <c r="TI7" s="529"/>
      <c r="TJ7" s="509">
        <v>1</v>
      </c>
      <c r="TK7" s="528"/>
      <c r="TL7" s="528">
        <v>2.3090000000000002</v>
      </c>
      <c r="TM7" s="528">
        <v>2.3370000000000002</v>
      </c>
      <c r="TN7" s="528">
        <v>2.3679999999999999</v>
      </c>
      <c r="TO7" s="528">
        <v>2.3959999999999999</v>
      </c>
      <c r="TP7" s="528">
        <v>2.4289999999999998</v>
      </c>
      <c r="TQ7" s="528">
        <v>2.4590000000000001</v>
      </c>
      <c r="TR7" s="528">
        <v>2.488</v>
      </c>
      <c r="TS7" s="528">
        <v>2.5209999999999999</v>
      </c>
      <c r="TT7" s="528">
        <v>2.5499999999999998</v>
      </c>
      <c r="TU7" s="528">
        <v>2.5819999999999999</v>
      </c>
      <c r="TV7" s="528">
        <v>2.6120000000000001</v>
      </c>
      <c r="TW7" s="509">
        <v>1</v>
      </c>
    </row>
    <row r="8" spans="2:543" s="4" customFormat="1" ht="23" customHeight="1">
      <c r="B8" s="509">
        <v>2</v>
      </c>
      <c r="C8" s="541">
        <v>20.515699999999999</v>
      </c>
      <c r="D8" s="541">
        <v>20.635200000000001</v>
      </c>
      <c r="E8" s="541">
        <v>20.425699999999999</v>
      </c>
      <c r="F8" s="541">
        <v>19.911200000000001</v>
      </c>
      <c r="G8" s="541">
        <v>20.567</v>
      </c>
      <c r="H8" s="541">
        <v>19.693999999999999</v>
      </c>
      <c r="I8" s="541">
        <v>20.133500000000002</v>
      </c>
      <c r="J8" s="541">
        <v>20.348500000000001</v>
      </c>
      <c r="K8" s="541">
        <v>20.0962</v>
      </c>
      <c r="L8" s="541">
        <v>20.192699999999999</v>
      </c>
      <c r="M8" s="541">
        <v>19.8245</v>
      </c>
      <c r="N8" s="541">
        <v>19.3965</v>
      </c>
      <c r="O8" s="509">
        <v>2</v>
      </c>
      <c r="R8" s="509">
        <v>2</v>
      </c>
      <c r="S8" s="541">
        <v>19.935199999999998</v>
      </c>
      <c r="T8" s="541">
        <v>20.2697</v>
      </c>
      <c r="U8" s="541">
        <v>20.939</v>
      </c>
      <c r="V8" s="541">
        <v>20.602499999999999</v>
      </c>
      <c r="W8" s="541">
        <v>20.097799999999999</v>
      </c>
      <c r="X8" s="541">
        <v>19.921299999999999</v>
      </c>
      <c r="Y8" s="541">
        <v>19.906199999999998</v>
      </c>
      <c r="Z8" s="541">
        <v>19.844799999999999</v>
      </c>
      <c r="AA8" s="541">
        <v>20.060500000000001</v>
      </c>
      <c r="AB8" s="541">
        <v>20.5623</v>
      </c>
      <c r="AC8" s="541">
        <v>20.529699999999998</v>
      </c>
      <c r="AD8" s="541">
        <v>21.4453</v>
      </c>
      <c r="AE8" s="509">
        <v>2</v>
      </c>
      <c r="AH8" s="509">
        <v>2</v>
      </c>
      <c r="AI8" s="541">
        <v>18.872699999999998</v>
      </c>
      <c r="AJ8" s="541">
        <v>18.785299999999999</v>
      </c>
      <c r="AK8" s="541">
        <v>19.397300000000001</v>
      </c>
      <c r="AL8" s="541">
        <v>23.4847</v>
      </c>
      <c r="AM8" s="541">
        <v>24.0002</v>
      </c>
      <c r="AN8" s="541">
        <v>22.177800000000001</v>
      </c>
      <c r="AO8" s="541">
        <v>23.089300000000001</v>
      </c>
      <c r="AP8" s="541">
        <v>22.172699999999999</v>
      </c>
      <c r="AQ8" s="541">
        <v>21.888000000000002</v>
      </c>
      <c r="AR8" s="541">
        <v>22.143799999999999</v>
      </c>
      <c r="AS8" s="541">
        <v>21.376999999999999</v>
      </c>
      <c r="AT8" s="541">
        <v>20.139800000000001</v>
      </c>
      <c r="AU8" s="509">
        <v>2</v>
      </c>
      <c r="AX8" s="509">
        <v>2</v>
      </c>
      <c r="AY8" s="528">
        <v>19.656600000000001</v>
      </c>
      <c r="AZ8" s="528">
        <v>19.038799999999998</v>
      </c>
      <c r="BA8" s="528">
        <v>19.2607</v>
      </c>
      <c r="BB8" s="528">
        <v>19.3779</v>
      </c>
      <c r="BC8" s="528">
        <v>19.012</v>
      </c>
      <c r="BD8" s="528">
        <v>19.068300000000001</v>
      </c>
      <c r="BE8" s="528">
        <v>19.2087</v>
      </c>
      <c r="BF8" s="528">
        <v>18.992899999999999</v>
      </c>
      <c r="BG8" s="528">
        <v>20.098800000000001</v>
      </c>
      <c r="BH8" s="528">
        <v>19.734500000000001</v>
      </c>
      <c r="BI8" s="528">
        <v>19.194800000000001</v>
      </c>
      <c r="BJ8" s="528">
        <v>19.6113</v>
      </c>
      <c r="BK8" s="509">
        <v>2</v>
      </c>
      <c r="BN8" s="509">
        <v>2</v>
      </c>
      <c r="BO8" s="528">
        <v>19.735399999999998</v>
      </c>
      <c r="BP8" s="528">
        <v>18.6069</v>
      </c>
      <c r="BQ8" s="530">
        <v>18.833100000000002</v>
      </c>
      <c r="BR8" s="528">
        <v>18.3445</v>
      </c>
      <c r="BS8" s="528">
        <v>18.684699999999999</v>
      </c>
      <c r="BT8" s="528">
        <v>19.975899999999999</v>
      </c>
      <c r="BU8" s="528">
        <v>19.863299999999999</v>
      </c>
      <c r="BV8" s="528">
        <v>18.645700000000001</v>
      </c>
      <c r="BW8" s="528">
        <v>19.125800000000002</v>
      </c>
      <c r="BX8" s="528">
        <v>18.723099999999999</v>
      </c>
      <c r="BY8" s="528">
        <v>20.317699999999999</v>
      </c>
      <c r="BZ8" s="528">
        <v>20.221699999999998</v>
      </c>
      <c r="CA8" s="509">
        <v>2</v>
      </c>
      <c r="CD8" s="509">
        <v>2</v>
      </c>
      <c r="CE8" s="528">
        <v>20.664000000000001</v>
      </c>
      <c r="CF8" s="528">
        <v>20.790800000000001</v>
      </c>
      <c r="CG8" s="528">
        <v>19.995699999999999</v>
      </c>
      <c r="CH8" s="528">
        <v>18.707899999999999</v>
      </c>
      <c r="CI8" s="528">
        <v>19.067</v>
      </c>
      <c r="CJ8" s="528">
        <v>18.690899999999999</v>
      </c>
      <c r="CK8" s="528">
        <v>18.027899999999999</v>
      </c>
      <c r="CL8" s="528">
        <v>17.864599999999999</v>
      </c>
      <c r="CM8" s="528">
        <v>17.814499999999999</v>
      </c>
      <c r="CN8" s="528">
        <v>18.197900000000001</v>
      </c>
      <c r="CO8" s="528">
        <v>19.1478</v>
      </c>
      <c r="CP8" s="528">
        <v>18.622900000000001</v>
      </c>
      <c r="CQ8" s="509">
        <v>2</v>
      </c>
      <c r="CT8" s="509">
        <v>2</v>
      </c>
      <c r="CU8" s="528">
        <v>17.3398</v>
      </c>
      <c r="CV8" s="528">
        <v>18.290600000000001</v>
      </c>
      <c r="CW8" s="528">
        <v>18.102</v>
      </c>
      <c r="CX8" s="528">
        <v>17.236999999999998</v>
      </c>
      <c r="CY8" s="528">
        <v>17.212499999999999</v>
      </c>
      <c r="CZ8" s="528">
        <v>18.411799999999999</v>
      </c>
      <c r="DA8" s="528">
        <v>18.464600000000001</v>
      </c>
      <c r="DB8" s="528">
        <v>18.7837</v>
      </c>
      <c r="DC8" s="528">
        <v>18.8611</v>
      </c>
      <c r="DD8" s="528">
        <v>19.4086</v>
      </c>
      <c r="DE8" s="528">
        <v>18.8887</v>
      </c>
      <c r="DF8" s="528">
        <v>20.515499999999999</v>
      </c>
      <c r="DG8" s="509">
        <v>2</v>
      </c>
      <c r="DJ8" s="509">
        <v>2</v>
      </c>
      <c r="DK8" s="528">
        <v>14.7348</v>
      </c>
      <c r="DL8" s="528">
        <v>14.8414</v>
      </c>
      <c r="DM8" s="528">
        <v>14.962400000000001</v>
      </c>
      <c r="DN8" s="528">
        <v>15.264699999999999</v>
      </c>
      <c r="DO8" s="528">
        <v>15.2043</v>
      </c>
      <c r="DP8" s="528">
        <v>15.381500000000001</v>
      </c>
      <c r="DQ8" s="528">
        <v>15.6854</v>
      </c>
      <c r="DR8" s="528">
        <v>16.213999999999999</v>
      </c>
      <c r="DS8" s="528">
        <v>16.782900000000001</v>
      </c>
      <c r="DT8" s="528">
        <v>16.9053</v>
      </c>
      <c r="DU8" s="528">
        <v>16.6219</v>
      </c>
      <c r="DV8" s="528">
        <v>16.585599999999999</v>
      </c>
      <c r="DW8" s="509">
        <v>2</v>
      </c>
      <c r="DZ8" s="509">
        <v>2</v>
      </c>
      <c r="EA8" s="528">
        <v>13.065200000000001</v>
      </c>
      <c r="EB8" s="528">
        <v>13.3207</v>
      </c>
      <c r="EC8" s="528">
        <v>13.3066</v>
      </c>
      <c r="ED8" s="528">
        <v>13.0549</v>
      </c>
      <c r="EE8" s="528">
        <v>13.103899999999999</v>
      </c>
      <c r="EF8" s="528">
        <v>12.8462</v>
      </c>
      <c r="EG8" s="528">
        <v>12.9712</v>
      </c>
      <c r="EH8" s="528">
        <v>13.226900000000001</v>
      </c>
      <c r="EI8" s="528">
        <v>13.0763</v>
      </c>
      <c r="EJ8" s="528">
        <v>13.433</v>
      </c>
      <c r="EK8" s="528">
        <v>13.4316</v>
      </c>
      <c r="EL8" s="528">
        <v>13.8965</v>
      </c>
      <c r="EM8" s="509">
        <v>2</v>
      </c>
      <c r="EP8" s="509">
        <v>2</v>
      </c>
      <c r="EQ8" s="528">
        <v>12.988</v>
      </c>
      <c r="ER8" s="528">
        <v>12.7094</v>
      </c>
      <c r="ES8" s="528">
        <v>12.779500000000001</v>
      </c>
      <c r="ET8" s="528">
        <v>12.3612</v>
      </c>
      <c r="EU8" s="528">
        <v>12.1326</v>
      </c>
      <c r="EV8" s="528">
        <v>12.7781</v>
      </c>
      <c r="EW8" s="528">
        <v>13.027900000000001</v>
      </c>
      <c r="EX8" s="528">
        <v>12.846399999999999</v>
      </c>
      <c r="EY8" s="528">
        <v>13.3104</v>
      </c>
      <c r="EZ8" s="528">
        <v>13.1747</v>
      </c>
      <c r="FA8" s="528">
        <v>13.0067</v>
      </c>
      <c r="FB8" s="528">
        <v>13.083600000000001</v>
      </c>
      <c r="FC8" s="509">
        <v>2</v>
      </c>
      <c r="FF8" s="509">
        <v>2</v>
      </c>
      <c r="FG8" s="528">
        <v>13.9787</v>
      </c>
      <c r="FH8" s="528">
        <v>13.0077</v>
      </c>
      <c r="FI8" s="528">
        <v>12.789099999999999</v>
      </c>
      <c r="FJ8" s="528">
        <v>12.8489</v>
      </c>
      <c r="FK8" s="528">
        <v>13.014099999999999</v>
      </c>
      <c r="FL8" s="528">
        <v>14.3047</v>
      </c>
      <c r="FM8" s="528">
        <v>13.653</v>
      </c>
      <c r="FN8" s="528">
        <v>13.283300000000001</v>
      </c>
      <c r="FO8" s="528">
        <v>13.417199999999999</v>
      </c>
      <c r="FP8" s="528">
        <v>12.8695</v>
      </c>
      <c r="FQ8" s="528">
        <v>13.091100000000001</v>
      </c>
      <c r="FR8" s="528">
        <v>12.9617</v>
      </c>
      <c r="FS8" s="509">
        <v>2</v>
      </c>
      <c r="FV8" s="509">
        <v>2</v>
      </c>
      <c r="FW8" s="528">
        <v>12.3817</v>
      </c>
      <c r="FX8" s="528">
        <v>12.151899999999999</v>
      </c>
      <c r="FY8" s="528">
        <v>12.106199999999999</v>
      </c>
      <c r="FZ8" s="528">
        <v>11.9084</v>
      </c>
      <c r="GA8" s="528">
        <v>11.5428</v>
      </c>
      <c r="GB8" s="528">
        <v>11.577999999999999</v>
      </c>
      <c r="GC8" s="528">
        <v>11.723000000000001</v>
      </c>
      <c r="GD8" s="528">
        <v>11.7425</v>
      </c>
      <c r="GE8" s="528">
        <v>12.348000000000001</v>
      </c>
      <c r="GF8" s="528">
        <v>13.4567</v>
      </c>
      <c r="GG8" s="528">
        <v>13.180199999999999</v>
      </c>
      <c r="GH8" s="528">
        <v>13.61</v>
      </c>
      <c r="GI8" s="509">
        <v>2</v>
      </c>
      <c r="GL8" s="509">
        <v>2</v>
      </c>
      <c r="GM8" s="528">
        <v>13.043699999999999</v>
      </c>
      <c r="GN8" s="528">
        <v>12.9975</v>
      </c>
      <c r="GO8" s="528">
        <v>12.776899999999999</v>
      </c>
      <c r="GP8" s="528">
        <v>12.4145</v>
      </c>
      <c r="GQ8" s="528">
        <v>12.246499999999999</v>
      </c>
      <c r="GR8" s="528">
        <v>12.9146</v>
      </c>
      <c r="GS8" s="528">
        <v>12.844099999999999</v>
      </c>
      <c r="GT8" s="528">
        <v>12.703799999999999</v>
      </c>
      <c r="GU8" s="528">
        <v>13.1676</v>
      </c>
      <c r="GV8" s="528">
        <v>12.5998</v>
      </c>
      <c r="GW8" s="528">
        <v>12.338699999999999</v>
      </c>
      <c r="GX8" s="528">
        <v>12.4664</v>
      </c>
      <c r="GY8" s="509">
        <v>2</v>
      </c>
      <c r="HB8" s="509">
        <v>2</v>
      </c>
      <c r="HC8" s="528">
        <v>13.7738</v>
      </c>
      <c r="HD8" s="528">
        <v>14.1975</v>
      </c>
      <c r="HE8" s="528">
        <v>14.9322</v>
      </c>
      <c r="HF8" s="528">
        <v>14.1517</v>
      </c>
      <c r="HG8" s="528">
        <v>13.6485</v>
      </c>
      <c r="HH8" s="528">
        <v>13.166700000000001</v>
      </c>
      <c r="HI8" s="528">
        <v>13.1722</v>
      </c>
      <c r="HJ8" s="528">
        <v>13.222300000000001</v>
      </c>
      <c r="HK8" s="528">
        <v>13.314</v>
      </c>
      <c r="HL8" s="528">
        <v>13.492800000000001</v>
      </c>
      <c r="HM8" s="528">
        <v>13.0825</v>
      </c>
      <c r="HN8" s="528">
        <v>12.915699999999999</v>
      </c>
      <c r="HO8" s="509">
        <v>2</v>
      </c>
      <c r="HP8" s="529"/>
      <c r="HQ8" s="529"/>
      <c r="HR8" s="509">
        <v>2</v>
      </c>
      <c r="HS8" s="528">
        <v>10.904299999999999</v>
      </c>
      <c r="HT8" s="528">
        <v>10.8262</v>
      </c>
      <c r="HU8" s="528">
        <v>10.6813</v>
      </c>
      <c r="HV8" s="528">
        <v>10.648199999999999</v>
      </c>
      <c r="HW8" s="528">
        <v>10.527200000000001</v>
      </c>
      <c r="HX8" s="528">
        <v>10.3066</v>
      </c>
      <c r="HY8" s="528">
        <v>10.306900000000001</v>
      </c>
      <c r="HZ8" s="528">
        <v>10.035299999999999</v>
      </c>
      <c r="IA8" s="528">
        <v>10.284700000000001</v>
      </c>
      <c r="IB8" s="528">
        <v>10.981400000000001</v>
      </c>
      <c r="IC8" s="528">
        <v>12.834199999999999</v>
      </c>
      <c r="ID8" s="528">
        <v>13.3225</v>
      </c>
      <c r="IE8" s="509">
        <v>2</v>
      </c>
      <c r="IF8" s="529"/>
      <c r="IG8" s="529"/>
      <c r="IH8" s="509">
        <v>2</v>
      </c>
      <c r="II8" s="528">
        <v>10.875500000000001</v>
      </c>
      <c r="IJ8" s="528">
        <v>11.0382</v>
      </c>
      <c r="IK8" s="528">
        <v>11.168200000000001</v>
      </c>
      <c r="IL8" s="528">
        <v>11.050700000000001</v>
      </c>
      <c r="IM8" s="528">
        <v>10.9305</v>
      </c>
      <c r="IN8" s="528">
        <v>10.7445</v>
      </c>
      <c r="IO8" s="528">
        <v>10.7926</v>
      </c>
      <c r="IP8" s="528">
        <v>10.927300000000001</v>
      </c>
      <c r="IQ8" s="528">
        <v>11.0848</v>
      </c>
      <c r="IR8" s="528">
        <v>10.9315</v>
      </c>
      <c r="IS8" s="528">
        <v>10.702299999999999</v>
      </c>
      <c r="IT8" s="528">
        <v>10.941700000000001</v>
      </c>
      <c r="IU8" s="509">
        <v>2</v>
      </c>
      <c r="IV8" s="529"/>
      <c r="IW8" s="529"/>
      <c r="IX8" s="509">
        <v>2</v>
      </c>
      <c r="IY8" s="528">
        <v>10.710900000000001</v>
      </c>
      <c r="IZ8" s="528">
        <v>10.443300000000001</v>
      </c>
      <c r="JA8" s="528">
        <v>10.456</v>
      </c>
      <c r="JB8" s="528">
        <v>10.922800000000001</v>
      </c>
      <c r="JC8" s="528">
        <v>11.1135</v>
      </c>
      <c r="JD8" s="528">
        <v>11.2966</v>
      </c>
      <c r="JE8" s="528">
        <v>11.4009</v>
      </c>
      <c r="JF8" s="528">
        <v>10.918100000000001</v>
      </c>
      <c r="JG8" s="528">
        <v>10.903700000000001</v>
      </c>
      <c r="JH8" s="528">
        <v>11.0502</v>
      </c>
      <c r="JI8" s="528">
        <v>10.763999999999999</v>
      </c>
      <c r="JJ8" s="528">
        <v>10.9983</v>
      </c>
      <c r="JK8" s="509">
        <v>2</v>
      </c>
      <c r="JL8" s="529"/>
      <c r="JM8" s="529"/>
      <c r="JN8" s="509">
        <v>2</v>
      </c>
      <c r="JO8" s="528">
        <v>11.218299999999999</v>
      </c>
      <c r="JP8" s="528">
        <v>11.2141</v>
      </c>
      <c r="JQ8" s="528">
        <v>11.096500000000001</v>
      </c>
      <c r="JR8" s="528">
        <v>11.1783</v>
      </c>
      <c r="JS8" s="528">
        <v>11.1159</v>
      </c>
      <c r="JT8" s="528">
        <v>10.916</v>
      </c>
      <c r="JU8" s="528">
        <v>10.7752</v>
      </c>
      <c r="JV8" s="528">
        <v>10.605700000000001</v>
      </c>
      <c r="JW8" s="528">
        <v>10.7995</v>
      </c>
      <c r="JX8" s="528">
        <v>10.8131</v>
      </c>
      <c r="JY8" s="528">
        <v>10.7857</v>
      </c>
      <c r="JZ8" s="528">
        <v>10.5793</v>
      </c>
      <c r="KA8" s="509">
        <v>2</v>
      </c>
      <c r="KB8" s="529"/>
      <c r="KC8" s="529"/>
      <c r="KD8" s="509">
        <v>2</v>
      </c>
      <c r="KE8" s="528">
        <v>11.1998</v>
      </c>
      <c r="KF8" s="528">
        <v>11.084300000000001</v>
      </c>
      <c r="KG8" s="528">
        <v>11.060600000000001</v>
      </c>
      <c r="KH8" s="528">
        <v>11.174799999999999</v>
      </c>
      <c r="KI8" s="528">
        <v>11.4068</v>
      </c>
      <c r="KJ8" s="528">
        <v>11.4147</v>
      </c>
      <c r="KK8" s="528">
        <v>11.5258</v>
      </c>
      <c r="KL8" s="528">
        <v>11.430199999999999</v>
      </c>
      <c r="KM8" s="528">
        <v>11.380699999999999</v>
      </c>
      <c r="KN8" s="528">
        <v>11.388400000000001</v>
      </c>
      <c r="KO8" s="528">
        <v>11.539</v>
      </c>
      <c r="KP8" s="528">
        <v>11.237299999999999</v>
      </c>
      <c r="KQ8" s="509">
        <v>2</v>
      </c>
      <c r="KR8" s="529"/>
      <c r="KS8" s="529"/>
      <c r="KT8" s="509">
        <v>2</v>
      </c>
      <c r="KU8" s="528">
        <v>10.3613</v>
      </c>
      <c r="KV8" s="528">
        <v>10.8636</v>
      </c>
      <c r="KW8" s="528">
        <v>11.033300000000001</v>
      </c>
      <c r="KX8" s="528">
        <v>10.7889</v>
      </c>
      <c r="KY8" s="528">
        <v>10.345000000000001</v>
      </c>
      <c r="KZ8" s="528">
        <v>10.320499999999999</v>
      </c>
      <c r="LA8" s="528">
        <v>10.436999999999999</v>
      </c>
      <c r="LB8" s="528">
        <v>10.5243</v>
      </c>
      <c r="LC8" s="528">
        <v>11.047499999999999</v>
      </c>
      <c r="LD8" s="528">
        <v>11.013299999999999</v>
      </c>
      <c r="LE8" s="528">
        <v>11.1058</v>
      </c>
      <c r="LF8" s="528">
        <v>11.3985</v>
      </c>
      <c r="LG8" s="509">
        <v>2</v>
      </c>
      <c r="LH8" s="529"/>
      <c r="LI8" s="529"/>
      <c r="LJ8" s="509">
        <v>2</v>
      </c>
      <c r="LK8" s="528">
        <v>9.1692</v>
      </c>
      <c r="LL8" s="528">
        <v>9.1463000000000001</v>
      </c>
      <c r="LM8" s="528">
        <v>9.1303000000000001</v>
      </c>
      <c r="LN8" s="528">
        <v>9.016</v>
      </c>
      <c r="LO8" s="528">
        <v>9.3542000000000005</v>
      </c>
      <c r="LP8" s="528">
        <v>9.7148000000000003</v>
      </c>
      <c r="LQ8" s="528">
        <v>9.9567999999999994</v>
      </c>
      <c r="LR8" s="528">
        <v>9.7860999999999994</v>
      </c>
      <c r="LS8" s="528">
        <v>9.9192999999999998</v>
      </c>
      <c r="LT8" s="528">
        <v>10.229900000000001</v>
      </c>
      <c r="LU8" s="528">
        <v>10.155200000000001</v>
      </c>
      <c r="LV8" s="528">
        <v>10.119300000000001</v>
      </c>
      <c r="LW8" s="509">
        <v>2</v>
      </c>
      <c r="LX8" s="529"/>
      <c r="LY8" s="529"/>
      <c r="LZ8" s="509">
        <v>2</v>
      </c>
      <c r="MA8" s="528">
        <v>9.5997000000000003</v>
      </c>
      <c r="MB8" s="528">
        <v>9.6828000000000003</v>
      </c>
      <c r="MC8" s="528">
        <v>9.7025000000000006</v>
      </c>
      <c r="MD8" s="528">
        <v>9.5203000000000007</v>
      </c>
      <c r="ME8" s="528">
        <v>9.3048999999999999</v>
      </c>
      <c r="MF8" s="528">
        <v>9.1835000000000004</v>
      </c>
      <c r="MG8" s="528">
        <v>9.09</v>
      </c>
      <c r="MH8" s="528">
        <v>9.1408000000000005</v>
      </c>
      <c r="MI8" s="528">
        <v>9.1692</v>
      </c>
      <c r="MJ8" s="528">
        <v>9.5098000000000003</v>
      </c>
      <c r="MK8" s="528">
        <v>9.2542000000000009</v>
      </c>
      <c r="ML8" s="528">
        <v>9.2814999999999994</v>
      </c>
      <c r="MM8" s="509">
        <v>2</v>
      </c>
      <c r="MN8" s="529"/>
      <c r="MO8" s="529"/>
      <c r="MP8" s="509">
        <v>2</v>
      </c>
      <c r="MQ8" s="528">
        <v>9.5221999999999998</v>
      </c>
      <c r="MR8" s="528">
        <v>9.6252999999999993</v>
      </c>
      <c r="MS8" s="528">
        <v>9.3661999999999992</v>
      </c>
      <c r="MT8" s="528">
        <v>9.3015000000000008</v>
      </c>
      <c r="MU8" s="528">
        <v>9.4520999999999997</v>
      </c>
      <c r="MV8" s="528">
        <v>9.5109999999999992</v>
      </c>
      <c r="MW8" s="528">
        <v>9.9002999999999997</v>
      </c>
      <c r="MX8" s="528">
        <v>9.3666999999999998</v>
      </c>
      <c r="MY8" s="528">
        <v>9.1995000000000005</v>
      </c>
      <c r="MZ8" s="528">
        <v>9.4290000000000003</v>
      </c>
      <c r="NA8" s="528">
        <v>9.5641999999999996</v>
      </c>
      <c r="NB8" s="528">
        <v>9.3972999999999995</v>
      </c>
      <c r="NC8" s="509">
        <v>2</v>
      </c>
      <c r="ND8" s="529"/>
      <c r="NE8" s="529"/>
      <c r="NF8" s="509">
        <v>2</v>
      </c>
      <c r="NG8" s="528">
        <v>9.9395000000000007</v>
      </c>
      <c r="NH8" s="528">
        <v>10.154299999999999</v>
      </c>
      <c r="NI8" s="528">
        <v>9.9441000000000006</v>
      </c>
      <c r="NJ8" s="528">
        <v>9.5375999999999994</v>
      </c>
      <c r="NK8" s="528">
        <v>9.2622</v>
      </c>
      <c r="NL8" s="528">
        <v>9.6872000000000007</v>
      </c>
      <c r="NM8" s="528">
        <v>9.4408999999999992</v>
      </c>
      <c r="NN8" s="528">
        <v>9.4260000000000002</v>
      </c>
      <c r="NO8" s="528">
        <v>9.4094999999999995</v>
      </c>
      <c r="NP8" s="528">
        <v>9.3483000000000001</v>
      </c>
      <c r="NQ8" s="528">
        <v>9.625</v>
      </c>
      <c r="NR8" s="528">
        <v>9.4320000000000004</v>
      </c>
      <c r="NS8" s="509">
        <v>2</v>
      </c>
      <c r="NT8" s="529"/>
      <c r="NU8" s="529"/>
      <c r="NV8" s="509">
        <v>2</v>
      </c>
      <c r="NW8" s="528">
        <v>8.0640000000000001</v>
      </c>
      <c r="NX8" s="528">
        <v>8.4640000000000004</v>
      </c>
      <c r="NY8" s="528">
        <v>8.5582999999999991</v>
      </c>
      <c r="NZ8" s="528">
        <v>8.5191999999999997</v>
      </c>
      <c r="OA8" s="528">
        <v>8.5029000000000003</v>
      </c>
      <c r="OB8" s="528">
        <v>8.8163999999999998</v>
      </c>
      <c r="OC8" s="528">
        <v>8.9852000000000007</v>
      </c>
      <c r="OD8" s="528">
        <v>8.9008000000000003</v>
      </c>
      <c r="OE8" s="528">
        <v>10.0275</v>
      </c>
      <c r="OF8" s="528">
        <v>10.193300000000001</v>
      </c>
      <c r="OG8" s="528">
        <v>10.219799999999999</v>
      </c>
      <c r="OH8" s="528">
        <v>9.9994999999999994</v>
      </c>
      <c r="OI8" s="509">
        <v>2</v>
      </c>
      <c r="OJ8" s="529"/>
      <c r="OK8" s="529"/>
      <c r="OL8" s="509">
        <v>2</v>
      </c>
      <c r="OM8" s="528">
        <v>7.8556999999999997</v>
      </c>
      <c r="ON8" s="528">
        <v>7.8409000000000004</v>
      </c>
      <c r="OO8" s="528">
        <v>7.8357999999999999</v>
      </c>
      <c r="OP8" s="528">
        <v>7.9313000000000002</v>
      </c>
      <c r="OQ8" s="528">
        <v>7.9743000000000004</v>
      </c>
      <c r="OR8" s="528">
        <v>7.9081999999999999</v>
      </c>
      <c r="OS8" s="528">
        <v>7.9504000000000001</v>
      </c>
      <c r="OT8" s="528">
        <v>7.8247999999999998</v>
      </c>
      <c r="OU8" s="528">
        <v>7.7746000000000004</v>
      </c>
      <c r="OV8" s="528">
        <v>7.7706999999999997</v>
      </c>
      <c r="OW8" s="528">
        <v>8.3432999999999993</v>
      </c>
      <c r="OX8" s="528">
        <v>8.2134999999999998</v>
      </c>
      <c r="OY8" s="509">
        <v>2</v>
      </c>
      <c r="OZ8" s="529"/>
      <c r="PA8" s="529"/>
      <c r="PB8" s="509">
        <v>2</v>
      </c>
      <c r="PC8" s="528">
        <v>7.6841999999999997</v>
      </c>
      <c r="PD8" s="528">
        <v>7.4211999999999998</v>
      </c>
      <c r="PE8" s="528">
        <v>7.6295999999999999</v>
      </c>
      <c r="PF8" s="528">
        <v>7.5374999999999996</v>
      </c>
      <c r="PG8" s="528">
        <v>7.4526000000000003</v>
      </c>
      <c r="PH8" s="528">
        <v>7.4367000000000001</v>
      </c>
      <c r="PI8" s="528">
        <v>7.5814000000000004</v>
      </c>
      <c r="PJ8" s="528">
        <v>7.5892999999999997</v>
      </c>
      <c r="PK8" s="528">
        <v>7.5205000000000002</v>
      </c>
      <c r="PL8" s="528">
        <v>7.5518999999999998</v>
      </c>
      <c r="PM8" s="528">
        <v>8.0478000000000005</v>
      </c>
      <c r="PN8" s="528">
        <v>7.8857999999999997</v>
      </c>
      <c r="PO8" s="509">
        <v>2</v>
      </c>
      <c r="PP8" s="529"/>
      <c r="PQ8" s="529"/>
      <c r="PR8" s="509">
        <v>2</v>
      </c>
      <c r="PS8" s="528">
        <v>4.9400000000000004</v>
      </c>
      <c r="PT8" s="528">
        <v>5.9</v>
      </c>
      <c r="PU8" s="528">
        <v>6.0049999999999999</v>
      </c>
      <c r="PV8" s="528">
        <v>6.78</v>
      </c>
      <c r="PW8" s="528">
        <v>5.8982999999999999</v>
      </c>
      <c r="PX8" s="528">
        <v>6.1807999999999996</v>
      </c>
      <c r="PY8" s="528">
        <v>6.2621000000000002</v>
      </c>
      <c r="PZ8" s="528">
        <v>6.1142000000000003</v>
      </c>
      <c r="QA8" s="528">
        <v>6.28</v>
      </c>
      <c r="QB8" s="528">
        <v>6.4042000000000003</v>
      </c>
      <c r="QC8" s="528">
        <v>7.1471</v>
      </c>
      <c r="QD8" s="528">
        <v>7.5467000000000004</v>
      </c>
      <c r="QE8" s="509">
        <v>2</v>
      </c>
      <c r="QF8" s="529"/>
      <c r="QG8" s="529"/>
      <c r="QH8" s="509">
        <v>2</v>
      </c>
      <c r="QI8" s="528">
        <v>3.1099000000000001</v>
      </c>
      <c r="QJ8" s="528">
        <v>3.1053999999999999</v>
      </c>
      <c r="QK8" s="528">
        <v>3.1932999999999998</v>
      </c>
      <c r="QL8" s="528">
        <v>3.35</v>
      </c>
      <c r="QM8" s="528">
        <v>3.2763</v>
      </c>
      <c r="QN8" s="528">
        <v>3.3214000000000001</v>
      </c>
      <c r="QO8" s="528">
        <v>3.3938000000000001</v>
      </c>
      <c r="QP8" s="528">
        <v>3.4005999999999998</v>
      </c>
      <c r="QQ8" s="528">
        <v>3.3902999999999999</v>
      </c>
      <c r="QR8" s="528">
        <v>3.3980000000000001</v>
      </c>
      <c r="QS8" s="528">
        <v>3.4359999999999999</v>
      </c>
      <c r="QT8" s="528">
        <v>3.4409999999999998</v>
      </c>
      <c r="QU8" s="509">
        <v>2</v>
      </c>
      <c r="QV8" s="529"/>
      <c r="QW8" s="529"/>
      <c r="QX8" s="509">
        <v>2</v>
      </c>
      <c r="QY8" s="528">
        <v>3.1230000000000002</v>
      </c>
      <c r="QZ8" s="528">
        <v>3.1139999999999999</v>
      </c>
      <c r="RA8" s="528">
        <v>3.0987</v>
      </c>
      <c r="RB8" s="528">
        <v>3.0937000000000001</v>
      </c>
      <c r="RC8" s="528">
        <v>3.1152000000000002</v>
      </c>
      <c r="RD8" s="528">
        <v>3.1190000000000002</v>
      </c>
      <c r="RE8" s="528">
        <v>3.1179999999999999</v>
      </c>
      <c r="RF8" s="528">
        <v>3.1204000000000001</v>
      </c>
      <c r="RG8" s="528">
        <v>3.1141999999999999</v>
      </c>
      <c r="RH8" s="528">
        <v>3.1179000000000001</v>
      </c>
      <c r="RI8" s="528">
        <v>3.1293000000000002</v>
      </c>
      <c r="RJ8" s="528">
        <v>3.1042000000000001</v>
      </c>
      <c r="RK8" s="509">
        <v>2</v>
      </c>
      <c r="RL8" s="529"/>
      <c r="RM8" s="529"/>
      <c r="RN8" s="509">
        <v>2</v>
      </c>
      <c r="RO8" s="528">
        <v>3.0739000000000001</v>
      </c>
      <c r="RP8" s="528">
        <v>3.0684999999999998</v>
      </c>
      <c r="RQ8" s="528">
        <v>3.0608</v>
      </c>
      <c r="RR8" s="528">
        <v>3.0619999999999998</v>
      </c>
      <c r="RS8" s="528">
        <v>3.0794000000000001</v>
      </c>
      <c r="RT8" s="528">
        <v>3.1150000000000002</v>
      </c>
      <c r="RU8" s="528">
        <v>3.1230000000000002</v>
      </c>
      <c r="RV8" s="528">
        <v>3.1113</v>
      </c>
      <c r="RW8" s="528">
        <v>3.0764999999999998</v>
      </c>
      <c r="RX8" s="528">
        <v>3.109</v>
      </c>
      <c r="RY8" s="528">
        <v>3.1309</v>
      </c>
      <c r="RZ8" s="528">
        <v>3.1141000000000001</v>
      </c>
      <c r="SA8" s="509">
        <v>2</v>
      </c>
      <c r="SB8" s="529"/>
      <c r="SC8" s="529"/>
      <c r="SD8" s="509">
        <v>2</v>
      </c>
      <c r="SE8" s="528">
        <v>2.9466000000000001</v>
      </c>
      <c r="SF8" s="528">
        <v>2.9590000000000001</v>
      </c>
      <c r="SG8" s="528">
        <v>2.9702000000000002</v>
      </c>
      <c r="SH8" s="528">
        <v>2.9817999999999998</v>
      </c>
      <c r="SI8" s="528">
        <v>2.9946000000000002</v>
      </c>
      <c r="SJ8" s="528">
        <v>3.0066000000000002</v>
      </c>
      <c r="SK8" s="528">
        <v>3.0182000000000002</v>
      </c>
      <c r="SL8" s="528">
        <v>3.0314000000000001</v>
      </c>
      <c r="SM8" s="528">
        <v>3.0430000000000001</v>
      </c>
      <c r="SN8" s="528">
        <v>3.0566</v>
      </c>
      <c r="SO8" s="528">
        <v>3.069</v>
      </c>
      <c r="SP8" s="528">
        <v>3.0676899999999998</v>
      </c>
      <c r="SQ8" s="509">
        <v>2</v>
      </c>
      <c r="SR8" s="529"/>
      <c r="SS8" s="529"/>
      <c r="ST8" s="509">
        <v>2</v>
      </c>
      <c r="SU8" s="528">
        <v>2.6440000000000001</v>
      </c>
      <c r="SV8" s="528">
        <v>2.6749999999999998</v>
      </c>
      <c r="SW8" s="528">
        <v>2.7029999999999998</v>
      </c>
      <c r="SX8" s="528">
        <v>2.7320000000000002</v>
      </c>
      <c r="SY8" s="528">
        <v>2.762</v>
      </c>
      <c r="SZ8" s="528">
        <v>2.7946</v>
      </c>
      <c r="TA8" s="528">
        <v>2.8170000000000002</v>
      </c>
      <c r="TB8" s="528">
        <v>2.8433999999999999</v>
      </c>
      <c r="TC8" s="528">
        <v>2.8673999999999999</v>
      </c>
      <c r="TD8" s="528">
        <v>2.8906000000000001</v>
      </c>
      <c r="TE8" s="528">
        <v>2.9169999999999998</v>
      </c>
      <c r="TF8" s="528">
        <v>2.9338000000000002</v>
      </c>
      <c r="TG8" s="509">
        <v>2</v>
      </c>
      <c r="TH8" s="529"/>
      <c r="TI8" s="529"/>
      <c r="TJ8" s="509">
        <v>2</v>
      </c>
      <c r="TK8" s="528">
        <v>2.278</v>
      </c>
      <c r="TL8" s="528">
        <v>2.31</v>
      </c>
      <c r="TM8" s="528">
        <v>2.3380000000000001</v>
      </c>
      <c r="TN8" s="528">
        <v>2.3679999999999999</v>
      </c>
      <c r="TO8" s="528">
        <v>2.3969999999999998</v>
      </c>
      <c r="TP8" s="528">
        <v>2.4300000000000002</v>
      </c>
      <c r="TQ8" s="528">
        <v>2.4590000000000001</v>
      </c>
      <c r="TR8" s="528">
        <v>2.4910000000000001</v>
      </c>
      <c r="TS8" s="528">
        <v>2.5219999999999998</v>
      </c>
      <c r="TT8" s="528">
        <v>2.5499999999999998</v>
      </c>
      <c r="TU8" s="528">
        <v>2.5830000000000002</v>
      </c>
      <c r="TV8" s="528">
        <v>2.613</v>
      </c>
      <c r="TW8" s="509">
        <v>2</v>
      </c>
    </row>
    <row r="9" spans="2:543" s="4" customFormat="1" ht="23" customHeight="1">
      <c r="B9" s="509">
        <v>3</v>
      </c>
      <c r="C9" s="541">
        <v>20.515699999999999</v>
      </c>
      <c r="D9" s="541">
        <v>20.58</v>
      </c>
      <c r="E9" s="541">
        <v>20.527200000000001</v>
      </c>
      <c r="F9" s="541">
        <v>19.911200000000001</v>
      </c>
      <c r="G9" s="541">
        <v>20.372800000000002</v>
      </c>
      <c r="H9" s="541">
        <v>19.738800000000001</v>
      </c>
      <c r="I9" s="541">
        <v>20.133500000000002</v>
      </c>
      <c r="J9" s="541">
        <v>20.263300000000001</v>
      </c>
      <c r="K9" s="541">
        <v>20.247299999999999</v>
      </c>
      <c r="L9" s="541">
        <v>20.192699999999999</v>
      </c>
      <c r="M9" s="541">
        <v>19.8245</v>
      </c>
      <c r="N9" s="541">
        <v>19.1433</v>
      </c>
      <c r="O9" s="509">
        <v>3</v>
      </c>
      <c r="R9" s="509">
        <v>3</v>
      </c>
      <c r="S9" s="541">
        <v>19.935199999999998</v>
      </c>
      <c r="T9" s="541">
        <v>20.224799999999998</v>
      </c>
      <c r="U9" s="541">
        <v>20.612300000000001</v>
      </c>
      <c r="V9" s="541">
        <v>20.602499999999999</v>
      </c>
      <c r="W9" s="541">
        <v>20.097799999999999</v>
      </c>
      <c r="X9" s="541">
        <v>19.892700000000001</v>
      </c>
      <c r="Y9" s="541">
        <v>20.036799999999999</v>
      </c>
      <c r="Z9" s="541">
        <v>19.845500000000001</v>
      </c>
      <c r="AA9" s="541">
        <v>19.961500000000001</v>
      </c>
      <c r="AB9" s="541">
        <v>20.5623</v>
      </c>
      <c r="AC9" s="541">
        <v>20.529699999999998</v>
      </c>
      <c r="AD9" s="541">
        <v>21.271000000000001</v>
      </c>
      <c r="AE9" s="509">
        <v>3</v>
      </c>
      <c r="AH9" s="509">
        <v>3</v>
      </c>
      <c r="AI9" s="541">
        <v>18.8642</v>
      </c>
      <c r="AJ9" s="541">
        <v>18.785299999999999</v>
      </c>
      <c r="AK9" s="541">
        <v>19.776</v>
      </c>
      <c r="AL9" s="541">
        <v>24.491800000000001</v>
      </c>
      <c r="AM9" s="541">
        <v>24.0002</v>
      </c>
      <c r="AN9" s="541">
        <v>22.0168</v>
      </c>
      <c r="AO9" s="541">
        <v>22.8078</v>
      </c>
      <c r="AP9" s="541">
        <v>22.172699999999999</v>
      </c>
      <c r="AQ9" s="541">
        <v>21.744499999999999</v>
      </c>
      <c r="AR9" s="541">
        <v>21.956199999999999</v>
      </c>
      <c r="AS9" s="541">
        <v>21.376999999999999</v>
      </c>
      <c r="AT9" s="541">
        <v>20.050799999999999</v>
      </c>
      <c r="AU9" s="509">
        <v>3</v>
      </c>
      <c r="AX9" s="509">
        <v>3</v>
      </c>
      <c r="AY9" s="528">
        <v>19.651199999999999</v>
      </c>
      <c r="AZ9" s="528">
        <v>19.038799999999998</v>
      </c>
      <c r="BA9" s="528">
        <v>19.2607</v>
      </c>
      <c r="BB9" s="528">
        <v>19.216899999999999</v>
      </c>
      <c r="BC9" s="528">
        <v>19.009899999999998</v>
      </c>
      <c r="BD9" s="528">
        <v>19.068300000000001</v>
      </c>
      <c r="BE9" s="528">
        <v>19.076000000000001</v>
      </c>
      <c r="BF9" s="528">
        <v>19.162700000000001</v>
      </c>
      <c r="BG9" s="528">
        <v>20.069600000000001</v>
      </c>
      <c r="BH9" s="528">
        <v>19.779199999999999</v>
      </c>
      <c r="BI9" s="528">
        <v>19.194800000000001</v>
      </c>
      <c r="BJ9" s="528">
        <v>19.5352</v>
      </c>
      <c r="BK9" s="509">
        <v>3</v>
      </c>
      <c r="BN9" s="509">
        <v>3</v>
      </c>
      <c r="BO9" s="528">
        <v>19.6629</v>
      </c>
      <c r="BP9" s="528">
        <v>18.400400000000001</v>
      </c>
      <c r="BQ9" s="530">
        <v>18.861000000000001</v>
      </c>
      <c r="BR9" s="528">
        <v>18.270900000000001</v>
      </c>
      <c r="BS9" s="528">
        <v>18.787800000000001</v>
      </c>
      <c r="BT9" s="528">
        <v>19.975899999999999</v>
      </c>
      <c r="BU9" s="528">
        <v>19.691199999999998</v>
      </c>
      <c r="BV9" s="528">
        <v>18.5899</v>
      </c>
      <c r="BW9" s="528">
        <v>19.125800000000002</v>
      </c>
      <c r="BX9" s="528">
        <v>18.653099999999998</v>
      </c>
      <c r="BY9" s="528">
        <v>20.317699999999999</v>
      </c>
      <c r="BZ9" s="528">
        <v>20.221699999999998</v>
      </c>
      <c r="CA9" s="509">
        <v>3</v>
      </c>
      <c r="CD9" s="509">
        <v>3</v>
      </c>
      <c r="CE9" s="528">
        <v>20.619399999999999</v>
      </c>
      <c r="CF9" s="528">
        <v>20.775200000000002</v>
      </c>
      <c r="CG9" s="528">
        <v>19.900700000000001</v>
      </c>
      <c r="CH9" s="528">
        <v>18.707899999999999</v>
      </c>
      <c r="CI9" s="528">
        <v>18.959399999999999</v>
      </c>
      <c r="CJ9" s="528">
        <v>18.594100000000001</v>
      </c>
      <c r="CK9" s="528">
        <v>18.027899999999999</v>
      </c>
      <c r="CL9" s="528">
        <v>17.8108</v>
      </c>
      <c r="CM9" s="528">
        <v>17.814499999999999</v>
      </c>
      <c r="CN9" s="528">
        <v>18.158999999999999</v>
      </c>
      <c r="CO9" s="528">
        <v>19.1478</v>
      </c>
      <c r="CP9" s="528">
        <v>18.622900000000001</v>
      </c>
      <c r="CQ9" s="509">
        <v>3</v>
      </c>
      <c r="CT9" s="509">
        <v>3</v>
      </c>
      <c r="CU9" s="528">
        <v>17.3398</v>
      </c>
      <c r="CV9" s="528">
        <v>18.1935</v>
      </c>
      <c r="CW9" s="528">
        <v>17.943200000000001</v>
      </c>
      <c r="CX9" s="528">
        <v>17.236999999999998</v>
      </c>
      <c r="CY9" s="528">
        <v>17.1767</v>
      </c>
      <c r="CZ9" s="528">
        <v>18.529900000000001</v>
      </c>
      <c r="DA9" s="528">
        <v>18.464600000000001</v>
      </c>
      <c r="DB9" s="528">
        <v>18.8504</v>
      </c>
      <c r="DC9" s="528">
        <v>18.8523</v>
      </c>
      <c r="DD9" s="528">
        <v>19.4086</v>
      </c>
      <c r="DE9" s="528">
        <v>18.8887</v>
      </c>
      <c r="DF9" s="528">
        <v>20.748799999999999</v>
      </c>
      <c r="DG9" s="509">
        <v>3</v>
      </c>
      <c r="DJ9" s="509">
        <v>3</v>
      </c>
      <c r="DK9" s="528">
        <v>14.741400000000001</v>
      </c>
      <c r="DL9" s="528">
        <v>14.8414</v>
      </c>
      <c r="DM9" s="528">
        <v>14.955299999999999</v>
      </c>
      <c r="DN9" s="528">
        <v>15.264699999999999</v>
      </c>
      <c r="DO9" s="528">
        <v>15.2043</v>
      </c>
      <c r="DP9" s="528">
        <v>15.484500000000001</v>
      </c>
      <c r="DQ9" s="528">
        <v>15.7829</v>
      </c>
      <c r="DR9" s="528">
        <v>16.4512</v>
      </c>
      <c r="DS9" s="528">
        <v>16.869199999999999</v>
      </c>
      <c r="DT9" s="528">
        <v>16.9053</v>
      </c>
      <c r="DU9" s="528">
        <v>16.6219</v>
      </c>
      <c r="DV9" s="528">
        <v>16.510400000000001</v>
      </c>
      <c r="DW9" s="509">
        <v>3</v>
      </c>
      <c r="DZ9" s="509">
        <v>3</v>
      </c>
      <c r="EA9" s="528">
        <v>13.084300000000001</v>
      </c>
      <c r="EB9" s="528">
        <v>13.3207</v>
      </c>
      <c r="EC9" s="528">
        <v>13.3066</v>
      </c>
      <c r="ED9" s="528">
        <v>13.0313</v>
      </c>
      <c r="EE9" s="528">
        <v>13.0901</v>
      </c>
      <c r="EF9" s="528">
        <v>12.860900000000001</v>
      </c>
      <c r="EG9" s="528">
        <v>12.9605</v>
      </c>
      <c r="EH9" s="528">
        <v>13.226900000000001</v>
      </c>
      <c r="EI9" s="528">
        <v>13.083299999999999</v>
      </c>
      <c r="EJ9" s="528">
        <v>13.445499999999999</v>
      </c>
      <c r="EK9" s="528">
        <v>13.4316</v>
      </c>
      <c r="EL9" s="528">
        <v>13.9262</v>
      </c>
      <c r="EM9" s="509">
        <v>3</v>
      </c>
      <c r="EP9" s="509">
        <v>3</v>
      </c>
      <c r="EQ9" s="528">
        <v>12.9658</v>
      </c>
      <c r="ER9" s="528">
        <v>12.7094</v>
      </c>
      <c r="ES9" s="528">
        <v>12.779500000000001</v>
      </c>
      <c r="ET9" s="528">
        <v>12.3438</v>
      </c>
      <c r="EU9" s="528">
        <v>12.1456</v>
      </c>
      <c r="EV9" s="528">
        <v>12.7781</v>
      </c>
      <c r="EW9" s="528">
        <v>12.9131</v>
      </c>
      <c r="EX9" s="528">
        <v>12.806800000000001</v>
      </c>
      <c r="EY9" s="528">
        <v>13.3415</v>
      </c>
      <c r="EZ9" s="528">
        <v>13.1294</v>
      </c>
      <c r="FA9" s="528">
        <v>13.0067</v>
      </c>
      <c r="FB9" s="528">
        <v>13.110099999999999</v>
      </c>
      <c r="FC9" s="509">
        <v>3</v>
      </c>
      <c r="FF9" s="509">
        <v>3</v>
      </c>
      <c r="FG9" s="528">
        <v>13.9476</v>
      </c>
      <c r="FH9" s="528">
        <v>12.89</v>
      </c>
      <c r="FI9" s="528">
        <v>12.776400000000001</v>
      </c>
      <c r="FJ9" s="528">
        <v>12.8093</v>
      </c>
      <c r="FK9" s="528">
        <v>12.994199999999999</v>
      </c>
      <c r="FL9" s="528">
        <v>14.3047</v>
      </c>
      <c r="FM9" s="528">
        <v>13.4084</v>
      </c>
      <c r="FN9" s="528">
        <v>13.2867</v>
      </c>
      <c r="FO9" s="528">
        <v>13.417199999999999</v>
      </c>
      <c r="FP9" s="528">
        <v>12.8178</v>
      </c>
      <c r="FQ9" s="528">
        <v>13.091100000000001</v>
      </c>
      <c r="FR9" s="528">
        <v>12.9617</v>
      </c>
      <c r="FS9" s="509">
        <v>3</v>
      </c>
      <c r="FV9" s="509">
        <v>3</v>
      </c>
      <c r="FW9" s="528">
        <v>12.3817</v>
      </c>
      <c r="FX9" s="528">
        <v>12.016999999999999</v>
      </c>
      <c r="FY9" s="528">
        <v>12.0929</v>
      </c>
      <c r="FZ9" s="528">
        <v>11.9084</v>
      </c>
      <c r="GA9" s="528">
        <v>11.527799999999999</v>
      </c>
      <c r="GB9" s="528">
        <v>11.627700000000001</v>
      </c>
      <c r="GC9" s="528">
        <v>11.723000000000001</v>
      </c>
      <c r="GD9" s="528">
        <v>11.7514</v>
      </c>
      <c r="GE9" s="528">
        <v>12.2616</v>
      </c>
      <c r="GF9" s="528">
        <v>13.4567</v>
      </c>
      <c r="GG9" s="528">
        <v>13.180199999999999</v>
      </c>
      <c r="GH9" s="528">
        <v>13.589399999999999</v>
      </c>
      <c r="GI9" s="509">
        <v>3</v>
      </c>
      <c r="GL9" s="509">
        <v>3</v>
      </c>
      <c r="GM9" s="528">
        <v>13.043699999999999</v>
      </c>
      <c r="GN9" s="528">
        <v>13.0098</v>
      </c>
      <c r="GO9" s="528">
        <v>12.7454</v>
      </c>
      <c r="GP9" s="528">
        <v>12.4145</v>
      </c>
      <c r="GQ9" s="528">
        <v>12.246499999999999</v>
      </c>
      <c r="GR9" s="528">
        <v>12.901199999999999</v>
      </c>
      <c r="GS9" s="528">
        <v>13.032500000000001</v>
      </c>
      <c r="GT9" s="528">
        <v>12.6455</v>
      </c>
      <c r="GU9" s="528">
        <v>13.053800000000001</v>
      </c>
      <c r="GV9" s="528">
        <v>12.5998</v>
      </c>
      <c r="GW9" s="528">
        <v>12.338699999999999</v>
      </c>
      <c r="GX9" s="528">
        <v>12.396699999999999</v>
      </c>
      <c r="GY9" s="509">
        <v>3</v>
      </c>
      <c r="HB9" s="509">
        <v>3</v>
      </c>
      <c r="HC9" s="528">
        <v>13.8325</v>
      </c>
      <c r="HD9" s="528">
        <v>14.1975</v>
      </c>
      <c r="HE9" s="528">
        <v>15.069800000000001</v>
      </c>
      <c r="HF9" s="528">
        <v>13.9108</v>
      </c>
      <c r="HG9" s="528">
        <v>13.6485</v>
      </c>
      <c r="HH9" s="528">
        <v>13.154999999999999</v>
      </c>
      <c r="HI9" s="528">
        <v>13.097200000000001</v>
      </c>
      <c r="HJ9" s="528">
        <v>13.222300000000001</v>
      </c>
      <c r="HK9" s="528">
        <v>13.5246</v>
      </c>
      <c r="HL9" s="528">
        <v>13.6242</v>
      </c>
      <c r="HM9" s="528">
        <v>13.0825</v>
      </c>
      <c r="HN9" s="528">
        <v>12.855700000000001</v>
      </c>
      <c r="HO9" s="509">
        <v>3</v>
      </c>
      <c r="HP9" s="529"/>
      <c r="HQ9" s="529"/>
      <c r="HR9" s="509">
        <v>3</v>
      </c>
      <c r="HS9" s="528">
        <v>10.915699999999999</v>
      </c>
      <c r="HT9" s="528">
        <v>10.8262</v>
      </c>
      <c r="HU9" s="528">
        <v>10.6813</v>
      </c>
      <c r="HV9" s="528">
        <v>10.5985</v>
      </c>
      <c r="HW9" s="528">
        <v>10.509499999999999</v>
      </c>
      <c r="HX9" s="528">
        <v>10.3306</v>
      </c>
      <c r="HY9" s="528">
        <v>10.3908</v>
      </c>
      <c r="HZ9" s="528">
        <v>10.035299999999999</v>
      </c>
      <c r="IA9" s="528">
        <v>10.3423</v>
      </c>
      <c r="IB9" s="528">
        <v>10.9811</v>
      </c>
      <c r="IC9" s="528">
        <v>12.834199999999999</v>
      </c>
      <c r="ID9" s="528">
        <v>13.58</v>
      </c>
      <c r="IE9" s="509">
        <v>3</v>
      </c>
      <c r="IF9" s="529"/>
      <c r="IG9" s="529"/>
      <c r="IH9" s="509">
        <v>3</v>
      </c>
      <c r="II9" s="528">
        <v>10.8116</v>
      </c>
      <c r="IJ9" s="528">
        <v>10.981999999999999</v>
      </c>
      <c r="IK9" s="528">
        <v>11.191700000000001</v>
      </c>
      <c r="IL9" s="528">
        <v>11.0322</v>
      </c>
      <c r="IM9" s="528">
        <v>10.9278</v>
      </c>
      <c r="IN9" s="528">
        <v>10.7445</v>
      </c>
      <c r="IO9" s="528">
        <v>10.794600000000001</v>
      </c>
      <c r="IP9" s="528">
        <v>10.9663</v>
      </c>
      <c r="IQ9" s="528">
        <v>11.0848</v>
      </c>
      <c r="IR9" s="528">
        <v>10.9224</v>
      </c>
      <c r="IS9" s="528">
        <v>10.702299999999999</v>
      </c>
      <c r="IT9" s="528">
        <v>10.941700000000001</v>
      </c>
      <c r="IU9" s="509">
        <v>3</v>
      </c>
      <c r="IV9" s="529"/>
      <c r="IW9" s="529"/>
      <c r="IX9" s="509">
        <v>3</v>
      </c>
      <c r="IY9" s="528">
        <v>10.634399999999999</v>
      </c>
      <c r="IZ9" s="528">
        <v>10.430300000000001</v>
      </c>
      <c r="JA9" s="528">
        <v>10.4673</v>
      </c>
      <c r="JB9" s="528">
        <v>10.922800000000001</v>
      </c>
      <c r="JC9" s="528">
        <v>11.090299999999999</v>
      </c>
      <c r="JD9" s="528">
        <v>11.2843</v>
      </c>
      <c r="JE9" s="528">
        <v>11.4009</v>
      </c>
      <c r="JF9" s="528">
        <v>11.020300000000001</v>
      </c>
      <c r="JG9" s="528">
        <v>10.903700000000001</v>
      </c>
      <c r="JH9" s="528">
        <v>10.993499999999999</v>
      </c>
      <c r="JI9" s="528">
        <v>10.763999999999999</v>
      </c>
      <c r="JJ9" s="528">
        <v>10.9983</v>
      </c>
      <c r="JK9" s="509">
        <v>3</v>
      </c>
      <c r="JL9" s="529"/>
      <c r="JM9" s="529"/>
      <c r="JN9" s="509">
        <v>3</v>
      </c>
      <c r="JO9" s="528">
        <v>11.218299999999999</v>
      </c>
      <c r="JP9" s="528">
        <v>11.1714</v>
      </c>
      <c r="JQ9" s="528">
        <v>11.103999999999999</v>
      </c>
      <c r="JR9" s="528">
        <v>11.1783</v>
      </c>
      <c r="JS9" s="528">
        <v>11.0832</v>
      </c>
      <c r="JT9" s="528">
        <v>10.844200000000001</v>
      </c>
      <c r="JU9" s="528">
        <v>10.7752</v>
      </c>
      <c r="JV9" s="528">
        <v>10.599399999999999</v>
      </c>
      <c r="JW9" s="528">
        <v>10.7234</v>
      </c>
      <c r="JX9" s="528">
        <v>10.8131</v>
      </c>
      <c r="JY9" s="528">
        <v>10.764699999999999</v>
      </c>
      <c r="JZ9" s="528">
        <v>10.524699999999999</v>
      </c>
      <c r="KA9" s="509">
        <v>3</v>
      </c>
      <c r="KB9" s="529"/>
      <c r="KC9" s="529"/>
      <c r="KD9" s="509">
        <v>3</v>
      </c>
      <c r="KE9" s="528">
        <v>11.2372</v>
      </c>
      <c r="KF9" s="528">
        <v>11.0214</v>
      </c>
      <c r="KG9" s="528">
        <v>10.9794</v>
      </c>
      <c r="KH9" s="528">
        <v>11.1828</v>
      </c>
      <c r="KI9" s="528">
        <v>11.4068</v>
      </c>
      <c r="KJ9" s="528">
        <v>11.484500000000001</v>
      </c>
      <c r="KK9" s="528">
        <v>11.4922</v>
      </c>
      <c r="KL9" s="528">
        <v>11.4079</v>
      </c>
      <c r="KM9" s="528">
        <v>11.4145</v>
      </c>
      <c r="KN9" s="528">
        <v>11.388400000000001</v>
      </c>
      <c r="KO9" s="528">
        <v>11.533099999999999</v>
      </c>
      <c r="KP9" s="528">
        <v>11.1713</v>
      </c>
      <c r="KQ9" s="509">
        <v>3</v>
      </c>
      <c r="KR9" s="529"/>
      <c r="KS9" s="529"/>
      <c r="KT9" s="509">
        <v>3</v>
      </c>
      <c r="KU9" s="528">
        <v>10.439299999999999</v>
      </c>
      <c r="KV9" s="528">
        <v>10.8636</v>
      </c>
      <c r="KW9" s="528">
        <v>11.033300000000001</v>
      </c>
      <c r="KX9" s="528">
        <v>10.7362</v>
      </c>
      <c r="KY9" s="528">
        <v>10.3</v>
      </c>
      <c r="KZ9" s="528">
        <v>10.3377</v>
      </c>
      <c r="LA9" s="528">
        <v>10.4495</v>
      </c>
      <c r="LB9" s="528">
        <v>10.5243</v>
      </c>
      <c r="LC9" s="528">
        <v>11.045999999999999</v>
      </c>
      <c r="LD9" s="528">
        <v>10.961399999999999</v>
      </c>
      <c r="LE9" s="528">
        <v>11.1058</v>
      </c>
      <c r="LF9" s="528">
        <v>11.378299999999999</v>
      </c>
      <c r="LG9" s="509">
        <v>3</v>
      </c>
      <c r="LH9" s="529"/>
      <c r="LI9" s="529"/>
      <c r="LJ9" s="509">
        <v>3</v>
      </c>
      <c r="LK9" s="528">
        <v>9.1694999999999993</v>
      </c>
      <c r="LL9" s="528">
        <v>9.1463000000000001</v>
      </c>
      <c r="LM9" s="528">
        <v>9.1303000000000001</v>
      </c>
      <c r="LN9" s="528">
        <v>9.0048999999999992</v>
      </c>
      <c r="LO9" s="528">
        <v>9.3719999999999999</v>
      </c>
      <c r="LP9" s="528">
        <v>9.7148000000000003</v>
      </c>
      <c r="LQ9" s="528">
        <v>9.9283000000000001</v>
      </c>
      <c r="LR9" s="528">
        <v>9.8768999999999991</v>
      </c>
      <c r="LS9" s="528">
        <v>9.9108999999999998</v>
      </c>
      <c r="LT9" s="528">
        <v>10.157299999999999</v>
      </c>
      <c r="LU9" s="528">
        <v>10.155200000000001</v>
      </c>
      <c r="LV9" s="528">
        <v>10.1465</v>
      </c>
      <c r="LW9" s="509">
        <v>3</v>
      </c>
      <c r="LX9" s="529"/>
      <c r="LY9" s="529"/>
      <c r="LZ9" s="509">
        <v>3</v>
      </c>
      <c r="MA9" s="528">
        <v>9.6097999999999999</v>
      </c>
      <c r="MB9" s="528">
        <v>9.7327999999999992</v>
      </c>
      <c r="MC9" s="528">
        <v>9.7051999999999996</v>
      </c>
      <c r="MD9" s="528">
        <v>9.4932999999999996</v>
      </c>
      <c r="ME9" s="528">
        <v>9.2537000000000003</v>
      </c>
      <c r="MF9" s="528">
        <v>9.1835000000000004</v>
      </c>
      <c r="MG9" s="528">
        <v>9.0708000000000002</v>
      </c>
      <c r="MH9" s="528">
        <v>9.2111000000000001</v>
      </c>
      <c r="MI9" s="528">
        <v>9.1692</v>
      </c>
      <c r="MJ9" s="528">
        <v>9.5037000000000003</v>
      </c>
      <c r="MK9" s="528">
        <v>9.2891999999999992</v>
      </c>
      <c r="ML9" s="528">
        <v>9.2814999999999994</v>
      </c>
      <c r="MM9" s="509">
        <v>3</v>
      </c>
      <c r="MN9" s="529"/>
      <c r="MO9" s="529"/>
      <c r="MP9" s="509">
        <v>3</v>
      </c>
      <c r="MQ9" s="528">
        <v>9.5221999999999998</v>
      </c>
      <c r="MR9" s="528">
        <v>9.5955999999999992</v>
      </c>
      <c r="MS9" s="528">
        <v>9.3633000000000006</v>
      </c>
      <c r="MT9" s="528">
        <v>9.3015000000000008</v>
      </c>
      <c r="MU9" s="528">
        <v>9.4126999999999992</v>
      </c>
      <c r="MV9" s="528">
        <v>9.4987999999999992</v>
      </c>
      <c r="MW9" s="528">
        <v>9.9002999999999997</v>
      </c>
      <c r="MX9" s="528">
        <v>9.3428000000000004</v>
      </c>
      <c r="MY9" s="528">
        <v>9.1995000000000005</v>
      </c>
      <c r="MZ9" s="528">
        <v>9.4459</v>
      </c>
      <c r="NA9" s="528">
        <v>9.5641999999999996</v>
      </c>
      <c r="NB9" s="528">
        <v>9.3972999999999995</v>
      </c>
      <c r="NC9" s="509">
        <v>3</v>
      </c>
      <c r="ND9" s="529"/>
      <c r="NE9" s="529"/>
      <c r="NF9" s="509">
        <v>3</v>
      </c>
      <c r="NG9" s="528">
        <v>9.9395000000000007</v>
      </c>
      <c r="NH9" s="528">
        <v>10.098599999999999</v>
      </c>
      <c r="NI9" s="528">
        <v>9.9071999999999996</v>
      </c>
      <c r="NJ9" s="528">
        <v>9.5375999999999994</v>
      </c>
      <c r="NK9" s="528">
        <v>9.2622</v>
      </c>
      <c r="NL9" s="528">
        <v>9.8155999999999999</v>
      </c>
      <c r="NM9" s="528">
        <v>9.3773</v>
      </c>
      <c r="NN9" s="528">
        <v>9.4009999999999998</v>
      </c>
      <c r="NO9" s="528">
        <v>9.3849999999999998</v>
      </c>
      <c r="NP9" s="528">
        <v>9.3483000000000001</v>
      </c>
      <c r="NQ9" s="528">
        <v>9.625</v>
      </c>
      <c r="NR9" s="528">
        <v>9.4682999999999993</v>
      </c>
      <c r="NS9" s="509">
        <v>3</v>
      </c>
      <c r="NT9" s="529"/>
      <c r="NU9" s="529"/>
      <c r="NV9" s="509">
        <v>3</v>
      </c>
      <c r="NW9" s="528">
        <v>8.0680999999999994</v>
      </c>
      <c r="NX9" s="528">
        <v>8.4642999999999997</v>
      </c>
      <c r="NY9" s="528">
        <v>8.5252999999999997</v>
      </c>
      <c r="NZ9" s="528">
        <v>8.5096000000000007</v>
      </c>
      <c r="OA9" s="528">
        <v>8.5029000000000003</v>
      </c>
      <c r="OB9" s="528">
        <v>8.8983000000000008</v>
      </c>
      <c r="OC9" s="528">
        <v>8.9375</v>
      </c>
      <c r="OD9" s="528">
        <v>8.9008000000000003</v>
      </c>
      <c r="OE9" s="528">
        <v>9.9717000000000002</v>
      </c>
      <c r="OF9" s="528">
        <v>10.313700000000001</v>
      </c>
      <c r="OG9" s="528">
        <v>10.219799999999999</v>
      </c>
      <c r="OH9" s="528">
        <v>10.0318</v>
      </c>
      <c r="OI9" s="509">
        <v>3</v>
      </c>
      <c r="OJ9" s="529"/>
      <c r="OK9" s="529"/>
      <c r="OL9" s="509">
        <v>3</v>
      </c>
      <c r="OM9" s="528">
        <v>7.8703000000000003</v>
      </c>
      <c r="ON9" s="528">
        <v>7.8409000000000004</v>
      </c>
      <c r="OO9" s="528">
        <v>7.8357999999999999</v>
      </c>
      <c r="OP9" s="528">
        <v>7.9116999999999997</v>
      </c>
      <c r="OQ9" s="528">
        <v>7.9519000000000002</v>
      </c>
      <c r="OR9" s="528">
        <v>7.9166999999999996</v>
      </c>
      <c r="OS9" s="528">
        <v>7.9298000000000002</v>
      </c>
      <c r="OT9" s="528">
        <v>7.8247999999999998</v>
      </c>
      <c r="OU9" s="528">
        <v>7.7853000000000003</v>
      </c>
      <c r="OV9" s="528">
        <v>7.7535999999999996</v>
      </c>
      <c r="OW9" s="528">
        <v>8.3432999999999993</v>
      </c>
      <c r="OX9" s="528">
        <v>8.1809999999999992</v>
      </c>
      <c r="OY9" s="509">
        <v>3</v>
      </c>
      <c r="OZ9" s="529"/>
      <c r="PA9" s="529"/>
      <c r="PB9" s="509">
        <v>3</v>
      </c>
      <c r="PC9" s="528">
        <v>7.7396000000000003</v>
      </c>
      <c r="PD9" s="528">
        <v>7.4169999999999998</v>
      </c>
      <c r="PE9" s="528">
        <v>7.6295999999999999</v>
      </c>
      <c r="PF9" s="528">
        <v>7.5126999999999997</v>
      </c>
      <c r="PG9" s="528">
        <v>7.4462000000000002</v>
      </c>
      <c r="PH9" s="528">
        <v>7.4367000000000001</v>
      </c>
      <c r="PI9" s="528">
        <v>7.6215000000000002</v>
      </c>
      <c r="PJ9" s="528">
        <v>7.5709</v>
      </c>
      <c r="PK9" s="528">
        <v>7.5831</v>
      </c>
      <c r="PL9" s="528">
        <v>7.5316999999999998</v>
      </c>
      <c r="PM9" s="528">
        <v>8.0478000000000005</v>
      </c>
      <c r="PN9" s="528">
        <v>7.8929999999999998</v>
      </c>
      <c r="PO9" s="509">
        <v>3</v>
      </c>
      <c r="PP9" s="529"/>
      <c r="PQ9" s="529"/>
      <c r="PR9" s="509">
        <v>3</v>
      </c>
      <c r="PS9" s="528">
        <v>4.9950000000000001</v>
      </c>
      <c r="PT9" s="528">
        <v>5.5125000000000002</v>
      </c>
      <c r="PU9" s="528">
        <v>5.9775</v>
      </c>
      <c r="PV9" s="528">
        <v>6.78</v>
      </c>
      <c r="PW9" s="528">
        <v>6.0517000000000003</v>
      </c>
      <c r="PX9" s="528">
        <v>6.2167000000000003</v>
      </c>
      <c r="PY9" s="528">
        <v>6.2621000000000002</v>
      </c>
      <c r="PZ9" s="528">
        <v>6.1295999999999999</v>
      </c>
      <c r="QA9" s="528">
        <v>6.28</v>
      </c>
      <c r="QB9" s="528">
        <v>6.3848000000000003</v>
      </c>
      <c r="QC9" s="528">
        <v>7.1471</v>
      </c>
      <c r="QD9" s="528">
        <v>7.5467000000000004</v>
      </c>
      <c r="QE9" s="509">
        <v>3</v>
      </c>
      <c r="QF9" s="529"/>
      <c r="QG9" s="529"/>
      <c r="QH9" s="509">
        <v>3</v>
      </c>
      <c r="QI9" s="528">
        <v>3.1099000000000001</v>
      </c>
      <c r="QJ9" s="528">
        <v>3.105</v>
      </c>
      <c r="QK9" s="528">
        <v>3.1943999999999999</v>
      </c>
      <c r="QL9" s="528">
        <v>3.35</v>
      </c>
      <c r="QM9" s="528">
        <v>3.2747999999999999</v>
      </c>
      <c r="QN9" s="528">
        <v>3.3269000000000002</v>
      </c>
      <c r="QO9" s="528">
        <v>3.3938000000000001</v>
      </c>
      <c r="QP9" s="528">
        <v>3.3988999999999998</v>
      </c>
      <c r="QQ9" s="528">
        <v>3.3908</v>
      </c>
      <c r="QR9" s="528">
        <v>3.3980000000000001</v>
      </c>
      <c r="QS9" s="528">
        <v>3.4359999999999999</v>
      </c>
      <c r="QT9" s="528">
        <v>3.4386000000000001</v>
      </c>
      <c r="QU9" s="509">
        <v>3</v>
      </c>
      <c r="QV9" s="529"/>
      <c r="QW9" s="529"/>
      <c r="QX9" s="509">
        <v>3</v>
      </c>
      <c r="QY9" s="528">
        <v>3.1230000000000002</v>
      </c>
      <c r="QZ9" s="528">
        <v>3.1019000000000001</v>
      </c>
      <c r="RA9" s="528">
        <v>3.0939000000000001</v>
      </c>
      <c r="RB9" s="528">
        <v>3.0939999999999999</v>
      </c>
      <c r="RC9" s="528">
        <v>3.1152000000000002</v>
      </c>
      <c r="RD9" s="528">
        <v>3.1263999999999998</v>
      </c>
      <c r="RE9" s="528">
        <v>3.1292</v>
      </c>
      <c r="RF9" s="528">
        <v>3.1179000000000001</v>
      </c>
      <c r="RG9" s="528">
        <v>3.1137000000000001</v>
      </c>
      <c r="RH9" s="528">
        <v>3.1179000000000001</v>
      </c>
      <c r="RI9" s="528">
        <v>3.1293000000000002</v>
      </c>
      <c r="RJ9" s="528">
        <v>3.1034000000000002</v>
      </c>
      <c r="RK9" s="509">
        <v>3</v>
      </c>
      <c r="RL9" s="529"/>
      <c r="RM9" s="529"/>
      <c r="RN9" s="509">
        <v>3</v>
      </c>
      <c r="RO9" s="528">
        <v>3.0779999999999998</v>
      </c>
      <c r="RP9" s="528">
        <v>3.0684999999999998</v>
      </c>
      <c r="RQ9" s="528">
        <v>3.0609000000000002</v>
      </c>
      <c r="RR9" s="528">
        <v>3.0609000000000002</v>
      </c>
      <c r="RS9" s="528">
        <v>3.0794000000000001</v>
      </c>
      <c r="RT9" s="528">
        <v>3.1105999999999998</v>
      </c>
      <c r="RU9" s="528">
        <v>3.1223999999999998</v>
      </c>
      <c r="RV9" s="528">
        <v>3.1113</v>
      </c>
      <c r="RW9" s="528">
        <v>3.0714999999999999</v>
      </c>
      <c r="RX9" s="528">
        <v>3.1110000000000002</v>
      </c>
      <c r="RY9" s="528">
        <v>3.1309</v>
      </c>
      <c r="RZ9" s="528">
        <v>3.117</v>
      </c>
      <c r="SA9" s="509">
        <v>3</v>
      </c>
      <c r="SB9" s="529"/>
      <c r="SC9" s="529"/>
      <c r="SD9" s="509">
        <v>3</v>
      </c>
      <c r="SE9" s="528">
        <v>2.9470000000000001</v>
      </c>
      <c r="SF9" s="528">
        <v>2.9590000000000001</v>
      </c>
      <c r="SG9" s="528">
        <v>2.9702000000000002</v>
      </c>
      <c r="SH9" s="528">
        <v>2.9830000000000001</v>
      </c>
      <c r="SI9" s="528">
        <v>2.9950000000000001</v>
      </c>
      <c r="SJ9" s="528">
        <v>3.0066000000000002</v>
      </c>
      <c r="SK9" s="528">
        <v>3.0194000000000001</v>
      </c>
      <c r="SL9" s="528">
        <v>3.0318000000000001</v>
      </c>
      <c r="SM9" s="528">
        <v>3.0434000000000001</v>
      </c>
      <c r="SN9" s="528">
        <v>3.0569999999999999</v>
      </c>
      <c r="SO9" s="528">
        <v>3.069</v>
      </c>
      <c r="SP9" s="528">
        <v>3.0671900000000001</v>
      </c>
      <c r="SQ9" s="509">
        <v>3</v>
      </c>
      <c r="SR9" s="529"/>
      <c r="SS9" s="529"/>
      <c r="ST9" s="509">
        <v>3</v>
      </c>
      <c r="SU9" s="528">
        <v>2.645</v>
      </c>
      <c r="SV9" s="528">
        <v>2.6760000000000002</v>
      </c>
      <c r="SW9" s="528">
        <v>2.7040000000000002</v>
      </c>
      <c r="SX9" s="528">
        <v>2.7330000000000001</v>
      </c>
      <c r="SY9" s="528">
        <v>2.7650000000000001</v>
      </c>
      <c r="SZ9" s="528">
        <v>2.7946</v>
      </c>
      <c r="TA9" s="528">
        <v>2.8178000000000001</v>
      </c>
      <c r="TB9" s="528">
        <v>2.8441999999999998</v>
      </c>
      <c r="TC9" s="528">
        <v>2.8673999999999999</v>
      </c>
      <c r="TD9" s="528">
        <v>2.8929999999999998</v>
      </c>
      <c r="TE9" s="528">
        <v>2.9178000000000002</v>
      </c>
      <c r="TF9" s="528">
        <v>2.9338000000000002</v>
      </c>
      <c r="TG9" s="509">
        <v>3</v>
      </c>
      <c r="TH9" s="529"/>
      <c r="TI9" s="529"/>
      <c r="TJ9" s="509">
        <v>3</v>
      </c>
      <c r="TK9" s="528">
        <v>2.278</v>
      </c>
      <c r="TL9" s="528">
        <v>2.3109999999999999</v>
      </c>
      <c r="TM9" s="528">
        <v>2.339</v>
      </c>
      <c r="TN9" s="528">
        <v>2.3679999999999999</v>
      </c>
      <c r="TO9" s="528">
        <v>2.4</v>
      </c>
      <c r="TP9" s="528">
        <v>2.431</v>
      </c>
      <c r="TQ9" s="528">
        <v>2.4590000000000001</v>
      </c>
      <c r="TR9" s="528">
        <v>2.492</v>
      </c>
      <c r="TS9" s="528">
        <v>2.5219999999999998</v>
      </c>
      <c r="TT9" s="528">
        <v>2.5510000000000002</v>
      </c>
      <c r="TU9" s="528">
        <v>2.5840000000000001</v>
      </c>
      <c r="TV9" s="528">
        <v>2.613</v>
      </c>
      <c r="TW9" s="509">
        <v>3</v>
      </c>
    </row>
    <row r="10" spans="2:543" s="4" customFormat="1" ht="23" customHeight="1">
      <c r="B10" s="509">
        <v>4</v>
      </c>
      <c r="C10" s="541">
        <v>20.467199999999998</v>
      </c>
      <c r="D10" s="541">
        <v>20.600300000000001</v>
      </c>
      <c r="E10" s="541">
        <v>20.7193</v>
      </c>
      <c r="F10" s="541">
        <v>19.911200000000001</v>
      </c>
      <c r="G10" s="541">
        <v>20.407499999999999</v>
      </c>
      <c r="H10" s="541">
        <v>19.558499999999999</v>
      </c>
      <c r="I10" s="541">
        <v>20.133500000000002</v>
      </c>
      <c r="J10" s="541">
        <v>20.5152</v>
      </c>
      <c r="K10" s="541">
        <v>20.247299999999999</v>
      </c>
      <c r="L10" s="541">
        <v>20.092500000000001</v>
      </c>
      <c r="M10" s="541">
        <v>19.746300000000002</v>
      </c>
      <c r="N10" s="541">
        <v>19.1433</v>
      </c>
      <c r="O10" s="509">
        <v>4</v>
      </c>
      <c r="R10" s="509">
        <v>4</v>
      </c>
      <c r="S10" s="541">
        <v>19.935199999999998</v>
      </c>
      <c r="T10" s="541">
        <v>20.1722</v>
      </c>
      <c r="U10" s="541">
        <v>20.690300000000001</v>
      </c>
      <c r="V10" s="541">
        <v>20.602499999999999</v>
      </c>
      <c r="W10" s="541">
        <v>20.182200000000002</v>
      </c>
      <c r="X10" s="541">
        <v>19.927700000000002</v>
      </c>
      <c r="Y10" s="541">
        <v>20.036799999999999</v>
      </c>
      <c r="Z10" s="541">
        <v>19.852</v>
      </c>
      <c r="AA10" s="541">
        <v>19.970300000000002</v>
      </c>
      <c r="AB10" s="541">
        <v>20.5623</v>
      </c>
      <c r="AC10" s="541">
        <v>20.8598</v>
      </c>
      <c r="AD10" s="541">
        <v>21.3033</v>
      </c>
      <c r="AE10" s="509">
        <v>4</v>
      </c>
      <c r="AH10" s="509">
        <v>4</v>
      </c>
      <c r="AI10" s="541">
        <v>18.881699999999999</v>
      </c>
      <c r="AJ10" s="541">
        <v>18.785299999999999</v>
      </c>
      <c r="AK10" s="541">
        <v>19.698499999999999</v>
      </c>
      <c r="AL10" s="541">
        <v>24.108699999999999</v>
      </c>
      <c r="AM10" s="541">
        <v>24.0002</v>
      </c>
      <c r="AN10" s="541">
        <v>21.682700000000001</v>
      </c>
      <c r="AO10" s="541">
        <v>22.522500000000001</v>
      </c>
      <c r="AP10" s="541">
        <v>22.2012</v>
      </c>
      <c r="AQ10" s="541">
        <v>21.839300000000001</v>
      </c>
      <c r="AR10" s="541">
        <v>21.956199999999999</v>
      </c>
      <c r="AS10" s="541">
        <v>21.250800000000002</v>
      </c>
      <c r="AT10" s="541">
        <v>20.049700000000001</v>
      </c>
      <c r="AU10" s="509">
        <v>4</v>
      </c>
      <c r="AX10" s="509">
        <v>4</v>
      </c>
      <c r="AY10" s="528">
        <v>19.587800000000001</v>
      </c>
      <c r="AZ10" s="528">
        <v>19.038799999999998</v>
      </c>
      <c r="BA10" s="528">
        <v>19.2607</v>
      </c>
      <c r="BB10" s="528">
        <v>19.227900000000002</v>
      </c>
      <c r="BC10" s="528">
        <v>19.101400000000002</v>
      </c>
      <c r="BD10" s="528">
        <v>19.642600000000002</v>
      </c>
      <c r="BE10" s="528">
        <v>19.069400000000002</v>
      </c>
      <c r="BF10" s="528">
        <v>19.162700000000001</v>
      </c>
      <c r="BG10" s="528">
        <v>20.125299999999999</v>
      </c>
      <c r="BH10" s="528">
        <v>19.798500000000001</v>
      </c>
      <c r="BI10" s="528">
        <v>19.194800000000001</v>
      </c>
      <c r="BJ10" s="528">
        <v>19.5717</v>
      </c>
      <c r="BK10" s="509">
        <v>4</v>
      </c>
      <c r="BN10" s="509">
        <v>4</v>
      </c>
      <c r="BO10" s="528">
        <v>19.489899999999999</v>
      </c>
      <c r="BP10" s="528">
        <v>18.400400000000001</v>
      </c>
      <c r="BQ10" s="530">
        <v>18.861000000000001</v>
      </c>
      <c r="BR10" s="528">
        <v>18.296700000000001</v>
      </c>
      <c r="BS10" s="528">
        <v>19.0943</v>
      </c>
      <c r="BT10" s="528">
        <v>19.975899999999999</v>
      </c>
      <c r="BU10" s="528">
        <v>20.145299999999999</v>
      </c>
      <c r="BV10" s="528">
        <v>18.634899999999998</v>
      </c>
      <c r="BW10" s="528">
        <v>19.179200000000002</v>
      </c>
      <c r="BX10" s="528">
        <v>18.750299999999999</v>
      </c>
      <c r="BY10" s="528">
        <v>20.317699999999999</v>
      </c>
      <c r="BZ10" s="528">
        <v>20.345500000000001</v>
      </c>
      <c r="CA10" s="509">
        <v>4</v>
      </c>
      <c r="CD10" s="509">
        <v>4</v>
      </c>
      <c r="CE10" s="528">
        <v>20.732299999999999</v>
      </c>
      <c r="CF10" s="528">
        <v>20.575700000000001</v>
      </c>
      <c r="CG10" s="528">
        <v>19.9373</v>
      </c>
      <c r="CH10" s="528">
        <v>18.795500000000001</v>
      </c>
      <c r="CI10" s="528">
        <v>18.773099999999999</v>
      </c>
      <c r="CJ10" s="528">
        <v>18.594100000000001</v>
      </c>
      <c r="CK10" s="528">
        <v>18.0626</v>
      </c>
      <c r="CL10" s="528">
        <v>17.869599999999998</v>
      </c>
      <c r="CM10" s="528">
        <v>17.814499999999999</v>
      </c>
      <c r="CN10" s="528">
        <v>18.233699999999999</v>
      </c>
      <c r="CO10" s="528">
        <v>19.124099999999999</v>
      </c>
      <c r="CP10" s="528">
        <v>18.622900000000001</v>
      </c>
      <c r="CQ10" s="509">
        <v>4</v>
      </c>
      <c r="CT10" s="509">
        <v>4</v>
      </c>
      <c r="CU10" s="528">
        <v>17.3398</v>
      </c>
      <c r="CV10" s="528">
        <v>18.490200000000002</v>
      </c>
      <c r="CW10" s="528">
        <v>17.856100000000001</v>
      </c>
      <c r="CX10" s="528">
        <v>17.236999999999998</v>
      </c>
      <c r="CY10" s="528">
        <v>17.227900000000002</v>
      </c>
      <c r="CZ10" s="528">
        <v>18.6097</v>
      </c>
      <c r="DA10" s="528">
        <v>18.464600000000001</v>
      </c>
      <c r="DB10" s="528">
        <v>18.896599999999999</v>
      </c>
      <c r="DC10" s="528">
        <v>18.8523</v>
      </c>
      <c r="DD10" s="528">
        <v>19.377600000000001</v>
      </c>
      <c r="DE10" s="528">
        <v>19.130600000000001</v>
      </c>
      <c r="DF10" s="528">
        <v>20.748799999999999</v>
      </c>
      <c r="DG10" s="509">
        <v>4</v>
      </c>
      <c r="DJ10" s="509">
        <v>4</v>
      </c>
      <c r="DK10" s="528">
        <v>14.741400000000001</v>
      </c>
      <c r="DL10" s="528">
        <v>14.9885</v>
      </c>
      <c r="DM10" s="528">
        <v>14.9862</v>
      </c>
      <c r="DN10" s="528">
        <v>15.264699999999999</v>
      </c>
      <c r="DO10" s="528">
        <v>15.2043</v>
      </c>
      <c r="DP10" s="528">
        <v>15.412800000000001</v>
      </c>
      <c r="DQ10" s="528">
        <v>15.7829</v>
      </c>
      <c r="DR10" s="528">
        <v>16.077200000000001</v>
      </c>
      <c r="DS10" s="528">
        <v>16.944400000000002</v>
      </c>
      <c r="DT10" s="528">
        <v>16.9053</v>
      </c>
      <c r="DU10" s="528">
        <v>16.5244</v>
      </c>
      <c r="DV10" s="528">
        <v>16.593299999999999</v>
      </c>
      <c r="DW10" s="509">
        <v>4</v>
      </c>
      <c r="DZ10" s="509">
        <v>4</v>
      </c>
      <c r="EA10" s="528">
        <v>13.101100000000001</v>
      </c>
      <c r="EB10" s="528">
        <v>13.3207</v>
      </c>
      <c r="EC10" s="528">
        <v>13.2379</v>
      </c>
      <c r="ED10" s="528">
        <v>13.0991</v>
      </c>
      <c r="EE10" s="528">
        <v>13.0901</v>
      </c>
      <c r="EF10" s="528">
        <v>12.9108</v>
      </c>
      <c r="EG10" s="528">
        <v>12.9673</v>
      </c>
      <c r="EH10" s="528">
        <v>13.226900000000001</v>
      </c>
      <c r="EI10" s="528">
        <v>13.129899999999999</v>
      </c>
      <c r="EJ10" s="528">
        <v>13.4026</v>
      </c>
      <c r="EK10" s="528">
        <v>13.4773</v>
      </c>
      <c r="EL10" s="528">
        <v>14.076000000000001</v>
      </c>
      <c r="EM10" s="509">
        <v>4</v>
      </c>
      <c r="EP10" s="509">
        <v>4</v>
      </c>
      <c r="EQ10" s="528">
        <v>12.748799999999999</v>
      </c>
      <c r="ER10" s="528">
        <v>12.7094</v>
      </c>
      <c r="ES10" s="528">
        <v>12.779500000000001</v>
      </c>
      <c r="ET10" s="528">
        <v>12.2728</v>
      </c>
      <c r="EU10" s="528">
        <v>12.175599999999999</v>
      </c>
      <c r="EV10" s="528">
        <v>12.8035</v>
      </c>
      <c r="EW10" s="528">
        <v>12.984999999999999</v>
      </c>
      <c r="EX10" s="528">
        <v>12.806800000000001</v>
      </c>
      <c r="EY10" s="528">
        <v>13.307</v>
      </c>
      <c r="EZ10" s="528">
        <v>13.1593</v>
      </c>
      <c r="FA10" s="528">
        <v>13.0067</v>
      </c>
      <c r="FB10" s="528">
        <v>13.2041</v>
      </c>
      <c r="FC10" s="509">
        <v>4</v>
      </c>
      <c r="FF10" s="509">
        <v>4</v>
      </c>
      <c r="FG10" s="528">
        <v>13.934200000000001</v>
      </c>
      <c r="FH10" s="528">
        <v>12.803800000000001</v>
      </c>
      <c r="FI10" s="528">
        <v>12.776400000000001</v>
      </c>
      <c r="FJ10" s="528">
        <v>12.7691</v>
      </c>
      <c r="FK10" s="528">
        <v>12.962899999999999</v>
      </c>
      <c r="FL10" s="528">
        <v>14.3047</v>
      </c>
      <c r="FM10" s="528">
        <v>13.397</v>
      </c>
      <c r="FN10" s="528">
        <v>13.3927</v>
      </c>
      <c r="FO10" s="528">
        <v>13.257099999999999</v>
      </c>
      <c r="FP10" s="528">
        <v>12.8375</v>
      </c>
      <c r="FQ10" s="528">
        <v>13.091100000000001</v>
      </c>
      <c r="FR10" s="528">
        <v>12.9268</v>
      </c>
      <c r="FS10" s="509">
        <v>4</v>
      </c>
      <c r="FV10" s="509">
        <v>4</v>
      </c>
      <c r="FW10" s="528">
        <v>12.349600000000001</v>
      </c>
      <c r="FX10" s="528">
        <v>12.019</v>
      </c>
      <c r="FY10" s="528">
        <v>12.098100000000001</v>
      </c>
      <c r="FZ10" s="528">
        <v>11.9084</v>
      </c>
      <c r="GA10" s="528">
        <v>11.5023</v>
      </c>
      <c r="GB10" s="528">
        <v>11.6739</v>
      </c>
      <c r="GC10" s="528">
        <v>11.723000000000001</v>
      </c>
      <c r="GD10" s="528">
        <v>11.765700000000001</v>
      </c>
      <c r="GE10" s="528">
        <v>12.2616</v>
      </c>
      <c r="GF10" s="528">
        <v>13.7994</v>
      </c>
      <c r="GG10" s="528">
        <v>13.6282</v>
      </c>
      <c r="GH10" s="528">
        <v>13.589399999999999</v>
      </c>
      <c r="GI10" s="509">
        <v>4</v>
      </c>
      <c r="GL10" s="509">
        <v>4</v>
      </c>
      <c r="GM10" s="528">
        <v>13.043699999999999</v>
      </c>
      <c r="GN10" s="528">
        <v>12.869899999999999</v>
      </c>
      <c r="GO10" s="528">
        <v>12.725899999999999</v>
      </c>
      <c r="GP10" s="528">
        <v>12.4145</v>
      </c>
      <c r="GQ10" s="528">
        <v>12.262600000000001</v>
      </c>
      <c r="GR10" s="528">
        <v>12.862500000000001</v>
      </c>
      <c r="GS10" s="528">
        <v>13.032500000000001</v>
      </c>
      <c r="GT10" s="528">
        <v>12.572800000000001</v>
      </c>
      <c r="GU10" s="528">
        <v>13.055</v>
      </c>
      <c r="GV10" s="528">
        <v>12.5998</v>
      </c>
      <c r="GW10" s="528">
        <v>12.3452</v>
      </c>
      <c r="GX10" s="528">
        <v>12.3546</v>
      </c>
      <c r="GY10" s="509">
        <v>4</v>
      </c>
      <c r="HB10" s="509">
        <v>4</v>
      </c>
      <c r="HC10" s="528">
        <v>13.8325</v>
      </c>
      <c r="HD10" s="528">
        <v>14.309699999999999</v>
      </c>
      <c r="HE10" s="528">
        <v>15.365</v>
      </c>
      <c r="HF10" s="528">
        <v>13.792400000000001</v>
      </c>
      <c r="HG10" s="528">
        <v>13.6485</v>
      </c>
      <c r="HH10" s="528">
        <v>13.260899999999999</v>
      </c>
      <c r="HI10" s="528">
        <v>13.169499999999999</v>
      </c>
      <c r="HJ10" s="528">
        <v>13.2125</v>
      </c>
      <c r="HK10" s="528">
        <v>13.6427</v>
      </c>
      <c r="HL10" s="528">
        <v>13.6242</v>
      </c>
      <c r="HM10" s="528">
        <v>13.1479</v>
      </c>
      <c r="HN10" s="528">
        <v>12.8026</v>
      </c>
      <c r="HO10" s="509">
        <v>4</v>
      </c>
      <c r="HP10" s="529"/>
      <c r="HQ10" s="529"/>
      <c r="HR10" s="509">
        <v>4</v>
      </c>
      <c r="HS10" s="528">
        <v>10.8972</v>
      </c>
      <c r="HT10" s="528">
        <v>10.8262</v>
      </c>
      <c r="HU10" s="528">
        <v>10.724299999999999</v>
      </c>
      <c r="HV10" s="528">
        <v>10.5557</v>
      </c>
      <c r="HW10" s="528">
        <v>10.509499999999999</v>
      </c>
      <c r="HX10" s="528">
        <v>10.341699999999999</v>
      </c>
      <c r="HY10" s="528">
        <v>10.372199999999999</v>
      </c>
      <c r="HZ10" s="528">
        <v>10.035299999999999</v>
      </c>
      <c r="IA10" s="528">
        <v>10.3781</v>
      </c>
      <c r="IB10" s="528">
        <v>11.1296</v>
      </c>
      <c r="IC10" s="528">
        <v>12.7125</v>
      </c>
      <c r="ID10" s="528">
        <v>13.53</v>
      </c>
      <c r="IE10" s="509">
        <v>4</v>
      </c>
      <c r="IF10" s="529"/>
      <c r="IG10" s="529"/>
      <c r="IH10" s="509">
        <v>4</v>
      </c>
      <c r="II10" s="528">
        <v>10.781499999999999</v>
      </c>
      <c r="IJ10" s="528">
        <v>10.981999999999999</v>
      </c>
      <c r="IK10" s="528">
        <v>11.191700000000001</v>
      </c>
      <c r="IL10" s="528">
        <v>11.0336</v>
      </c>
      <c r="IM10" s="528">
        <v>10.9262</v>
      </c>
      <c r="IN10" s="528">
        <v>10.7445</v>
      </c>
      <c r="IO10" s="528">
        <v>10.7697</v>
      </c>
      <c r="IP10" s="528">
        <v>10.940200000000001</v>
      </c>
      <c r="IQ10" s="528">
        <v>11.037800000000001</v>
      </c>
      <c r="IR10" s="528">
        <v>10.920999999999999</v>
      </c>
      <c r="IS10" s="528">
        <v>10.702299999999999</v>
      </c>
      <c r="IT10" s="528">
        <v>10.896800000000001</v>
      </c>
      <c r="IU10" s="509">
        <v>4</v>
      </c>
      <c r="IV10" s="529"/>
      <c r="IW10" s="529"/>
      <c r="IX10" s="509">
        <v>4</v>
      </c>
      <c r="IY10" s="528">
        <v>10.625299999999999</v>
      </c>
      <c r="IZ10" s="528">
        <v>10.480499999999999</v>
      </c>
      <c r="JA10" s="528">
        <v>10.5113</v>
      </c>
      <c r="JB10" s="528">
        <v>10.8935</v>
      </c>
      <c r="JC10" s="528">
        <v>11.032299999999999</v>
      </c>
      <c r="JD10" s="528">
        <v>11.2843</v>
      </c>
      <c r="JE10" s="528">
        <v>11.2723</v>
      </c>
      <c r="JF10" s="528">
        <v>10.9537</v>
      </c>
      <c r="JG10" s="528">
        <v>10.903700000000001</v>
      </c>
      <c r="JH10" s="528">
        <v>10.9733</v>
      </c>
      <c r="JI10" s="528">
        <v>10.744899999999999</v>
      </c>
      <c r="JJ10" s="528">
        <v>10.9983</v>
      </c>
      <c r="JK10" s="509">
        <v>4</v>
      </c>
      <c r="JL10" s="529"/>
      <c r="JM10" s="529"/>
      <c r="JN10" s="509">
        <v>4</v>
      </c>
      <c r="JO10" s="528">
        <v>11.1495</v>
      </c>
      <c r="JP10" s="528">
        <v>11.167</v>
      </c>
      <c r="JQ10" s="528">
        <v>11.1073</v>
      </c>
      <c r="JR10" s="528">
        <v>11.1783</v>
      </c>
      <c r="JS10" s="528">
        <v>11.027100000000001</v>
      </c>
      <c r="JT10" s="528">
        <v>10.814399999999999</v>
      </c>
      <c r="JU10" s="528">
        <v>10.7752</v>
      </c>
      <c r="JV10" s="528">
        <v>10.5968</v>
      </c>
      <c r="JW10" s="528">
        <v>10.7234</v>
      </c>
      <c r="JX10" s="528">
        <v>10.790699999999999</v>
      </c>
      <c r="JY10" s="528">
        <v>10.7613</v>
      </c>
      <c r="JZ10" s="528">
        <v>10.524699999999999</v>
      </c>
      <c r="KA10" s="509">
        <v>4</v>
      </c>
      <c r="KB10" s="529"/>
      <c r="KC10" s="529"/>
      <c r="KD10" s="509">
        <v>4</v>
      </c>
      <c r="KE10" s="528">
        <v>11.2372</v>
      </c>
      <c r="KF10" s="528">
        <v>10.954499999999999</v>
      </c>
      <c r="KG10" s="528">
        <v>10.962300000000001</v>
      </c>
      <c r="KH10" s="528">
        <v>11.1828</v>
      </c>
      <c r="KI10" s="528">
        <v>11.4093</v>
      </c>
      <c r="KJ10" s="528">
        <v>11.426500000000001</v>
      </c>
      <c r="KK10" s="528">
        <v>11.4922</v>
      </c>
      <c r="KL10" s="528">
        <v>11.4253</v>
      </c>
      <c r="KM10" s="528">
        <v>11.4725</v>
      </c>
      <c r="KN10" s="528">
        <v>11.388400000000001</v>
      </c>
      <c r="KO10" s="528">
        <v>11.499700000000001</v>
      </c>
      <c r="KP10" s="528">
        <v>11.145300000000001</v>
      </c>
      <c r="KQ10" s="509">
        <v>4</v>
      </c>
      <c r="KR10" s="529"/>
      <c r="KS10" s="529"/>
      <c r="KT10" s="509">
        <v>4</v>
      </c>
      <c r="KU10" s="528">
        <v>10.3626</v>
      </c>
      <c r="KV10" s="528">
        <v>10.9069</v>
      </c>
      <c r="KW10" s="528">
        <v>11.032400000000001</v>
      </c>
      <c r="KX10" s="528">
        <v>10.6676</v>
      </c>
      <c r="KY10" s="528">
        <v>10.3</v>
      </c>
      <c r="KZ10" s="528">
        <v>10.2402</v>
      </c>
      <c r="LA10" s="528">
        <v>10.4779</v>
      </c>
      <c r="LB10" s="528">
        <v>10.5243</v>
      </c>
      <c r="LC10" s="528">
        <v>11.0313</v>
      </c>
      <c r="LD10" s="528">
        <v>11.160299999999999</v>
      </c>
      <c r="LE10" s="528">
        <v>11.0525</v>
      </c>
      <c r="LF10" s="528">
        <v>11.3535</v>
      </c>
      <c r="LG10" s="509">
        <v>4</v>
      </c>
      <c r="LH10" s="529"/>
      <c r="LI10" s="529"/>
      <c r="LJ10" s="509">
        <v>4</v>
      </c>
      <c r="LK10" s="528">
        <v>9.1036999999999999</v>
      </c>
      <c r="LL10" s="528">
        <v>9.1463000000000001</v>
      </c>
      <c r="LM10" s="528">
        <v>9.1303000000000001</v>
      </c>
      <c r="LN10" s="528">
        <v>8.9979999999999993</v>
      </c>
      <c r="LO10" s="528">
        <v>9.4169999999999998</v>
      </c>
      <c r="LP10" s="528">
        <v>9.6562000000000001</v>
      </c>
      <c r="LQ10" s="528">
        <v>9.9611999999999998</v>
      </c>
      <c r="LR10" s="528">
        <v>9.8768999999999991</v>
      </c>
      <c r="LS10" s="528">
        <v>9.9186999999999994</v>
      </c>
      <c r="LT10" s="528">
        <v>10.1248</v>
      </c>
      <c r="LU10" s="528">
        <v>10.155200000000001</v>
      </c>
      <c r="LV10" s="528">
        <v>10.1036</v>
      </c>
      <c r="LW10" s="509">
        <v>4</v>
      </c>
      <c r="LX10" s="529"/>
      <c r="LY10" s="529"/>
      <c r="LZ10" s="509">
        <v>4</v>
      </c>
      <c r="MA10" s="528">
        <v>9.7140000000000004</v>
      </c>
      <c r="MB10" s="528">
        <v>9.7327999999999992</v>
      </c>
      <c r="MC10" s="528">
        <v>9.7051999999999996</v>
      </c>
      <c r="MD10" s="528">
        <v>9.4152000000000005</v>
      </c>
      <c r="ME10" s="528">
        <v>9.2829999999999995</v>
      </c>
      <c r="MF10" s="528">
        <v>9.1835000000000004</v>
      </c>
      <c r="MG10" s="528">
        <v>9.0221</v>
      </c>
      <c r="MH10" s="528">
        <v>9.1698000000000004</v>
      </c>
      <c r="MI10" s="528">
        <v>9.1999999999999993</v>
      </c>
      <c r="MJ10" s="528">
        <v>9.5216999999999992</v>
      </c>
      <c r="MK10" s="528">
        <v>9.2891999999999992</v>
      </c>
      <c r="ML10" s="528">
        <v>9.2681000000000004</v>
      </c>
      <c r="MM10" s="509">
        <v>4</v>
      </c>
      <c r="MN10" s="529"/>
      <c r="MO10" s="529"/>
      <c r="MP10" s="509">
        <v>4</v>
      </c>
      <c r="MQ10" s="528">
        <v>9.4985999999999997</v>
      </c>
      <c r="MR10" s="528">
        <v>9.5724</v>
      </c>
      <c r="MS10" s="528">
        <v>9.3382000000000005</v>
      </c>
      <c r="MT10" s="528">
        <v>9.2844999999999995</v>
      </c>
      <c r="MU10" s="528">
        <v>9.3374000000000006</v>
      </c>
      <c r="MV10" s="528">
        <v>9.4987999999999992</v>
      </c>
      <c r="MW10" s="528">
        <v>9.8242999999999991</v>
      </c>
      <c r="MX10" s="528">
        <v>9.3461999999999996</v>
      </c>
      <c r="MY10" s="528">
        <v>9.1995000000000005</v>
      </c>
      <c r="MZ10" s="528">
        <v>9.4141999999999992</v>
      </c>
      <c r="NA10" s="528">
        <v>9.5823999999999998</v>
      </c>
      <c r="NB10" s="528">
        <v>9.3972999999999995</v>
      </c>
      <c r="NC10" s="509">
        <v>4</v>
      </c>
      <c r="ND10" s="529"/>
      <c r="NE10" s="529"/>
      <c r="NF10" s="509">
        <v>4</v>
      </c>
      <c r="NG10" s="528">
        <v>9.9395000000000007</v>
      </c>
      <c r="NH10" s="528">
        <v>10.0823</v>
      </c>
      <c r="NI10" s="528">
        <v>9.9527999999999999</v>
      </c>
      <c r="NJ10" s="528">
        <v>9.5375999999999994</v>
      </c>
      <c r="NK10" s="528">
        <v>9.2446999999999999</v>
      </c>
      <c r="NL10" s="528">
        <v>9.7652999999999999</v>
      </c>
      <c r="NM10" s="528">
        <v>9.3773</v>
      </c>
      <c r="NN10" s="528">
        <v>9.4057999999999993</v>
      </c>
      <c r="NO10" s="528">
        <v>9.3739000000000008</v>
      </c>
      <c r="NP10" s="528">
        <v>9.3483000000000001</v>
      </c>
      <c r="NQ10" s="528">
        <v>9.6207999999999991</v>
      </c>
      <c r="NR10" s="528">
        <v>9.5326000000000004</v>
      </c>
      <c r="NS10" s="509">
        <v>4</v>
      </c>
      <c r="NT10" s="529"/>
      <c r="NU10" s="529"/>
      <c r="NV10" s="509">
        <v>4</v>
      </c>
      <c r="NW10" s="528">
        <v>8.0680999999999994</v>
      </c>
      <c r="NX10" s="528">
        <v>8.4367000000000001</v>
      </c>
      <c r="NY10" s="528">
        <v>8.4956999999999994</v>
      </c>
      <c r="NZ10" s="528">
        <v>8.5213999999999999</v>
      </c>
      <c r="OA10" s="528">
        <v>8.5029000000000003</v>
      </c>
      <c r="OB10" s="528">
        <v>8.8818000000000001</v>
      </c>
      <c r="OC10" s="528">
        <v>8.9863</v>
      </c>
      <c r="OD10" s="528">
        <v>8.9215</v>
      </c>
      <c r="OE10" s="528">
        <v>9.9458000000000002</v>
      </c>
      <c r="OF10" s="528">
        <v>10.313700000000001</v>
      </c>
      <c r="OG10" s="528">
        <v>10.1137</v>
      </c>
      <c r="OH10" s="528">
        <v>9.9681999999999995</v>
      </c>
      <c r="OI10" s="509">
        <v>4</v>
      </c>
      <c r="OJ10" s="529"/>
      <c r="OK10" s="529"/>
      <c r="OL10" s="509">
        <v>4</v>
      </c>
      <c r="OM10" s="528">
        <v>7.9027000000000003</v>
      </c>
      <c r="ON10" s="528">
        <v>7.8216999999999999</v>
      </c>
      <c r="OO10" s="528">
        <v>7.9740000000000002</v>
      </c>
      <c r="OP10" s="528">
        <v>7.9248000000000003</v>
      </c>
      <c r="OQ10" s="528">
        <v>7.9519000000000002</v>
      </c>
      <c r="OR10" s="528">
        <v>7.9183000000000003</v>
      </c>
      <c r="OS10" s="528">
        <v>7.9394999999999998</v>
      </c>
      <c r="OT10" s="528">
        <v>7.8247999999999998</v>
      </c>
      <c r="OU10" s="528">
        <v>7.7770000000000001</v>
      </c>
      <c r="OV10" s="528">
        <v>7.7530000000000001</v>
      </c>
      <c r="OW10" s="528">
        <v>8.3682999999999996</v>
      </c>
      <c r="OX10" s="528">
        <v>8.1538000000000004</v>
      </c>
      <c r="OY10" s="509">
        <v>4</v>
      </c>
      <c r="OZ10" s="529"/>
      <c r="PA10" s="529"/>
      <c r="PB10" s="509">
        <v>4</v>
      </c>
      <c r="PC10" s="528">
        <v>7.6958000000000002</v>
      </c>
      <c r="PD10" s="528">
        <v>7.4169999999999998</v>
      </c>
      <c r="PE10" s="528">
        <v>7.6295999999999999</v>
      </c>
      <c r="PF10" s="528">
        <v>7.5110000000000001</v>
      </c>
      <c r="PG10" s="528">
        <v>7.4691999999999998</v>
      </c>
      <c r="PH10" s="528">
        <v>7.4207999999999998</v>
      </c>
      <c r="PI10" s="528">
        <v>7.5842000000000001</v>
      </c>
      <c r="PJ10" s="528">
        <v>7.5709</v>
      </c>
      <c r="PK10" s="528">
        <v>7.5490000000000004</v>
      </c>
      <c r="PL10" s="528">
        <v>7.5183</v>
      </c>
      <c r="PM10" s="528">
        <v>8.0478000000000005</v>
      </c>
      <c r="PN10" s="528">
        <v>7.8928000000000003</v>
      </c>
      <c r="PO10" s="509">
        <v>4</v>
      </c>
      <c r="PP10" s="529"/>
      <c r="PQ10" s="529"/>
      <c r="PR10" s="509">
        <v>4</v>
      </c>
      <c r="PS10" s="528">
        <v>5.27</v>
      </c>
      <c r="PT10" s="528">
        <v>5.4550000000000001</v>
      </c>
      <c r="PU10" s="528">
        <v>5.9625000000000004</v>
      </c>
      <c r="PV10" s="528">
        <v>6.8475000000000001</v>
      </c>
      <c r="PW10" s="528">
        <v>5.9566999999999997</v>
      </c>
      <c r="PX10" s="528">
        <v>6.2167000000000003</v>
      </c>
      <c r="PY10" s="528">
        <v>6.2607999999999997</v>
      </c>
      <c r="PZ10" s="528">
        <v>6.1143000000000001</v>
      </c>
      <c r="QA10" s="528">
        <v>6.28</v>
      </c>
      <c r="QB10" s="528">
        <v>6.4341999999999997</v>
      </c>
      <c r="QC10" s="528">
        <v>7.4032999999999998</v>
      </c>
      <c r="QD10" s="528">
        <v>7.5467000000000004</v>
      </c>
      <c r="QE10" s="509">
        <v>4</v>
      </c>
      <c r="QF10" s="529"/>
      <c r="QG10" s="529"/>
      <c r="QH10" s="509">
        <v>4</v>
      </c>
      <c r="QI10" s="528">
        <v>3.1071</v>
      </c>
      <c r="QJ10" s="528">
        <v>3.1053000000000002</v>
      </c>
      <c r="QK10" s="528">
        <v>3.2663000000000002</v>
      </c>
      <c r="QL10" s="528">
        <v>3.35</v>
      </c>
      <c r="QM10" s="528">
        <v>3.2747999999999999</v>
      </c>
      <c r="QN10" s="528">
        <v>3.3252999999999999</v>
      </c>
      <c r="QO10" s="528">
        <v>3.3938000000000001</v>
      </c>
      <c r="QP10" s="528">
        <v>3.3788999999999998</v>
      </c>
      <c r="QQ10" s="528">
        <v>3.3908</v>
      </c>
      <c r="QR10" s="528">
        <v>3.3982999999999999</v>
      </c>
      <c r="QS10" s="528">
        <v>3.4380999999999999</v>
      </c>
      <c r="QT10" s="528">
        <v>3.4386000000000001</v>
      </c>
      <c r="QU10" s="509">
        <v>4</v>
      </c>
      <c r="QV10" s="529"/>
      <c r="QW10" s="529"/>
      <c r="QX10" s="509">
        <v>4</v>
      </c>
      <c r="QY10" s="528">
        <v>3.1230000000000002</v>
      </c>
      <c r="QZ10" s="528">
        <v>3.0998999999999999</v>
      </c>
      <c r="RA10" s="528">
        <v>3.0939000000000001</v>
      </c>
      <c r="RB10" s="528">
        <v>3.0939999999999999</v>
      </c>
      <c r="RC10" s="528">
        <v>3.1139000000000001</v>
      </c>
      <c r="RD10" s="528">
        <v>3.1219000000000001</v>
      </c>
      <c r="RE10" s="528">
        <v>3.1292</v>
      </c>
      <c r="RF10" s="528">
        <v>3.1162000000000001</v>
      </c>
      <c r="RG10" s="528">
        <v>3.1139000000000001</v>
      </c>
      <c r="RH10" s="528">
        <v>3.1179000000000001</v>
      </c>
      <c r="RI10" s="528">
        <v>3.1259000000000001</v>
      </c>
      <c r="RJ10" s="528">
        <v>3.1036999999999999</v>
      </c>
      <c r="RK10" s="509">
        <v>4</v>
      </c>
      <c r="RL10" s="529"/>
      <c r="RM10" s="529"/>
      <c r="RN10" s="509">
        <v>4</v>
      </c>
      <c r="RO10" s="528">
        <v>3.0752999999999999</v>
      </c>
      <c r="RP10" s="528">
        <v>3.0672999999999999</v>
      </c>
      <c r="RQ10" s="528">
        <v>3.0611000000000002</v>
      </c>
      <c r="RR10" s="528">
        <v>3.0609000000000002</v>
      </c>
      <c r="RS10" s="528">
        <v>3.0794000000000001</v>
      </c>
      <c r="RT10" s="528">
        <v>3.1175999999999999</v>
      </c>
      <c r="RU10" s="528">
        <v>3.1204000000000001</v>
      </c>
      <c r="RV10" s="528">
        <v>3.1124000000000001</v>
      </c>
      <c r="RW10" s="528">
        <v>3.0693999999999999</v>
      </c>
      <c r="RX10" s="528">
        <v>3.1110000000000002</v>
      </c>
      <c r="RY10" s="528">
        <v>3.1255999999999999</v>
      </c>
      <c r="RZ10" s="528">
        <v>3.1160000000000001</v>
      </c>
      <c r="SA10" s="509">
        <v>4</v>
      </c>
      <c r="SB10" s="529"/>
      <c r="SC10" s="529"/>
      <c r="SD10" s="509">
        <v>4</v>
      </c>
      <c r="SE10" s="528">
        <v>2.9474</v>
      </c>
      <c r="SF10" s="528">
        <v>2.9590000000000001</v>
      </c>
      <c r="SG10" s="528">
        <v>2.9702000000000002</v>
      </c>
      <c r="SH10" s="528">
        <v>2.9834000000000001</v>
      </c>
      <c r="SI10" s="528">
        <v>2.9954000000000001</v>
      </c>
      <c r="SJ10" s="528">
        <v>3.0070000000000001</v>
      </c>
      <c r="SK10" s="528">
        <v>3.0198</v>
      </c>
      <c r="SL10" s="528">
        <v>3.0318000000000001</v>
      </c>
      <c r="SM10" s="528">
        <v>3.0446</v>
      </c>
      <c r="SN10" s="528">
        <v>3.0573999999999999</v>
      </c>
      <c r="SO10" s="528">
        <v>3.069</v>
      </c>
      <c r="SP10" s="528">
        <v>3.0661900000000002</v>
      </c>
      <c r="SQ10" s="509">
        <v>4</v>
      </c>
      <c r="SR10" s="529"/>
      <c r="SS10" s="529"/>
      <c r="ST10" s="509">
        <v>4</v>
      </c>
      <c r="SU10" s="528">
        <v>2.6459999999999999</v>
      </c>
      <c r="SV10" s="528">
        <v>2.6760000000000002</v>
      </c>
      <c r="SW10" s="528">
        <v>2.7040000000000002</v>
      </c>
      <c r="SX10" s="528">
        <v>2.7360000000000002</v>
      </c>
      <c r="SY10" s="528">
        <v>2.766</v>
      </c>
      <c r="SZ10" s="528">
        <v>2.7946</v>
      </c>
      <c r="TA10" s="528">
        <v>2.8201999999999998</v>
      </c>
      <c r="TB10" s="528">
        <v>2.8450000000000002</v>
      </c>
      <c r="TC10" s="528">
        <v>2.8681999999999999</v>
      </c>
      <c r="TD10" s="528">
        <v>2.8938000000000001</v>
      </c>
      <c r="TE10" s="528">
        <v>2.9178000000000002</v>
      </c>
      <c r="TF10" s="528">
        <v>2.9342000000000001</v>
      </c>
      <c r="TG10" s="509">
        <v>4</v>
      </c>
      <c r="TH10" s="529"/>
      <c r="TI10" s="529"/>
      <c r="TJ10" s="509">
        <v>4</v>
      </c>
      <c r="TK10" s="528">
        <v>2.2810000000000001</v>
      </c>
      <c r="TL10" s="528">
        <v>2.3119999999999998</v>
      </c>
      <c r="TM10" s="528">
        <v>2.34</v>
      </c>
      <c r="TN10" s="528">
        <v>2.3690000000000002</v>
      </c>
      <c r="TO10" s="528">
        <v>2.4009999999999998</v>
      </c>
      <c r="TP10" s="528">
        <v>2.431</v>
      </c>
      <c r="TQ10" s="528">
        <v>2.46</v>
      </c>
      <c r="TR10" s="528">
        <v>2.4929999999999999</v>
      </c>
      <c r="TS10" s="528">
        <v>2.5219999999999998</v>
      </c>
      <c r="TT10" s="528">
        <v>2.5539999999999998</v>
      </c>
      <c r="TU10" s="528">
        <v>2.585</v>
      </c>
      <c r="TV10" s="528">
        <v>2.613</v>
      </c>
      <c r="TW10" s="509">
        <v>4</v>
      </c>
    </row>
    <row r="11" spans="2:543" s="4" customFormat="1" ht="23" customHeight="1">
      <c r="B11" s="509">
        <v>5</v>
      </c>
      <c r="C11" s="541">
        <v>20.588999999999999</v>
      </c>
      <c r="D11" s="541">
        <v>20.5562</v>
      </c>
      <c r="E11" s="541">
        <v>20.703299999999999</v>
      </c>
      <c r="F11" s="541">
        <v>19.8432</v>
      </c>
      <c r="G11" s="541">
        <v>20.335000000000001</v>
      </c>
      <c r="H11" s="541">
        <v>19.558499999999999</v>
      </c>
      <c r="I11" s="541">
        <v>20.381699999999999</v>
      </c>
      <c r="J11" s="541">
        <v>20.630500000000001</v>
      </c>
      <c r="K11" s="541">
        <v>20.247299999999999</v>
      </c>
      <c r="L11" s="541">
        <v>20.000800000000002</v>
      </c>
      <c r="M11" s="541">
        <v>19.667300000000001</v>
      </c>
      <c r="N11" s="541">
        <v>19.1433</v>
      </c>
      <c r="O11" s="509">
        <v>5</v>
      </c>
      <c r="R11" s="509">
        <v>5</v>
      </c>
      <c r="S11" s="541">
        <v>19.9087</v>
      </c>
      <c r="T11" s="541">
        <v>20.1953</v>
      </c>
      <c r="U11" s="541">
        <v>20.895700000000001</v>
      </c>
      <c r="V11" s="541">
        <v>20.602499999999999</v>
      </c>
      <c r="W11" s="541">
        <v>20.190200000000001</v>
      </c>
      <c r="X11" s="541">
        <v>20.060500000000001</v>
      </c>
      <c r="Y11" s="541">
        <v>20.036799999999999</v>
      </c>
      <c r="Z11" s="541">
        <v>19.891999999999999</v>
      </c>
      <c r="AA11" s="541">
        <v>19.970300000000002</v>
      </c>
      <c r="AB11" s="541">
        <v>20.510300000000001</v>
      </c>
      <c r="AC11" s="541">
        <v>20.8352</v>
      </c>
      <c r="AD11" s="541">
        <v>21.3033</v>
      </c>
      <c r="AE11" s="509">
        <v>5</v>
      </c>
      <c r="AH11" s="509">
        <v>5</v>
      </c>
      <c r="AI11" s="541">
        <v>18.881699999999999</v>
      </c>
      <c r="AJ11" s="541">
        <v>18.908200000000001</v>
      </c>
      <c r="AK11" s="541">
        <v>19.2837</v>
      </c>
      <c r="AL11" s="541">
        <v>24.108699999999999</v>
      </c>
      <c r="AM11" s="541">
        <v>23.9283</v>
      </c>
      <c r="AN11" s="541">
        <v>21.604299999999999</v>
      </c>
      <c r="AO11" s="541">
        <v>22.522500000000001</v>
      </c>
      <c r="AP11" s="541">
        <v>22.614000000000001</v>
      </c>
      <c r="AQ11" s="541">
        <v>21.638300000000001</v>
      </c>
      <c r="AR11" s="541">
        <v>21.956199999999999</v>
      </c>
      <c r="AS11" s="541">
        <v>21.1555</v>
      </c>
      <c r="AT11" s="541">
        <v>19.908300000000001</v>
      </c>
      <c r="AU11" s="509">
        <v>5</v>
      </c>
      <c r="AX11" s="509">
        <v>5</v>
      </c>
      <c r="AY11" s="528">
        <v>19.607299999999999</v>
      </c>
      <c r="AZ11" s="528">
        <v>19.038799999999998</v>
      </c>
      <c r="BA11" s="528">
        <v>19.297799999999999</v>
      </c>
      <c r="BB11" s="528">
        <v>19.180499999999999</v>
      </c>
      <c r="BC11" s="528">
        <v>19.101400000000002</v>
      </c>
      <c r="BD11" s="528">
        <v>19.760899999999999</v>
      </c>
      <c r="BE11" s="528">
        <v>19.0502</v>
      </c>
      <c r="BF11" s="528">
        <v>19.162700000000001</v>
      </c>
      <c r="BG11" s="528">
        <v>20.003900000000002</v>
      </c>
      <c r="BH11" s="528">
        <v>19.736799999999999</v>
      </c>
      <c r="BI11" s="528">
        <v>19.105799999999999</v>
      </c>
      <c r="BJ11" s="528">
        <v>19.567799999999998</v>
      </c>
      <c r="BK11" s="509">
        <v>5</v>
      </c>
      <c r="BN11" s="509">
        <v>5</v>
      </c>
      <c r="BO11" s="528">
        <v>19.371700000000001</v>
      </c>
      <c r="BP11" s="528">
        <v>18.400400000000001</v>
      </c>
      <c r="BQ11" s="530">
        <v>18.861000000000001</v>
      </c>
      <c r="BR11" s="528">
        <v>18.2044</v>
      </c>
      <c r="BS11" s="528">
        <v>19.122299999999999</v>
      </c>
      <c r="BT11" s="528">
        <v>19.866199999999999</v>
      </c>
      <c r="BU11" s="528">
        <v>19.5974</v>
      </c>
      <c r="BV11" s="528">
        <v>18.634899999999998</v>
      </c>
      <c r="BW11" s="528">
        <v>19.213699999999999</v>
      </c>
      <c r="BX11" s="528">
        <v>18.801400000000001</v>
      </c>
      <c r="BY11" s="528">
        <v>20.317699999999999</v>
      </c>
      <c r="BZ11" s="528">
        <v>20.2346</v>
      </c>
      <c r="CA11" s="509">
        <v>5</v>
      </c>
      <c r="CD11" s="509">
        <v>5</v>
      </c>
      <c r="CE11" s="528">
        <v>20.852</v>
      </c>
      <c r="CF11" s="528">
        <v>20.575700000000001</v>
      </c>
      <c r="CG11" s="528">
        <v>19.9373</v>
      </c>
      <c r="CH11" s="528">
        <v>18.731999999999999</v>
      </c>
      <c r="CI11" s="528">
        <v>18.803100000000001</v>
      </c>
      <c r="CJ11" s="528">
        <v>18.594100000000001</v>
      </c>
      <c r="CK11" s="528">
        <v>18.206399999999999</v>
      </c>
      <c r="CL11" s="528">
        <v>17.8733</v>
      </c>
      <c r="CM11" s="528">
        <v>17.786100000000001</v>
      </c>
      <c r="CN11" s="528">
        <v>18.211300000000001</v>
      </c>
      <c r="CO11" s="528">
        <v>19.124099999999999</v>
      </c>
      <c r="CP11" s="528">
        <v>18.639900000000001</v>
      </c>
      <c r="CQ11" s="509">
        <v>5</v>
      </c>
      <c r="CT11" s="509">
        <v>5</v>
      </c>
      <c r="CU11" s="528">
        <v>17.248699999999999</v>
      </c>
      <c r="CV11" s="528">
        <v>18.453700000000001</v>
      </c>
      <c r="CW11" s="528">
        <v>17.897099999999998</v>
      </c>
      <c r="CX11" s="528">
        <v>17.3338</v>
      </c>
      <c r="CY11" s="528">
        <v>17.523399999999999</v>
      </c>
      <c r="CZ11" s="528">
        <v>18.6097</v>
      </c>
      <c r="DA11" s="528">
        <v>18.309000000000001</v>
      </c>
      <c r="DB11" s="528">
        <v>18.9117</v>
      </c>
      <c r="DC11" s="528">
        <v>18.8523</v>
      </c>
      <c r="DD11" s="528">
        <v>19.321100000000001</v>
      </c>
      <c r="DE11" s="528">
        <v>19.2014</v>
      </c>
      <c r="DF11" s="528">
        <v>20.748799999999999</v>
      </c>
      <c r="DG11" s="509">
        <v>5</v>
      </c>
      <c r="DJ11" s="509">
        <v>5</v>
      </c>
      <c r="DK11" s="528">
        <v>14.741400000000001</v>
      </c>
      <c r="DL11" s="528">
        <v>14.756600000000001</v>
      </c>
      <c r="DM11" s="528">
        <v>14.9544</v>
      </c>
      <c r="DN11" s="528">
        <v>15.264699999999999</v>
      </c>
      <c r="DO11" s="528">
        <v>15.3714</v>
      </c>
      <c r="DP11" s="528">
        <v>15.4833</v>
      </c>
      <c r="DQ11" s="528">
        <v>15.7829</v>
      </c>
      <c r="DR11" s="528">
        <v>16.1129</v>
      </c>
      <c r="DS11" s="528">
        <v>16.944400000000002</v>
      </c>
      <c r="DT11" s="528">
        <v>16.8566</v>
      </c>
      <c r="DU11" s="528">
        <v>16.419599999999999</v>
      </c>
      <c r="DV11" s="528">
        <v>16.709499999999998</v>
      </c>
      <c r="DW11" s="509">
        <v>5</v>
      </c>
      <c r="DZ11" s="509">
        <v>5</v>
      </c>
      <c r="EA11" s="528">
        <v>13.101100000000001</v>
      </c>
      <c r="EB11" s="528">
        <v>13.376899999999999</v>
      </c>
      <c r="EC11" s="528">
        <v>13.3201</v>
      </c>
      <c r="ED11" s="528">
        <v>13.132400000000001</v>
      </c>
      <c r="EE11" s="528">
        <v>13.0901</v>
      </c>
      <c r="EF11" s="528">
        <v>12.944699999999999</v>
      </c>
      <c r="EG11" s="528">
        <v>12.982900000000001</v>
      </c>
      <c r="EH11" s="528">
        <v>13.193199999999999</v>
      </c>
      <c r="EI11" s="528">
        <v>13.0892</v>
      </c>
      <c r="EJ11" s="528">
        <v>13.4026</v>
      </c>
      <c r="EK11" s="528">
        <v>13.5503</v>
      </c>
      <c r="EL11" s="528">
        <v>14.091799999999999</v>
      </c>
      <c r="EM11" s="509">
        <v>5</v>
      </c>
      <c r="EP11" s="509">
        <v>5</v>
      </c>
      <c r="EQ11" s="528">
        <v>12.743</v>
      </c>
      <c r="ER11" s="528">
        <v>12.7094</v>
      </c>
      <c r="ES11" s="528">
        <v>12.8012</v>
      </c>
      <c r="ET11" s="528">
        <v>12.326599999999999</v>
      </c>
      <c r="EU11" s="528">
        <v>12.175599999999999</v>
      </c>
      <c r="EV11" s="528">
        <v>12.7882</v>
      </c>
      <c r="EW11" s="528">
        <v>13.037699999999999</v>
      </c>
      <c r="EX11" s="528">
        <v>12.806800000000001</v>
      </c>
      <c r="EY11" s="528">
        <v>13.439399999999999</v>
      </c>
      <c r="EZ11" s="528">
        <v>13.266299999999999</v>
      </c>
      <c r="FA11" s="528">
        <v>13.078900000000001</v>
      </c>
      <c r="FB11" s="528">
        <v>13.2372</v>
      </c>
      <c r="FC11" s="509">
        <v>5</v>
      </c>
      <c r="FF11" s="509">
        <v>5</v>
      </c>
      <c r="FG11" s="528">
        <v>13.6882</v>
      </c>
      <c r="FH11" s="528">
        <v>12.803800000000001</v>
      </c>
      <c r="FI11" s="528">
        <v>12.776400000000001</v>
      </c>
      <c r="FJ11" s="528">
        <v>12.7317</v>
      </c>
      <c r="FK11" s="528">
        <v>12.9725</v>
      </c>
      <c r="FL11" s="528">
        <v>14.3949</v>
      </c>
      <c r="FM11" s="528">
        <v>13.317399999999999</v>
      </c>
      <c r="FN11" s="528">
        <v>13.3927</v>
      </c>
      <c r="FO11" s="528">
        <v>13.191000000000001</v>
      </c>
      <c r="FP11" s="528">
        <v>12.8528</v>
      </c>
      <c r="FQ11" s="528">
        <v>13.091100000000001</v>
      </c>
      <c r="FR11" s="528">
        <v>12.9335</v>
      </c>
      <c r="FS11" s="509">
        <v>5</v>
      </c>
      <c r="FV11" s="509">
        <v>5</v>
      </c>
      <c r="FW11" s="528">
        <v>12.257400000000001</v>
      </c>
      <c r="FX11" s="528">
        <v>12.049899999999999</v>
      </c>
      <c r="FY11" s="528">
        <v>12.036799999999999</v>
      </c>
      <c r="FZ11" s="528">
        <v>11.841200000000001</v>
      </c>
      <c r="GA11" s="528">
        <v>11.5665</v>
      </c>
      <c r="GB11" s="528">
        <v>11.6739</v>
      </c>
      <c r="GC11" s="528">
        <v>11.636799999999999</v>
      </c>
      <c r="GD11" s="528">
        <v>11.847300000000001</v>
      </c>
      <c r="GE11" s="528">
        <v>12.2616</v>
      </c>
      <c r="GF11" s="528">
        <v>13.896699999999999</v>
      </c>
      <c r="GG11" s="528">
        <v>13.412800000000001</v>
      </c>
      <c r="GH11" s="528">
        <v>13.589399999999999</v>
      </c>
      <c r="GI11" s="509">
        <v>5</v>
      </c>
      <c r="GL11" s="509">
        <v>5</v>
      </c>
      <c r="GM11" s="528">
        <v>13.065899999999999</v>
      </c>
      <c r="GN11" s="528">
        <v>12.939500000000001</v>
      </c>
      <c r="GO11" s="528">
        <v>12.69</v>
      </c>
      <c r="GP11" s="528">
        <v>12.4145</v>
      </c>
      <c r="GQ11" s="528">
        <v>12.2605</v>
      </c>
      <c r="GR11" s="528">
        <v>12.7644</v>
      </c>
      <c r="GS11" s="528">
        <v>13.032500000000001</v>
      </c>
      <c r="GT11" s="528">
        <v>12.604799999999999</v>
      </c>
      <c r="GU11" s="528">
        <v>13.055</v>
      </c>
      <c r="GV11" s="528">
        <v>12.5511</v>
      </c>
      <c r="GW11" s="528">
        <v>12.3041</v>
      </c>
      <c r="GX11" s="528">
        <v>12.3546</v>
      </c>
      <c r="GY11" s="509">
        <v>5</v>
      </c>
      <c r="HB11" s="509">
        <v>5</v>
      </c>
      <c r="HC11" s="528">
        <v>13.8325</v>
      </c>
      <c r="HD11" s="528">
        <v>14.5404</v>
      </c>
      <c r="HE11" s="528">
        <v>15.337199999999999</v>
      </c>
      <c r="HF11" s="528">
        <v>13.792400000000001</v>
      </c>
      <c r="HG11" s="528">
        <v>13.8443</v>
      </c>
      <c r="HH11" s="528">
        <v>13.3172</v>
      </c>
      <c r="HI11" s="528">
        <v>13.169499999999999</v>
      </c>
      <c r="HJ11" s="528">
        <v>13.129300000000001</v>
      </c>
      <c r="HK11" s="528">
        <v>13.5898</v>
      </c>
      <c r="HL11" s="528">
        <v>13.6242</v>
      </c>
      <c r="HM11" s="528">
        <v>13.290800000000001</v>
      </c>
      <c r="HN11" s="528">
        <v>12.665800000000001</v>
      </c>
      <c r="HO11" s="509">
        <v>5</v>
      </c>
      <c r="HP11" s="529"/>
      <c r="HQ11" s="529"/>
      <c r="HR11" s="509">
        <v>5</v>
      </c>
      <c r="HS11" s="528">
        <v>10.8842</v>
      </c>
      <c r="HT11" s="528">
        <v>10.8262</v>
      </c>
      <c r="HU11" s="528">
        <v>10.704599999999999</v>
      </c>
      <c r="HV11" s="528">
        <v>10.564399999999999</v>
      </c>
      <c r="HW11" s="528">
        <v>10.509499999999999</v>
      </c>
      <c r="HX11" s="528">
        <v>10.299200000000001</v>
      </c>
      <c r="HY11" s="528">
        <v>10.369199999999999</v>
      </c>
      <c r="HZ11" s="528">
        <v>9.9704999999999995</v>
      </c>
      <c r="IA11" s="528">
        <v>10.385199999999999</v>
      </c>
      <c r="IB11" s="528">
        <v>11.1296</v>
      </c>
      <c r="IC11" s="528">
        <v>12.7875</v>
      </c>
      <c r="ID11" s="528">
        <v>13.599600000000001</v>
      </c>
      <c r="IE11" s="509">
        <v>5</v>
      </c>
      <c r="IF11" s="529"/>
      <c r="IG11" s="529"/>
      <c r="IH11" s="509">
        <v>5</v>
      </c>
      <c r="II11" s="528">
        <v>10.770799999999999</v>
      </c>
      <c r="IJ11" s="528">
        <v>10.981999999999999</v>
      </c>
      <c r="IK11" s="528">
        <v>11.191700000000001</v>
      </c>
      <c r="IL11" s="528">
        <v>10.979699999999999</v>
      </c>
      <c r="IM11" s="528">
        <v>10.901999999999999</v>
      </c>
      <c r="IN11" s="528">
        <v>10.713100000000001</v>
      </c>
      <c r="IO11" s="528">
        <v>10.7698</v>
      </c>
      <c r="IP11" s="528">
        <v>10.940200000000001</v>
      </c>
      <c r="IQ11" s="528">
        <v>11.0169</v>
      </c>
      <c r="IR11" s="528">
        <v>10.868499999999999</v>
      </c>
      <c r="IS11" s="528">
        <v>10.702299999999999</v>
      </c>
      <c r="IT11" s="528">
        <v>10.9124</v>
      </c>
      <c r="IU11" s="509">
        <v>5</v>
      </c>
      <c r="IV11" s="529"/>
      <c r="IW11" s="529"/>
      <c r="IX11" s="509">
        <v>5</v>
      </c>
      <c r="IY11" s="528">
        <v>10.6455</v>
      </c>
      <c r="IZ11" s="528">
        <v>10.480499999999999</v>
      </c>
      <c r="JA11" s="528">
        <v>10.5113</v>
      </c>
      <c r="JB11" s="528">
        <v>10.871700000000001</v>
      </c>
      <c r="JC11" s="528">
        <v>10.960800000000001</v>
      </c>
      <c r="JD11" s="528">
        <v>11.2843</v>
      </c>
      <c r="JE11" s="528">
        <v>11.1302</v>
      </c>
      <c r="JF11" s="528">
        <v>10.9802</v>
      </c>
      <c r="JG11" s="528">
        <v>10.895200000000001</v>
      </c>
      <c r="JH11" s="528">
        <v>11.0404</v>
      </c>
      <c r="JI11" s="528">
        <v>10.744899999999999</v>
      </c>
      <c r="JJ11" s="528">
        <v>10.9975</v>
      </c>
      <c r="JK11" s="509">
        <v>5</v>
      </c>
      <c r="JL11" s="529"/>
      <c r="JM11" s="529"/>
      <c r="JN11" s="509">
        <v>5</v>
      </c>
      <c r="JO11" s="528">
        <v>11.200699999999999</v>
      </c>
      <c r="JP11" s="528">
        <v>11.1683</v>
      </c>
      <c r="JQ11" s="528">
        <v>11.0837</v>
      </c>
      <c r="JR11" s="528">
        <v>11.189299999999999</v>
      </c>
      <c r="JS11" s="528">
        <v>11.0284</v>
      </c>
      <c r="JT11" s="528">
        <v>10.814399999999999</v>
      </c>
      <c r="JU11" s="528">
        <v>10.732699999999999</v>
      </c>
      <c r="JV11" s="528">
        <v>10.613799999999999</v>
      </c>
      <c r="JW11" s="528">
        <v>10.7234</v>
      </c>
      <c r="JX11" s="528">
        <v>10.7683</v>
      </c>
      <c r="JY11" s="528">
        <v>10.7218</v>
      </c>
      <c r="JZ11" s="528">
        <v>10.524699999999999</v>
      </c>
      <c r="KA11" s="509">
        <v>5</v>
      </c>
      <c r="KB11" s="529"/>
      <c r="KC11" s="529"/>
      <c r="KD11" s="509">
        <v>5</v>
      </c>
      <c r="KE11" s="528">
        <v>11.2372</v>
      </c>
      <c r="KF11" s="528">
        <v>11.082000000000001</v>
      </c>
      <c r="KG11" s="528">
        <v>11.030099999999999</v>
      </c>
      <c r="KH11" s="528">
        <v>11.1828</v>
      </c>
      <c r="KI11" s="528">
        <v>11.430999999999999</v>
      </c>
      <c r="KJ11" s="528">
        <v>11.4373</v>
      </c>
      <c r="KK11" s="528">
        <v>11.4922</v>
      </c>
      <c r="KL11" s="528">
        <v>11.405200000000001</v>
      </c>
      <c r="KM11" s="528">
        <v>11.4725</v>
      </c>
      <c r="KN11" s="528">
        <v>11.350300000000001</v>
      </c>
      <c r="KO11" s="528">
        <v>11.424799999999999</v>
      </c>
      <c r="KP11" s="528">
        <v>11.145300000000001</v>
      </c>
      <c r="KQ11" s="509">
        <v>5</v>
      </c>
      <c r="KR11" s="529"/>
      <c r="KS11" s="529"/>
      <c r="KT11" s="509">
        <v>5</v>
      </c>
      <c r="KU11" s="528">
        <v>10.3626</v>
      </c>
      <c r="KV11" s="528">
        <v>10.8833</v>
      </c>
      <c r="KW11" s="528">
        <v>10.9902</v>
      </c>
      <c r="KX11" s="528">
        <v>10.661899999999999</v>
      </c>
      <c r="KY11" s="528">
        <v>10.3</v>
      </c>
      <c r="KZ11" s="528">
        <v>10.2598</v>
      </c>
      <c r="LA11" s="528">
        <v>10.446999999999999</v>
      </c>
      <c r="LB11" s="528">
        <v>10.5997</v>
      </c>
      <c r="LC11" s="528">
        <v>10.938599999999999</v>
      </c>
      <c r="LD11" s="528">
        <v>11.160299999999999</v>
      </c>
      <c r="LE11" s="528">
        <v>10.988099999999999</v>
      </c>
      <c r="LF11" s="528">
        <v>11.249599999999999</v>
      </c>
      <c r="LG11" s="509">
        <v>5</v>
      </c>
      <c r="LH11" s="529"/>
      <c r="LI11" s="529"/>
      <c r="LJ11" s="509">
        <v>5</v>
      </c>
      <c r="LK11" s="528">
        <v>9.1142000000000003</v>
      </c>
      <c r="LL11" s="528">
        <v>9.1544000000000008</v>
      </c>
      <c r="LM11" s="528">
        <v>9.0957000000000008</v>
      </c>
      <c r="LN11" s="528">
        <v>9.0397999999999996</v>
      </c>
      <c r="LO11" s="528">
        <v>9.4169999999999998</v>
      </c>
      <c r="LP11" s="528">
        <v>9.6397999999999993</v>
      </c>
      <c r="LQ11" s="528">
        <v>9.9670000000000005</v>
      </c>
      <c r="LR11" s="528">
        <v>9.8768999999999991</v>
      </c>
      <c r="LS11" s="528">
        <v>9.9788999999999994</v>
      </c>
      <c r="LT11" s="528">
        <v>10.139799999999999</v>
      </c>
      <c r="LU11" s="528">
        <v>10.199199999999999</v>
      </c>
      <c r="LV11" s="528">
        <v>10.142099999999999</v>
      </c>
      <c r="LW11" s="509">
        <v>5</v>
      </c>
      <c r="LX11" s="529"/>
      <c r="LY11" s="529"/>
      <c r="LZ11" s="509">
        <v>5</v>
      </c>
      <c r="MA11" s="528">
        <v>9.8339999999999996</v>
      </c>
      <c r="MB11" s="528">
        <v>9.7327999999999992</v>
      </c>
      <c r="MC11" s="528">
        <v>9.7051999999999996</v>
      </c>
      <c r="MD11" s="528">
        <v>9.3914000000000009</v>
      </c>
      <c r="ME11" s="528">
        <v>9.2873000000000001</v>
      </c>
      <c r="MF11" s="528">
        <v>9.1735000000000007</v>
      </c>
      <c r="MG11" s="528">
        <v>9.0258000000000003</v>
      </c>
      <c r="MH11" s="528">
        <v>9.1698000000000004</v>
      </c>
      <c r="MI11" s="528">
        <v>9.1936</v>
      </c>
      <c r="MJ11" s="528">
        <v>9.5273000000000003</v>
      </c>
      <c r="MK11" s="528">
        <v>9.2891999999999992</v>
      </c>
      <c r="ML11" s="528">
        <v>9.2050000000000001</v>
      </c>
      <c r="MM11" s="509">
        <v>5</v>
      </c>
      <c r="MN11" s="529"/>
      <c r="MO11" s="529"/>
      <c r="MP11" s="509">
        <v>5</v>
      </c>
      <c r="MQ11" s="528">
        <v>9.3948999999999998</v>
      </c>
      <c r="MR11" s="528">
        <v>9.5010999999999992</v>
      </c>
      <c r="MS11" s="528">
        <v>9.3382000000000005</v>
      </c>
      <c r="MT11" s="528">
        <v>9.2760999999999996</v>
      </c>
      <c r="MU11" s="528">
        <v>9.3848000000000003</v>
      </c>
      <c r="MV11" s="528">
        <v>9.4987999999999992</v>
      </c>
      <c r="MW11" s="528">
        <v>9.5460999999999991</v>
      </c>
      <c r="MX11" s="528">
        <v>9.3880999999999997</v>
      </c>
      <c r="MY11" s="528">
        <v>9.2013999999999996</v>
      </c>
      <c r="MZ11" s="528">
        <v>9.4014000000000006</v>
      </c>
      <c r="NA11" s="528">
        <v>9.5823999999999998</v>
      </c>
      <c r="NB11" s="528">
        <v>9.4154999999999998</v>
      </c>
      <c r="NC11" s="509">
        <v>5</v>
      </c>
      <c r="ND11" s="529"/>
      <c r="NE11" s="529"/>
      <c r="NF11" s="509">
        <v>5</v>
      </c>
      <c r="NG11" s="528">
        <v>9.8963000000000001</v>
      </c>
      <c r="NH11" s="528">
        <v>10.113799999999999</v>
      </c>
      <c r="NI11" s="528">
        <v>9.9641000000000002</v>
      </c>
      <c r="NJ11" s="528">
        <v>9.5375999999999994</v>
      </c>
      <c r="NK11" s="528">
        <v>9.2689000000000004</v>
      </c>
      <c r="NL11" s="528">
        <v>9.6545000000000005</v>
      </c>
      <c r="NM11" s="528">
        <v>9.3773</v>
      </c>
      <c r="NN11" s="528">
        <v>9.4551999999999996</v>
      </c>
      <c r="NO11" s="528">
        <v>9.3739000000000008</v>
      </c>
      <c r="NP11" s="528">
        <v>9.4062999999999999</v>
      </c>
      <c r="NQ11" s="528">
        <v>9.5551999999999992</v>
      </c>
      <c r="NR11" s="528">
        <v>9.5326000000000004</v>
      </c>
      <c r="NS11" s="509">
        <v>5</v>
      </c>
      <c r="NT11" s="529"/>
      <c r="NU11" s="529"/>
      <c r="NV11" s="509">
        <v>5</v>
      </c>
      <c r="NW11" s="528">
        <v>8.0680999999999994</v>
      </c>
      <c r="NX11" s="528">
        <v>8.4322999999999997</v>
      </c>
      <c r="NY11" s="528">
        <v>8.5347000000000008</v>
      </c>
      <c r="NZ11" s="528">
        <v>8.5213999999999999</v>
      </c>
      <c r="OA11" s="528">
        <v>8.4898000000000007</v>
      </c>
      <c r="OB11" s="528">
        <v>8.7957999999999998</v>
      </c>
      <c r="OC11" s="528">
        <v>8.9863</v>
      </c>
      <c r="OD11" s="528">
        <v>8.9544999999999995</v>
      </c>
      <c r="OE11" s="528">
        <v>10.107200000000001</v>
      </c>
      <c r="OF11" s="528">
        <v>10.313700000000001</v>
      </c>
      <c r="OG11" s="528">
        <v>10.0312</v>
      </c>
      <c r="OH11" s="528">
        <v>9.9876000000000005</v>
      </c>
      <c r="OI11" s="509">
        <v>5</v>
      </c>
      <c r="OJ11" s="529"/>
      <c r="OK11" s="529"/>
      <c r="OL11" s="509">
        <v>5</v>
      </c>
      <c r="OM11" s="528">
        <v>7.9027000000000003</v>
      </c>
      <c r="ON11" s="528">
        <v>7.8182999999999998</v>
      </c>
      <c r="OO11" s="528">
        <v>8.0116999999999994</v>
      </c>
      <c r="OP11" s="528">
        <v>7.9720000000000004</v>
      </c>
      <c r="OQ11" s="528">
        <v>7.9519000000000002</v>
      </c>
      <c r="OR11" s="528">
        <v>7.9118000000000004</v>
      </c>
      <c r="OS11" s="528">
        <v>7.9497</v>
      </c>
      <c r="OT11" s="528">
        <v>7.8243999999999998</v>
      </c>
      <c r="OU11" s="528">
        <v>7.7686999999999999</v>
      </c>
      <c r="OV11" s="528">
        <v>7.7530000000000001</v>
      </c>
      <c r="OW11" s="528">
        <v>8.2367000000000008</v>
      </c>
      <c r="OX11" s="528">
        <v>8.1305999999999994</v>
      </c>
      <c r="OY11" s="509">
        <v>5</v>
      </c>
      <c r="OZ11" s="529"/>
      <c r="PA11" s="529"/>
      <c r="PB11" s="509">
        <v>5</v>
      </c>
      <c r="PC11" s="528">
        <v>7.5595999999999997</v>
      </c>
      <c r="PD11" s="528">
        <v>7.4169999999999998</v>
      </c>
      <c r="PE11" s="528">
        <v>7.5891000000000002</v>
      </c>
      <c r="PF11" s="528">
        <v>7.5110000000000001</v>
      </c>
      <c r="PG11" s="528">
        <v>7.4691999999999998</v>
      </c>
      <c r="PH11" s="528">
        <v>7.4747000000000003</v>
      </c>
      <c r="PI11" s="528">
        <v>7.5925000000000002</v>
      </c>
      <c r="PJ11" s="528">
        <v>7.5709</v>
      </c>
      <c r="PK11" s="528">
        <v>7.5827999999999998</v>
      </c>
      <c r="PL11" s="528">
        <v>7.5301999999999998</v>
      </c>
      <c r="PM11" s="528">
        <v>7.9653</v>
      </c>
      <c r="PN11" s="528">
        <v>7.8787000000000003</v>
      </c>
      <c r="PO11" s="509">
        <v>5</v>
      </c>
      <c r="PP11" s="529"/>
      <c r="PQ11" s="529"/>
      <c r="PR11" s="509">
        <v>5</v>
      </c>
      <c r="PS11" s="528">
        <v>5.5</v>
      </c>
      <c r="PT11" s="528">
        <v>5.4550000000000001</v>
      </c>
      <c r="PU11" s="528">
        <v>5.9625000000000004</v>
      </c>
      <c r="PV11" s="528">
        <v>6.8025000000000002</v>
      </c>
      <c r="PW11" s="528">
        <v>5.8692000000000002</v>
      </c>
      <c r="PX11" s="528">
        <v>6.2167000000000003</v>
      </c>
      <c r="PY11" s="528">
        <v>6.2424999999999997</v>
      </c>
      <c r="PZ11" s="528">
        <v>6.1257999999999999</v>
      </c>
      <c r="QA11" s="528">
        <v>6.2763</v>
      </c>
      <c r="QB11" s="528">
        <v>6.5883000000000003</v>
      </c>
      <c r="QC11" s="528">
        <v>7.4032999999999998</v>
      </c>
      <c r="QD11" s="528">
        <v>7.5766999999999998</v>
      </c>
      <c r="QE11" s="509">
        <v>5</v>
      </c>
      <c r="QF11" s="529"/>
      <c r="QG11" s="529"/>
      <c r="QH11" s="509">
        <v>5</v>
      </c>
      <c r="QI11" s="528">
        <v>3.1074999999999999</v>
      </c>
      <c r="QJ11" s="528">
        <v>3.1055999999999999</v>
      </c>
      <c r="QK11" s="528">
        <v>3.2513000000000001</v>
      </c>
      <c r="QL11" s="528">
        <v>3.3605999999999998</v>
      </c>
      <c r="QM11" s="528">
        <v>3.3144999999999998</v>
      </c>
      <c r="QN11" s="528">
        <v>3.3252999999999999</v>
      </c>
      <c r="QO11" s="528">
        <v>3.3944999999999999</v>
      </c>
      <c r="QP11" s="528">
        <v>3.3753000000000002</v>
      </c>
      <c r="QQ11" s="528">
        <v>3.3908</v>
      </c>
      <c r="QR11" s="528">
        <v>3.3984000000000001</v>
      </c>
      <c r="QS11" s="528">
        <v>3.4350000000000001</v>
      </c>
      <c r="QT11" s="528">
        <v>3.4386000000000001</v>
      </c>
      <c r="QU11" s="509">
        <v>5</v>
      </c>
      <c r="QV11" s="529"/>
      <c r="QW11" s="529"/>
      <c r="QX11" s="509">
        <v>5</v>
      </c>
      <c r="QY11" s="528">
        <v>3.1208999999999998</v>
      </c>
      <c r="QZ11" s="528">
        <v>3.1017000000000001</v>
      </c>
      <c r="RA11" s="528">
        <v>3.0948000000000002</v>
      </c>
      <c r="RB11" s="528">
        <v>3.0939999999999999</v>
      </c>
      <c r="RC11" s="528">
        <v>3.1078999999999999</v>
      </c>
      <c r="RD11" s="528">
        <v>3.125</v>
      </c>
      <c r="RE11" s="528">
        <v>3.1292</v>
      </c>
      <c r="RF11" s="528">
        <v>3.1107</v>
      </c>
      <c r="RG11" s="528">
        <v>3.1139000000000001</v>
      </c>
      <c r="RH11" s="528">
        <v>3.1162999999999998</v>
      </c>
      <c r="RI11" s="528">
        <v>3.1480999999999999</v>
      </c>
      <c r="RJ11" s="528">
        <v>3.1036999999999999</v>
      </c>
      <c r="RK11" s="509">
        <v>5</v>
      </c>
      <c r="RL11" s="529"/>
      <c r="RM11" s="529"/>
      <c r="RN11" s="509">
        <v>5</v>
      </c>
      <c r="RO11" s="528">
        <v>3.0752999999999999</v>
      </c>
      <c r="RP11" s="528">
        <v>3.0655999999999999</v>
      </c>
      <c r="RQ11" s="528">
        <v>3.0625</v>
      </c>
      <c r="RR11" s="528">
        <v>3.0609000000000002</v>
      </c>
      <c r="RS11" s="528">
        <v>3.0785999999999998</v>
      </c>
      <c r="RT11" s="528">
        <v>3.1185</v>
      </c>
      <c r="RU11" s="528">
        <v>3.1204000000000001</v>
      </c>
      <c r="RV11" s="528">
        <v>3.1093999999999999</v>
      </c>
      <c r="RW11" s="528">
        <v>3.0699000000000001</v>
      </c>
      <c r="RX11" s="528">
        <v>3.1110000000000002</v>
      </c>
      <c r="RY11" s="528">
        <v>3.1257999999999999</v>
      </c>
      <c r="RZ11" s="528">
        <v>3.1139000000000001</v>
      </c>
      <c r="SA11" s="509">
        <v>5</v>
      </c>
      <c r="SB11" s="529"/>
      <c r="SC11" s="529"/>
      <c r="SD11" s="509">
        <v>5</v>
      </c>
      <c r="SE11" s="528">
        <v>2.9478</v>
      </c>
      <c r="SF11" s="528">
        <v>2.9594</v>
      </c>
      <c r="SG11" s="528">
        <v>2.9706000000000001</v>
      </c>
      <c r="SH11" s="528">
        <v>2.9838</v>
      </c>
      <c r="SI11" s="528">
        <v>2.9954000000000001</v>
      </c>
      <c r="SJ11" s="528">
        <v>3.0082</v>
      </c>
      <c r="SK11" s="528">
        <v>3.0202</v>
      </c>
      <c r="SL11" s="528">
        <v>3.0318000000000001</v>
      </c>
      <c r="SM11" s="528">
        <v>3.0449999999999999</v>
      </c>
      <c r="SN11" s="528">
        <v>3.0586000000000002</v>
      </c>
      <c r="SO11" s="528">
        <v>3.0701999999999998</v>
      </c>
      <c r="SP11" s="528">
        <v>3.06656</v>
      </c>
      <c r="SQ11" s="509">
        <v>5</v>
      </c>
      <c r="SR11" s="529"/>
      <c r="SS11" s="529"/>
      <c r="ST11" s="509">
        <v>5</v>
      </c>
      <c r="SU11" s="528">
        <v>2.6469999999999998</v>
      </c>
      <c r="SV11" s="528">
        <v>2.6760000000000002</v>
      </c>
      <c r="SW11" s="528">
        <v>2.7040000000000002</v>
      </c>
      <c r="SX11" s="528">
        <v>2.7370000000000001</v>
      </c>
      <c r="SY11" s="528">
        <v>2.7669999999999999</v>
      </c>
      <c r="SZ11" s="528">
        <v>2.7953999999999999</v>
      </c>
      <c r="TA11" s="528">
        <v>2.8210000000000002</v>
      </c>
      <c r="TB11" s="528">
        <v>2.8450000000000002</v>
      </c>
      <c r="TC11" s="528">
        <v>2.8706</v>
      </c>
      <c r="TD11" s="528">
        <v>2.8946000000000001</v>
      </c>
      <c r="TE11" s="528">
        <v>2.9178000000000002</v>
      </c>
      <c r="TF11" s="528">
        <v>2.9354</v>
      </c>
      <c r="TG11" s="509">
        <v>5</v>
      </c>
      <c r="TH11" s="529"/>
      <c r="TI11" s="529"/>
      <c r="TJ11" s="509">
        <v>5</v>
      </c>
      <c r="TK11" s="528">
        <v>2.282</v>
      </c>
      <c r="TL11" s="528">
        <v>2.3119999999999998</v>
      </c>
      <c r="TM11" s="528">
        <v>2.34</v>
      </c>
      <c r="TN11" s="528">
        <v>2.3719999999999999</v>
      </c>
      <c r="TO11" s="528">
        <v>2.4020000000000001</v>
      </c>
      <c r="TP11" s="528">
        <v>2.431</v>
      </c>
      <c r="TQ11" s="528">
        <v>2.4630000000000001</v>
      </c>
      <c r="TR11" s="528">
        <v>2.4940000000000002</v>
      </c>
      <c r="TS11" s="528">
        <v>2.5230000000000001</v>
      </c>
      <c r="TT11" s="528">
        <v>2.5550000000000002</v>
      </c>
      <c r="TU11" s="528">
        <v>2.585</v>
      </c>
      <c r="TV11" s="528">
        <v>2.6139999999999999</v>
      </c>
      <c r="TW11" s="509">
        <v>5</v>
      </c>
    </row>
    <row r="12" spans="2:543" s="4" customFormat="1" ht="23" customHeight="1">
      <c r="B12" s="509">
        <v>6</v>
      </c>
      <c r="C12" s="541">
        <v>20.4742</v>
      </c>
      <c r="D12" s="541">
        <v>20.5562</v>
      </c>
      <c r="E12" s="541">
        <v>20.703299999999999</v>
      </c>
      <c r="F12" s="541">
        <v>19.744299999999999</v>
      </c>
      <c r="G12" s="541">
        <v>20.335000000000001</v>
      </c>
      <c r="H12" s="541">
        <v>19.558499999999999</v>
      </c>
      <c r="I12" s="541">
        <v>20.287700000000001</v>
      </c>
      <c r="J12" s="541">
        <v>20.335799999999999</v>
      </c>
      <c r="K12" s="541">
        <v>19.975300000000001</v>
      </c>
      <c r="L12" s="541">
        <v>19.969799999999999</v>
      </c>
      <c r="M12" s="541">
        <v>19.667300000000001</v>
      </c>
      <c r="N12" s="541">
        <v>19.342199999999998</v>
      </c>
      <c r="O12" s="509">
        <v>6</v>
      </c>
      <c r="R12" s="509">
        <v>6</v>
      </c>
      <c r="S12" s="541">
        <v>19.845700000000001</v>
      </c>
      <c r="T12" s="541">
        <v>20.4435</v>
      </c>
      <c r="U12" s="541">
        <v>20.849799999999998</v>
      </c>
      <c r="V12" s="541">
        <v>20.440000000000001</v>
      </c>
      <c r="W12" s="541">
        <v>20.190200000000001</v>
      </c>
      <c r="X12" s="541">
        <v>20.060500000000001</v>
      </c>
      <c r="Y12" s="541">
        <v>19.881699999999999</v>
      </c>
      <c r="Z12" s="541">
        <v>19.954699999999999</v>
      </c>
      <c r="AA12" s="541">
        <v>19.970300000000002</v>
      </c>
      <c r="AB12" s="541">
        <v>20.5747</v>
      </c>
      <c r="AC12" s="541">
        <v>20.624199999999998</v>
      </c>
      <c r="AD12" s="541">
        <v>21.3033</v>
      </c>
      <c r="AE12" s="509">
        <v>6</v>
      </c>
      <c r="AH12" s="509">
        <v>6</v>
      </c>
      <c r="AI12" s="541">
        <v>18.881699999999999</v>
      </c>
      <c r="AJ12" s="541">
        <v>18.6797</v>
      </c>
      <c r="AK12" s="541">
        <v>19.5335</v>
      </c>
      <c r="AL12" s="541">
        <v>24.108699999999999</v>
      </c>
      <c r="AM12" s="541">
        <v>24.3812</v>
      </c>
      <c r="AN12" s="541">
        <v>21.838799999999999</v>
      </c>
      <c r="AO12" s="541">
        <v>22.522500000000001</v>
      </c>
      <c r="AP12" s="541">
        <v>22.784500000000001</v>
      </c>
      <c r="AQ12" s="541">
        <v>21.638300000000001</v>
      </c>
      <c r="AR12" s="541">
        <v>21.702500000000001</v>
      </c>
      <c r="AS12" s="541">
        <v>21.034500000000001</v>
      </c>
      <c r="AT12" s="541">
        <v>19.908300000000001</v>
      </c>
      <c r="AU12" s="509">
        <v>6</v>
      </c>
      <c r="AX12" s="509">
        <v>6</v>
      </c>
      <c r="AY12" s="528">
        <v>19.607299999999999</v>
      </c>
      <c r="AZ12" s="528">
        <v>19.1098</v>
      </c>
      <c r="BA12" s="528">
        <v>19.303899999999999</v>
      </c>
      <c r="BB12" s="528">
        <v>19.172799999999999</v>
      </c>
      <c r="BC12" s="528">
        <v>19.101400000000002</v>
      </c>
      <c r="BD12" s="528">
        <v>19.6007</v>
      </c>
      <c r="BE12" s="528">
        <v>18.994700000000002</v>
      </c>
      <c r="BF12" s="528">
        <v>19.311599999999999</v>
      </c>
      <c r="BG12" s="528">
        <v>19.7806</v>
      </c>
      <c r="BH12" s="528">
        <v>19.736799999999999</v>
      </c>
      <c r="BI12" s="528">
        <v>19.1525</v>
      </c>
      <c r="BJ12" s="528">
        <v>19.470700000000001</v>
      </c>
      <c r="BK12" s="509">
        <v>6</v>
      </c>
      <c r="BN12" s="509">
        <v>6</v>
      </c>
      <c r="BO12" s="528">
        <v>19.242699999999999</v>
      </c>
      <c r="BP12" s="528">
        <v>18.400400000000001</v>
      </c>
      <c r="BQ12" s="530">
        <v>18.890899999999998</v>
      </c>
      <c r="BR12" s="528">
        <v>18.224399999999999</v>
      </c>
      <c r="BS12" s="528">
        <v>19.122299999999999</v>
      </c>
      <c r="BT12" s="528">
        <v>19.993400000000001</v>
      </c>
      <c r="BU12" s="528">
        <v>19.4284</v>
      </c>
      <c r="BV12" s="528">
        <v>18.634899999999998</v>
      </c>
      <c r="BW12" s="528">
        <v>19.360900000000001</v>
      </c>
      <c r="BX12" s="528">
        <v>19.1328</v>
      </c>
      <c r="BY12" s="528">
        <v>20.132899999999999</v>
      </c>
      <c r="BZ12" s="528">
        <v>20.5123</v>
      </c>
      <c r="CA12" s="509">
        <v>6</v>
      </c>
      <c r="CD12" s="509">
        <v>6</v>
      </c>
      <c r="CE12" s="528">
        <v>21.379899999999999</v>
      </c>
      <c r="CF12" s="528">
        <v>20.575700000000001</v>
      </c>
      <c r="CG12" s="528">
        <v>19.9373</v>
      </c>
      <c r="CH12" s="528">
        <v>18.833400000000001</v>
      </c>
      <c r="CI12" s="528">
        <v>18.803100000000001</v>
      </c>
      <c r="CJ12" s="528">
        <v>18.6204</v>
      </c>
      <c r="CK12" s="528">
        <v>18.203600000000002</v>
      </c>
      <c r="CL12" s="528">
        <v>17.8733</v>
      </c>
      <c r="CM12" s="528">
        <v>17.868300000000001</v>
      </c>
      <c r="CN12" s="528">
        <v>18.228200000000001</v>
      </c>
      <c r="CO12" s="528">
        <v>19.124099999999999</v>
      </c>
      <c r="CP12" s="528">
        <v>18.641999999999999</v>
      </c>
      <c r="CQ12" s="509">
        <v>6</v>
      </c>
      <c r="CT12" s="509">
        <v>6</v>
      </c>
      <c r="CU12" s="528">
        <v>17.352900000000002</v>
      </c>
      <c r="CV12" s="528">
        <v>18.1891</v>
      </c>
      <c r="CW12" s="528">
        <v>17.897099999999998</v>
      </c>
      <c r="CX12" s="528">
        <v>17.448399999999999</v>
      </c>
      <c r="CY12" s="528">
        <v>17.523399999999999</v>
      </c>
      <c r="CZ12" s="528">
        <v>18.6097</v>
      </c>
      <c r="DA12" s="528">
        <v>18.3858</v>
      </c>
      <c r="DB12" s="528">
        <v>18.8612</v>
      </c>
      <c r="DC12" s="528">
        <v>18.658899999999999</v>
      </c>
      <c r="DD12" s="528">
        <v>19.213799999999999</v>
      </c>
      <c r="DE12" s="528">
        <v>19.2014</v>
      </c>
      <c r="DF12" s="528">
        <v>20.614899999999999</v>
      </c>
      <c r="DG12" s="509">
        <v>6</v>
      </c>
      <c r="DJ12" s="509">
        <v>6</v>
      </c>
      <c r="DK12" s="528">
        <v>14.829000000000001</v>
      </c>
      <c r="DL12" s="528">
        <v>14.8011</v>
      </c>
      <c r="DM12" s="528">
        <v>15.0756</v>
      </c>
      <c r="DN12" s="528">
        <v>15.264699999999999</v>
      </c>
      <c r="DO12" s="528">
        <v>15.494</v>
      </c>
      <c r="DP12" s="528">
        <v>15.4833</v>
      </c>
      <c r="DQ12" s="528">
        <v>15.6821</v>
      </c>
      <c r="DR12" s="528">
        <v>16.1736</v>
      </c>
      <c r="DS12" s="528">
        <v>16.944400000000002</v>
      </c>
      <c r="DT12" s="528">
        <v>16.816199999999998</v>
      </c>
      <c r="DU12" s="528">
        <v>16.514700000000001</v>
      </c>
      <c r="DV12" s="528">
        <v>16.709499999999998</v>
      </c>
      <c r="DW12" s="509">
        <v>6</v>
      </c>
      <c r="DZ12" s="509">
        <v>6</v>
      </c>
      <c r="EA12" s="528">
        <v>13.101100000000001</v>
      </c>
      <c r="EB12" s="528">
        <v>13.392799999999999</v>
      </c>
      <c r="EC12" s="528">
        <v>13.2752</v>
      </c>
      <c r="ED12" s="528">
        <v>13.132400000000001</v>
      </c>
      <c r="EE12" s="528">
        <v>12.998100000000001</v>
      </c>
      <c r="EF12" s="528">
        <v>12.9527</v>
      </c>
      <c r="EG12" s="528">
        <v>12.982900000000001</v>
      </c>
      <c r="EH12" s="528">
        <v>13.196199999999999</v>
      </c>
      <c r="EI12" s="528">
        <v>13.0959</v>
      </c>
      <c r="EJ12" s="528">
        <v>13.4026</v>
      </c>
      <c r="EK12" s="528">
        <v>13.592499999999999</v>
      </c>
      <c r="EL12" s="528">
        <v>14.1165</v>
      </c>
      <c r="EM12" s="509">
        <v>6</v>
      </c>
      <c r="EP12" s="509">
        <v>6</v>
      </c>
      <c r="EQ12" s="528">
        <v>12.743</v>
      </c>
      <c r="ER12" s="528">
        <v>12.637700000000001</v>
      </c>
      <c r="ES12" s="528">
        <v>12.7814</v>
      </c>
      <c r="ET12" s="528">
        <v>12.319699999999999</v>
      </c>
      <c r="EU12" s="528">
        <v>12.175599999999999</v>
      </c>
      <c r="EV12" s="528">
        <v>12.7317</v>
      </c>
      <c r="EW12" s="528">
        <v>12.8902</v>
      </c>
      <c r="EX12" s="528">
        <v>12.6904</v>
      </c>
      <c r="EY12" s="528">
        <v>13.3065</v>
      </c>
      <c r="EZ12" s="528">
        <v>13.266299999999999</v>
      </c>
      <c r="FA12" s="528">
        <v>12.9869</v>
      </c>
      <c r="FB12" s="528">
        <v>13.082599999999999</v>
      </c>
      <c r="FC12" s="509">
        <v>6</v>
      </c>
      <c r="FF12" s="509">
        <v>6</v>
      </c>
      <c r="FG12" s="528">
        <v>13.714399999999999</v>
      </c>
      <c r="FH12" s="528">
        <v>12.803800000000001</v>
      </c>
      <c r="FI12" s="528">
        <v>12.7723</v>
      </c>
      <c r="FJ12" s="528">
        <v>12.7317</v>
      </c>
      <c r="FK12" s="528">
        <v>12.9725</v>
      </c>
      <c r="FL12" s="528">
        <v>14.244300000000001</v>
      </c>
      <c r="FM12" s="528">
        <v>13.361700000000001</v>
      </c>
      <c r="FN12" s="528">
        <v>13.3927</v>
      </c>
      <c r="FO12" s="528">
        <v>13.1793</v>
      </c>
      <c r="FP12" s="528">
        <v>12.758900000000001</v>
      </c>
      <c r="FQ12" s="528">
        <v>13.0387</v>
      </c>
      <c r="FR12" s="528">
        <v>12.96</v>
      </c>
      <c r="FS12" s="509">
        <v>6</v>
      </c>
      <c r="FV12" s="509">
        <v>6</v>
      </c>
      <c r="FW12" s="528">
        <v>12.261900000000001</v>
      </c>
      <c r="FX12" s="528">
        <v>12.049899999999999</v>
      </c>
      <c r="FY12" s="528">
        <v>12.036799999999999</v>
      </c>
      <c r="FZ12" s="528">
        <v>11.853300000000001</v>
      </c>
      <c r="GA12" s="528">
        <v>11.6214</v>
      </c>
      <c r="GB12" s="528">
        <v>11.6739</v>
      </c>
      <c r="GC12" s="528">
        <v>11.592499999999999</v>
      </c>
      <c r="GD12" s="528">
        <v>11.952299999999999</v>
      </c>
      <c r="GE12" s="528">
        <v>12.3735</v>
      </c>
      <c r="GF12" s="528">
        <v>13.971399999999999</v>
      </c>
      <c r="GG12" s="528">
        <v>13.412800000000001</v>
      </c>
      <c r="GH12" s="528">
        <v>13.5488</v>
      </c>
      <c r="GI12" s="509">
        <v>6</v>
      </c>
      <c r="GL12" s="509">
        <v>6</v>
      </c>
      <c r="GM12" s="528">
        <v>12.922599999999999</v>
      </c>
      <c r="GN12" s="528">
        <v>13.0687</v>
      </c>
      <c r="GO12" s="528">
        <v>12.7182</v>
      </c>
      <c r="GP12" s="528">
        <v>12.3306</v>
      </c>
      <c r="GQ12" s="528">
        <v>12.428800000000001</v>
      </c>
      <c r="GR12" s="528">
        <v>12.7644</v>
      </c>
      <c r="GS12" s="528">
        <v>13.058999999999999</v>
      </c>
      <c r="GT12" s="528">
        <v>12.5535</v>
      </c>
      <c r="GU12" s="528">
        <v>13.055</v>
      </c>
      <c r="GV12" s="528">
        <v>12.5875</v>
      </c>
      <c r="GW12" s="528">
        <v>12.238099999999999</v>
      </c>
      <c r="GX12" s="528">
        <v>12.3546</v>
      </c>
      <c r="GY12" s="509">
        <v>6</v>
      </c>
      <c r="HB12" s="509">
        <v>6</v>
      </c>
      <c r="HC12" s="528">
        <v>13.767799999999999</v>
      </c>
      <c r="HD12" s="528">
        <v>14.466699999999999</v>
      </c>
      <c r="HE12" s="528">
        <v>15.2178</v>
      </c>
      <c r="HF12" s="528">
        <v>13.792400000000001</v>
      </c>
      <c r="HG12" s="528">
        <v>13.35</v>
      </c>
      <c r="HH12" s="528">
        <v>13.2675</v>
      </c>
      <c r="HI12" s="528">
        <v>13.169499999999999</v>
      </c>
      <c r="HJ12" s="528">
        <v>13.1073</v>
      </c>
      <c r="HK12" s="528">
        <v>13.5898</v>
      </c>
      <c r="HL12" s="528">
        <v>13.677300000000001</v>
      </c>
      <c r="HM12" s="528">
        <v>13.270799999999999</v>
      </c>
      <c r="HN12" s="528">
        <v>12.665800000000001</v>
      </c>
      <c r="HO12" s="509">
        <v>6</v>
      </c>
      <c r="HP12" s="529"/>
      <c r="HQ12" s="529"/>
      <c r="HR12" s="509">
        <v>6</v>
      </c>
      <c r="HS12" s="528">
        <v>10.8842</v>
      </c>
      <c r="HT12" s="528">
        <v>10.813800000000001</v>
      </c>
      <c r="HU12" s="528">
        <v>10.7098</v>
      </c>
      <c r="HV12" s="528">
        <v>10.564399999999999</v>
      </c>
      <c r="HW12" s="528">
        <v>10.458500000000001</v>
      </c>
      <c r="HX12" s="528">
        <v>10.321099999999999</v>
      </c>
      <c r="HY12" s="528">
        <v>10.369199999999999</v>
      </c>
      <c r="HZ12" s="528">
        <v>9.9335000000000004</v>
      </c>
      <c r="IA12" s="528">
        <v>10.4658</v>
      </c>
      <c r="IB12" s="528">
        <v>11.1296</v>
      </c>
      <c r="IC12" s="528">
        <v>12.4862</v>
      </c>
      <c r="ID12" s="528">
        <v>13.5358</v>
      </c>
      <c r="IE12" s="509">
        <v>6</v>
      </c>
      <c r="IF12" s="529"/>
      <c r="IG12" s="529"/>
      <c r="IH12" s="509">
        <v>6</v>
      </c>
      <c r="II12" s="528">
        <v>10.865</v>
      </c>
      <c r="IJ12" s="528">
        <v>10.981999999999999</v>
      </c>
      <c r="IK12" s="528">
        <v>11.181699999999999</v>
      </c>
      <c r="IL12" s="528">
        <v>10.979699999999999</v>
      </c>
      <c r="IM12" s="528">
        <v>10.901999999999999</v>
      </c>
      <c r="IN12" s="528">
        <v>10.7441</v>
      </c>
      <c r="IO12" s="528">
        <v>10.76</v>
      </c>
      <c r="IP12" s="528">
        <v>10.940200000000001</v>
      </c>
      <c r="IQ12" s="528">
        <v>11.0265</v>
      </c>
      <c r="IR12" s="528">
        <v>10.8963</v>
      </c>
      <c r="IS12" s="528">
        <v>10.6639</v>
      </c>
      <c r="IT12" s="528">
        <v>10.905900000000001</v>
      </c>
      <c r="IU12" s="509">
        <v>6</v>
      </c>
      <c r="IV12" s="529"/>
      <c r="IW12" s="529"/>
      <c r="IX12" s="509">
        <v>6</v>
      </c>
      <c r="IY12" s="528">
        <v>10.5815</v>
      </c>
      <c r="IZ12" s="528">
        <v>10.480499999999999</v>
      </c>
      <c r="JA12" s="528">
        <v>10.5113</v>
      </c>
      <c r="JB12" s="528">
        <v>10.854799999999999</v>
      </c>
      <c r="JC12" s="528">
        <v>10.9694</v>
      </c>
      <c r="JD12" s="528">
        <v>11.297000000000001</v>
      </c>
      <c r="JE12" s="528">
        <v>11.0642</v>
      </c>
      <c r="JF12" s="528">
        <v>10.9802</v>
      </c>
      <c r="JG12" s="528">
        <v>10.8476</v>
      </c>
      <c r="JH12" s="528">
        <v>11.0533</v>
      </c>
      <c r="JI12" s="528">
        <v>10.744899999999999</v>
      </c>
      <c r="JJ12" s="528">
        <v>10.9595</v>
      </c>
      <c r="JK12" s="509">
        <v>6</v>
      </c>
      <c r="JL12" s="529"/>
      <c r="JM12" s="529"/>
      <c r="JN12" s="509">
        <v>6</v>
      </c>
      <c r="JO12" s="528">
        <v>11.3087</v>
      </c>
      <c r="JP12" s="528">
        <v>11.1683</v>
      </c>
      <c r="JQ12" s="528">
        <v>11.0837</v>
      </c>
      <c r="JR12" s="528">
        <v>11.217499999999999</v>
      </c>
      <c r="JS12" s="528">
        <v>10.981999999999999</v>
      </c>
      <c r="JT12" s="528">
        <v>10.814399999999999</v>
      </c>
      <c r="JU12" s="528">
        <v>10.7438</v>
      </c>
      <c r="JV12" s="528">
        <v>10.5831</v>
      </c>
      <c r="JW12" s="528">
        <v>10.683999999999999</v>
      </c>
      <c r="JX12" s="528">
        <v>10.685700000000001</v>
      </c>
      <c r="JY12" s="528">
        <v>10.7218</v>
      </c>
      <c r="JZ12" s="528">
        <v>10.4558</v>
      </c>
      <c r="KA12" s="509">
        <v>6</v>
      </c>
      <c r="KB12" s="529"/>
      <c r="KC12" s="529"/>
      <c r="KD12" s="509">
        <v>6</v>
      </c>
      <c r="KE12" s="528">
        <v>11.0885</v>
      </c>
      <c r="KF12" s="528">
        <v>11.082000000000001</v>
      </c>
      <c r="KG12" s="528">
        <v>10.9955</v>
      </c>
      <c r="KH12" s="528">
        <v>11.1815</v>
      </c>
      <c r="KI12" s="528">
        <v>11.410500000000001</v>
      </c>
      <c r="KJ12" s="528">
        <v>11.4373</v>
      </c>
      <c r="KK12" s="528">
        <v>11.4763</v>
      </c>
      <c r="KL12" s="528">
        <v>11.4527</v>
      </c>
      <c r="KM12" s="528">
        <v>11.4725</v>
      </c>
      <c r="KN12" s="528">
        <v>11.350199999999999</v>
      </c>
      <c r="KO12" s="528">
        <v>11.411799999999999</v>
      </c>
      <c r="KP12" s="528">
        <v>11.145300000000001</v>
      </c>
      <c r="KQ12" s="509">
        <v>6</v>
      </c>
      <c r="KR12" s="529"/>
      <c r="KS12" s="529"/>
      <c r="KT12" s="509">
        <v>6</v>
      </c>
      <c r="KU12" s="528">
        <v>10.3626</v>
      </c>
      <c r="KV12" s="528">
        <v>10.8833</v>
      </c>
      <c r="KW12" s="528">
        <v>11.136699999999999</v>
      </c>
      <c r="KX12" s="528">
        <v>10.661899999999999</v>
      </c>
      <c r="KY12" s="528">
        <v>10.2003</v>
      </c>
      <c r="KZ12" s="528">
        <v>10.388199999999999</v>
      </c>
      <c r="LA12" s="528">
        <v>10.446999999999999</v>
      </c>
      <c r="LB12" s="528">
        <v>10.586399999999999</v>
      </c>
      <c r="LC12" s="528">
        <v>10.8575</v>
      </c>
      <c r="LD12" s="528">
        <v>11.160299999999999</v>
      </c>
      <c r="LE12" s="528">
        <v>10.9998</v>
      </c>
      <c r="LF12" s="528">
        <v>11.2224</v>
      </c>
      <c r="LG12" s="509">
        <v>6</v>
      </c>
      <c r="LH12" s="529"/>
      <c r="LI12" s="529"/>
      <c r="LJ12" s="509">
        <v>6</v>
      </c>
      <c r="LK12" s="528">
        <v>9.1142000000000003</v>
      </c>
      <c r="LL12" s="528">
        <v>9.1544000000000008</v>
      </c>
      <c r="LM12" s="528">
        <v>9.0723000000000003</v>
      </c>
      <c r="LN12" s="528">
        <v>9.0467999999999993</v>
      </c>
      <c r="LO12" s="528">
        <v>9.4169999999999998</v>
      </c>
      <c r="LP12" s="528">
        <v>9.7059999999999995</v>
      </c>
      <c r="LQ12" s="528">
        <v>9.9502000000000006</v>
      </c>
      <c r="LR12" s="528">
        <v>9.8412000000000006</v>
      </c>
      <c r="LS12" s="528">
        <v>10.0154</v>
      </c>
      <c r="LT12" s="528">
        <v>10.139799999999999</v>
      </c>
      <c r="LU12" s="528">
        <v>10.182</v>
      </c>
      <c r="LV12" s="528">
        <v>10.2287</v>
      </c>
      <c r="LW12" s="509">
        <v>6</v>
      </c>
      <c r="LX12" s="529"/>
      <c r="LY12" s="529"/>
      <c r="LZ12" s="509">
        <v>6</v>
      </c>
      <c r="MA12" s="528">
        <v>9.7080000000000002</v>
      </c>
      <c r="MB12" s="528">
        <v>9.7327999999999992</v>
      </c>
      <c r="MC12" s="528">
        <v>9.6687999999999992</v>
      </c>
      <c r="MD12" s="528">
        <v>9.4200999999999997</v>
      </c>
      <c r="ME12" s="528">
        <v>9.2873000000000001</v>
      </c>
      <c r="MF12" s="528">
        <v>9.1369000000000007</v>
      </c>
      <c r="MG12" s="528">
        <v>9.0707000000000004</v>
      </c>
      <c r="MH12" s="528">
        <v>9.1698000000000004</v>
      </c>
      <c r="MI12" s="528">
        <v>9.1957000000000004</v>
      </c>
      <c r="MJ12" s="528">
        <v>9.5243000000000002</v>
      </c>
      <c r="MK12" s="528">
        <v>9.2782999999999998</v>
      </c>
      <c r="ML12" s="528">
        <v>9.2196999999999996</v>
      </c>
      <c r="MM12" s="509">
        <v>6</v>
      </c>
      <c r="MN12" s="529"/>
      <c r="MO12" s="529"/>
      <c r="MP12" s="509">
        <v>6</v>
      </c>
      <c r="MQ12" s="528">
        <v>9.4564000000000004</v>
      </c>
      <c r="MR12" s="528">
        <v>9.5010999999999992</v>
      </c>
      <c r="MS12" s="528">
        <v>9.3382000000000005</v>
      </c>
      <c r="MT12" s="528">
        <v>9.2878000000000007</v>
      </c>
      <c r="MU12" s="528">
        <v>9.3848000000000003</v>
      </c>
      <c r="MV12" s="528">
        <v>9.5460999999999991</v>
      </c>
      <c r="MW12" s="528">
        <v>9.4876000000000005</v>
      </c>
      <c r="MX12" s="528">
        <v>9.3880999999999997</v>
      </c>
      <c r="MY12" s="528">
        <v>9.2231000000000005</v>
      </c>
      <c r="MZ12" s="528">
        <v>9.4291999999999998</v>
      </c>
      <c r="NA12" s="528">
        <v>9.5823999999999998</v>
      </c>
      <c r="NB12" s="528">
        <v>9.4131999999999998</v>
      </c>
      <c r="NC12" s="509">
        <v>6</v>
      </c>
      <c r="ND12" s="529"/>
      <c r="NE12" s="529"/>
      <c r="NF12" s="509">
        <v>6</v>
      </c>
      <c r="NG12" s="528">
        <v>9.8376000000000001</v>
      </c>
      <c r="NH12" s="528">
        <v>10.113799999999999</v>
      </c>
      <c r="NI12" s="528">
        <v>9.9334000000000007</v>
      </c>
      <c r="NJ12" s="528">
        <v>9.5218000000000007</v>
      </c>
      <c r="NK12" s="528">
        <v>9.2689000000000004</v>
      </c>
      <c r="NL12" s="528">
        <v>9.6545000000000005</v>
      </c>
      <c r="NM12" s="528">
        <v>9.3513000000000002</v>
      </c>
      <c r="NN12" s="528">
        <v>9.4364000000000008</v>
      </c>
      <c r="NO12" s="528">
        <v>9.3739000000000008</v>
      </c>
      <c r="NP12" s="528">
        <v>9.4530999999999992</v>
      </c>
      <c r="NQ12" s="528">
        <v>9.4711999999999996</v>
      </c>
      <c r="NR12" s="528">
        <v>9.5326000000000004</v>
      </c>
      <c r="NS12" s="509">
        <v>6</v>
      </c>
      <c r="NT12" s="529"/>
      <c r="NU12" s="529"/>
      <c r="NV12" s="509">
        <v>6</v>
      </c>
      <c r="NW12" s="528">
        <v>8.0585000000000004</v>
      </c>
      <c r="NX12" s="528">
        <v>8.4322999999999997</v>
      </c>
      <c r="NY12" s="528">
        <v>8.5824999999999996</v>
      </c>
      <c r="NZ12" s="528">
        <v>8.5213999999999999</v>
      </c>
      <c r="OA12" s="528">
        <v>8.4898000000000007</v>
      </c>
      <c r="OB12" s="528">
        <v>8.7803000000000004</v>
      </c>
      <c r="OC12" s="528">
        <v>8.9863</v>
      </c>
      <c r="OD12" s="528">
        <v>8.9648000000000003</v>
      </c>
      <c r="OE12" s="528">
        <v>10.107200000000001</v>
      </c>
      <c r="OF12" s="528">
        <v>10.313700000000001</v>
      </c>
      <c r="OG12" s="528">
        <v>9.9365000000000006</v>
      </c>
      <c r="OH12" s="528">
        <v>9.9876000000000005</v>
      </c>
      <c r="OI12" s="509">
        <v>6</v>
      </c>
      <c r="OJ12" s="529"/>
      <c r="OK12" s="529"/>
      <c r="OL12" s="509">
        <v>6</v>
      </c>
      <c r="OM12" s="528">
        <v>7.9027000000000003</v>
      </c>
      <c r="ON12" s="528">
        <v>7.8182999999999998</v>
      </c>
      <c r="OO12" s="528">
        <v>7.9737</v>
      </c>
      <c r="OP12" s="528">
        <v>7.9720000000000004</v>
      </c>
      <c r="OQ12" s="528">
        <v>7.9519000000000002</v>
      </c>
      <c r="OR12" s="528">
        <v>7.9283000000000001</v>
      </c>
      <c r="OS12" s="528">
        <v>7.9497</v>
      </c>
      <c r="OT12" s="528">
        <v>7.8310000000000004</v>
      </c>
      <c r="OU12" s="528">
        <v>7.7881999999999998</v>
      </c>
      <c r="OV12" s="528">
        <v>7.7530000000000001</v>
      </c>
      <c r="OW12" s="528">
        <v>8.2535000000000007</v>
      </c>
      <c r="OX12" s="528">
        <v>8.1057000000000006</v>
      </c>
      <c r="OY12" s="509">
        <v>6</v>
      </c>
      <c r="OZ12" s="529"/>
      <c r="PA12" s="529"/>
      <c r="PB12" s="509">
        <v>6</v>
      </c>
      <c r="PC12" s="528">
        <v>7.57</v>
      </c>
      <c r="PD12" s="528">
        <v>7.4169999999999998</v>
      </c>
      <c r="PE12" s="528">
        <v>7.5747</v>
      </c>
      <c r="PF12" s="528">
        <v>7.5110000000000001</v>
      </c>
      <c r="PG12" s="528">
        <v>7.4691999999999998</v>
      </c>
      <c r="PH12" s="528">
        <v>7.4313000000000002</v>
      </c>
      <c r="PI12" s="528">
        <v>7.6093000000000002</v>
      </c>
      <c r="PJ12" s="528">
        <v>7.5374999999999996</v>
      </c>
      <c r="PK12" s="528">
        <v>7.5620000000000003</v>
      </c>
      <c r="PL12" s="528">
        <v>7.5301999999999998</v>
      </c>
      <c r="PM12" s="528">
        <v>7.9241999999999999</v>
      </c>
      <c r="PN12" s="528">
        <v>7.8625999999999996</v>
      </c>
      <c r="PO12" s="509">
        <v>6</v>
      </c>
      <c r="PP12" s="529"/>
      <c r="PQ12" s="529"/>
      <c r="PR12" s="509">
        <v>6</v>
      </c>
      <c r="PS12" s="528">
        <v>5.53</v>
      </c>
      <c r="PT12" s="528">
        <v>5.4550000000000001</v>
      </c>
      <c r="PU12" s="528">
        <v>5.9625000000000004</v>
      </c>
      <c r="PV12" s="528">
        <v>6.5883000000000003</v>
      </c>
      <c r="PW12" s="528">
        <v>5.8692000000000002</v>
      </c>
      <c r="PX12" s="528">
        <v>6.2016999999999998</v>
      </c>
      <c r="PY12" s="528">
        <v>6.2683</v>
      </c>
      <c r="PZ12" s="528">
        <v>6.1257999999999999</v>
      </c>
      <c r="QA12" s="528">
        <v>6.2453000000000003</v>
      </c>
      <c r="QB12" s="528">
        <v>6.5425000000000004</v>
      </c>
      <c r="QC12" s="528">
        <v>7.4032999999999998</v>
      </c>
      <c r="QD12" s="528">
        <v>7.6166999999999998</v>
      </c>
      <c r="QE12" s="509">
        <v>6</v>
      </c>
      <c r="QF12" s="529"/>
      <c r="QG12" s="529"/>
      <c r="QH12" s="509">
        <v>6</v>
      </c>
      <c r="QI12" s="528">
        <v>3.1128999999999998</v>
      </c>
      <c r="QJ12" s="528">
        <v>3.1055999999999999</v>
      </c>
      <c r="QK12" s="528">
        <v>3.2513000000000001</v>
      </c>
      <c r="QL12" s="528">
        <v>3.3626</v>
      </c>
      <c r="QM12" s="528">
        <v>3.3144999999999998</v>
      </c>
      <c r="QN12" s="528">
        <v>3.3252999999999999</v>
      </c>
      <c r="QO12" s="528">
        <v>3.399</v>
      </c>
      <c r="QP12" s="528">
        <v>3.3780999999999999</v>
      </c>
      <c r="QQ12" s="528">
        <v>3.3778000000000001</v>
      </c>
      <c r="QR12" s="528">
        <v>3.4142999999999999</v>
      </c>
      <c r="QS12" s="528">
        <v>3.4350000000000001</v>
      </c>
      <c r="QT12" s="528">
        <v>3.4379</v>
      </c>
      <c r="QU12" s="509">
        <v>6</v>
      </c>
      <c r="QV12" s="529"/>
      <c r="QW12" s="529"/>
      <c r="QX12" s="509">
        <v>6</v>
      </c>
      <c r="QY12" s="528">
        <v>3.117</v>
      </c>
      <c r="QZ12" s="528">
        <v>3.1017000000000001</v>
      </c>
      <c r="RA12" s="528">
        <v>3.0960999999999999</v>
      </c>
      <c r="RB12" s="528">
        <v>3.0937000000000001</v>
      </c>
      <c r="RC12" s="528">
        <v>3.1078999999999999</v>
      </c>
      <c r="RD12" s="528">
        <v>3.125</v>
      </c>
      <c r="RE12" s="528">
        <v>3.1223999999999998</v>
      </c>
      <c r="RF12" s="528">
        <v>3.1097000000000001</v>
      </c>
      <c r="RG12" s="528">
        <v>3.1139000000000001</v>
      </c>
      <c r="RH12" s="528">
        <v>3.1131000000000002</v>
      </c>
      <c r="RI12" s="528">
        <v>3.1476000000000002</v>
      </c>
      <c r="RJ12" s="528">
        <v>3.1036999999999999</v>
      </c>
      <c r="RK12" s="509">
        <v>6</v>
      </c>
      <c r="RL12" s="529"/>
      <c r="RM12" s="529"/>
      <c r="RN12" s="509">
        <v>6</v>
      </c>
      <c r="RO12" s="528">
        <v>3.0752999999999999</v>
      </c>
      <c r="RP12" s="528">
        <v>3.0655999999999999</v>
      </c>
      <c r="RQ12" s="528">
        <v>3.0606</v>
      </c>
      <c r="RR12" s="528">
        <v>3.0609000000000002</v>
      </c>
      <c r="RS12" s="528">
        <v>3.0785999999999998</v>
      </c>
      <c r="RT12" s="528">
        <v>3.1179000000000001</v>
      </c>
      <c r="RU12" s="528">
        <v>3.1204000000000001</v>
      </c>
      <c r="RV12" s="528">
        <v>3.1071</v>
      </c>
      <c r="RW12" s="528">
        <v>3.0699000000000001</v>
      </c>
      <c r="RX12" s="528">
        <v>3.1145</v>
      </c>
      <c r="RY12" s="528">
        <v>3.1271</v>
      </c>
      <c r="RZ12" s="528">
        <v>3.1139000000000001</v>
      </c>
      <c r="SA12" s="509">
        <v>6</v>
      </c>
      <c r="SB12" s="529"/>
      <c r="SC12" s="529"/>
      <c r="SD12" s="509">
        <v>6</v>
      </c>
      <c r="SE12" s="528">
        <v>2.9478</v>
      </c>
      <c r="SF12" s="528">
        <v>2.9605999999999999</v>
      </c>
      <c r="SG12" s="528">
        <v>2.9718</v>
      </c>
      <c r="SH12" s="528">
        <v>2.9842</v>
      </c>
      <c r="SI12" s="528">
        <v>2.9954000000000001</v>
      </c>
      <c r="SJ12" s="528">
        <v>3.0085999999999999</v>
      </c>
      <c r="SK12" s="528">
        <v>3.0206</v>
      </c>
      <c r="SL12" s="528">
        <v>3.0322</v>
      </c>
      <c r="SM12" s="528">
        <v>3.0453999999999999</v>
      </c>
      <c r="SN12" s="528">
        <v>3.0586000000000002</v>
      </c>
      <c r="SO12" s="528">
        <v>3.0706000000000002</v>
      </c>
      <c r="SP12" s="528">
        <v>3.0660400000000001</v>
      </c>
      <c r="SQ12" s="509">
        <v>6</v>
      </c>
      <c r="SR12" s="529"/>
      <c r="SS12" s="529"/>
      <c r="ST12" s="509">
        <v>6</v>
      </c>
      <c r="SU12" s="528">
        <v>2.6480000000000001</v>
      </c>
      <c r="SV12" s="528">
        <v>2.677</v>
      </c>
      <c r="SW12" s="528">
        <v>2.7050000000000001</v>
      </c>
      <c r="SX12" s="528">
        <v>2.738</v>
      </c>
      <c r="SY12" s="528">
        <v>2.7669999999999999</v>
      </c>
      <c r="SZ12" s="528">
        <v>2.7978000000000001</v>
      </c>
      <c r="TA12" s="528">
        <v>2.8218000000000001</v>
      </c>
      <c r="TB12" s="528">
        <v>2.8450000000000002</v>
      </c>
      <c r="TC12" s="528">
        <v>2.8714</v>
      </c>
      <c r="TD12" s="528">
        <v>2.8954</v>
      </c>
      <c r="TE12" s="528">
        <v>2.9186000000000001</v>
      </c>
      <c r="TF12" s="528">
        <v>2.9358</v>
      </c>
      <c r="TG12" s="509">
        <v>6</v>
      </c>
      <c r="TH12" s="529"/>
      <c r="TI12" s="529"/>
      <c r="TJ12" s="509">
        <v>6</v>
      </c>
      <c r="TK12" s="528">
        <v>2.2829999999999999</v>
      </c>
      <c r="TL12" s="528">
        <v>2.3119999999999998</v>
      </c>
      <c r="TM12" s="528">
        <v>2.34</v>
      </c>
      <c r="TN12" s="528">
        <v>2.3730000000000002</v>
      </c>
      <c r="TO12" s="528">
        <v>2.403</v>
      </c>
      <c r="TP12" s="528">
        <v>2.4319999999999999</v>
      </c>
      <c r="TQ12" s="528">
        <v>2.464</v>
      </c>
      <c r="TR12" s="528">
        <v>2.4940000000000002</v>
      </c>
      <c r="TS12" s="528">
        <v>2.5259999999999998</v>
      </c>
      <c r="TT12" s="528">
        <v>2.556</v>
      </c>
      <c r="TU12" s="528">
        <v>2.585</v>
      </c>
      <c r="TV12" s="528">
        <v>2.617</v>
      </c>
      <c r="TW12" s="509">
        <v>6</v>
      </c>
    </row>
    <row r="13" spans="2:543" s="4" customFormat="1" ht="23" customHeight="1">
      <c r="B13" s="509">
        <v>7</v>
      </c>
      <c r="C13" s="541">
        <v>20.3977</v>
      </c>
      <c r="D13" s="541">
        <v>20.5562</v>
      </c>
      <c r="E13" s="541">
        <v>20.703299999999999</v>
      </c>
      <c r="F13" s="541">
        <v>19.901199999999999</v>
      </c>
      <c r="G13" s="541">
        <v>20.253499999999999</v>
      </c>
      <c r="H13" s="541">
        <v>19.574200000000001</v>
      </c>
      <c r="I13" s="541">
        <v>20.559799999999999</v>
      </c>
      <c r="J13" s="541">
        <v>20.335799999999999</v>
      </c>
      <c r="K13" s="541">
        <v>19.962</v>
      </c>
      <c r="L13" s="541">
        <v>20.1267</v>
      </c>
      <c r="M13" s="541">
        <v>19.667300000000001</v>
      </c>
      <c r="N13" s="541">
        <v>19.756699999999999</v>
      </c>
      <c r="O13" s="509">
        <v>7</v>
      </c>
      <c r="R13" s="509">
        <v>7</v>
      </c>
      <c r="S13" s="541">
        <v>19.9437</v>
      </c>
      <c r="T13" s="541">
        <v>20.4435</v>
      </c>
      <c r="U13" s="541">
        <v>20.849799999999998</v>
      </c>
      <c r="V13" s="541">
        <v>20.2483</v>
      </c>
      <c r="W13" s="541">
        <v>20.223500000000001</v>
      </c>
      <c r="X13" s="541">
        <v>20.060500000000001</v>
      </c>
      <c r="Y13" s="541">
        <v>19.853200000000001</v>
      </c>
      <c r="Z13" s="541">
        <v>19.929300000000001</v>
      </c>
      <c r="AA13" s="541">
        <v>19.8992</v>
      </c>
      <c r="AB13" s="541">
        <v>20.581800000000001</v>
      </c>
      <c r="AC13" s="541">
        <v>20.624199999999998</v>
      </c>
      <c r="AD13" s="541">
        <v>21.4177</v>
      </c>
      <c r="AE13" s="509">
        <v>7</v>
      </c>
      <c r="AH13" s="509">
        <v>7</v>
      </c>
      <c r="AI13" s="541">
        <v>18.8673</v>
      </c>
      <c r="AJ13" s="541">
        <v>18.624500000000001</v>
      </c>
      <c r="AK13" s="541">
        <v>19.8095</v>
      </c>
      <c r="AL13" s="541">
        <v>24.6938</v>
      </c>
      <c r="AM13" s="541">
        <v>23.834299999999999</v>
      </c>
      <c r="AN13" s="541">
        <v>21.838799999999999</v>
      </c>
      <c r="AO13" s="541">
        <v>22.4147</v>
      </c>
      <c r="AP13" s="541">
        <v>22.4068</v>
      </c>
      <c r="AQ13" s="541">
        <v>21.638300000000001</v>
      </c>
      <c r="AR13" s="541">
        <v>21.396000000000001</v>
      </c>
      <c r="AS13" s="541">
        <v>20.761199999999999</v>
      </c>
      <c r="AT13" s="541">
        <v>19.908300000000001</v>
      </c>
      <c r="AU13" s="509">
        <v>7</v>
      </c>
      <c r="AX13" s="509">
        <v>7</v>
      </c>
      <c r="AY13" s="528">
        <v>19.607299999999999</v>
      </c>
      <c r="AZ13" s="528">
        <v>19.0824</v>
      </c>
      <c r="BA13" s="530">
        <v>19.259699999999999</v>
      </c>
      <c r="BB13" s="528">
        <v>19.172799999999999</v>
      </c>
      <c r="BC13" s="528">
        <v>19.001200000000001</v>
      </c>
      <c r="BD13" s="528">
        <v>19.541799999999999</v>
      </c>
      <c r="BE13" s="528">
        <v>18.994700000000002</v>
      </c>
      <c r="BF13" s="528">
        <v>19.5731</v>
      </c>
      <c r="BG13" s="528">
        <v>19.683399999999999</v>
      </c>
      <c r="BH13" s="528">
        <v>19.736799999999999</v>
      </c>
      <c r="BI13" s="528">
        <v>19.212499999999999</v>
      </c>
      <c r="BJ13" s="528">
        <v>19.3688</v>
      </c>
      <c r="BK13" s="509">
        <v>7</v>
      </c>
      <c r="BN13" s="509">
        <v>7</v>
      </c>
      <c r="BO13" s="528">
        <v>19.242699999999999</v>
      </c>
      <c r="BP13" s="528">
        <v>18.524799999999999</v>
      </c>
      <c r="BQ13" s="530">
        <v>18.883800000000001</v>
      </c>
      <c r="BR13" s="528">
        <v>18.1081</v>
      </c>
      <c r="BS13" s="528">
        <v>19.122299999999999</v>
      </c>
      <c r="BT13" s="528">
        <v>20.386299999999999</v>
      </c>
      <c r="BU13" s="528">
        <v>19.251300000000001</v>
      </c>
      <c r="BV13" s="528">
        <v>18.572500000000002</v>
      </c>
      <c r="BW13" s="528">
        <v>19.443300000000001</v>
      </c>
      <c r="BX13" s="528">
        <v>19.1328</v>
      </c>
      <c r="BY13" s="528">
        <v>19.9636</v>
      </c>
      <c r="BZ13" s="528">
        <v>20.5672</v>
      </c>
      <c r="CA13" s="509">
        <v>7</v>
      </c>
      <c r="CD13" s="509">
        <v>7</v>
      </c>
      <c r="CE13" s="528">
        <v>21.366099999999999</v>
      </c>
      <c r="CF13" s="528">
        <v>20.575700000000001</v>
      </c>
      <c r="CG13" s="528">
        <v>19.614699999999999</v>
      </c>
      <c r="CH13" s="528">
        <v>18.719200000000001</v>
      </c>
      <c r="CI13" s="528">
        <v>18.803100000000001</v>
      </c>
      <c r="CJ13" s="528">
        <v>18.381900000000002</v>
      </c>
      <c r="CK13" s="528">
        <v>18.355599999999999</v>
      </c>
      <c r="CL13" s="528">
        <v>17.8733</v>
      </c>
      <c r="CM13" s="528">
        <v>17.835999999999999</v>
      </c>
      <c r="CN13" s="528">
        <v>18.306000000000001</v>
      </c>
      <c r="CO13" s="528">
        <v>19.184999999999999</v>
      </c>
      <c r="CP13" s="528">
        <v>18.695799999999998</v>
      </c>
      <c r="CQ13" s="509">
        <v>7</v>
      </c>
      <c r="CT13" s="509">
        <v>7</v>
      </c>
      <c r="CU13" s="528">
        <v>17.345600000000001</v>
      </c>
      <c r="CV13" s="528">
        <v>18.1891</v>
      </c>
      <c r="CW13" s="528">
        <v>17.897099999999998</v>
      </c>
      <c r="CX13" s="528">
        <v>17.725200000000001</v>
      </c>
      <c r="CY13" s="528">
        <v>17.735800000000001</v>
      </c>
      <c r="CZ13" s="528">
        <v>18.628299999999999</v>
      </c>
      <c r="DA13" s="528">
        <v>18.753599999999999</v>
      </c>
      <c r="DB13" s="528">
        <v>18.8612</v>
      </c>
      <c r="DC13" s="528">
        <v>18.5581</v>
      </c>
      <c r="DD13" s="528">
        <v>19.255400000000002</v>
      </c>
      <c r="DE13" s="528">
        <v>19.2014</v>
      </c>
      <c r="DF13" s="528">
        <v>20.592700000000001</v>
      </c>
      <c r="DG13" s="509">
        <v>7</v>
      </c>
      <c r="DJ13" s="509">
        <v>7</v>
      </c>
      <c r="DK13" s="528">
        <v>14.946899999999999</v>
      </c>
      <c r="DL13" s="528">
        <v>14.754799999999999</v>
      </c>
      <c r="DM13" s="528">
        <v>15.1686</v>
      </c>
      <c r="DN13" s="528">
        <v>15.1206</v>
      </c>
      <c r="DO13" s="528">
        <v>15.3225</v>
      </c>
      <c r="DP13" s="528">
        <v>15.4833</v>
      </c>
      <c r="DQ13" s="528">
        <v>15.691800000000001</v>
      </c>
      <c r="DR13" s="528">
        <v>16.376200000000001</v>
      </c>
      <c r="DS13" s="528">
        <v>16.791799999999999</v>
      </c>
      <c r="DT13" s="528">
        <v>16.694099999999999</v>
      </c>
      <c r="DU13" s="528">
        <v>16.5959</v>
      </c>
      <c r="DV13" s="528">
        <v>16.709499999999998</v>
      </c>
      <c r="DW13" s="509">
        <v>7</v>
      </c>
      <c r="DZ13" s="509">
        <v>7</v>
      </c>
      <c r="EA13" s="528">
        <v>13.091100000000001</v>
      </c>
      <c r="EB13" s="528">
        <v>13.3705</v>
      </c>
      <c r="EC13" s="528">
        <v>13.251899999999999</v>
      </c>
      <c r="ED13" s="528">
        <v>13.132400000000001</v>
      </c>
      <c r="EE13" s="528">
        <v>13.010199999999999</v>
      </c>
      <c r="EF13" s="528">
        <v>12.886799999999999</v>
      </c>
      <c r="EG13" s="528">
        <v>12.982900000000001</v>
      </c>
      <c r="EH13" s="528">
        <v>13.271599999999999</v>
      </c>
      <c r="EI13" s="528">
        <v>13.0959</v>
      </c>
      <c r="EJ13" s="528">
        <v>13.483499999999999</v>
      </c>
      <c r="EK13" s="528">
        <v>13.606999999999999</v>
      </c>
      <c r="EL13" s="528">
        <v>14.1165</v>
      </c>
      <c r="EM13" s="509">
        <v>7</v>
      </c>
      <c r="EP13" s="509">
        <v>7</v>
      </c>
      <c r="EQ13" s="528">
        <v>12.743</v>
      </c>
      <c r="ER13" s="528">
        <v>12.6294</v>
      </c>
      <c r="ES13" s="528">
        <v>12.7355</v>
      </c>
      <c r="ET13" s="528">
        <v>12.319699999999999</v>
      </c>
      <c r="EU13" s="528">
        <v>12.085100000000001</v>
      </c>
      <c r="EV13" s="528">
        <v>12.816700000000001</v>
      </c>
      <c r="EW13" s="528">
        <v>12.8902</v>
      </c>
      <c r="EX13" s="528">
        <v>12.6759</v>
      </c>
      <c r="EY13" s="528">
        <v>13.4079</v>
      </c>
      <c r="EZ13" s="528">
        <v>13.266299999999999</v>
      </c>
      <c r="FA13" s="528">
        <v>13.1341</v>
      </c>
      <c r="FB13" s="528">
        <v>13.005699999999999</v>
      </c>
      <c r="FC13" s="509">
        <v>7</v>
      </c>
      <c r="FF13" s="509">
        <v>7</v>
      </c>
      <c r="FG13" s="528">
        <v>13.7409</v>
      </c>
      <c r="FH13" s="528">
        <v>12.803800000000001</v>
      </c>
      <c r="FI13" s="528">
        <v>12.8339</v>
      </c>
      <c r="FJ13" s="528">
        <v>12.7317</v>
      </c>
      <c r="FK13" s="528">
        <v>12.9725</v>
      </c>
      <c r="FL13" s="528">
        <v>14.2319</v>
      </c>
      <c r="FM13" s="528">
        <v>13.3508</v>
      </c>
      <c r="FN13" s="528">
        <v>13.1357</v>
      </c>
      <c r="FO13" s="528">
        <v>13.1221</v>
      </c>
      <c r="FP13" s="528">
        <v>12.758900000000001</v>
      </c>
      <c r="FQ13" s="528">
        <v>13.0449</v>
      </c>
      <c r="FR13" s="528">
        <v>12.9284</v>
      </c>
      <c r="FS13" s="509">
        <v>7</v>
      </c>
      <c r="FV13" s="509">
        <v>7</v>
      </c>
      <c r="FW13" s="528">
        <v>12.2064</v>
      </c>
      <c r="FX13" s="528">
        <v>12.049899999999999</v>
      </c>
      <c r="FY13" s="528">
        <v>12.036799999999999</v>
      </c>
      <c r="FZ13" s="528">
        <v>11.8322</v>
      </c>
      <c r="GA13" s="528">
        <v>11.6934</v>
      </c>
      <c r="GB13" s="528">
        <v>11.668900000000001</v>
      </c>
      <c r="GC13" s="528">
        <v>11.619400000000001</v>
      </c>
      <c r="GD13" s="528">
        <v>11.952299999999999</v>
      </c>
      <c r="GE13" s="528">
        <v>12.535299999999999</v>
      </c>
      <c r="GF13" s="528">
        <v>13.6675</v>
      </c>
      <c r="GG13" s="528">
        <v>13.412800000000001</v>
      </c>
      <c r="GH13" s="528">
        <v>13.4786</v>
      </c>
      <c r="GI13" s="509">
        <v>7</v>
      </c>
      <c r="GL13" s="509">
        <v>7</v>
      </c>
      <c r="GM13" s="528">
        <v>12.8241</v>
      </c>
      <c r="GN13" s="528">
        <v>13.0687</v>
      </c>
      <c r="GO13" s="528">
        <v>12.7182</v>
      </c>
      <c r="GP13" s="528">
        <v>12.2658</v>
      </c>
      <c r="GQ13" s="528">
        <v>12.663500000000001</v>
      </c>
      <c r="GR13" s="528">
        <v>12.7644</v>
      </c>
      <c r="GS13" s="528">
        <v>13.0953</v>
      </c>
      <c r="GT13" s="528">
        <v>12.5367</v>
      </c>
      <c r="GU13" s="528">
        <v>12.9526</v>
      </c>
      <c r="GV13" s="528">
        <v>12.5099</v>
      </c>
      <c r="GW13" s="528">
        <v>12.238099999999999</v>
      </c>
      <c r="GX13" s="528">
        <v>12.3597</v>
      </c>
      <c r="GY13" s="509">
        <v>7</v>
      </c>
      <c r="HB13" s="509">
        <v>7</v>
      </c>
      <c r="HC13" s="528">
        <v>13.550700000000001</v>
      </c>
      <c r="HD13" s="528">
        <v>14.294499999999999</v>
      </c>
      <c r="HE13" s="528">
        <v>15.285500000000001</v>
      </c>
      <c r="HF13" s="528">
        <v>13.6137</v>
      </c>
      <c r="HG13" s="528">
        <v>13.2242</v>
      </c>
      <c r="HH13" s="528">
        <v>13.2675</v>
      </c>
      <c r="HI13" s="528">
        <v>13.242800000000001</v>
      </c>
      <c r="HJ13" s="528">
        <v>13.105</v>
      </c>
      <c r="HK13" s="528">
        <v>13.5898</v>
      </c>
      <c r="HL13" s="528">
        <v>13.654999999999999</v>
      </c>
      <c r="HM13" s="528">
        <v>13.343</v>
      </c>
      <c r="HN13" s="528">
        <v>12.665800000000001</v>
      </c>
      <c r="HO13" s="509">
        <v>7</v>
      </c>
      <c r="HP13" s="529"/>
      <c r="HQ13" s="529"/>
      <c r="HR13" s="509">
        <v>7</v>
      </c>
      <c r="HS13" s="528">
        <v>10.8842</v>
      </c>
      <c r="HT13" s="528">
        <v>10.828900000000001</v>
      </c>
      <c r="HU13" s="528">
        <v>10.697800000000001</v>
      </c>
      <c r="HV13" s="528">
        <v>10.564399999999999</v>
      </c>
      <c r="HW13" s="528">
        <v>10.4687</v>
      </c>
      <c r="HX13" s="528">
        <v>10.3108</v>
      </c>
      <c r="HY13" s="528">
        <v>10.369199999999999</v>
      </c>
      <c r="HZ13" s="528">
        <v>9.9179999999999993</v>
      </c>
      <c r="IA13" s="528">
        <v>10.4658</v>
      </c>
      <c r="IB13" s="528">
        <v>11.1188</v>
      </c>
      <c r="IC13" s="528">
        <v>12.604200000000001</v>
      </c>
      <c r="ID13" s="528">
        <v>13.5358</v>
      </c>
      <c r="IE13" s="509">
        <v>7</v>
      </c>
      <c r="IF13" s="529"/>
      <c r="IG13" s="529"/>
      <c r="IH13" s="509">
        <v>7</v>
      </c>
      <c r="II13" s="528">
        <v>10.865</v>
      </c>
      <c r="IJ13" s="528">
        <v>10.992100000000001</v>
      </c>
      <c r="IK13" s="528">
        <v>11.1762</v>
      </c>
      <c r="IL13" s="528">
        <v>10.979699999999999</v>
      </c>
      <c r="IM13" s="528">
        <v>10.901999999999999</v>
      </c>
      <c r="IN13" s="528">
        <v>10.780900000000001</v>
      </c>
      <c r="IO13" s="528">
        <v>10.7936</v>
      </c>
      <c r="IP13" s="528">
        <v>10.967700000000001</v>
      </c>
      <c r="IQ13" s="528">
        <v>11.0848</v>
      </c>
      <c r="IR13" s="528">
        <v>10.8963</v>
      </c>
      <c r="IS13" s="528">
        <v>10.7308</v>
      </c>
      <c r="IT13" s="528">
        <v>10.8592</v>
      </c>
      <c r="IU13" s="509">
        <v>7</v>
      </c>
      <c r="IV13" s="529"/>
      <c r="IW13" s="529"/>
      <c r="IX13" s="509">
        <v>7</v>
      </c>
      <c r="IY13" s="528">
        <v>10.5907</v>
      </c>
      <c r="IZ13" s="528">
        <v>10.480499999999999</v>
      </c>
      <c r="JA13" s="528">
        <v>10.575900000000001</v>
      </c>
      <c r="JB13" s="528">
        <v>10.9467</v>
      </c>
      <c r="JC13" s="528">
        <v>10.9694</v>
      </c>
      <c r="JD13" s="528">
        <v>11.285399999999999</v>
      </c>
      <c r="JE13" s="528">
        <v>11.190099999999999</v>
      </c>
      <c r="JF13" s="528">
        <v>10.9802</v>
      </c>
      <c r="JG13" s="528">
        <v>10.8438</v>
      </c>
      <c r="JH13" s="528">
        <v>11.0185</v>
      </c>
      <c r="JI13" s="528">
        <v>10.7948</v>
      </c>
      <c r="JJ13" s="528">
        <v>10.894</v>
      </c>
      <c r="JK13" s="509">
        <v>7</v>
      </c>
      <c r="JL13" s="529"/>
      <c r="JM13" s="529"/>
      <c r="JN13" s="509">
        <v>7</v>
      </c>
      <c r="JO13" s="528">
        <v>11.341799999999999</v>
      </c>
      <c r="JP13" s="528">
        <v>11.1683</v>
      </c>
      <c r="JQ13" s="528">
        <v>11.0837</v>
      </c>
      <c r="JR13" s="528">
        <v>11.217599999999999</v>
      </c>
      <c r="JS13" s="528">
        <v>10.948700000000001</v>
      </c>
      <c r="JT13" s="528">
        <v>10.8179</v>
      </c>
      <c r="JU13" s="528">
        <v>10.7555</v>
      </c>
      <c r="JV13" s="528">
        <v>10.5831</v>
      </c>
      <c r="JW13" s="528">
        <v>10.668900000000001</v>
      </c>
      <c r="JX13" s="528">
        <v>10.711499999999999</v>
      </c>
      <c r="JY13" s="528">
        <v>10.7218</v>
      </c>
      <c r="JZ13" s="528">
        <v>10.4741</v>
      </c>
      <c r="KA13" s="509">
        <v>7</v>
      </c>
      <c r="KB13" s="529"/>
      <c r="KC13" s="529"/>
      <c r="KD13" s="509">
        <v>7</v>
      </c>
      <c r="KE13" s="528">
        <v>10.980499999999999</v>
      </c>
      <c r="KF13" s="528">
        <v>11.0608</v>
      </c>
      <c r="KG13" s="528">
        <v>10.9955</v>
      </c>
      <c r="KH13" s="528">
        <v>11.159800000000001</v>
      </c>
      <c r="KI13" s="528">
        <v>11.3887</v>
      </c>
      <c r="KJ13" s="528">
        <v>11.4373</v>
      </c>
      <c r="KK13" s="528">
        <v>11.443199999999999</v>
      </c>
      <c r="KL13" s="528">
        <v>11.457000000000001</v>
      </c>
      <c r="KM13" s="528">
        <v>11.527900000000001</v>
      </c>
      <c r="KN13" s="528">
        <v>11.3149</v>
      </c>
      <c r="KO13" s="528">
        <v>11.411799999999999</v>
      </c>
      <c r="KP13" s="528">
        <v>11.1213</v>
      </c>
      <c r="KQ13" s="509">
        <v>7</v>
      </c>
      <c r="KR13" s="529"/>
      <c r="KS13" s="529"/>
      <c r="KT13" s="509">
        <v>7</v>
      </c>
      <c r="KU13" s="528">
        <v>10.3856</v>
      </c>
      <c r="KV13" s="528">
        <v>10.982200000000001</v>
      </c>
      <c r="KW13" s="528">
        <v>11.1927</v>
      </c>
      <c r="KX13" s="528">
        <v>10.661899999999999</v>
      </c>
      <c r="KY13" s="528">
        <v>10.181699999999999</v>
      </c>
      <c r="KZ13" s="528">
        <v>10.559799999999999</v>
      </c>
      <c r="LA13" s="528">
        <v>10.446999999999999</v>
      </c>
      <c r="LB13" s="528">
        <v>10.7117</v>
      </c>
      <c r="LC13" s="528">
        <v>10.8575</v>
      </c>
      <c r="LD13" s="528">
        <v>11.247299999999999</v>
      </c>
      <c r="LE13" s="528">
        <v>10.982900000000001</v>
      </c>
      <c r="LF13" s="528">
        <v>11.2224</v>
      </c>
      <c r="LG13" s="509">
        <v>7</v>
      </c>
      <c r="LH13" s="529"/>
      <c r="LI13" s="529"/>
      <c r="LJ13" s="509">
        <v>7</v>
      </c>
      <c r="LK13" s="528">
        <v>9.1142000000000003</v>
      </c>
      <c r="LL13" s="528">
        <v>9.1626999999999992</v>
      </c>
      <c r="LM13" s="528">
        <v>9.077</v>
      </c>
      <c r="LN13" s="528">
        <v>9.0467999999999993</v>
      </c>
      <c r="LO13" s="528">
        <v>9.4977999999999998</v>
      </c>
      <c r="LP13" s="528">
        <v>9.7345000000000006</v>
      </c>
      <c r="LQ13" s="528">
        <v>9.9502000000000006</v>
      </c>
      <c r="LR13" s="528">
        <v>9.7927999999999997</v>
      </c>
      <c r="LS13" s="528">
        <v>10.008599999999999</v>
      </c>
      <c r="LT13" s="528">
        <v>10.139799999999999</v>
      </c>
      <c r="LU13" s="528">
        <v>10.209899999999999</v>
      </c>
      <c r="LV13" s="528">
        <v>10.245200000000001</v>
      </c>
      <c r="LW13" s="509">
        <v>7</v>
      </c>
      <c r="LX13" s="529"/>
      <c r="LY13" s="529"/>
      <c r="LZ13" s="509">
        <v>7</v>
      </c>
      <c r="MA13" s="528">
        <v>9.7080000000000002</v>
      </c>
      <c r="MB13" s="528">
        <v>9.7560000000000002</v>
      </c>
      <c r="MC13" s="528">
        <v>9.6370000000000005</v>
      </c>
      <c r="MD13" s="528">
        <v>9.4139999999999997</v>
      </c>
      <c r="ME13" s="528">
        <v>9.2873000000000001</v>
      </c>
      <c r="MF13" s="528">
        <v>9.1722000000000001</v>
      </c>
      <c r="MG13" s="528">
        <v>9.0312000000000001</v>
      </c>
      <c r="MH13" s="528">
        <v>9.1638000000000002</v>
      </c>
      <c r="MI13" s="528">
        <v>9.2586999999999993</v>
      </c>
      <c r="MJ13" s="528">
        <v>9.5243000000000002</v>
      </c>
      <c r="MK13" s="528">
        <v>9.2220999999999993</v>
      </c>
      <c r="ML13" s="528">
        <v>9.2164999999999999</v>
      </c>
      <c r="MM13" s="509">
        <v>7</v>
      </c>
      <c r="MN13" s="529"/>
      <c r="MO13" s="529"/>
      <c r="MP13" s="509">
        <v>7</v>
      </c>
      <c r="MQ13" s="528">
        <v>9.5455000000000005</v>
      </c>
      <c r="MR13" s="528">
        <v>9.5010999999999992</v>
      </c>
      <c r="MS13" s="528">
        <v>9.3115000000000006</v>
      </c>
      <c r="MT13" s="528">
        <v>9.3834999999999997</v>
      </c>
      <c r="MU13" s="528">
        <v>9.3848000000000003</v>
      </c>
      <c r="MV13" s="528">
        <v>9.5442</v>
      </c>
      <c r="MW13" s="528">
        <v>9.5383999999999993</v>
      </c>
      <c r="MX13" s="528">
        <v>9.3880999999999997</v>
      </c>
      <c r="MY13" s="528">
        <v>9.2612000000000005</v>
      </c>
      <c r="MZ13" s="528">
        <v>9.4514999999999993</v>
      </c>
      <c r="NA13" s="528">
        <v>9.5990000000000002</v>
      </c>
      <c r="NB13" s="528">
        <v>9.3736999999999995</v>
      </c>
      <c r="NC13" s="509">
        <v>7</v>
      </c>
      <c r="ND13" s="529"/>
      <c r="NE13" s="529"/>
      <c r="NF13" s="509">
        <v>7</v>
      </c>
      <c r="NG13" s="528">
        <v>9.7920999999999996</v>
      </c>
      <c r="NH13" s="528">
        <v>10.113799999999999</v>
      </c>
      <c r="NI13" s="528">
        <v>9.9334000000000007</v>
      </c>
      <c r="NJ13" s="528">
        <v>9.4817999999999998</v>
      </c>
      <c r="NK13" s="528">
        <v>9.2749000000000006</v>
      </c>
      <c r="NL13" s="528">
        <v>9.6545000000000005</v>
      </c>
      <c r="NM13" s="528">
        <v>9.3167000000000009</v>
      </c>
      <c r="NN13" s="528">
        <v>9.5097000000000005</v>
      </c>
      <c r="NO13" s="528">
        <v>9.3382000000000005</v>
      </c>
      <c r="NP13" s="528">
        <v>9.4757999999999996</v>
      </c>
      <c r="NQ13" s="528">
        <v>9.4711999999999996</v>
      </c>
      <c r="NR13" s="528">
        <v>9.4941999999999993</v>
      </c>
      <c r="NS13" s="509">
        <v>7</v>
      </c>
      <c r="NT13" s="529"/>
      <c r="NU13" s="529"/>
      <c r="NV13" s="509">
        <v>7</v>
      </c>
      <c r="NW13" s="528">
        <v>8.0422999999999991</v>
      </c>
      <c r="NX13" s="528">
        <v>8.4135000000000009</v>
      </c>
      <c r="NY13" s="528">
        <v>8.6202000000000005</v>
      </c>
      <c r="NZ13" s="528">
        <v>8.5410000000000004</v>
      </c>
      <c r="OA13" s="528">
        <v>8.4770000000000003</v>
      </c>
      <c r="OB13" s="528">
        <v>8.7803000000000004</v>
      </c>
      <c r="OC13" s="528">
        <v>8.9497</v>
      </c>
      <c r="OD13" s="528">
        <v>9.0061999999999998</v>
      </c>
      <c r="OE13" s="528">
        <v>10.107200000000001</v>
      </c>
      <c r="OF13" s="528">
        <v>10.218</v>
      </c>
      <c r="OG13" s="528">
        <v>9.9885999999999999</v>
      </c>
      <c r="OH13" s="528">
        <v>9.9876000000000005</v>
      </c>
      <c r="OI13" s="509">
        <v>7</v>
      </c>
      <c r="OJ13" s="529"/>
      <c r="OK13" s="529"/>
      <c r="OL13" s="509">
        <v>7</v>
      </c>
      <c r="OM13" s="528">
        <v>7.8663999999999996</v>
      </c>
      <c r="ON13" s="528">
        <v>7.8322000000000003</v>
      </c>
      <c r="OO13" s="528">
        <v>8.0437999999999992</v>
      </c>
      <c r="OP13" s="528">
        <v>7.9720000000000004</v>
      </c>
      <c r="OQ13" s="528">
        <v>7.9112999999999998</v>
      </c>
      <c r="OR13" s="528">
        <v>7.9481999999999999</v>
      </c>
      <c r="OS13" s="528">
        <v>7.9497</v>
      </c>
      <c r="OT13" s="528">
        <v>7.8051000000000004</v>
      </c>
      <c r="OU13" s="528">
        <v>7.7881999999999998</v>
      </c>
      <c r="OV13" s="528">
        <v>7.7561999999999998</v>
      </c>
      <c r="OW13" s="528">
        <v>8.1659000000000006</v>
      </c>
      <c r="OX13" s="528">
        <v>8.1057000000000006</v>
      </c>
      <c r="OY13" s="509">
        <v>7</v>
      </c>
      <c r="OZ13" s="529"/>
      <c r="PA13" s="529"/>
      <c r="PB13" s="509">
        <v>7</v>
      </c>
      <c r="PC13" s="528">
        <v>7.57</v>
      </c>
      <c r="PD13" s="528">
        <v>7.4241000000000001</v>
      </c>
      <c r="PE13" s="528">
        <v>7.5862999999999996</v>
      </c>
      <c r="PF13" s="528">
        <v>7.5110000000000001</v>
      </c>
      <c r="PG13" s="528">
        <v>7.4748999999999999</v>
      </c>
      <c r="PH13" s="528">
        <v>7.4650999999999996</v>
      </c>
      <c r="PI13" s="528">
        <v>7.6093000000000002</v>
      </c>
      <c r="PJ13" s="528">
        <v>7.5503999999999998</v>
      </c>
      <c r="PK13" s="528">
        <v>7.5995999999999997</v>
      </c>
      <c r="PL13" s="528">
        <v>7.5301999999999998</v>
      </c>
      <c r="PM13" s="528">
        <v>7.8920000000000003</v>
      </c>
      <c r="PN13" s="528">
        <v>7.8884999999999996</v>
      </c>
      <c r="PO13" s="509">
        <v>7</v>
      </c>
      <c r="PP13" s="529"/>
      <c r="PQ13" s="529"/>
      <c r="PR13" s="509">
        <v>7</v>
      </c>
      <c r="PS13" s="528">
        <v>5.39</v>
      </c>
      <c r="PT13" s="528">
        <v>5.3775000000000004</v>
      </c>
      <c r="PU13" s="528">
        <v>6.0724999999999998</v>
      </c>
      <c r="PV13" s="528">
        <v>6.4850000000000003</v>
      </c>
      <c r="PW13" s="528">
        <v>5.8692000000000002</v>
      </c>
      <c r="PX13" s="528">
        <v>6.1407999999999996</v>
      </c>
      <c r="PY13" s="528">
        <v>6.2633000000000001</v>
      </c>
      <c r="PZ13" s="528">
        <v>6.1257999999999999</v>
      </c>
      <c r="QA13" s="528">
        <v>6.2336999999999998</v>
      </c>
      <c r="QB13" s="528">
        <v>6.5425000000000004</v>
      </c>
      <c r="QC13" s="528">
        <v>7.6849999999999996</v>
      </c>
      <c r="QD13" s="528">
        <v>7.6707999999999998</v>
      </c>
      <c r="QE13" s="509">
        <v>7</v>
      </c>
      <c r="QF13" s="529"/>
      <c r="QG13" s="529"/>
      <c r="QH13" s="509">
        <v>7</v>
      </c>
      <c r="QI13" s="528">
        <v>3.1059999999999999</v>
      </c>
      <c r="QJ13" s="528">
        <v>3.1055999999999999</v>
      </c>
      <c r="QK13" s="528">
        <v>3.2513000000000001</v>
      </c>
      <c r="QL13" s="528">
        <v>3.363</v>
      </c>
      <c r="QM13" s="528">
        <v>3.3052999999999999</v>
      </c>
      <c r="QN13" s="528">
        <v>3.3243</v>
      </c>
      <c r="QO13" s="528">
        <v>3.3994</v>
      </c>
      <c r="QP13" s="528">
        <v>3.3780999999999999</v>
      </c>
      <c r="QQ13" s="528">
        <v>3.3896000000000002</v>
      </c>
      <c r="QR13" s="528">
        <v>3.4127999999999998</v>
      </c>
      <c r="QS13" s="528">
        <v>3.4350000000000001</v>
      </c>
      <c r="QT13" s="528">
        <v>3.4418000000000002</v>
      </c>
      <c r="QU13" s="509">
        <v>7</v>
      </c>
      <c r="QV13" s="529"/>
      <c r="QW13" s="529"/>
      <c r="QX13" s="509">
        <v>7</v>
      </c>
      <c r="QY13" s="528">
        <v>3.1179999999999999</v>
      </c>
      <c r="QZ13" s="528">
        <v>3.1017000000000001</v>
      </c>
      <c r="RA13" s="528">
        <v>3.0960999999999999</v>
      </c>
      <c r="RB13" s="528">
        <v>3.0937000000000001</v>
      </c>
      <c r="RC13" s="528">
        <v>3.1246</v>
      </c>
      <c r="RD13" s="528">
        <v>3.125</v>
      </c>
      <c r="RE13" s="528">
        <v>3.1223999999999998</v>
      </c>
      <c r="RF13" s="528">
        <v>3.1149</v>
      </c>
      <c r="RG13" s="528">
        <v>3.1139000000000001</v>
      </c>
      <c r="RH13" s="528">
        <v>3.1147999999999998</v>
      </c>
      <c r="RI13" s="528">
        <v>3.1476000000000002</v>
      </c>
      <c r="RJ13" s="528">
        <v>3.1036000000000001</v>
      </c>
      <c r="RK13" s="509">
        <v>7</v>
      </c>
      <c r="RL13" s="529"/>
      <c r="RM13" s="529"/>
      <c r="RN13" s="509">
        <v>7</v>
      </c>
      <c r="RO13" s="528">
        <v>3.0743999999999998</v>
      </c>
      <c r="RP13" s="528">
        <v>3.0644999999999998</v>
      </c>
      <c r="RQ13" s="528">
        <v>3.0609000000000002</v>
      </c>
      <c r="RR13" s="528">
        <v>3.0609000000000002</v>
      </c>
      <c r="RS13" s="528">
        <v>3.0815999999999999</v>
      </c>
      <c r="RT13" s="528">
        <v>3.1179000000000001</v>
      </c>
      <c r="RU13" s="528">
        <v>3.1179000000000001</v>
      </c>
      <c r="RV13" s="528">
        <v>3.1084000000000001</v>
      </c>
      <c r="RW13" s="528">
        <v>3.0699000000000001</v>
      </c>
      <c r="RX13" s="528">
        <v>3.113</v>
      </c>
      <c r="RY13" s="528">
        <v>3.1253000000000002</v>
      </c>
      <c r="RZ13" s="528">
        <v>3.1139000000000001</v>
      </c>
      <c r="SA13" s="509">
        <v>7</v>
      </c>
      <c r="SB13" s="529"/>
      <c r="SC13" s="529"/>
      <c r="SD13" s="509">
        <v>7</v>
      </c>
      <c r="SE13" s="528">
        <v>2.9478</v>
      </c>
      <c r="SF13" s="528">
        <v>2.9609999999999999</v>
      </c>
      <c r="SG13" s="528">
        <v>2.9722</v>
      </c>
      <c r="SH13" s="528">
        <v>2.9842</v>
      </c>
      <c r="SI13" s="528">
        <v>2.9958</v>
      </c>
      <c r="SJ13" s="528">
        <v>3.0089999999999999</v>
      </c>
      <c r="SK13" s="528">
        <v>3.0206</v>
      </c>
      <c r="SL13" s="528">
        <v>3.0333999999999999</v>
      </c>
      <c r="SM13" s="528">
        <v>3.0457999999999998</v>
      </c>
      <c r="SN13" s="528">
        <v>3.0586000000000002</v>
      </c>
      <c r="SO13" s="528">
        <v>3.0710000000000002</v>
      </c>
      <c r="SP13" s="528">
        <v>3.0653800000000002</v>
      </c>
      <c r="SQ13" s="509">
        <v>7</v>
      </c>
      <c r="SR13" s="529"/>
      <c r="SS13" s="529"/>
      <c r="ST13" s="509">
        <v>7</v>
      </c>
      <c r="SU13" s="528">
        <v>2.6480000000000001</v>
      </c>
      <c r="SV13" s="528">
        <v>2.68</v>
      </c>
      <c r="SW13" s="528">
        <v>2.7080000000000002</v>
      </c>
      <c r="SX13" s="528">
        <v>2.7389999999999999</v>
      </c>
      <c r="SY13" s="528">
        <v>2.7669999999999999</v>
      </c>
      <c r="SZ13" s="528">
        <v>2.7986</v>
      </c>
      <c r="TA13" s="528">
        <v>2.8226</v>
      </c>
      <c r="TB13" s="528">
        <v>2.8458000000000001</v>
      </c>
      <c r="TC13" s="528">
        <v>2.8721999999999999</v>
      </c>
      <c r="TD13" s="528">
        <v>2.8954</v>
      </c>
      <c r="TE13" s="528">
        <v>2.9209999999999998</v>
      </c>
      <c r="TF13" s="528">
        <v>2.9361999999999999</v>
      </c>
      <c r="TG13" s="509">
        <v>7</v>
      </c>
      <c r="TH13" s="529"/>
      <c r="TI13" s="529"/>
      <c r="TJ13" s="509">
        <v>7</v>
      </c>
      <c r="TK13" s="528">
        <v>2.2839999999999998</v>
      </c>
      <c r="TL13" s="528">
        <v>2.3130000000000002</v>
      </c>
      <c r="TM13" s="528">
        <v>2.3410000000000002</v>
      </c>
      <c r="TN13" s="528">
        <v>2.3740000000000001</v>
      </c>
      <c r="TO13" s="528">
        <v>2.403</v>
      </c>
      <c r="TP13" s="528">
        <v>2.4350000000000001</v>
      </c>
      <c r="TQ13" s="528">
        <v>2.4649999999999999</v>
      </c>
      <c r="TR13" s="528">
        <v>2.4940000000000002</v>
      </c>
      <c r="TS13" s="528">
        <v>2.5270000000000001</v>
      </c>
      <c r="TT13" s="528">
        <v>2.5569999999999999</v>
      </c>
      <c r="TU13" s="528">
        <v>2.5859999999999999</v>
      </c>
      <c r="TV13" s="528">
        <v>2.6179999999999999</v>
      </c>
      <c r="TW13" s="509">
        <v>7</v>
      </c>
    </row>
    <row r="14" spans="2:543" s="4" customFormat="1" ht="23" customHeight="1">
      <c r="B14" s="509">
        <v>8</v>
      </c>
      <c r="C14" s="541">
        <v>20.4588</v>
      </c>
      <c r="D14" s="541">
        <v>20.5562</v>
      </c>
      <c r="E14" s="541">
        <v>20.926200000000001</v>
      </c>
      <c r="F14" s="541">
        <v>20.066500000000001</v>
      </c>
      <c r="G14" s="541">
        <v>20.253499999999999</v>
      </c>
      <c r="H14" s="541">
        <v>19.5547</v>
      </c>
      <c r="I14" s="541">
        <v>20.722799999999999</v>
      </c>
      <c r="J14" s="541">
        <v>20.335799999999999</v>
      </c>
      <c r="K14" s="541">
        <v>20.138000000000002</v>
      </c>
      <c r="L14" s="541">
        <v>20.108699999999999</v>
      </c>
      <c r="M14" s="541">
        <v>19.520199999999999</v>
      </c>
      <c r="N14" s="541">
        <v>19.803000000000001</v>
      </c>
      <c r="O14" s="509">
        <v>8</v>
      </c>
      <c r="R14" s="509">
        <v>8</v>
      </c>
      <c r="S14" s="541">
        <v>19.725000000000001</v>
      </c>
      <c r="T14" s="541">
        <v>20.4435</v>
      </c>
      <c r="U14" s="541">
        <v>20.849799999999998</v>
      </c>
      <c r="V14" s="541">
        <v>20.161200000000001</v>
      </c>
      <c r="W14" s="541">
        <v>20.183800000000002</v>
      </c>
      <c r="X14" s="541">
        <v>19.9328</v>
      </c>
      <c r="Y14" s="541">
        <v>19.965800000000002</v>
      </c>
      <c r="Z14" s="541">
        <v>19.929300000000001</v>
      </c>
      <c r="AA14" s="541">
        <v>19.887799999999999</v>
      </c>
      <c r="AB14" s="541">
        <v>20.694700000000001</v>
      </c>
      <c r="AC14" s="541">
        <v>20.624199999999998</v>
      </c>
      <c r="AD14" s="541">
        <v>21.204699999999999</v>
      </c>
      <c r="AE14" s="509">
        <v>8</v>
      </c>
      <c r="AH14" s="509">
        <v>8</v>
      </c>
      <c r="AI14" s="541">
        <v>18.827000000000002</v>
      </c>
      <c r="AJ14" s="541">
        <v>18.6645</v>
      </c>
      <c r="AK14" s="541">
        <v>19.8095</v>
      </c>
      <c r="AL14" s="541">
        <v>24.689499999999999</v>
      </c>
      <c r="AM14" s="541">
        <v>24.2942</v>
      </c>
      <c r="AN14" s="541">
        <v>21.838799999999999</v>
      </c>
      <c r="AO14" s="541">
        <v>22.280799999999999</v>
      </c>
      <c r="AP14" s="541">
        <v>22.365200000000002</v>
      </c>
      <c r="AQ14" s="541">
        <v>21.611499999999999</v>
      </c>
      <c r="AR14" s="541">
        <v>21.450700000000001</v>
      </c>
      <c r="AS14" s="541">
        <v>20.761199999999999</v>
      </c>
      <c r="AT14" s="541">
        <v>19.783799999999999</v>
      </c>
      <c r="AU14" s="509">
        <v>8</v>
      </c>
      <c r="AX14" s="509">
        <v>8</v>
      </c>
      <c r="AY14" s="528">
        <v>19.490200000000002</v>
      </c>
      <c r="AZ14" s="528">
        <v>19.105799999999999</v>
      </c>
      <c r="BA14" s="528">
        <v>19.370799999999999</v>
      </c>
      <c r="BB14" s="528">
        <v>19.172799999999999</v>
      </c>
      <c r="BC14" s="528">
        <v>18.978100000000001</v>
      </c>
      <c r="BD14" s="528">
        <v>19.708400000000001</v>
      </c>
      <c r="BE14" s="528">
        <v>18.994700000000002</v>
      </c>
      <c r="BF14" s="528">
        <v>19.629100000000001</v>
      </c>
      <c r="BG14" s="528">
        <v>19.683399999999999</v>
      </c>
      <c r="BH14" s="528">
        <v>19.525500000000001</v>
      </c>
      <c r="BI14" s="528">
        <v>19.1953</v>
      </c>
      <c r="BJ14" s="528">
        <v>19.3688</v>
      </c>
      <c r="BK14" s="509">
        <v>8</v>
      </c>
      <c r="BN14" s="509">
        <v>8</v>
      </c>
      <c r="BO14" s="528">
        <v>19.242699999999999</v>
      </c>
      <c r="BP14" s="528">
        <v>18.700900000000001</v>
      </c>
      <c r="BQ14" s="530">
        <v>18.724599999999999</v>
      </c>
      <c r="BR14" s="528">
        <v>18.1081</v>
      </c>
      <c r="BS14" s="528">
        <v>19.201699999999999</v>
      </c>
      <c r="BT14" s="528">
        <v>20.312899999999999</v>
      </c>
      <c r="BU14" s="528">
        <v>19.251300000000001</v>
      </c>
      <c r="BV14" s="528">
        <v>18.543299999999999</v>
      </c>
      <c r="BW14" s="528">
        <v>19.354600000000001</v>
      </c>
      <c r="BX14" s="528">
        <v>19.1328</v>
      </c>
      <c r="BY14" s="528">
        <v>19.860900000000001</v>
      </c>
      <c r="BZ14" s="528">
        <v>20.470500000000001</v>
      </c>
      <c r="CA14" s="509">
        <v>8</v>
      </c>
      <c r="CD14" s="509">
        <v>8</v>
      </c>
      <c r="CE14" s="528">
        <v>21.366099999999999</v>
      </c>
      <c r="CF14" s="528">
        <v>20.343900000000001</v>
      </c>
      <c r="CG14" s="528">
        <v>19.553799999999999</v>
      </c>
      <c r="CH14" s="528">
        <v>18.769600000000001</v>
      </c>
      <c r="CI14" s="528">
        <v>18.803100000000001</v>
      </c>
      <c r="CJ14" s="528">
        <v>18.276199999999999</v>
      </c>
      <c r="CK14" s="528">
        <v>18.322700000000001</v>
      </c>
      <c r="CL14" s="528">
        <v>17.879799999999999</v>
      </c>
      <c r="CM14" s="528">
        <v>17.813600000000001</v>
      </c>
      <c r="CN14" s="528">
        <v>18.306000000000001</v>
      </c>
      <c r="CO14" s="528">
        <v>19.081399999999999</v>
      </c>
      <c r="CP14" s="528">
        <v>18.889700000000001</v>
      </c>
      <c r="CQ14" s="509">
        <v>8</v>
      </c>
      <c r="CT14" s="509">
        <v>8</v>
      </c>
      <c r="CU14" s="528">
        <v>17.441099999999999</v>
      </c>
      <c r="CV14" s="528">
        <v>18.1891</v>
      </c>
      <c r="CW14" s="528">
        <v>17.772300000000001</v>
      </c>
      <c r="CX14" s="528">
        <v>17.7286</v>
      </c>
      <c r="CY14" s="528">
        <v>17.735800000000001</v>
      </c>
      <c r="CZ14" s="528">
        <v>18.588899999999999</v>
      </c>
      <c r="DA14" s="528">
        <v>18.816099999999999</v>
      </c>
      <c r="DB14" s="528">
        <v>18.8612</v>
      </c>
      <c r="DC14" s="528">
        <v>18.352399999999999</v>
      </c>
      <c r="DD14" s="528">
        <v>19.243300000000001</v>
      </c>
      <c r="DE14" s="528">
        <v>19.0792</v>
      </c>
      <c r="DF14" s="528">
        <v>20.386299999999999</v>
      </c>
      <c r="DG14" s="509">
        <v>8</v>
      </c>
      <c r="DJ14" s="509">
        <v>8</v>
      </c>
      <c r="DK14" s="528">
        <v>14.847899999999999</v>
      </c>
      <c r="DL14" s="528">
        <v>14.754799999999999</v>
      </c>
      <c r="DM14" s="528">
        <v>15.1686</v>
      </c>
      <c r="DN14" s="528">
        <v>14.8003</v>
      </c>
      <c r="DO14" s="528">
        <v>15.282500000000001</v>
      </c>
      <c r="DP14" s="528">
        <v>15.534700000000001</v>
      </c>
      <c r="DQ14" s="528">
        <v>15.753</v>
      </c>
      <c r="DR14" s="528">
        <v>16.376200000000001</v>
      </c>
      <c r="DS14" s="528">
        <v>16.845400000000001</v>
      </c>
      <c r="DT14" s="528">
        <v>16.687799999999999</v>
      </c>
      <c r="DU14" s="528">
        <v>16.5959</v>
      </c>
      <c r="DV14" s="528">
        <v>16.675699999999999</v>
      </c>
      <c r="DW14" s="509">
        <v>8</v>
      </c>
      <c r="DZ14" s="509">
        <v>8</v>
      </c>
      <c r="EA14" s="528">
        <v>13.0905</v>
      </c>
      <c r="EB14" s="528">
        <v>13.2211</v>
      </c>
      <c r="EC14" s="528">
        <v>13.147600000000001</v>
      </c>
      <c r="ED14" s="528">
        <v>13.0345</v>
      </c>
      <c r="EE14" s="528">
        <v>13.0129</v>
      </c>
      <c r="EF14" s="528">
        <v>12.886799999999999</v>
      </c>
      <c r="EG14" s="528">
        <v>12.976800000000001</v>
      </c>
      <c r="EH14" s="528">
        <v>13.257999999999999</v>
      </c>
      <c r="EI14" s="528">
        <v>13.0959</v>
      </c>
      <c r="EJ14" s="528">
        <v>13.408899999999999</v>
      </c>
      <c r="EK14" s="528">
        <v>13.6173</v>
      </c>
      <c r="EL14" s="528">
        <v>14.1165</v>
      </c>
      <c r="EM14" s="509">
        <v>8</v>
      </c>
      <c r="EP14" s="509">
        <v>8</v>
      </c>
      <c r="EQ14" s="528">
        <v>12.7597</v>
      </c>
      <c r="ER14" s="528">
        <v>12.666399999999999</v>
      </c>
      <c r="ES14" s="528">
        <v>12.734500000000001</v>
      </c>
      <c r="ET14" s="528">
        <v>12.319699999999999</v>
      </c>
      <c r="EU14" s="528">
        <v>12.1074</v>
      </c>
      <c r="EV14" s="528">
        <v>12.9079</v>
      </c>
      <c r="EW14" s="528">
        <v>12.8902</v>
      </c>
      <c r="EX14" s="528">
        <v>12.644500000000001</v>
      </c>
      <c r="EY14" s="528">
        <v>13.4079</v>
      </c>
      <c r="EZ14" s="528">
        <v>13.0976</v>
      </c>
      <c r="FA14" s="528">
        <v>13.1388</v>
      </c>
      <c r="FB14" s="528">
        <v>13.005699999999999</v>
      </c>
      <c r="FC14" s="509">
        <v>8</v>
      </c>
      <c r="FF14" s="509">
        <v>8</v>
      </c>
      <c r="FG14" s="528">
        <v>13.7409</v>
      </c>
      <c r="FH14" s="528">
        <v>12.712</v>
      </c>
      <c r="FI14" s="528">
        <v>12.9777</v>
      </c>
      <c r="FJ14" s="528">
        <v>12.7317</v>
      </c>
      <c r="FK14" s="528">
        <v>13.134399999999999</v>
      </c>
      <c r="FL14" s="528">
        <v>14.111599999999999</v>
      </c>
      <c r="FM14" s="528">
        <v>13.3508</v>
      </c>
      <c r="FN14" s="528">
        <v>13.0708</v>
      </c>
      <c r="FO14" s="528">
        <v>13.048299999999999</v>
      </c>
      <c r="FP14" s="528">
        <v>12.758900000000001</v>
      </c>
      <c r="FQ14" s="528">
        <v>12.976900000000001</v>
      </c>
      <c r="FR14" s="528">
        <v>12.9102</v>
      </c>
      <c r="FS14" s="509">
        <v>8</v>
      </c>
      <c r="FV14" s="509">
        <v>8</v>
      </c>
      <c r="FW14" s="528">
        <v>12.2256</v>
      </c>
      <c r="FX14" s="528">
        <v>12.049899999999999</v>
      </c>
      <c r="FY14" s="528">
        <v>12.006399999999999</v>
      </c>
      <c r="FZ14" s="528">
        <v>11.7836</v>
      </c>
      <c r="GA14" s="528">
        <v>11.6934</v>
      </c>
      <c r="GB14" s="528">
        <v>11.6983</v>
      </c>
      <c r="GC14" s="528">
        <v>11.654400000000001</v>
      </c>
      <c r="GD14" s="528">
        <v>11.952299999999999</v>
      </c>
      <c r="GE14" s="528">
        <v>12.510199999999999</v>
      </c>
      <c r="GF14" s="528">
        <v>13.5341</v>
      </c>
      <c r="GG14" s="528">
        <v>13.469799999999999</v>
      </c>
      <c r="GH14" s="528">
        <v>13.497</v>
      </c>
      <c r="GI14" s="509">
        <v>8</v>
      </c>
      <c r="GL14" s="509">
        <v>8</v>
      </c>
      <c r="GM14" s="528">
        <v>12.748900000000001</v>
      </c>
      <c r="GN14" s="528">
        <v>13.0687</v>
      </c>
      <c r="GO14" s="528">
        <v>12.7182</v>
      </c>
      <c r="GP14" s="528">
        <v>12.2454</v>
      </c>
      <c r="GQ14" s="528">
        <v>12.788399999999999</v>
      </c>
      <c r="GR14" s="528">
        <v>12.860300000000001</v>
      </c>
      <c r="GS14" s="528">
        <v>12.9308</v>
      </c>
      <c r="GT14" s="528">
        <v>12.5367</v>
      </c>
      <c r="GU14" s="528">
        <v>12.939500000000001</v>
      </c>
      <c r="GV14" s="528">
        <v>12.4779</v>
      </c>
      <c r="GW14" s="528">
        <v>12.238099999999999</v>
      </c>
      <c r="GX14" s="528">
        <v>12.388400000000001</v>
      </c>
      <c r="GY14" s="509">
        <v>8</v>
      </c>
      <c r="HB14" s="509">
        <v>8</v>
      </c>
      <c r="HC14" s="528">
        <v>13.345800000000001</v>
      </c>
      <c r="HD14" s="528">
        <v>14.294499999999999</v>
      </c>
      <c r="HE14" s="528">
        <v>15.285500000000001</v>
      </c>
      <c r="HF14" s="528">
        <v>13.6325</v>
      </c>
      <c r="HG14" s="528">
        <v>13.226800000000001</v>
      </c>
      <c r="HH14" s="528">
        <v>13.2675</v>
      </c>
      <c r="HI14" s="528">
        <v>13.2547</v>
      </c>
      <c r="HJ14" s="528">
        <v>12.992599999999999</v>
      </c>
      <c r="HK14" s="528">
        <v>13.4658</v>
      </c>
      <c r="HL14" s="528">
        <v>13.494300000000001</v>
      </c>
      <c r="HM14" s="528">
        <v>13.343</v>
      </c>
      <c r="HN14" s="528">
        <v>12.5969</v>
      </c>
      <c r="HO14" s="509">
        <v>8</v>
      </c>
      <c r="HP14" s="529"/>
      <c r="HQ14" s="529"/>
      <c r="HR14" s="509">
        <v>8</v>
      </c>
      <c r="HS14" s="528">
        <v>10.9277</v>
      </c>
      <c r="HT14" s="528">
        <v>10.822699999999999</v>
      </c>
      <c r="HU14" s="528">
        <v>10.764900000000001</v>
      </c>
      <c r="HV14" s="528">
        <v>10.558999999999999</v>
      </c>
      <c r="HW14" s="528">
        <v>10.4937</v>
      </c>
      <c r="HX14" s="528">
        <v>10.3108</v>
      </c>
      <c r="HY14" s="528">
        <v>10.341100000000001</v>
      </c>
      <c r="HZ14" s="528">
        <v>9.9484999999999992</v>
      </c>
      <c r="IA14" s="528">
        <v>10.4658</v>
      </c>
      <c r="IB14" s="528">
        <v>11.7667</v>
      </c>
      <c r="IC14" s="528">
        <v>12.95</v>
      </c>
      <c r="ID14" s="528">
        <v>13.5358</v>
      </c>
      <c r="IE14" s="509">
        <v>8</v>
      </c>
      <c r="IF14" s="529"/>
      <c r="IG14" s="529"/>
      <c r="IH14" s="509">
        <v>8</v>
      </c>
      <c r="II14" s="528">
        <v>10.865</v>
      </c>
      <c r="IJ14" s="528">
        <v>10.9192</v>
      </c>
      <c r="IK14" s="528">
        <v>11.1473</v>
      </c>
      <c r="IL14" s="528">
        <v>10.979699999999999</v>
      </c>
      <c r="IM14" s="528">
        <v>10.885199999999999</v>
      </c>
      <c r="IN14" s="528">
        <v>10.845000000000001</v>
      </c>
      <c r="IO14" s="528">
        <v>10.7936</v>
      </c>
      <c r="IP14" s="528">
        <v>10.9886</v>
      </c>
      <c r="IQ14" s="528">
        <v>11.065799999999999</v>
      </c>
      <c r="IR14" s="528">
        <v>10.8963</v>
      </c>
      <c r="IS14" s="528">
        <v>10.704599999999999</v>
      </c>
      <c r="IT14" s="528">
        <v>10.8367</v>
      </c>
      <c r="IU14" s="509">
        <v>8</v>
      </c>
      <c r="IV14" s="529"/>
      <c r="IW14" s="529"/>
      <c r="IX14" s="509">
        <v>8</v>
      </c>
      <c r="IY14" s="528">
        <v>10.5907</v>
      </c>
      <c r="IZ14" s="528">
        <v>10.498100000000001</v>
      </c>
      <c r="JA14" s="528">
        <v>10.611800000000001</v>
      </c>
      <c r="JB14" s="528">
        <v>11.0557</v>
      </c>
      <c r="JC14" s="528">
        <v>10.9694</v>
      </c>
      <c r="JD14" s="528">
        <v>11.3667</v>
      </c>
      <c r="JE14" s="528">
        <v>11.1061</v>
      </c>
      <c r="JF14" s="528">
        <v>10.8908</v>
      </c>
      <c r="JG14" s="528">
        <v>10.938000000000001</v>
      </c>
      <c r="JH14" s="528">
        <v>11.0185</v>
      </c>
      <c r="JI14" s="528">
        <v>10.8344</v>
      </c>
      <c r="JJ14" s="528">
        <v>10.862</v>
      </c>
      <c r="JK14" s="509">
        <v>8</v>
      </c>
      <c r="JL14" s="529"/>
      <c r="JM14" s="529"/>
      <c r="JN14" s="509">
        <v>8</v>
      </c>
      <c r="JO14" s="528">
        <v>11.4018</v>
      </c>
      <c r="JP14" s="528">
        <v>11.141400000000001</v>
      </c>
      <c r="JQ14" s="528">
        <v>11.0458</v>
      </c>
      <c r="JR14" s="528">
        <v>11.230700000000001</v>
      </c>
      <c r="JS14" s="528">
        <v>10.948700000000001</v>
      </c>
      <c r="JT14" s="528">
        <v>10.879200000000001</v>
      </c>
      <c r="JU14" s="528">
        <v>10.7689</v>
      </c>
      <c r="JV14" s="528">
        <v>10.5831</v>
      </c>
      <c r="JW14" s="528">
        <v>10.6868</v>
      </c>
      <c r="JX14" s="528">
        <v>10.768700000000001</v>
      </c>
      <c r="JY14" s="528">
        <v>10.749499999999999</v>
      </c>
      <c r="JZ14" s="528">
        <v>10.409700000000001</v>
      </c>
      <c r="KA14" s="509">
        <v>8</v>
      </c>
      <c r="KB14" s="529"/>
      <c r="KC14" s="529"/>
      <c r="KD14" s="509">
        <v>8</v>
      </c>
      <c r="KE14" s="528">
        <v>10.9686</v>
      </c>
      <c r="KF14" s="528">
        <v>11.0608</v>
      </c>
      <c r="KG14" s="528">
        <v>10.9955</v>
      </c>
      <c r="KH14" s="528">
        <v>11.1631</v>
      </c>
      <c r="KI14" s="528">
        <v>11.4358</v>
      </c>
      <c r="KJ14" s="528">
        <v>11.4224</v>
      </c>
      <c r="KK14" s="528">
        <v>11.4948</v>
      </c>
      <c r="KL14" s="528">
        <v>11.457000000000001</v>
      </c>
      <c r="KM14" s="528">
        <v>11.519299999999999</v>
      </c>
      <c r="KN14" s="528">
        <v>11.2745</v>
      </c>
      <c r="KO14" s="528">
        <v>11.411799999999999</v>
      </c>
      <c r="KP14" s="528">
        <v>11.1355</v>
      </c>
      <c r="KQ14" s="509">
        <v>8</v>
      </c>
      <c r="KR14" s="529"/>
      <c r="KS14" s="529"/>
      <c r="KT14" s="509">
        <v>8</v>
      </c>
      <c r="KU14" s="528">
        <v>10.419499999999999</v>
      </c>
      <c r="KV14" s="528">
        <v>10.873100000000001</v>
      </c>
      <c r="KW14" s="528">
        <v>11.225</v>
      </c>
      <c r="KX14" s="528">
        <v>10.6823</v>
      </c>
      <c r="KY14" s="528">
        <v>10.267799999999999</v>
      </c>
      <c r="KZ14" s="528">
        <v>10.559799999999999</v>
      </c>
      <c r="LA14" s="528">
        <v>10.4087</v>
      </c>
      <c r="LB14" s="528">
        <v>10.7058</v>
      </c>
      <c r="LC14" s="528">
        <v>10.8575</v>
      </c>
      <c r="LD14" s="528">
        <v>11.2193</v>
      </c>
      <c r="LE14" s="528">
        <v>10.9903</v>
      </c>
      <c r="LF14" s="528">
        <v>11.2224</v>
      </c>
      <c r="LG14" s="509">
        <v>8</v>
      </c>
      <c r="LH14" s="529"/>
      <c r="LI14" s="529"/>
      <c r="LJ14" s="509">
        <v>8</v>
      </c>
      <c r="LK14" s="528">
        <v>9.1367999999999991</v>
      </c>
      <c r="LL14" s="528">
        <v>9.1294000000000004</v>
      </c>
      <c r="LM14" s="528">
        <v>9.0797000000000008</v>
      </c>
      <c r="LN14" s="528">
        <v>9.0467999999999993</v>
      </c>
      <c r="LO14" s="528">
        <v>9.4913000000000007</v>
      </c>
      <c r="LP14" s="528">
        <v>9.7759999999999998</v>
      </c>
      <c r="LQ14" s="528">
        <v>9.9502000000000006</v>
      </c>
      <c r="LR14" s="528">
        <v>9.7472999999999992</v>
      </c>
      <c r="LS14" s="528">
        <v>10.008599999999999</v>
      </c>
      <c r="LT14" s="528">
        <v>10.183999999999999</v>
      </c>
      <c r="LU14" s="528">
        <v>10.1698</v>
      </c>
      <c r="LV14" s="528">
        <v>10.245200000000001</v>
      </c>
      <c r="LW14" s="509">
        <v>8</v>
      </c>
      <c r="LX14" s="529"/>
      <c r="LY14" s="529"/>
      <c r="LZ14" s="509">
        <v>8</v>
      </c>
      <c r="MA14" s="528">
        <v>9.7080000000000002</v>
      </c>
      <c r="MB14" s="528">
        <v>9.6997999999999998</v>
      </c>
      <c r="MC14" s="528">
        <v>9.6409000000000002</v>
      </c>
      <c r="MD14" s="528">
        <v>9.4139999999999997</v>
      </c>
      <c r="ME14" s="528">
        <v>9.2578999999999994</v>
      </c>
      <c r="MF14" s="528">
        <v>9.1207999999999991</v>
      </c>
      <c r="MG14" s="528">
        <v>9.0312000000000001</v>
      </c>
      <c r="MH14" s="528">
        <v>9.1292000000000009</v>
      </c>
      <c r="MI14" s="528">
        <v>9.2897999999999996</v>
      </c>
      <c r="MJ14" s="528">
        <v>9.5243000000000002</v>
      </c>
      <c r="MK14" s="528">
        <v>9.2132000000000005</v>
      </c>
      <c r="ML14" s="528">
        <v>9.2401</v>
      </c>
      <c r="MM14" s="509">
        <v>8</v>
      </c>
      <c r="MN14" s="529"/>
      <c r="MO14" s="529"/>
      <c r="MP14" s="509">
        <v>8</v>
      </c>
      <c r="MQ14" s="528">
        <v>9.5704999999999991</v>
      </c>
      <c r="MR14" s="528">
        <v>9.4802999999999997</v>
      </c>
      <c r="MS14" s="528">
        <v>9.3215000000000003</v>
      </c>
      <c r="MT14" s="528">
        <v>9.3535000000000004</v>
      </c>
      <c r="MU14" s="528">
        <v>9.3848000000000003</v>
      </c>
      <c r="MV14" s="528">
        <v>9.657</v>
      </c>
      <c r="MW14" s="528">
        <v>9.5459999999999994</v>
      </c>
      <c r="MX14" s="528">
        <v>9.3574000000000002</v>
      </c>
      <c r="MY14" s="528">
        <v>9.3115000000000006</v>
      </c>
      <c r="MZ14" s="528">
        <v>9.4514999999999993</v>
      </c>
      <c r="NA14" s="528">
        <v>9.6438000000000006</v>
      </c>
      <c r="NB14" s="528">
        <v>9.4019999999999992</v>
      </c>
      <c r="NC14" s="509">
        <v>8</v>
      </c>
      <c r="ND14" s="529"/>
      <c r="NE14" s="529"/>
      <c r="NF14" s="509">
        <v>8</v>
      </c>
      <c r="NG14" s="528">
        <v>9.7754999999999992</v>
      </c>
      <c r="NH14" s="528">
        <v>10.113799999999999</v>
      </c>
      <c r="NI14" s="528">
        <v>9.9334000000000007</v>
      </c>
      <c r="NJ14" s="528">
        <v>9.4846000000000004</v>
      </c>
      <c r="NK14" s="528">
        <v>9.3330000000000002</v>
      </c>
      <c r="NL14" s="528">
        <v>9.6272000000000002</v>
      </c>
      <c r="NM14" s="528">
        <v>9.3314000000000004</v>
      </c>
      <c r="NN14" s="528">
        <v>9.5097000000000005</v>
      </c>
      <c r="NO14" s="528">
        <v>9.3461999999999996</v>
      </c>
      <c r="NP14" s="528">
        <v>9.4322999999999997</v>
      </c>
      <c r="NQ14" s="528">
        <v>9.4711999999999996</v>
      </c>
      <c r="NR14" s="528">
        <v>9.4562000000000008</v>
      </c>
      <c r="NS14" s="509">
        <v>8</v>
      </c>
      <c r="NT14" s="529"/>
      <c r="NU14" s="529"/>
      <c r="NV14" s="509">
        <v>8</v>
      </c>
      <c r="NW14" s="528">
        <v>8.0421999999999993</v>
      </c>
      <c r="NX14" s="528">
        <v>8.4135000000000009</v>
      </c>
      <c r="NY14" s="528">
        <v>8.6202000000000005</v>
      </c>
      <c r="NZ14" s="528">
        <v>8.52</v>
      </c>
      <c r="OA14" s="528">
        <v>8.4793000000000003</v>
      </c>
      <c r="OB14" s="528">
        <v>8.7803000000000004</v>
      </c>
      <c r="OC14" s="528">
        <v>8.9694000000000003</v>
      </c>
      <c r="OD14" s="528">
        <v>9.0254999999999992</v>
      </c>
      <c r="OE14" s="528">
        <v>10.161799999999999</v>
      </c>
      <c r="OF14" s="528">
        <v>10.1729</v>
      </c>
      <c r="OG14" s="528">
        <v>9.9885999999999999</v>
      </c>
      <c r="OH14" s="528">
        <v>9.9896999999999991</v>
      </c>
      <c r="OI14" s="509">
        <v>8</v>
      </c>
      <c r="OJ14" s="529"/>
      <c r="OK14" s="529"/>
      <c r="OL14" s="509">
        <v>8</v>
      </c>
      <c r="OM14" s="528">
        <v>7.8507999999999996</v>
      </c>
      <c r="ON14" s="528">
        <v>7.8281999999999998</v>
      </c>
      <c r="OO14" s="528">
        <v>8.0091999999999999</v>
      </c>
      <c r="OP14" s="528">
        <v>7.9592000000000001</v>
      </c>
      <c r="OQ14" s="528">
        <v>7.8780999999999999</v>
      </c>
      <c r="OR14" s="528">
        <v>7.9481999999999999</v>
      </c>
      <c r="OS14" s="528">
        <v>7.9660000000000002</v>
      </c>
      <c r="OT14" s="528">
        <v>7.7805999999999997</v>
      </c>
      <c r="OU14" s="528">
        <v>7.7881999999999998</v>
      </c>
      <c r="OV14" s="528">
        <v>7.7601000000000004</v>
      </c>
      <c r="OW14" s="528">
        <v>8.3650000000000002</v>
      </c>
      <c r="OX14" s="528">
        <v>8.1057000000000006</v>
      </c>
      <c r="OY14" s="509">
        <v>8</v>
      </c>
      <c r="OZ14" s="529"/>
      <c r="PA14" s="529"/>
      <c r="PB14" s="509">
        <v>8</v>
      </c>
      <c r="PC14" s="528">
        <v>7.57</v>
      </c>
      <c r="PD14" s="528">
        <v>7.4821</v>
      </c>
      <c r="PE14" s="528">
        <v>7.5952000000000002</v>
      </c>
      <c r="PF14" s="528">
        <v>7.5110000000000001</v>
      </c>
      <c r="PG14" s="528">
        <v>7.5282999999999998</v>
      </c>
      <c r="PH14" s="528">
        <v>7.5016999999999996</v>
      </c>
      <c r="PI14" s="528">
        <v>7.6093000000000002</v>
      </c>
      <c r="PJ14" s="528">
        <v>7.5339999999999998</v>
      </c>
      <c r="PK14" s="528">
        <v>7.5995999999999997</v>
      </c>
      <c r="PL14" s="528">
        <v>7.5273000000000003</v>
      </c>
      <c r="PM14" s="528">
        <v>7.9215</v>
      </c>
      <c r="PN14" s="528">
        <v>7.8884999999999996</v>
      </c>
      <c r="PO14" s="509">
        <v>8</v>
      </c>
      <c r="PP14" s="529"/>
      <c r="PQ14" s="529"/>
      <c r="PR14" s="509">
        <v>8</v>
      </c>
      <c r="PS14" s="528">
        <v>5.39</v>
      </c>
      <c r="PT14" s="528">
        <v>5.3650000000000002</v>
      </c>
      <c r="PU14" s="528">
        <v>6.6349999999999998</v>
      </c>
      <c r="PV14" s="528">
        <v>6.3807999999999998</v>
      </c>
      <c r="PW14" s="528">
        <v>5.8692000000000002</v>
      </c>
      <c r="PX14" s="528">
        <v>6.1108000000000002</v>
      </c>
      <c r="PY14" s="528">
        <v>6.2370999999999999</v>
      </c>
      <c r="PZ14" s="528">
        <v>6.1528999999999998</v>
      </c>
      <c r="QA14" s="528">
        <v>6.2643000000000004</v>
      </c>
      <c r="QB14" s="528">
        <v>6.5425000000000004</v>
      </c>
      <c r="QC14" s="528">
        <v>7.3483000000000001</v>
      </c>
      <c r="QD14" s="528">
        <v>7.6712999999999996</v>
      </c>
      <c r="QE14" s="509">
        <v>8</v>
      </c>
      <c r="QF14" s="529"/>
      <c r="QG14" s="529"/>
      <c r="QH14" s="509">
        <v>8</v>
      </c>
      <c r="QI14" s="528">
        <v>3.1057000000000001</v>
      </c>
      <c r="QJ14" s="528">
        <v>3.1055999999999999</v>
      </c>
      <c r="QK14" s="528">
        <v>3.2355</v>
      </c>
      <c r="QL14" s="528">
        <v>3.3614999999999999</v>
      </c>
      <c r="QM14" s="528">
        <v>3.3052999999999999</v>
      </c>
      <c r="QN14" s="528">
        <v>3.335</v>
      </c>
      <c r="QO14" s="528">
        <v>3.3997999999999999</v>
      </c>
      <c r="QP14" s="528">
        <v>3.3780999999999999</v>
      </c>
      <c r="QQ14" s="528">
        <v>3.4039999999999999</v>
      </c>
      <c r="QR14" s="528">
        <v>3.4159000000000002</v>
      </c>
      <c r="QS14" s="528">
        <v>3.4296000000000002</v>
      </c>
      <c r="QT14" s="528">
        <v>3.4468999999999999</v>
      </c>
      <c r="QU14" s="509">
        <v>8</v>
      </c>
      <c r="QV14" s="529"/>
      <c r="QW14" s="529"/>
      <c r="QX14" s="509">
        <v>8</v>
      </c>
      <c r="QY14" s="528">
        <v>3.1124000000000001</v>
      </c>
      <c r="QZ14" s="528">
        <v>3.1017000000000001</v>
      </c>
      <c r="RA14" s="528">
        <v>3.0960999999999999</v>
      </c>
      <c r="RB14" s="528">
        <v>3.0939999999999999</v>
      </c>
      <c r="RC14" s="528">
        <v>3.1328999999999998</v>
      </c>
      <c r="RD14" s="528">
        <v>3.1251000000000002</v>
      </c>
      <c r="RE14" s="528">
        <v>3.1223999999999998</v>
      </c>
      <c r="RF14" s="528">
        <v>3.1149</v>
      </c>
      <c r="RG14" s="528">
        <v>3.1116999999999999</v>
      </c>
      <c r="RH14" s="528">
        <v>3.1141999999999999</v>
      </c>
      <c r="RI14" s="528">
        <v>3.1476000000000002</v>
      </c>
      <c r="RJ14" s="528">
        <v>3.1052</v>
      </c>
      <c r="RK14" s="509">
        <v>8</v>
      </c>
      <c r="RL14" s="529"/>
      <c r="RM14" s="529"/>
      <c r="RN14" s="509">
        <v>8</v>
      </c>
      <c r="RO14" s="528">
        <v>3.0695000000000001</v>
      </c>
      <c r="RP14" s="528">
        <v>3.0648</v>
      </c>
      <c r="RQ14" s="528">
        <v>3.0609000000000002</v>
      </c>
      <c r="RR14" s="528">
        <v>3.0609000000000002</v>
      </c>
      <c r="RS14" s="528">
        <v>3.0884999999999998</v>
      </c>
      <c r="RT14" s="528">
        <v>3.1179000000000001</v>
      </c>
      <c r="RU14" s="528">
        <v>3.1183000000000001</v>
      </c>
      <c r="RV14" s="528">
        <v>3.1021000000000001</v>
      </c>
      <c r="RW14" s="528">
        <v>3.0680999999999998</v>
      </c>
      <c r="RX14" s="528">
        <v>3.1137000000000001</v>
      </c>
      <c r="RY14" s="528">
        <v>3.1253000000000002</v>
      </c>
      <c r="RZ14" s="528">
        <v>3.1158000000000001</v>
      </c>
      <c r="SA14" s="509">
        <v>8</v>
      </c>
      <c r="SB14" s="529"/>
      <c r="SC14" s="529"/>
      <c r="SD14" s="509">
        <v>8</v>
      </c>
      <c r="SE14" s="528">
        <v>2.9481999999999999</v>
      </c>
      <c r="SF14" s="528">
        <v>2.9613999999999998</v>
      </c>
      <c r="SG14" s="528">
        <v>2.9725999999999999</v>
      </c>
      <c r="SH14" s="528">
        <v>2.9842</v>
      </c>
      <c r="SI14" s="528">
        <v>2.9969999999999999</v>
      </c>
      <c r="SJ14" s="528">
        <v>3.0093999999999999</v>
      </c>
      <c r="SK14" s="528">
        <v>3.0206</v>
      </c>
      <c r="SL14" s="528">
        <v>3.0337999999999998</v>
      </c>
      <c r="SM14" s="528">
        <v>3.0457999999999998</v>
      </c>
      <c r="SN14" s="528">
        <v>3.0590000000000002</v>
      </c>
      <c r="SO14" s="528">
        <v>3.0714000000000001</v>
      </c>
      <c r="SP14" s="528">
        <v>3.0653800000000002</v>
      </c>
      <c r="SQ14" s="509">
        <v>8</v>
      </c>
      <c r="SR14" s="529"/>
      <c r="SS14" s="529"/>
      <c r="ST14" s="509">
        <v>8</v>
      </c>
      <c r="SU14" s="528">
        <v>2.6480000000000001</v>
      </c>
      <c r="SV14" s="528">
        <v>2.681</v>
      </c>
      <c r="SW14" s="528">
        <v>2.7090000000000001</v>
      </c>
      <c r="SX14" s="528">
        <v>2.7389999999999999</v>
      </c>
      <c r="SY14" s="528">
        <v>2.7679999999999998</v>
      </c>
      <c r="SZ14" s="528">
        <v>2.7993999999999999</v>
      </c>
      <c r="TA14" s="528">
        <v>2.8226</v>
      </c>
      <c r="TB14" s="528">
        <v>2.8481999999999998</v>
      </c>
      <c r="TC14" s="528">
        <v>2.8730000000000002</v>
      </c>
      <c r="TD14" s="528">
        <v>2.8954</v>
      </c>
      <c r="TE14" s="528">
        <v>2.9218000000000002</v>
      </c>
      <c r="TF14" s="528">
        <v>2.9365999999999999</v>
      </c>
      <c r="TG14" s="509">
        <v>8</v>
      </c>
      <c r="TH14" s="529"/>
      <c r="TI14" s="529"/>
      <c r="TJ14" s="509">
        <v>8</v>
      </c>
      <c r="TK14" s="528">
        <v>2.2839999999999998</v>
      </c>
      <c r="TL14" s="528">
        <v>2.3159999999999998</v>
      </c>
      <c r="TM14" s="528">
        <v>2.3439999999999999</v>
      </c>
      <c r="TN14" s="528">
        <v>2.375</v>
      </c>
      <c r="TO14" s="528">
        <v>2.403</v>
      </c>
      <c r="TP14" s="528">
        <v>2.4359999999999999</v>
      </c>
      <c r="TQ14" s="528">
        <v>2.4660000000000002</v>
      </c>
      <c r="TR14" s="528">
        <v>2.4950000000000001</v>
      </c>
      <c r="TS14" s="528">
        <v>2.528</v>
      </c>
      <c r="TT14" s="528">
        <v>2.5569999999999999</v>
      </c>
      <c r="TU14" s="528">
        <v>2.589</v>
      </c>
      <c r="TV14" s="528">
        <v>2.6190000000000002</v>
      </c>
      <c r="TW14" s="509">
        <v>8</v>
      </c>
    </row>
    <row r="15" spans="2:543" s="4" customFormat="1" ht="23" customHeight="1">
      <c r="B15" s="509">
        <v>9</v>
      </c>
      <c r="C15" s="541">
        <v>20.4588</v>
      </c>
      <c r="D15" s="541">
        <v>20.732500000000002</v>
      </c>
      <c r="E15" s="541">
        <v>21.194700000000001</v>
      </c>
      <c r="F15" s="541">
        <v>20.160499999999999</v>
      </c>
      <c r="G15" s="541">
        <v>20.253499999999999</v>
      </c>
      <c r="H15" s="541">
        <v>19.599799999999998</v>
      </c>
      <c r="I15" s="541">
        <v>20.6022</v>
      </c>
      <c r="J15" s="541">
        <v>20.401</v>
      </c>
      <c r="K15" s="541">
        <v>20.029699999999998</v>
      </c>
      <c r="L15" s="541">
        <v>20.108699999999999</v>
      </c>
      <c r="M15" s="541">
        <v>19.464700000000001</v>
      </c>
      <c r="N15" s="541">
        <v>19.697700000000001</v>
      </c>
      <c r="O15" s="509">
        <v>9</v>
      </c>
      <c r="R15" s="509">
        <v>9</v>
      </c>
      <c r="S15" s="541">
        <v>19.91</v>
      </c>
      <c r="T15" s="541">
        <v>20.1388</v>
      </c>
      <c r="U15" s="541">
        <v>21.263500000000001</v>
      </c>
      <c r="V15" s="541">
        <v>20.176500000000001</v>
      </c>
      <c r="W15" s="541">
        <v>20.183800000000002</v>
      </c>
      <c r="X15" s="541">
        <v>19.797000000000001</v>
      </c>
      <c r="Y15" s="541">
        <v>19.991499999999998</v>
      </c>
      <c r="Z15" s="541">
        <v>19.929300000000001</v>
      </c>
      <c r="AA15" s="541">
        <v>19.943999999999999</v>
      </c>
      <c r="AB15" s="541">
        <v>20.603999999999999</v>
      </c>
      <c r="AC15" s="541">
        <v>20.392499999999998</v>
      </c>
      <c r="AD15" s="541">
        <v>21.090699999999998</v>
      </c>
      <c r="AE15" s="509">
        <v>9</v>
      </c>
      <c r="AH15" s="509">
        <v>9</v>
      </c>
      <c r="AI15" s="541">
        <v>18.885200000000001</v>
      </c>
      <c r="AJ15" s="541">
        <v>18.6645</v>
      </c>
      <c r="AK15" s="541">
        <v>19.8095</v>
      </c>
      <c r="AL15" s="541">
        <v>24.038799999999998</v>
      </c>
      <c r="AM15" s="541">
        <v>24.0563</v>
      </c>
      <c r="AN15" s="541">
        <v>21.5837</v>
      </c>
      <c r="AO15" s="541">
        <v>22.621300000000002</v>
      </c>
      <c r="AP15" s="541">
        <v>22.365200000000002</v>
      </c>
      <c r="AQ15" s="541">
        <v>21.588699999999999</v>
      </c>
      <c r="AR15" s="541">
        <v>21.492999999999999</v>
      </c>
      <c r="AS15" s="541">
        <v>20.761199999999999</v>
      </c>
      <c r="AT15" s="541">
        <v>19.821300000000001</v>
      </c>
      <c r="AU15" s="509">
        <v>9</v>
      </c>
      <c r="AX15" s="509">
        <v>9</v>
      </c>
      <c r="AY15" s="528">
        <v>19.320799999999998</v>
      </c>
      <c r="AZ15" s="528">
        <v>19.079999999999998</v>
      </c>
      <c r="BA15" s="528">
        <v>19.522500000000001</v>
      </c>
      <c r="BB15" s="528">
        <v>19.080500000000001</v>
      </c>
      <c r="BC15" s="528">
        <v>19.049900000000001</v>
      </c>
      <c r="BD15" s="528">
        <v>19.708400000000001</v>
      </c>
      <c r="BE15" s="528">
        <v>19.044599999999999</v>
      </c>
      <c r="BF15" s="528">
        <v>19.6953</v>
      </c>
      <c r="BG15" s="528">
        <v>19.683399999999999</v>
      </c>
      <c r="BH15" s="528">
        <v>19.552199999999999</v>
      </c>
      <c r="BI15" s="528">
        <v>19.1327</v>
      </c>
      <c r="BJ15" s="528">
        <v>19.3688</v>
      </c>
      <c r="BK15" s="509">
        <v>9</v>
      </c>
      <c r="BN15" s="509">
        <v>9</v>
      </c>
      <c r="BO15" s="528">
        <v>19.273700000000002</v>
      </c>
      <c r="BP15" s="528">
        <v>18.6492</v>
      </c>
      <c r="BQ15" s="530">
        <v>18.792200000000001</v>
      </c>
      <c r="BR15" s="528">
        <v>18.1081</v>
      </c>
      <c r="BS15" s="528">
        <v>19.423200000000001</v>
      </c>
      <c r="BT15" s="528">
        <v>20.46</v>
      </c>
      <c r="BU15" s="528">
        <v>19.251300000000001</v>
      </c>
      <c r="BV15" s="528">
        <v>18.463100000000001</v>
      </c>
      <c r="BW15" s="528">
        <v>19.354600000000001</v>
      </c>
      <c r="BX15" s="528">
        <v>18.944400000000002</v>
      </c>
      <c r="BY15" s="528">
        <v>19.8245</v>
      </c>
      <c r="BZ15" s="528">
        <v>20.470500000000001</v>
      </c>
      <c r="CA15" s="509">
        <v>9</v>
      </c>
      <c r="CD15" s="509">
        <v>9</v>
      </c>
      <c r="CE15" s="528">
        <v>21.366099999999999</v>
      </c>
      <c r="CF15" s="528">
        <v>20.637</v>
      </c>
      <c r="CG15" s="528">
        <v>19.521000000000001</v>
      </c>
      <c r="CH15" s="528">
        <v>18.769600000000001</v>
      </c>
      <c r="CI15" s="528">
        <v>19.0137</v>
      </c>
      <c r="CJ15" s="528">
        <v>18.227799999999998</v>
      </c>
      <c r="CK15" s="528">
        <v>18.322700000000001</v>
      </c>
      <c r="CL15" s="528">
        <v>17.964099999999998</v>
      </c>
      <c r="CM15" s="528">
        <v>17.6965</v>
      </c>
      <c r="CN15" s="528">
        <v>18.306000000000001</v>
      </c>
      <c r="CO15" s="528">
        <v>19.134899999999998</v>
      </c>
      <c r="CP15" s="528">
        <v>18.9315</v>
      </c>
      <c r="CQ15" s="509">
        <v>9</v>
      </c>
      <c r="CT15" s="509">
        <v>9</v>
      </c>
      <c r="CU15" s="528">
        <v>17.6568</v>
      </c>
      <c r="CV15" s="528">
        <v>18.3748</v>
      </c>
      <c r="CW15" s="528">
        <v>17.752600000000001</v>
      </c>
      <c r="CX15" s="528">
        <v>17.893000000000001</v>
      </c>
      <c r="CY15" s="528">
        <v>17.735800000000001</v>
      </c>
      <c r="CZ15" s="528">
        <v>18.506699999999999</v>
      </c>
      <c r="DA15" s="528">
        <v>18.860700000000001</v>
      </c>
      <c r="DB15" s="528">
        <v>18.8691</v>
      </c>
      <c r="DC15" s="528">
        <v>18.3689</v>
      </c>
      <c r="DD15" s="528">
        <v>19.243300000000001</v>
      </c>
      <c r="DE15" s="528">
        <v>18.619199999999999</v>
      </c>
      <c r="DF15" s="528">
        <v>20.296700000000001</v>
      </c>
      <c r="DG15" s="509">
        <v>9</v>
      </c>
      <c r="DJ15" s="509">
        <v>9</v>
      </c>
      <c r="DK15" s="528">
        <v>14.7936</v>
      </c>
      <c r="DL15" s="528">
        <v>14.754799999999999</v>
      </c>
      <c r="DM15" s="528">
        <v>15.1686</v>
      </c>
      <c r="DN15" s="528">
        <v>14.9039</v>
      </c>
      <c r="DO15" s="528">
        <v>15.339700000000001</v>
      </c>
      <c r="DP15" s="528">
        <v>15.6958</v>
      </c>
      <c r="DQ15" s="528">
        <v>15.828099999999999</v>
      </c>
      <c r="DR15" s="528">
        <v>16.376200000000001</v>
      </c>
      <c r="DS15" s="528">
        <v>16.988</v>
      </c>
      <c r="DT15" s="528">
        <v>16.5762</v>
      </c>
      <c r="DU15" s="528">
        <v>16.5959</v>
      </c>
      <c r="DV15" s="528">
        <v>16.904399999999999</v>
      </c>
      <c r="DW15" s="509">
        <v>9</v>
      </c>
      <c r="DZ15" s="509">
        <v>9</v>
      </c>
      <c r="EA15" s="528">
        <v>13.0337</v>
      </c>
      <c r="EB15" s="528">
        <v>13.2211</v>
      </c>
      <c r="EC15" s="528">
        <v>13.147600000000001</v>
      </c>
      <c r="ED15" s="528">
        <v>13.017899999999999</v>
      </c>
      <c r="EE15" s="528">
        <v>12.9876</v>
      </c>
      <c r="EF15" s="528">
        <v>12.886799999999999</v>
      </c>
      <c r="EG15" s="528">
        <v>12.994899999999999</v>
      </c>
      <c r="EH15" s="528">
        <v>13.255100000000001</v>
      </c>
      <c r="EI15" s="528">
        <v>13.078799999999999</v>
      </c>
      <c r="EJ15" s="528">
        <v>13.433199999999999</v>
      </c>
      <c r="EK15" s="528">
        <v>13.6173</v>
      </c>
      <c r="EL15" s="528">
        <v>14.304500000000001</v>
      </c>
      <c r="EM15" s="509">
        <v>9</v>
      </c>
      <c r="EP15" s="509">
        <v>9</v>
      </c>
      <c r="EQ15" s="528">
        <v>12.767899999999999</v>
      </c>
      <c r="ER15" s="528">
        <v>12.7105</v>
      </c>
      <c r="ES15" s="528">
        <v>12.783899999999999</v>
      </c>
      <c r="ET15" s="528">
        <v>12.238300000000001</v>
      </c>
      <c r="EU15" s="528">
        <v>12.0733</v>
      </c>
      <c r="EV15" s="528">
        <v>12.9079</v>
      </c>
      <c r="EW15" s="528">
        <v>13.056699999999999</v>
      </c>
      <c r="EX15" s="528">
        <v>12.6989</v>
      </c>
      <c r="EY15" s="528">
        <v>13.4079</v>
      </c>
      <c r="EZ15" s="528">
        <v>13.0959</v>
      </c>
      <c r="FA15" s="528">
        <v>13.1912</v>
      </c>
      <c r="FB15" s="528">
        <v>13.005699999999999</v>
      </c>
      <c r="FC15" s="509">
        <v>9</v>
      </c>
      <c r="FF15" s="509">
        <v>9</v>
      </c>
      <c r="FG15" s="528">
        <v>13.7409</v>
      </c>
      <c r="FH15" s="528">
        <v>12.6472</v>
      </c>
      <c r="FI15" s="528">
        <v>12.946899999999999</v>
      </c>
      <c r="FJ15" s="528">
        <v>12.7317</v>
      </c>
      <c r="FK15" s="528">
        <v>13.165900000000001</v>
      </c>
      <c r="FL15" s="528">
        <v>13.935499999999999</v>
      </c>
      <c r="FM15" s="528">
        <v>13.3508</v>
      </c>
      <c r="FN15" s="528">
        <v>13.184900000000001</v>
      </c>
      <c r="FO15" s="528">
        <v>13.048299999999999</v>
      </c>
      <c r="FP15" s="528">
        <v>12.698700000000001</v>
      </c>
      <c r="FQ15" s="528">
        <v>13.043200000000001</v>
      </c>
      <c r="FR15" s="528">
        <v>12.9102</v>
      </c>
      <c r="FS15" s="509">
        <v>9</v>
      </c>
      <c r="FV15" s="509">
        <v>9</v>
      </c>
      <c r="FW15" s="528">
        <v>12.2256</v>
      </c>
      <c r="FX15" s="528">
        <v>11.9946</v>
      </c>
      <c r="FY15" s="528">
        <v>12.016999999999999</v>
      </c>
      <c r="FZ15" s="528">
        <v>11.793100000000001</v>
      </c>
      <c r="GA15" s="528">
        <v>11.6934</v>
      </c>
      <c r="GB15" s="528">
        <v>11.7196</v>
      </c>
      <c r="GC15" s="528">
        <v>11.5738</v>
      </c>
      <c r="GD15" s="528">
        <v>11.9794</v>
      </c>
      <c r="GE15" s="528">
        <v>12.466100000000001</v>
      </c>
      <c r="GF15" s="528">
        <v>13.5341</v>
      </c>
      <c r="GG15" s="528">
        <v>13.4504</v>
      </c>
      <c r="GH15" s="528">
        <v>13.511799999999999</v>
      </c>
      <c r="GI15" s="509">
        <v>9</v>
      </c>
      <c r="GL15" s="509">
        <v>9</v>
      </c>
      <c r="GM15" s="528">
        <v>12.7646</v>
      </c>
      <c r="GN15" s="528">
        <v>13.1753</v>
      </c>
      <c r="GO15" s="528">
        <v>12.6557</v>
      </c>
      <c r="GP15" s="528">
        <v>12.2218</v>
      </c>
      <c r="GQ15" s="528">
        <v>12.788399999999999</v>
      </c>
      <c r="GR15" s="528">
        <v>12.920199999999999</v>
      </c>
      <c r="GS15" s="528">
        <v>12.897500000000001</v>
      </c>
      <c r="GT15" s="528">
        <v>12.5367</v>
      </c>
      <c r="GU15" s="528">
        <v>13.0566</v>
      </c>
      <c r="GV15" s="528">
        <v>12.527699999999999</v>
      </c>
      <c r="GW15" s="528">
        <v>12.205500000000001</v>
      </c>
      <c r="GX15" s="528">
        <v>12.4123</v>
      </c>
      <c r="GY15" s="509">
        <v>9</v>
      </c>
      <c r="HB15" s="509">
        <v>9</v>
      </c>
      <c r="HC15" s="528">
        <v>13.413600000000001</v>
      </c>
      <c r="HD15" s="528">
        <v>14.294499999999999</v>
      </c>
      <c r="HE15" s="528">
        <v>15.285500000000001</v>
      </c>
      <c r="HF15" s="528">
        <v>13.571199999999999</v>
      </c>
      <c r="HG15" s="528">
        <v>13.110300000000001</v>
      </c>
      <c r="HH15" s="528">
        <v>13.2768</v>
      </c>
      <c r="HI15" s="528">
        <v>13.272399999999999</v>
      </c>
      <c r="HJ15" s="528">
        <v>12.992599999999999</v>
      </c>
      <c r="HK15" s="528">
        <v>13.364599999999999</v>
      </c>
      <c r="HL15" s="528">
        <v>13.4673</v>
      </c>
      <c r="HM15" s="528">
        <v>13.343</v>
      </c>
      <c r="HN15" s="528">
        <v>12.655799999999999</v>
      </c>
      <c r="HO15" s="509">
        <v>9</v>
      </c>
      <c r="HP15" s="529"/>
      <c r="HQ15" s="529"/>
      <c r="HR15" s="509">
        <v>9</v>
      </c>
      <c r="HS15" s="528">
        <v>10.9208</v>
      </c>
      <c r="HT15" s="528">
        <v>10.804</v>
      </c>
      <c r="HU15" s="528">
        <v>10.764900000000001</v>
      </c>
      <c r="HV15" s="528">
        <v>10.5395</v>
      </c>
      <c r="HW15" s="528">
        <v>10.539</v>
      </c>
      <c r="HX15" s="528">
        <v>10.3108</v>
      </c>
      <c r="HY15" s="528">
        <v>10.3263</v>
      </c>
      <c r="HZ15" s="528">
        <v>9.9877000000000002</v>
      </c>
      <c r="IA15" s="528">
        <v>10.5143</v>
      </c>
      <c r="IB15" s="528">
        <v>12.1196</v>
      </c>
      <c r="IC15" s="528">
        <v>12.95</v>
      </c>
      <c r="ID15" s="528">
        <v>13.7567</v>
      </c>
      <c r="IE15" s="509">
        <v>9</v>
      </c>
      <c r="IF15" s="529"/>
      <c r="IG15" s="529"/>
      <c r="IH15" s="509">
        <v>9</v>
      </c>
      <c r="II15" s="528">
        <v>10.935499999999999</v>
      </c>
      <c r="IJ15" s="528">
        <v>10.936999999999999</v>
      </c>
      <c r="IK15" s="528">
        <v>11.1555</v>
      </c>
      <c r="IL15" s="528">
        <v>10.979699999999999</v>
      </c>
      <c r="IM15" s="528">
        <v>10.8558</v>
      </c>
      <c r="IN15" s="528">
        <v>10.904299999999999</v>
      </c>
      <c r="IO15" s="528">
        <v>10.7936</v>
      </c>
      <c r="IP15" s="528">
        <v>10.9613</v>
      </c>
      <c r="IQ15" s="528">
        <v>11.065799999999999</v>
      </c>
      <c r="IR15" s="528">
        <v>10.855700000000001</v>
      </c>
      <c r="IS15" s="528">
        <v>10.743499999999999</v>
      </c>
      <c r="IT15" s="528">
        <v>10.8367</v>
      </c>
      <c r="IU15" s="509">
        <v>9</v>
      </c>
      <c r="IV15" s="529"/>
      <c r="IW15" s="529"/>
      <c r="IX15" s="509">
        <v>9</v>
      </c>
      <c r="IY15" s="528">
        <v>10.5907</v>
      </c>
      <c r="IZ15" s="528">
        <v>10.4758</v>
      </c>
      <c r="JA15" s="528">
        <v>10.7003</v>
      </c>
      <c r="JB15" s="528">
        <v>11.0557</v>
      </c>
      <c r="JC15" s="528">
        <v>10.9587</v>
      </c>
      <c r="JD15" s="528">
        <v>11.324999999999999</v>
      </c>
      <c r="JE15" s="528">
        <v>11.1061</v>
      </c>
      <c r="JF15" s="528">
        <v>10.883800000000001</v>
      </c>
      <c r="JG15" s="528">
        <v>11.019600000000001</v>
      </c>
      <c r="JH15" s="528">
        <v>11.0185</v>
      </c>
      <c r="JI15" s="528">
        <v>10.82</v>
      </c>
      <c r="JJ15" s="528">
        <v>10.8558</v>
      </c>
      <c r="JK15" s="509">
        <v>9</v>
      </c>
      <c r="JL15" s="529"/>
      <c r="JM15" s="529"/>
      <c r="JN15" s="509">
        <v>9</v>
      </c>
      <c r="JO15" s="528">
        <v>11.4018</v>
      </c>
      <c r="JP15" s="528">
        <v>11.190899999999999</v>
      </c>
      <c r="JQ15" s="528">
        <v>11.0349</v>
      </c>
      <c r="JR15" s="528">
        <v>11.1945</v>
      </c>
      <c r="JS15" s="528">
        <v>10.948700000000001</v>
      </c>
      <c r="JT15" s="528">
        <v>10.8695</v>
      </c>
      <c r="JU15" s="528">
        <v>10.7997</v>
      </c>
      <c r="JV15" s="528">
        <v>10.5921</v>
      </c>
      <c r="JW15" s="528">
        <v>10.701499999999999</v>
      </c>
      <c r="JX15" s="528">
        <v>10.768700000000001</v>
      </c>
      <c r="JY15" s="528">
        <v>10.7072</v>
      </c>
      <c r="JZ15" s="528">
        <v>10.44</v>
      </c>
      <c r="KA15" s="509">
        <v>9</v>
      </c>
      <c r="KB15" s="529"/>
      <c r="KC15" s="529"/>
      <c r="KD15" s="509">
        <v>9</v>
      </c>
      <c r="KE15" s="528">
        <v>10.904400000000001</v>
      </c>
      <c r="KF15" s="528">
        <v>11.0608</v>
      </c>
      <c r="KG15" s="528">
        <v>10.939299999999999</v>
      </c>
      <c r="KH15" s="528">
        <v>11.1631</v>
      </c>
      <c r="KI15" s="528">
        <v>11.4358</v>
      </c>
      <c r="KJ15" s="528">
        <v>11.3498</v>
      </c>
      <c r="KK15" s="528">
        <v>11.467000000000001</v>
      </c>
      <c r="KL15" s="528">
        <v>11.457000000000001</v>
      </c>
      <c r="KM15" s="528">
        <v>11.568899999999999</v>
      </c>
      <c r="KN15" s="528">
        <v>11.2874</v>
      </c>
      <c r="KO15" s="528">
        <v>11.4031</v>
      </c>
      <c r="KP15" s="528">
        <v>11.170400000000001</v>
      </c>
      <c r="KQ15" s="509">
        <v>9</v>
      </c>
      <c r="KR15" s="529"/>
      <c r="KS15" s="529"/>
      <c r="KT15" s="509">
        <v>9</v>
      </c>
      <c r="KU15" s="528">
        <v>10.327999999999999</v>
      </c>
      <c r="KV15" s="528">
        <v>10.873100000000001</v>
      </c>
      <c r="KW15" s="528">
        <v>11.225</v>
      </c>
      <c r="KX15" s="528">
        <v>10.6896</v>
      </c>
      <c r="KY15" s="528">
        <v>10.211499999999999</v>
      </c>
      <c r="KZ15" s="528">
        <v>10.559799999999999</v>
      </c>
      <c r="LA15" s="528">
        <v>10.394600000000001</v>
      </c>
      <c r="LB15" s="528">
        <v>10.700100000000001</v>
      </c>
      <c r="LC15" s="528">
        <v>10.862</v>
      </c>
      <c r="LD15" s="528">
        <v>11.292299999999999</v>
      </c>
      <c r="LE15" s="528">
        <v>10.9903</v>
      </c>
      <c r="LF15" s="528">
        <v>11.1959</v>
      </c>
      <c r="LG15" s="509">
        <v>9</v>
      </c>
      <c r="LH15" s="529"/>
      <c r="LI15" s="529"/>
      <c r="LJ15" s="509">
        <v>9</v>
      </c>
      <c r="LK15" s="528">
        <v>9.1554000000000002</v>
      </c>
      <c r="LL15" s="528">
        <v>9.1380999999999997</v>
      </c>
      <c r="LM15" s="528">
        <v>9.0753000000000004</v>
      </c>
      <c r="LN15" s="528">
        <v>9.0266000000000002</v>
      </c>
      <c r="LO15" s="528">
        <v>9.4827999999999992</v>
      </c>
      <c r="LP15" s="528">
        <v>9.7759999999999998</v>
      </c>
      <c r="LQ15" s="528">
        <v>9.9033999999999995</v>
      </c>
      <c r="LR15" s="528">
        <v>9.7347999999999999</v>
      </c>
      <c r="LS15" s="528">
        <v>10.008599999999999</v>
      </c>
      <c r="LT15" s="528">
        <v>10.215400000000001</v>
      </c>
      <c r="LU15" s="528">
        <v>10.242800000000001</v>
      </c>
      <c r="LV15" s="528">
        <v>10.245200000000001</v>
      </c>
      <c r="LW15" s="509">
        <v>9</v>
      </c>
      <c r="LX15" s="529"/>
      <c r="LY15" s="529"/>
      <c r="LZ15" s="509">
        <v>9</v>
      </c>
      <c r="MA15" s="528">
        <v>9.7545999999999999</v>
      </c>
      <c r="MB15" s="528">
        <v>9.6944999999999997</v>
      </c>
      <c r="MC15" s="528">
        <v>9.6541999999999994</v>
      </c>
      <c r="MD15" s="528">
        <v>9.4139999999999997</v>
      </c>
      <c r="ME15" s="528">
        <v>9.2211999999999996</v>
      </c>
      <c r="MF15" s="528">
        <v>9.1234999999999999</v>
      </c>
      <c r="MG15" s="528">
        <v>9.0312000000000001</v>
      </c>
      <c r="MH15" s="528">
        <v>9.1199999999999992</v>
      </c>
      <c r="MI15" s="528">
        <v>9.2897999999999996</v>
      </c>
      <c r="MJ15" s="528">
        <v>9.5808</v>
      </c>
      <c r="MK15" s="528">
        <v>9.2088000000000001</v>
      </c>
      <c r="ML15" s="528">
        <v>9.2401</v>
      </c>
      <c r="MM15" s="509">
        <v>9</v>
      </c>
      <c r="MN15" s="529"/>
      <c r="MO15" s="529"/>
      <c r="MP15" s="509">
        <v>9</v>
      </c>
      <c r="MQ15" s="528">
        <v>9.5704999999999991</v>
      </c>
      <c r="MR15" s="528">
        <v>9.4327000000000005</v>
      </c>
      <c r="MS15" s="528">
        <v>9.3009000000000004</v>
      </c>
      <c r="MT15" s="528">
        <v>9.3535000000000004</v>
      </c>
      <c r="MU15" s="528">
        <v>9.3927999999999994</v>
      </c>
      <c r="MV15" s="528">
        <v>9.7942</v>
      </c>
      <c r="MW15" s="528">
        <v>9.5459999999999994</v>
      </c>
      <c r="MX15" s="528">
        <v>9.3353000000000002</v>
      </c>
      <c r="MY15" s="528">
        <v>9.3140999999999998</v>
      </c>
      <c r="MZ15" s="528">
        <v>9.4514999999999993</v>
      </c>
      <c r="NA15" s="528">
        <v>9.6544000000000008</v>
      </c>
      <c r="NB15" s="528">
        <v>9.4262999999999995</v>
      </c>
      <c r="NC15" s="509">
        <v>9</v>
      </c>
      <c r="ND15" s="529"/>
      <c r="NE15" s="529"/>
      <c r="NF15" s="509">
        <v>9</v>
      </c>
      <c r="NG15" s="528">
        <v>9.8527000000000005</v>
      </c>
      <c r="NH15" s="528">
        <v>10.121700000000001</v>
      </c>
      <c r="NI15" s="528">
        <v>9.8732000000000006</v>
      </c>
      <c r="NJ15" s="528">
        <v>9.4968000000000004</v>
      </c>
      <c r="NK15" s="528">
        <v>9.3330000000000002</v>
      </c>
      <c r="NL15" s="528">
        <v>9.5045000000000002</v>
      </c>
      <c r="NM15" s="528">
        <v>9.3636999999999997</v>
      </c>
      <c r="NN15" s="528">
        <v>9.5097000000000005</v>
      </c>
      <c r="NO15" s="528">
        <v>9.3497000000000003</v>
      </c>
      <c r="NP15" s="528">
        <v>9.4597999999999995</v>
      </c>
      <c r="NQ15" s="528">
        <v>9.4518000000000004</v>
      </c>
      <c r="NR15" s="528">
        <v>9.4415999999999993</v>
      </c>
      <c r="NS15" s="509">
        <v>9</v>
      </c>
      <c r="NT15" s="529"/>
      <c r="NU15" s="529"/>
      <c r="NV15" s="509">
        <v>9</v>
      </c>
      <c r="NW15" s="528">
        <v>8.0597999999999992</v>
      </c>
      <c r="NX15" s="528">
        <v>8.4135000000000009</v>
      </c>
      <c r="NY15" s="528">
        <v>8.6202000000000005</v>
      </c>
      <c r="NZ15" s="528">
        <v>8.5274000000000001</v>
      </c>
      <c r="OA15" s="528">
        <v>8.5007000000000001</v>
      </c>
      <c r="OB15" s="528">
        <v>8.7619000000000007</v>
      </c>
      <c r="OC15" s="528">
        <v>8.9558</v>
      </c>
      <c r="OD15" s="528">
        <v>9.0254999999999992</v>
      </c>
      <c r="OE15" s="528">
        <v>10.1967</v>
      </c>
      <c r="OF15" s="528">
        <v>10.1835</v>
      </c>
      <c r="OG15" s="528">
        <v>9.9885999999999999</v>
      </c>
      <c r="OH15" s="528">
        <v>9.9992999999999999</v>
      </c>
      <c r="OI15" s="509">
        <v>9</v>
      </c>
      <c r="OJ15" s="529"/>
      <c r="OK15" s="529"/>
      <c r="OL15" s="509">
        <v>9</v>
      </c>
      <c r="OM15" s="528">
        <v>7.8375000000000004</v>
      </c>
      <c r="ON15" s="528">
        <v>7.8281999999999998</v>
      </c>
      <c r="OO15" s="528">
        <v>8.0091999999999999</v>
      </c>
      <c r="OP15" s="528">
        <v>7.9061000000000003</v>
      </c>
      <c r="OQ15" s="528">
        <v>7.9203000000000001</v>
      </c>
      <c r="OR15" s="528">
        <v>7.9481999999999999</v>
      </c>
      <c r="OS15" s="528">
        <v>7.9071999999999996</v>
      </c>
      <c r="OT15" s="528">
        <v>7.7895000000000003</v>
      </c>
      <c r="OU15" s="528">
        <v>7.8070000000000004</v>
      </c>
      <c r="OV15" s="528">
        <v>7.7496999999999998</v>
      </c>
      <c r="OW15" s="528">
        <v>8.3650000000000002</v>
      </c>
      <c r="OX15" s="528">
        <v>8.1440000000000001</v>
      </c>
      <c r="OY15" s="509">
        <v>9</v>
      </c>
      <c r="OZ15" s="529"/>
      <c r="PA15" s="529"/>
      <c r="PB15" s="509">
        <v>9</v>
      </c>
      <c r="PC15" s="528">
        <v>7.5674999999999999</v>
      </c>
      <c r="PD15" s="528">
        <v>7.48</v>
      </c>
      <c r="PE15" s="528">
        <v>7.5712999999999999</v>
      </c>
      <c r="PF15" s="528">
        <v>7.5180999999999996</v>
      </c>
      <c r="PG15" s="528">
        <v>7.5119999999999996</v>
      </c>
      <c r="PH15" s="528">
        <v>7.5016999999999996</v>
      </c>
      <c r="PI15" s="528">
        <v>7.6318000000000001</v>
      </c>
      <c r="PJ15" s="528">
        <v>7.5118999999999998</v>
      </c>
      <c r="PK15" s="528">
        <v>7.5995999999999997</v>
      </c>
      <c r="PL15" s="528">
        <v>7.5281000000000002</v>
      </c>
      <c r="PM15" s="528">
        <v>7.9527000000000001</v>
      </c>
      <c r="PN15" s="528">
        <v>7.8884999999999996</v>
      </c>
      <c r="PO15" s="509">
        <v>9</v>
      </c>
      <c r="PP15" s="529"/>
      <c r="PQ15" s="529"/>
      <c r="PR15" s="509">
        <v>9</v>
      </c>
      <c r="PS15" s="528">
        <v>5.39</v>
      </c>
      <c r="PT15" s="528">
        <v>5.3624999999999998</v>
      </c>
      <c r="PU15" s="528">
        <v>6.875</v>
      </c>
      <c r="PV15" s="528">
        <v>6.3807999999999998</v>
      </c>
      <c r="PW15" s="528">
        <v>5.8757999999999999</v>
      </c>
      <c r="PX15" s="528">
        <v>6.1616999999999997</v>
      </c>
      <c r="PY15" s="528">
        <v>6.2370999999999999</v>
      </c>
      <c r="PZ15" s="528">
        <v>6.1289999999999996</v>
      </c>
      <c r="QA15" s="528">
        <v>6.2568000000000001</v>
      </c>
      <c r="QB15" s="528">
        <v>6.5425000000000004</v>
      </c>
      <c r="QC15" s="528">
        <v>7.5167000000000002</v>
      </c>
      <c r="QD15" s="528">
        <v>7.7083000000000004</v>
      </c>
      <c r="QE15" s="509">
        <v>9</v>
      </c>
      <c r="QF15" s="529"/>
      <c r="QG15" s="529"/>
      <c r="QH15" s="509">
        <v>9</v>
      </c>
      <c r="QI15" s="528">
        <v>3.1057000000000001</v>
      </c>
      <c r="QJ15" s="528">
        <v>3.1055999999999999</v>
      </c>
      <c r="QK15" s="528">
        <v>3.2519999999999998</v>
      </c>
      <c r="QL15" s="528">
        <v>3.363</v>
      </c>
      <c r="QM15" s="528">
        <v>3.3052999999999999</v>
      </c>
      <c r="QN15" s="528">
        <v>3.3650000000000002</v>
      </c>
      <c r="QO15" s="528">
        <v>3.4001999999999999</v>
      </c>
      <c r="QP15" s="528">
        <v>3.3828999999999998</v>
      </c>
      <c r="QQ15" s="528">
        <v>3.3982999999999999</v>
      </c>
      <c r="QR15" s="528">
        <v>3.4159000000000002</v>
      </c>
      <c r="QS15" s="528">
        <v>3.4272999999999998</v>
      </c>
      <c r="QT15" s="528">
        <v>3.4519000000000002</v>
      </c>
      <c r="QU15" s="509">
        <v>9</v>
      </c>
      <c r="QV15" s="529"/>
      <c r="QW15" s="529"/>
      <c r="QX15" s="509">
        <v>9</v>
      </c>
      <c r="QY15" s="528">
        <v>3.1063000000000001</v>
      </c>
      <c r="QZ15" s="528">
        <v>3.1012</v>
      </c>
      <c r="RA15" s="528">
        <v>3.101</v>
      </c>
      <c r="RB15" s="528">
        <v>3.0939999999999999</v>
      </c>
      <c r="RC15" s="528">
        <v>3.1328999999999998</v>
      </c>
      <c r="RD15" s="528">
        <v>3.1255999999999999</v>
      </c>
      <c r="RE15" s="528">
        <v>3.1236000000000002</v>
      </c>
      <c r="RF15" s="528">
        <v>3.1149</v>
      </c>
      <c r="RG15" s="528">
        <v>3.113</v>
      </c>
      <c r="RH15" s="528">
        <v>3.1156000000000001</v>
      </c>
      <c r="RI15" s="528">
        <v>3.1520000000000001</v>
      </c>
      <c r="RJ15" s="528">
        <v>3.1046999999999998</v>
      </c>
      <c r="RK15" s="509">
        <v>9</v>
      </c>
      <c r="RL15" s="529"/>
      <c r="RM15" s="529"/>
      <c r="RN15" s="509">
        <v>9</v>
      </c>
      <c r="RO15" s="528">
        <v>3.0665</v>
      </c>
      <c r="RP15" s="528">
        <v>3.0648</v>
      </c>
      <c r="RQ15" s="528">
        <v>3.0609000000000002</v>
      </c>
      <c r="RR15" s="528">
        <v>3.0608</v>
      </c>
      <c r="RS15" s="528">
        <v>3.1</v>
      </c>
      <c r="RT15" s="528">
        <v>3.1131000000000002</v>
      </c>
      <c r="RU15" s="528">
        <v>3.1166</v>
      </c>
      <c r="RV15" s="528">
        <v>3.1021000000000001</v>
      </c>
      <c r="RW15" s="528">
        <v>3.0638000000000001</v>
      </c>
      <c r="RX15" s="528">
        <v>3.1118999999999999</v>
      </c>
      <c r="RY15" s="528">
        <v>3.1253000000000002</v>
      </c>
      <c r="RZ15" s="528">
        <v>3.1175999999999999</v>
      </c>
      <c r="SA15" s="509">
        <v>9</v>
      </c>
      <c r="SB15" s="529"/>
      <c r="SC15" s="529"/>
      <c r="SD15" s="509">
        <v>9</v>
      </c>
      <c r="SE15" s="528">
        <v>2.9493999999999998</v>
      </c>
      <c r="SF15" s="528">
        <v>2.9618000000000002</v>
      </c>
      <c r="SG15" s="528">
        <v>2.9729999999999999</v>
      </c>
      <c r="SH15" s="528">
        <v>2.9845999999999999</v>
      </c>
      <c r="SI15" s="528">
        <v>2.9973999999999998</v>
      </c>
      <c r="SJ15" s="528">
        <v>3.0093999999999999</v>
      </c>
      <c r="SK15" s="528">
        <v>3.0209999999999999</v>
      </c>
      <c r="SL15" s="528">
        <v>3.0341999999999998</v>
      </c>
      <c r="SM15" s="528">
        <v>3.0457999999999998</v>
      </c>
      <c r="SN15" s="528">
        <v>3.0594000000000001</v>
      </c>
      <c r="SO15" s="528">
        <v>3.0726</v>
      </c>
      <c r="SP15" s="528">
        <v>3.0653800000000002</v>
      </c>
      <c r="SQ15" s="509">
        <v>9</v>
      </c>
      <c r="SR15" s="529"/>
      <c r="SS15" s="529"/>
      <c r="ST15" s="509">
        <v>9</v>
      </c>
      <c r="SU15" s="528">
        <v>2.6509999999999998</v>
      </c>
      <c r="SV15" s="528">
        <v>2.6819999999999999</v>
      </c>
      <c r="SW15" s="528">
        <v>2.71</v>
      </c>
      <c r="SX15" s="528">
        <v>2.7389999999999999</v>
      </c>
      <c r="SY15" s="528">
        <v>2.7709999999999999</v>
      </c>
      <c r="SZ15" s="528">
        <v>2.8001999999999998</v>
      </c>
      <c r="TA15" s="528">
        <v>2.8226</v>
      </c>
      <c r="TB15" s="528">
        <v>2.8490000000000002</v>
      </c>
      <c r="TC15" s="528">
        <v>2.8730000000000002</v>
      </c>
      <c r="TD15" s="528">
        <v>2.8961999999999999</v>
      </c>
      <c r="TE15" s="528">
        <v>2.9226000000000001</v>
      </c>
      <c r="TF15" s="528">
        <v>2.9365999999999999</v>
      </c>
      <c r="TG15" s="509">
        <v>9</v>
      </c>
      <c r="TH15" s="529"/>
      <c r="TI15" s="529"/>
      <c r="TJ15" s="509">
        <v>9</v>
      </c>
      <c r="TK15" s="528">
        <v>2.2839999999999998</v>
      </c>
      <c r="TL15" s="528">
        <v>2.3170000000000002</v>
      </c>
      <c r="TM15" s="528">
        <v>2.3450000000000002</v>
      </c>
      <c r="TN15" s="528">
        <v>2.375</v>
      </c>
      <c r="TO15" s="528">
        <v>2.4039999999999999</v>
      </c>
      <c r="TP15" s="528">
        <v>2.4369999999999998</v>
      </c>
      <c r="TQ15" s="528">
        <v>2.4660000000000002</v>
      </c>
      <c r="TR15" s="528">
        <v>2.4980000000000002</v>
      </c>
      <c r="TS15" s="528">
        <v>2.5289999999999999</v>
      </c>
      <c r="TT15" s="528">
        <v>2.5569999999999999</v>
      </c>
      <c r="TU15" s="528">
        <v>2.59</v>
      </c>
      <c r="TV15" s="528">
        <v>2.62</v>
      </c>
      <c r="TW15" s="509">
        <v>9</v>
      </c>
    </row>
    <row r="16" spans="2:543" s="4" customFormat="1" ht="23" customHeight="1">
      <c r="B16" s="509">
        <v>10</v>
      </c>
      <c r="C16" s="541">
        <v>20.4588</v>
      </c>
      <c r="D16" s="541">
        <v>20.641300000000001</v>
      </c>
      <c r="E16" s="541">
        <v>21.377500000000001</v>
      </c>
      <c r="F16" s="541">
        <v>20.160499999999999</v>
      </c>
      <c r="G16" s="541">
        <v>20.108499999999999</v>
      </c>
      <c r="H16" s="541">
        <v>19.59</v>
      </c>
      <c r="I16" s="541">
        <v>20.6022</v>
      </c>
      <c r="J16" s="541">
        <v>20.2789</v>
      </c>
      <c r="K16" s="541">
        <v>20.020299999999999</v>
      </c>
      <c r="L16" s="541">
        <v>20.108699999999999</v>
      </c>
      <c r="M16" s="541">
        <v>19.477499999999999</v>
      </c>
      <c r="N16" s="541">
        <v>19.673200000000001</v>
      </c>
      <c r="O16" s="509">
        <v>10</v>
      </c>
      <c r="R16" s="509">
        <v>10</v>
      </c>
      <c r="S16" s="541">
        <v>19.91</v>
      </c>
      <c r="T16" s="541">
        <v>20.122699999999998</v>
      </c>
      <c r="U16" s="541">
        <v>21.4177</v>
      </c>
      <c r="V16" s="541">
        <v>20.088999999999999</v>
      </c>
      <c r="W16" s="541">
        <v>20.183800000000002</v>
      </c>
      <c r="X16" s="541">
        <v>19.7728</v>
      </c>
      <c r="Y16" s="541">
        <v>20.007000000000001</v>
      </c>
      <c r="Z16" s="541">
        <v>20.003699999999998</v>
      </c>
      <c r="AA16" s="541">
        <v>19.938300000000002</v>
      </c>
      <c r="AB16" s="541">
        <v>20.603999999999999</v>
      </c>
      <c r="AC16" s="541">
        <v>20.326499999999999</v>
      </c>
      <c r="AD16" s="541">
        <v>20.933</v>
      </c>
      <c r="AE16" s="509">
        <v>10</v>
      </c>
      <c r="AH16" s="509">
        <v>10</v>
      </c>
      <c r="AI16" s="541">
        <v>18.797999999999998</v>
      </c>
      <c r="AJ16" s="541">
        <v>18.6645</v>
      </c>
      <c r="AK16" s="541">
        <v>20.162299999999998</v>
      </c>
      <c r="AL16" s="541">
        <v>24.038799999999998</v>
      </c>
      <c r="AM16" s="541">
        <v>24.0563</v>
      </c>
      <c r="AN16" s="541">
        <v>21.655200000000001</v>
      </c>
      <c r="AO16" s="541">
        <v>22.822500000000002</v>
      </c>
      <c r="AP16" s="541">
        <v>22.365200000000002</v>
      </c>
      <c r="AQ16" s="541">
        <v>21.713799999999999</v>
      </c>
      <c r="AR16" s="541">
        <v>21.431799999999999</v>
      </c>
      <c r="AS16" s="541">
        <v>20.62</v>
      </c>
      <c r="AT16" s="541">
        <v>19.753699999999998</v>
      </c>
      <c r="AU16" s="509">
        <v>10</v>
      </c>
      <c r="AX16" s="509">
        <v>10</v>
      </c>
      <c r="AY16" s="528">
        <v>19.347899999999999</v>
      </c>
      <c r="AZ16" s="528">
        <v>19.079999999999998</v>
      </c>
      <c r="BA16" s="528">
        <v>19.522500000000001</v>
      </c>
      <c r="BB16" s="528">
        <v>18.970099999999999</v>
      </c>
      <c r="BC16" s="528">
        <v>19.0837</v>
      </c>
      <c r="BD16" s="528">
        <v>19.708400000000001</v>
      </c>
      <c r="BE16" s="528">
        <v>18.9116</v>
      </c>
      <c r="BF16" s="528">
        <v>19.511800000000001</v>
      </c>
      <c r="BG16" s="528">
        <v>19.5623</v>
      </c>
      <c r="BH16" s="528">
        <v>19.584</v>
      </c>
      <c r="BI16" s="528">
        <v>19.1327</v>
      </c>
      <c r="BJ16" s="528">
        <v>19.3247</v>
      </c>
      <c r="BK16" s="509">
        <v>10</v>
      </c>
      <c r="BN16" s="509">
        <v>10</v>
      </c>
      <c r="BO16" s="528">
        <v>19.232299999999999</v>
      </c>
      <c r="BP16" s="528">
        <v>18.881499999999999</v>
      </c>
      <c r="BQ16" s="530">
        <v>18.7148</v>
      </c>
      <c r="BR16" s="528">
        <v>18.288799999999998</v>
      </c>
      <c r="BS16" s="528">
        <v>19.578099999999999</v>
      </c>
      <c r="BT16" s="528">
        <v>20.46</v>
      </c>
      <c r="BU16" s="528">
        <v>19.071899999999999</v>
      </c>
      <c r="BV16" s="528">
        <v>18.4542</v>
      </c>
      <c r="BW16" s="528">
        <v>19.354600000000001</v>
      </c>
      <c r="BX16" s="528">
        <v>18.923400000000001</v>
      </c>
      <c r="BY16" s="528">
        <v>20.043800000000001</v>
      </c>
      <c r="BZ16" s="528">
        <v>20.470500000000001</v>
      </c>
      <c r="CA16" s="509">
        <v>10</v>
      </c>
      <c r="CD16" s="509">
        <v>10</v>
      </c>
      <c r="CE16" s="528">
        <v>21.314399999999999</v>
      </c>
      <c r="CF16" s="528">
        <v>20.499400000000001</v>
      </c>
      <c r="CG16" s="528">
        <v>19.6007</v>
      </c>
      <c r="CH16" s="528">
        <v>18.769600000000001</v>
      </c>
      <c r="CI16" s="528">
        <v>19.116399999999999</v>
      </c>
      <c r="CJ16" s="528">
        <v>18.194600000000001</v>
      </c>
      <c r="CK16" s="528">
        <v>18.322700000000001</v>
      </c>
      <c r="CL16" s="528">
        <v>17.916</v>
      </c>
      <c r="CM16" s="528">
        <v>17.6965</v>
      </c>
      <c r="CN16" s="528">
        <v>18.552199999999999</v>
      </c>
      <c r="CO16" s="528">
        <v>19.0718</v>
      </c>
      <c r="CP16" s="528">
        <v>18.9315</v>
      </c>
      <c r="CQ16" s="509">
        <v>10</v>
      </c>
      <c r="CT16" s="509">
        <v>10</v>
      </c>
      <c r="CU16" s="528">
        <v>17.6568</v>
      </c>
      <c r="CV16" s="528">
        <v>18.695900000000002</v>
      </c>
      <c r="CW16" s="528">
        <v>17.904399999999999</v>
      </c>
      <c r="CX16" s="528">
        <v>17.893000000000001</v>
      </c>
      <c r="CY16" s="528">
        <v>17.920400000000001</v>
      </c>
      <c r="CZ16" s="528">
        <v>18.149100000000001</v>
      </c>
      <c r="DA16" s="528">
        <v>18.860700000000001</v>
      </c>
      <c r="DB16" s="528">
        <v>18.5716</v>
      </c>
      <c r="DC16" s="528">
        <v>18.5427</v>
      </c>
      <c r="DD16" s="528">
        <v>19.243300000000001</v>
      </c>
      <c r="DE16" s="528">
        <v>18.508900000000001</v>
      </c>
      <c r="DF16" s="528">
        <v>20.4162</v>
      </c>
      <c r="DG16" s="509">
        <v>10</v>
      </c>
      <c r="DJ16" s="509">
        <v>10</v>
      </c>
      <c r="DK16" s="528">
        <v>14.6274</v>
      </c>
      <c r="DL16" s="528">
        <v>14.9024</v>
      </c>
      <c r="DM16" s="528">
        <v>15.4445</v>
      </c>
      <c r="DN16" s="528">
        <v>14.9072</v>
      </c>
      <c r="DO16" s="528">
        <v>15.339700000000001</v>
      </c>
      <c r="DP16" s="528">
        <v>15.6715</v>
      </c>
      <c r="DQ16" s="528">
        <v>15.817399999999999</v>
      </c>
      <c r="DR16" s="528">
        <v>16.353300000000001</v>
      </c>
      <c r="DS16" s="528">
        <v>16.797899999999998</v>
      </c>
      <c r="DT16" s="528">
        <v>16.5762</v>
      </c>
      <c r="DU16" s="528">
        <v>16.838200000000001</v>
      </c>
      <c r="DV16" s="528">
        <v>17.016400000000001</v>
      </c>
      <c r="DW16" s="509">
        <v>10</v>
      </c>
      <c r="DZ16" s="509">
        <v>10</v>
      </c>
      <c r="EA16" s="528">
        <v>13.0846</v>
      </c>
      <c r="EB16" s="528">
        <v>13.2211</v>
      </c>
      <c r="EC16" s="528">
        <v>13.147600000000001</v>
      </c>
      <c r="ED16" s="528">
        <v>12.9642</v>
      </c>
      <c r="EE16" s="528">
        <v>12.947699999999999</v>
      </c>
      <c r="EF16" s="528">
        <v>12.898099999999999</v>
      </c>
      <c r="EG16" s="528">
        <v>13.0006</v>
      </c>
      <c r="EH16" s="528">
        <v>13.255100000000001</v>
      </c>
      <c r="EI16" s="528">
        <v>13.081300000000001</v>
      </c>
      <c r="EJ16" s="528">
        <v>13.4786</v>
      </c>
      <c r="EK16" s="528">
        <v>13.6173</v>
      </c>
      <c r="EL16" s="528">
        <v>14.404199999999999</v>
      </c>
      <c r="EM16" s="509">
        <v>10</v>
      </c>
      <c r="EP16" s="509">
        <v>10</v>
      </c>
      <c r="EQ16" s="528">
        <v>12.801500000000001</v>
      </c>
      <c r="ER16" s="528">
        <v>12.7105</v>
      </c>
      <c r="ES16" s="528">
        <v>12.783899999999999</v>
      </c>
      <c r="ET16" s="528">
        <v>12.158799999999999</v>
      </c>
      <c r="EU16" s="528">
        <v>12.039300000000001</v>
      </c>
      <c r="EV16" s="528">
        <v>12.9079</v>
      </c>
      <c r="EW16" s="528">
        <v>12.9267</v>
      </c>
      <c r="EX16" s="528">
        <v>12.646000000000001</v>
      </c>
      <c r="EY16" s="528">
        <v>13.241300000000001</v>
      </c>
      <c r="EZ16" s="528">
        <v>13.1417</v>
      </c>
      <c r="FA16" s="528">
        <v>13.1912</v>
      </c>
      <c r="FB16" s="528">
        <v>12.9299</v>
      </c>
      <c r="FC16" s="509">
        <v>10</v>
      </c>
      <c r="FF16" s="509">
        <v>10</v>
      </c>
      <c r="FG16" s="528">
        <v>13.722799999999999</v>
      </c>
      <c r="FH16" s="528">
        <v>12.683299999999999</v>
      </c>
      <c r="FI16" s="528">
        <v>12.784000000000001</v>
      </c>
      <c r="FJ16" s="528">
        <v>12.8155</v>
      </c>
      <c r="FK16" s="528">
        <v>13.337400000000001</v>
      </c>
      <c r="FL16" s="528">
        <v>13.935499999999999</v>
      </c>
      <c r="FM16" s="528">
        <v>13.4925</v>
      </c>
      <c r="FN16" s="528">
        <v>13.1891</v>
      </c>
      <c r="FO16" s="528">
        <v>13.048299999999999</v>
      </c>
      <c r="FP16" s="528">
        <v>12.842599999999999</v>
      </c>
      <c r="FQ16" s="528">
        <v>13.1168</v>
      </c>
      <c r="FR16" s="528">
        <v>12.9102</v>
      </c>
      <c r="FS16" s="509">
        <v>10</v>
      </c>
      <c r="FV16" s="509">
        <v>10</v>
      </c>
      <c r="FW16" s="528">
        <v>12.2256</v>
      </c>
      <c r="FX16" s="528">
        <v>11.9937</v>
      </c>
      <c r="FY16" s="528">
        <v>12.025399999999999</v>
      </c>
      <c r="FZ16" s="528">
        <v>11.793100000000001</v>
      </c>
      <c r="GA16" s="528">
        <v>11.609</v>
      </c>
      <c r="GB16" s="528">
        <v>11.8001</v>
      </c>
      <c r="GC16" s="528">
        <v>11.5738</v>
      </c>
      <c r="GD16" s="528">
        <v>12.1845</v>
      </c>
      <c r="GE16" s="528">
        <v>12.4956</v>
      </c>
      <c r="GF16" s="528">
        <v>13.5341</v>
      </c>
      <c r="GG16" s="528">
        <v>13.385199999999999</v>
      </c>
      <c r="GH16" s="528">
        <v>13.6569</v>
      </c>
      <c r="GI16" s="509">
        <v>10</v>
      </c>
      <c r="GL16" s="509">
        <v>10</v>
      </c>
      <c r="GM16" s="528">
        <v>12.7646</v>
      </c>
      <c r="GN16" s="528">
        <v>13.164</v>
      </c>
      <c r="GO16" s="528">
        <v>12.661799999999999</v>
      </c>
      <c r="GP16" s="528">
        <v>12.248799999999999</v>
      </c>
      <c r="GQ16" s="528">
        <v>12.788399999999999</v>
      </c>
      <c r="GR16" s="528">
        <v>12.928800000000001</v>
      </c>
      <c r="GS16" s="528">
        <v>12.8232</v>
      </c>
      <c r="GT16" s="528">
        <v>12.654999999999999</v>
      </c>
      <c r="GU16" s="528">
        <v>13.003399999999999</v>
      </c>
      <c r="GV16" s="528">
        <v>12.527699999999999</v>
      </c>
      <c r="GW16" s="528">
        <v>12.2483</v>
      </c>
      <c r="GX16" s="528">
        <v>12.448399999999999</v>
      </c>
      <c r="GY16" s="509">
        <v>10</v>
      </c>
      <c r="HB16" s="509">
        <v>10</v>
      </c>
      <c r="HC16" s="528">
        <v>13.5045</v>
      </c>
      <c r="HD16" s="528">
        <v>14.1778</v>
      </c>
      <c r="HE16" s="528">
        <v>15.263299999999999</v>
      </c>
      <c r="HF16" s="528">
        <v>13.571199999999999</v>
      </c>
      <c r="HG16" s="528">
        <v>13.110300000000001</v>
      </c>
      <c r="HH16" s="528">
        <v>13.45</v>
      </c>
      <c r="HI16" s="528">
        <v>13.433299999999999</v>
      </c>
      <c r="HJ16" s="528">
        <v>12.992599999999999</v>
      </c>
      <c r="HK16" s="528">
        <v>13.2826</v>
      </c>
      <c r="HL16" s="528">
        <v>13.322699999999999</v>
      </c>
      <c r="HM16" s="528">
        <v>13.3758</v>
      </c>
      <c r="HN16" s="528">
        <v>12.8399</v>
      </c>
      <c r="HO16" s="509">
        <v>10</v>
      </c>
      <c r="HP16" s="529"/>
      <c r="HQ16" s="529"/>
      <c r="HR16" s="509">
        <v>10</v>
      </c>
      <c r="HS16" s="528">
        <v>10.885</v>
      </c>
      <c r="HT16" s="528">
        <v>10.804</v>
      </c>
      <c r="HU16" s="528">
        <v>10.764900000000001</v>
      </c>
      <c r="HV16" s="528">
        <v>10.561</v>
      </c>
      <c r="HW16" s="528">
        <v>10.5465</v>
      </c>
      <c r="HX16" s="528">
        <v>10.3582</v>
      </c>
      <c r="HY16" s="528">
        <v>10.3363</v>
      </c>
      <c r="HZ16" s="528">
        <v>9.9877000000000002</v>
      </c>
      <c r="IA16" s="528">
        <v>10.481</v>
      </c>
      <c r="IB16" s="528">
        <v>13.041700000000001</v>
      </c>
      <c r="IC16" s="528">
        <v>12.95</v>
      </c>
      <c r="ID16" s="528">
        <v>13.4597</v>
      </c>
      <c r="IE16" s="509">
        <v>10</v>
      </c>
      <c r="IF16" s="529"/>
      <c r="IG16" s="529"/>
      <c r="IH16" s="509">
        <v>10</v>
      </c>
      <c r="II16" s="528">
        <v>10.970499999999999</v>
      </c>
      <c r="IJ16" s="528">
        <v>10.968299999999999</v>
      </c>
      <c r="IK16" s="528">
        <v>11.1426</v>
      </c>
      <c r="IL16" s="528">
        <v>10.9976</v>
      </c>
      <c r="IM16" s="528">
        <v>10.8513</v>
      </c>
      <c r="IN16" s="528">
        <v>10.904299999999999</v>
      </c>
      <c r="IO16" s="528">
        <v>10.7828</v>
      </c>
      <c r="IP16" s="528">
        <v>10.9209</v>
      </c>
      <c r="IQ16" s="528">
        <v>11.065799999999999</v>
      </c>
      <c r="IR16" s="528">
        <v>10.8589</v>
      </c>
      <c r="IS16" s="528">
        <v>10.8108</v>
      </c>
      <c r="IT16" s="528">
        <v>10.8367</v>
      </c>
      <c r="IU16" s="509">
        <v>10</v>
      </c>
      <c r="IV16" s="529"/>
      <c r="IW16" s="529"/>
      <c r="IX16" s="509">
        <v>10</v>
      </c>
      <c r="IY16" s="528">
        <v>10.5726</v>
      </c>
      <c r="IZ16" s="528">
        <v>10.527699999999999</v>
      </c>
      <c r="JA16" s="528">
        <v>10.756</v>
      </c>
      <c r="JB16" s="528">
        <v>11.0557</v>
      </c>
      <c r="JC16" s="528">
        <v>10.9381</v>
      </c>
      <c r="JD16" s="528">
        <v>11.419</v>
      </c>
      <c r="JE16" s="528">
        <v>11.1061</v>
      </c>
      <c r="JF16" s="528">
        <v>10.911300000000001</v>
      </c>
      <c r="JG16" s="528">
        <v>11.019600000000001</v>
      </c>
      <c r="JH16" s="528">
        <v>11.0624</v>
      </c>
      <c r="JI16" s="528">
        <v>10.8598</v>
      </c>
      <c r="JJ16" s="528">
        <v>10.8558</v>
      </c>
      <c r="JK16" s="509">
        <v>10</v>
      </c>
      <c r="JL16" s="529"/>
      <c r="JM16" s="529"/>
      <c r="JN16" s="509">
        <v>10</v>
      </c>
      <c r="JO16" s="528">
        <v>11.4018</v>
      </c>
      <c r="JP16" s="528">
        <v>11.215199999999999</v>
      </c>
      <c r="JQ16" s="528">
        <v>10.978999999999999</v>
      </c>
      <c r="JR16" s="528">
        <v>11.1945</v>
      </c>
      <c r="JS16" s="528">
        <v>10.943300000000001</v>
      </c>
      <c r="JT16" s="528">
        <v>10.849399999999999</v>
      </c>
      <c r="JU16" s="528">
        <v>10.7997</v>
      </c>
      <c r="JV16" s="528">
        <v>10.601800000000001</v>
      </c>
      <c r="JW16" s="528">
        <v>10.7126</v>
      </c>
      <c r="JX16" s="528">
        <v>10.768700000000001</v>
      </c>
      <c r="JY16" s="528">
        <v>10.728199999999999</v>
      </c>
      <c r="JZ16" s="528">
        <v>10.502000000000001</v>
      </c>
      <c r="KA16" s="509">
        <v>10</v>
      </c>
      <c r="KB16" s="529"/>
      <c r="KC16" s="529"/>
      <c r="KD16" s="509">
        <v>10</v>
      </c>
      <c r="KE16" s="528">
        <v>10.8847</v>
      </c>
      <c r="KF16" s="528">
        <v>11.1305</v>
      </c>
      <c r="KG16" s="528">
        <v>10.9329</v>
      </c>
      <c r="KH16" s="528">
        <v>11.1631</v>
      </c>
      <c r="KI16" s="528">
        <v>11.4358</v>
      </c>
      <c r="KJ16" s="528">
        <v>11.339700000000001</v>
      </c>
      <c r="KK16" s="528">
        <v>11.531499999999999</v>
      </c>
      <c r="KL16" s="528">
        <v>11.4124</v>
      </c>
      <c r="KM16" s="528">
        <v>11.589499999999999</v>
      </c>
      <c r="KN16" s="528">
        <v>11.2874</v>
      </c>
      <c r="KO16" s="528">
        <v>11.395300000000001</v>
      </c>
      <c r="KP16" s="528">
        <v>11.2738</v>
      </c>
      <c r="KQ16" s="509">
        <v>10</v>
      </c>
      <c r="KR16" s="529"/>
      <c r="KS16" s="529"/>
      <c r="KT16" s="509">
        <v>10</v>
      </c>
      <c r="KU16" s="528">
        <v>10.361700000000001</v>
      </c>
      <c r="KV16" s="528">
        <v>10.873100000000001</v>
      </c>
      <c r="KW16" s="528">
        <v>11.225</v>
      </c>
      <c r="KX16" s="528">
        <v>10.739800000000001</v>
      </c>
      <c r="KY16" s="528">
        <v>10.17</v>
      </c>
      <c r="KZ16" s="528">
        <v>10.5608</v>
      </c>
      <c r="LA16" s="528">
        <v>10.542999999999999</v>
      </c>
      <c r="LB16" s="528">
        <v>10.700100000000001</v>
      </c>
      <c r="LC16" s="528">
        <v>10.9185</v>
      </c>
      <c r="LD16" s="528">
        <v>11.249000000000001</v>
      </c>
      <c r="LE16" s="528">
        <v>10.9903</v>
      </c>
      <c r="LF16" s="528">
        <v>11.239100000000001</v>
      </c>
      <c r="LG16" s="509">
        <v>10</v>
      </c>
      <c r="LH16" s="529"/>
      <c r="LI16" s="529"/>
      <c r="LJ16" s="509">
        <v>10</v>
      </c>
      <c r="LK16" s="528">
        <v>9.1677999999999997</v>
      </c>
      <c r="LL16" s="528">
        <v>9.1380999999999997</v>
      </c>
      <c r="LM16" s="528">
        <v>9.0753000000000004</v>
      </c>
      <c r="LN16" s="528">
        <v>9.0216999999999992</v>
      </c>
      <c r="LO16" s="528">
        <v>9.4169999999999998</v>
      </c>
      <c r="LP16" s="528">
        <v>9.7759999999999998</v>
      </c>
      <c r="LQ16" s="528">
        <v>9.9222999999999999</v>
      </c>
      <c r="LR16" s="528">
        <v>9.7334999999999994</v>
      </c>
      <c r="LS16" s="528">
        <v>9.9620999999999995</v>
      </c>
      <c r="LT16" s="528">
        <v>10.157500000000001</v>
      </c>
      <c r="LU16" s="528">
        <v>10.242800000000001</v>
      </c>
      <c r="LV16" s="528">
        <v>10.272399999999999</v>
      </c>
      <c r="LW16" s="509">
        <v>10</v>
      </c>
      <c r="LX16" s="529"/>
      <c r="LY16" s="529"/>
      <c r="LZ16" s="509">
        <v>10</v>
      </c>
      <c r="MA16" s="528">
        <v>9.69</v>
      </c>
      <c r="MB16" s="528">
        <v>9.6463999999999999</v>
      </c>
      <c r="MC16" s="528">
        <v>9.6468000000000007</v>
      </c>
      <c r="MD16" s="528">
        <v>9.4059000000000008</v>
      </c>
      <c r="ME16" s="528">
        <v>9.2048000000000005</v>
      </c>
      <c r="MF16" s="528">
        <v>9.1234999999999999</v>
      </c>
      <c r="MG16" s="528">
        <v>9.1502999999999997</v>
      </c>
      <c r="MH16" s="528">
        <v>9.0958000000000006</v>
      </c>
      <c r="MI16" s="528">
        <v>9.2897999999999996</v>
      </c>
      <c r="MJ16" s="528">
        <v>9.5665999999999993</v>
      </c>
      <c r="MK16" s="528">
        <v>9.2114999999999991</v>
      </c>
      <c r="ML16" s="528">
        <v>9.2401</v>
      </c>
      <c r="MM16" s="509">
        <v>10</v>
      </c>
      <c r="MN16" s="529"/>
      <c r="MO16" s="529"/>
      <c r="MP16" s="509">
        <v>10</v>
      </c>
      <c r="MQ16" s="528">
        <v>9.5704999999999991</v>
      </c>
      <c r="MR16" s="528">
        <v>9.4017999999999997</v>
      </c>
      <c r="MS16" s="528">
        <v>9.2661999999999995</v>
      </c>
      <c r="MT16" s="528">
        <v>9.3535000000000004</v>
      </c>
      <c r="MU16" s="528">
        <v>9.4917999999999996</v>
      </c>
      <c r="MV16" s="528">
        <v>9.8519000000000005</v>
      </c>
      <c r="MW16" s="528">
        <v>9.5459999999999994</v>
      </c>
      <c r="MX16" s="528">
        <v>9.3353000000000002</v>
      </c>
      <c r="MY16" s="528">
        <v>9.3140999999999998</v>
      </c>
      <c r="MZ16" s="528">
        <v>9.4600000000000009</v>
      </c>
      <c r="NA16" s="528">
        <v>9.6166</v>
      </c>
      <c r="NB16" s="528">
        <v>9.4262999999999995</v>
      </c>
      <c r="NC16" s="509">
        <v>10</v>
      </c>
      <c r="ND16" s="529"/>
      <c r="NE16" s="529"/>
      <c r="NF16" s="509">
        <v>10</v>
      </c>
      <c r="NG16" s="528">
        <v>9.8527000000000005</v>
      </c>
      <c r="NH16" s="528">
        <v>10.082100000000001</v>
      </c>
      <c r="NI16" s="528">
        <v>9.8434000000000008</v>
      </c>
      <c r="NJ16" s="528">
        <v>9.4771000000000001</v>
      </c>
      <c r="NK16" s="528">
        <v>9.3330000000000002</v>
      </c>
      <c r="NL16" s="528">
        <v>9.4878999999999998</v>
      </c>
      <c r="NM16" s="528">
        <v>9.3302999999999994</v>
      </c>
      <c r="NN16" s="528">
        <v>9.4962</v>
      </c>
      <c r="NO16" s="528">
        <v>9.3577999999999992</v>
      </c>
      <c r="NP16" s="528">
        <v>9.4597999999999995</v>
      </c>
      <c r="NQ16" s="528">
        <v>9.4571000000000005</v>
      </c>
      <c r="NR16" s="528">
        <v>9.4755000000000003</v>
      </c>
      <c r="NS16" s="509">
        <v>10</v>
      </c>
      <c r="NT16" s="529"/>
      <c r="NU16" s="529"/>
      <c r="NV16" s="509">
        <v>10</v>
      </c>
      <c r="NW16" s="528">
        <v>8.0775000000000006</v>
      </c>
      <c r="NX16" s="528">
        <v>8.4222000000000001</v>
      </c>
      <c r="NY16" s="528">
        <v>8.5977999999999994</v>
      </c>
      <c r="NZ16" s="528">
        <v>8.5274000000000001</v>
      </c>
      <c r="OA16" s="528">
        <v>8.5007000000000001</v>
      </c>
      <c r="OB16" s="528">
        <v>8.8252000000000006</v>
      </c>
      <c r="OC16" s="528">
        <v>8.9242000000000008</v>
      </c>
      <c r="OD16" s="528">
        <v>9.0254999999999992</v>
      </c>
      <c r="OE16" s="528">
        <v>10.2742</v>
      </c>
      <c r="OF16" s="528">
        <v>10.354900000000001</v>
      </c>
      <c r="OG16" s="528">
        <v>9.9717000000000002</v>
      </c>
      <c r="OH16" s="528">
        <v>9.9422999999999995</v>
      </c>
      <c r="OI16" s="509">
        <v>10</v>
      </c>
      <c r="OJ16" s="529"/>
      <c r="OK16" s="529"/>
      <c r="OL16" s="509">
        <v>10</v>
      </c>
      <c r="OM16" s="528">
        <v>7.8174000000000001</v>
      </c>
      <c r="ON16" s="528">
        <v>7.8281999999999998</v>
      </c>
      <c r="OO16" s="528">
        <v>8.0091999999999999</v>
      </c>
      <c r="OP16" s="528">
        <v>7.8851000000000004</v>
      </c>
      <c r="OQ16" s="528">
        <v>7.9253</v>
      </c>
      <c r="OR16" s="528">
        <v>7.9870000000000001</v>
      </c>
      <c r="OS16" s="528">
        <v>7.9146999999999998</v>
      </c>
      <c r="OT16" s="528">
        <v>7.7895000000000003</v>
      </c>
      <c r="OU16" s="528">
        <v>7.7839999999999998</v>
      </c>
      <c r="OV16" s="528">
        <v>7.7603</v>
      </c>
      <c r="OW16" s="528">
        <v>8.3650000000000002</v>
      </c>
      <c r="OX16" s="528">
        <v>8.1105</v>
      </c>
      <c r="OY16" s="509">
        <v>10</v>
      </c>
      <c r="OZ16" s="529"/>
      <c r="PA16" s="529"/>
      <c r="PB16" s="509">
        <v>10</v>
      </c>
      <c r="PC16" s="528">
        <v>7.5388000000000002</v>
      </c>
      <c r="PD16" s="528">
        <v>7.4863</v>
      </c>
      <c r="PE16" s="528">
        <v>7.5712999999999999</v>
      </c>
      <c r="PF16" s="528">
        <v>7.5724999999999998</v>
      </c>
      <c r="PG16" s="528">
        <v>7.4828000000000001</v>
      </c>
      <c r="PH16" s="528">
        <v>7.5016999999999996</v>
      </c>
      <c r="PI16" s="528">
        <v>7.6688000000000001</v>
      </c>
      <c r="PJ16" s="528">
        <v>7.5349000000000004</v>
      </c>
      <c r="PK16" s="528">
        <v>7.5768000000000004</v>
      </c>
      <c r="PL16" s="528">
        <v>7.54</v>
      </c>
      <c r="PM16" s="528">
        <v>7.9527000000000001</v>
      </c>
      <c r="PN16" s="528">
        <v>7.9260000000000002</v>
      </c>
      <c r="PO16" s="509">
        <v>10</v>
      </c>
      <c r="PP16" s="529"/>
      <c r="PQ16" s="529"/>
      <c r="PR16" s="509">
        <v>10</v>
      </c>
      <c r="PS16" s="528">
        <v>5.5949999999999998</v>
      </c>
      <c r="PT16" s="528">
        <v>5.3624999999999998</v>
      </c>
      <c r="PU16" s="528">
        <v>6.8224999999999998</v>
      </c>
      <c r="PV16" s="528">
        <v>6.3807999999999998</v>
      </c>
      <c r="PW16" s="528">
        <v>5.8417000000000003</v>
      </c>
      <c r="PX16" s="528">
        <v>6.2317</v>
      </c>
      <c r="PY16" s="528">
        <v>6.2370999999999999</v>
      </c>
      <c r="PZ16" s="528">
        <v>6.1460999999999997</v>
      </c>
      <c r="QA16" s="528">
        <v>6.2568000000000001</v>
      </c>
      <c r="QB16" s="528">
        <v>6.5404</v>
      </c>
      <c r="QC16" s="528">
        <v>7.82</v>
      </c>
      <c r="QD16" s="528">
        <v>7.7083000000000004</v>
      </c>
      <c r="QE16" s="509">
        <v>10</v>
      </c>
      <c r="QF16" s="529"/>
      <c r="QG16" s="529"/>
      <c r="QH16" s="509">
        <v>10</v>
      </c>
      <c r="QI16" s="528">
        <v>3.1057000000000001</v>
      </c>
      <c r="QJ16" s="528">
        <v>3.1057999999999999</v>
      </c>
      <c r="QK16" s="528">
        <v>3.2565</v>
      </c>
      <c r="QL16" s="528">
        <v>3.363</v>
      </c>
      <c r="QM16" s="528">
        <v>3.3222999999999998</v>
      </c>
      <c r="QN16" s="528">
        <v>3.3534999999999999</v>
      </c>
      <c r="QO16" s="528">
        <v>3.4001999999999999</v>
      </c>
      <c r="QP16" s="528">
        <v>3.387</v>
      </c>
      <c r="QQ16" s="528">
        <v>3.4014000000000002</v>
      </c>
      <c r="QR16" s="528">
        <v>3.4159000000000002</v>
      </c>
      <c r="QS16" s="528">
        <v>3.4241000000000001</v>
      </c>
      <c r="QT16" s="528">
        <v>3.4510999999999998</v>
      </c>
      <c r="QU16" s="509">
        <v>10</v>
      </c>
      <c r="QV16" s="529"/>
      <c r="QW16" s="529"/>
      <c r="QX16" s="509">
        <v>10</v>
      </c>
      <c r="QY16" s="528">
        <v>3.1063000000000001</v>
      </c>
      <c r="QZ16" s="528">
        <v>3.0981000000000001</v>
      </c>
      <c r="RA16" s="528">
        <v>3.1021000000000001</v>
      </c>
      <c r="RB16" s="528">
        <v>3.0939999999999999</v>
      </c>
      <c r="RC16" s="528">
        <v>3.1328999999999998</v>
      </c>
      <c r="RD16" s="528">
        <v>3.1320999999999999</v>
      </c>
      <c r="RE16" s="528">
        <v>3.1261000000000001</v>
      </c>
      <c r="RF16" s="528">
        <v>3.1137000000000001</v>
      </c>
      <c r="RG16" s="528">
        <v>3.1124000000000001</v>
      </c>
      <c r="RH16" s="528">
        <v>3.1156000000000001</v>
      </c>
      <c r="RI16" s="528">
        <v>3.1520000000000001</v>
      </c>
      <c r="RJ16" s="528">
        <v>3.1046999999999998</v>
      </c>
      <c r="RK16" s="509">
        <v>10</v>
      </c>
      <c r="RL16" s="529"/>
      <c r="RM16" s="529"/>
      <c r="RN16" s="509">
        <v>10</v>
      </c>
      <c r="RO16" s="528">
        <v>3.0663</v>
      </c>
      <c r="RP16" s="528">
        <v>3.0648</v>
      </c>
      <c r="RQ16" s="528">
        <v>3.0608</v>
      </c>
      <c r="RR16" s="528">
        <v>3.0655999999999999</v>
      </c>
      <c r="RS16" s="528">
        <v>3.1</v>
      </c>
      <c r="RT16" s="528">
        <v>3.1145999999999998</v>
      </c>
      <c r="RU16" s="528">
        <v>3.117</v>
      </c>
      <c r="RV16" s="528">
        <v>3.1021000000000001</v>
      </c>
      <c r="RW16" s="528">
        <v>3.0636000000000001</v>
      </c>
      <c r="RX16" s="528">
        <v>3.1151</v>
      </c>
      <c r="RY16" s="528">
        <v>3.1187999999999998</v>
      </c>
      <c r="RZ16" s="528">
        <v>3.1132</v>
      </c>
      <c r="SA16" s="509">
        <v>10</v>
      </c>
      <c r="SB16" s="529"/>
      <c r="SC16" s="529"/>
      <c r="SD16" s="509">
        <v>10</v>
      </c>
      <c r="SE16" s="528">
        <v>2.9498000000000002</v>
      </c>
      <c r="SF16" s="528">
        <v>2.9618000000000002</v>
      </c>
      <c r="SG16" s="528">
        <v>2.9729999999999999</v>
      </c>
      <c r="SH16" s="528">
        <v>2.9857999999999998</v>
      </c>
      <c r="SI16" s="528">
        <v>2.9977999999999998</v>
      </c>
      <c r="SJ16" s="528">
        <v>3.0093999999999999</v>
      </c>
      <c r="SK16" s="528">
        <v>3.0222000000000002</v>
      </c>
      <c r="SL16" s="528">
        <v>3.0346000000000002</v>
      </c>
      <c r="SM16" s="528">
        <v>3.0461999999999998</v>
      </c>
      <c r="SN16" s="528">
        <v>3.0598000000000001</v>
      </c>
      <c r="SO16" s="528">
        <v>3.0726</v>
      </c>
      <c r="SP16" s="528">
        <v>3.0643099999999999</v>
      </c>
      <c r="SQ16" s="509">
        <v>10</v>
      </c>
      <c r="SR16" s="529"/>
      <c r="SS16" s="529"/>
      <c r="ST16" s="509">
        <v>10</v>
      </c>
      <c r="SU16" s="528">
        <v>2.6520000000000001</v>
      </c>
      <c r="SV16" s="528">
        <v>2.6829999999999998</v>
      </c>
      <c r="SW16" s="528">
        <v>2.7109999999999999</v>
      </c>
      <c r="SX16" s="528">
        <v>2.74</v>
      </c>
      <c r="SY16" s="528">
        <v>2.7719999999999998</v>
      </c>
      <c r="SZ16" s="528">
        <v>2.8001999999999998</v>
      </c>
      <c r="TA16" s="528">
        <v>2.8233999999999999</v>
      </c>
      <c r="TB16" s="528">
        <v>2.8498000000000001</v>
      </c>
      <c r="TC16" s="528">
        <v>2.8730000000000002</v>
      </c>
      <c r="TD16" s="528">
        <v>2.8986000000000001</v>
      </c>
      <c r="TE16" s="528">
        <v>2.9234</v>
      </c>
      <c r="TF16" s="528">
        <v>2.9365999999999999</v>
      </c>
      <c r="TG16" s="509">
        <v>10</v>
      </c>
      <c r="TH16" s="529"/>
      <c r="TI16" s="529"/>
      <c r="TJ16" s="509">
        <v>10</v>
      </c>
      <c r="TK16" s="528">
        <v>2.2850000000000001</v>
      </c>
      <c r="TL16" s="528">
        <v>2.3180000000000001</v>
      </c>
      <c r="TM16" s="528">
        <v>2.3460000000000001</v>
      </c>
      <c r="TN16" s="528">
        <v>2.375</v>
      </c>
      <c r="TO16" s="528">
        <v>2.407</v>
      </c>
      <c r="TP16" s="528">
        <v>2.4380000000000002</v>
      </c>
      <c r="TQ16" s="528">
        <v>2.4660000000000002</v>
      </c>
      <c r="TR16" s="528">
        <v>2.4990000000000001</v>
      </c>
      <c r="TS16" s="528">
        <v>2.5289999999999999</v>
      </c>
      <c r="TT16" s="528">
        <v>2.5579999999999998</v>
      </c>
      <c r="TU16" s="528">
        <v>2.5910000000000002</v>
      </c>
      <c r="TV16" s="528">
        <v>2.62</v>
      </c>
      <c r="TW16" s="509">
        <v>10</v>
      </c>
    </row>
    <row r="17" spans="2:543" s="4" customFormat="1" ht="23" customHeight="1">
      <c r="B17" s="509">
        <v>11</v>
      </c>
      <c r="C17" s="541">
        <v>20.4237</v>
      </c>
      <c r="D17" s="541">
        <v>20.500800000000002</v>
      </c>
      <c r="E17" s="541">
        <v>20.967700000000001</v>
      </c>
      <c r="F17" s="541">
        <v>20.160499999999999</v>
      </c>
      <c r="G17" s="541">
        <v>20.3172</v>
      </c>
      <c r="H17" s="541">
        <v>19.6128</v>
      </c>
      <c r="I17" s="541">
        <v>20.6022</v>
      </c>
      <c r="J17" s="541">
        <v>20.2715</v>
      </c>
      <c r="K17" s="541">
        <v>20.020299999999999</v>
      </c>
      <c r="L17" s="541">
        <v>20.0502</v>
      </c>
      <c r="M17" s="541">
        <v>19.588699999999999</v>
      </c>
      <c r="N17" s="541">
        <v>19.673200000000001</v>
      </c>
      <c r="O17" s="509">
        <v>11</v>
      </c>
      <c r="R17" s="509">
        <v>11</v>
      </c>
      <c r="S17" s="541">
        <v>19.91</v>
      </c>
      <c r="T17" s="541">
        <v>20.0913</v>
      </c>
      <c r="U17" s="541">
        <v>21.2575</v>
      </c>
      <c r="V17" s="541">
        <v>20.088999999999999</v>
      </c>
      <c r="W17" s="541">
        <v>19.9223</v>
      </c>
      <c r="X17" s="541">
        <v>19.689699999999998</v>
      </c>
      <c r="Y17" s="541">
        <v>20.007000000000001</v>
      </c>
      <c r="Z17" s="541">
        <v>20.064800000000002</v>
      </c>
      <c r="AA17" s="541">
        <v>19.931799999999999</v>
      </c>
      <c r="AB17" s="541">
        <v>20.603999999999999</v>
      </c>
      <c r="AC17" s="541">
        <v>20.283300000000001</v>
      </c>
      <c r="AD17" s="541">
        <v>21.032800000000002</v>
      </c>
      <c r="AE17" s="509">
        <v>11</v>
      </c>
      <c r="AH17" s="509">
        <v>11</v>
      </c>
      <c r="AI17" s="541">
        <v>18.845300000000002</v>
      </c>
      <c r="AJ17" s="541">
        <v>18.776299999999999</v>
      </c>
      <c r="AK17" s="541">
        <v>21.111699999999999</v>
      </c>
      <c r="AL17" s="541">
        <v>24.038799999999998</v>
      </c>
      <c r="AM17" s="541">
        <v>24.0563</v>
      </c>
      <c r="AN17" s="541">
        <v>21.725200000000001</v>
      </c>
      <c r="AO17" s="541">
        <v>22.694500000000001</v>
      </c>
      <c r="AP17" s="541">
        <v>22.4892</v>
      </c>
      <c r="AQ17" s="541">
        <v>21.537700000000001</v>
      </c>
      <c r="AR17" s="541">
        <v>21.431799999999999</v>
      </c>
      <c r="AS17" s="541">
        <v>20.36</v>
      </c>
      <c r="AT17" s="541">
        <v>19.8368</v>
      </c>
      <c r="AU17" s="509">
        <v>11</v>
      </c>
      <c r="AX17" s="509">
        <v>11</v>
      </c>
      <c r="AY17" s="528">
        <v>19.2456</v>
      </c>
      <c r="AZ17" s="528">
        <v>19.079999999999998</v>
      </c>
      <c r="BA17" s="528">
        <v>19.522500000000001</v>
      </c>
      <c r="BB17" s="528">
        <v>18.922899999999998</v>
      </c>
      <c r="BC17" s="528">
        <v>19.2623</v>
      </c>
      <c r="BD17" s="528">
        <v>19.652799999999999</v>
      </c>
      <c r="BE17" s="528">
        <v>19.004300000000001</v>
      </c>
      <c r="BF17" s="528">
        <v>19.511800000000001</v>
      </c>
      <c r="BG17" s="528">
        <v>19.5398</v>
      </c>
      <c r="BH17" s="528">
        <v>19.568899999999999</v>
      </c>
      <c r="BI17" s="528">
        <v>19.1327</v>
      </c>
      <c r="BJ17" s="528">
        <v>19.2302</v>
      </c>
      <c r="BK17" s="509">
        <v>11</v>
      </c>
      <c r="BN17" s="509">
        <v>11</v>
      </c>
      <c r="BO17" s="528">
        <v>19.3065</v>
      </c>
      <c r="BP17" s="528">
        <v>18.881499999999999</v>
      </c>
      <c r="BQ17" s="530">
        <v>18.7148</v>
      </c>
      <c r="BR17" s="528">
        <v>18.275300000000001</v>
      </c>
      <c r="BS17" s="528">
        <v>19.538699999999999</v>
      </c>
      <c r="BT17" s="528">
        <v>20.46</v>
      </c>
      <c r="BU17" s="528">
        <v>19.156300000000002</v>
      </c>
      <c r="BV17" s="528">
        <v>18.6511</v>
      </c>
      <c r="BW17" s="528">
        <v>19.2394</v>
      </c>
      <c r="BX17" s="528">
        <v>19</v>
      </c>
      <c r="BY17" s="528">
        <v>20.043800000000001</v>
      </c>
      <c r="BZ17" s="528">
        <v>20.260899999999999</v>
      </c>
      <c r="CA17" s="509">
        <v>11</v>
      </c>
      <c r="CD17" s="509">
        <v>11</v>
      </c>
      <c r="CE17" s="528">
        <v>21.321899999999999</v>
      </c>
      <c r="CF17" s="528">
        <v>20.4163</v>
      </c>
      <c r="CG17" s="528">
        <v>19.7974</v>
      </c>
      <c r="CH17" s="528">
        <v>18.655999999999999</v>
      </c>
      <c r="CI17" s="528">
        <v>19.136399999999998</v>
      </c>
      <c r="CJ17" s="528">
        <v>18.194600000000001</v>
      </c>
      <c r="CK17" s="528">
        <v>18.139399999999998</v>
      </c>
      <c r="CL17" s="528">
        <v>17.967099999999999</v>
      </c>
      <c r="CM17" s="528">
        <v>17.6965</v>
      </c>
      <c r="CN17" s="528">
        <v>18.6646</v>
      </c>
      <c r="CO17" s="528">
        <v>19.09</v>
      </c>
      <c r="CP17" s="528">
        <v>18.9315</v>
      </c>
      <c r="CQ17" s="509">
        <v>11</v>
      </c>
      <c r="CT17" s="509">
        <v>11</v>
      </c>
      <c r="CU17" s="528">
        <v>17.6568</v>
      </c>
      <c r="CV17" s="528">
        <v>18.7818</v>
      </c>
      <c r="CW17" s="528">
        <v>17.752300000000002</v>
      </c>
      <c r="CX17" s="528">
        <v>17.893000000000001</v>
      </c>
      <c r="CY17" s="528">
        <v>18.103300000000001</v>
      </c>
      <c r="CZ17" s="528">
        <v>18.2742</v>
      </c>
      <c r="DA17" s="528">
        <v>18.860700000000001</v>
      </c>
      <c r="DB17" s="528">
        <v>18.3842</v>
      </c>
      <c r="DC17" s="528">
        <v>18.5427</v>
      </c>
      <c r="DD17" s="528">
        <v>19.299399999999999</v>
      </c>
      <c r="DE17" s="528">
        <v>19.925000000000001</v>
      </c>
      <c r="DF17" s="528">
        <v>20.4162</v>
      </c>
      <c r="DG17" s="509">
        <v>11</v>
      </c>
      <c r="DJ17" s="509">
        <v>11</v>
      </c>
      <c r="DK17" s="528">
        <v>14.6274</v>
      </c>
      <c r="DL17" s="528">
        <v>14.801399999999999</v>
      </c>
      <c r="DM17" s="528">
        <v>15.4544</v>
      </c>
      <c r="DN17" s="528">
        <v>15.055400000000001</v>
      </c>
      <c r="DO17" s="528">
        <v>15.339700000000001</v>
      </c>
      <c r="DP17" s="528">
        <v>15.564500000000001</v>
      </c>
      <c r="DQ17" s="528">
        <v>15.817399999999999</v>
      </c>
      <c r="DR17" s="528">
        <v>16.1645</v>
      </c>
      <c r="DS17" s="528">
        <v>16.7773</v>
      </c>
      <c r="DT17" s="528">
        <v>16.5762</v>
      </c>
      <c r="DU17" s="528">
        <v>16.87</v>
      </c>
      <c r="DV17" s="528">
        <v>17.015999999999998</v>
      </c>
      <c r="DW17" s="509">
        <v>11</v>
      </c>
      <c r="DZ17" s="509">
        <v>11</v>
      </c>
      <c r="EA17" s="528">
        <v>13.1403</v>
      </c>
      <c r="EB17" s="528">
        <v>13.3285</v>
      </c>
      <c r="EC17" s="528">
        <v>13.179500000000001</v>
      </c>
      <c r="ED17" s="528">
        <v>13.0604</v>
      </c>
      <c r="EE17" s="528">
        <v>12.947699999999999</v>
      </c>
      <c r="EF17" s="528">
        <v>12.991199999999999</v>
      </c>
      <c r="EG17" s="528">
        <v>12.978</v>
      </c>
      <c r="EH17" s="528">
        <v>13.255100000000001</v>
      </c>
      <c r="EI17" s="528">
        <v>13.216200000000001</v>
      </c>
      <c r="EJ17" s="528">
        <v>13.3789</v>
      </c>
      <c r="EK17" s="528">
        <v>13.5573</v>
      </c>
      <c r="EL17" s="528">
        <v>14.3674</v>
      </c>
      <c r="EM17" s="509">
        <v>11</v>
      </c>
      <c r="EP17" s="509">
        <v>11</v>
      </c>
      <c r="EQ17" s="528">
        <v>12.750299999999999</v>
      </c>
      <c r="ER17" s="528">
        <v>12.7105</v>
      </c>
      <c r="ES17" s="528">
        <v>12.783899999999999</v>
      </c>
      <c r="ET17" s="528">
        <v>12.1304</v>
      </c>
      <c r="EU17" s="528">
        <v>11.980700000000001</v>
      </c>
      <c r="EV17" s="528">
        <v>12.7173</v>
      </c>
      <c r="EW17" s="528">
        <v>12.865399999999999</v>
      </c>
      <c r="EX17" s="528">
        <v>12.646000000000001</v>
      </c>
      <c r="EY17" s="528">
        <v>13.1471</v>
      </c>
      <c r="EZ17" s="528">
        <v>13.2126</v>
      </c>
      <c r="FA17" s="528">
        <v>13.1912</v>
      </c>
      <c r="FB17" s="528">
        <v>12.8612</v>
      </c>
      <c r="FC17" s="509">
        <v>11</v>
      </c>
      <c r="FF17" s="509">
        <v>11</v>
      </c>
      <c r="FG17" s="528">
        <v>13.7437</v>
      </c>
      <c r="FH17" s="528">
        <v>12.72</v>
      </c>
      <c r="FI17" s="528">
        <v>12.784000000000001</v>
      </c>
      <c r="FJ17" s="528">
        <v>12.9902</v>
      </c>
      <c r="FK17" s="528">
        <v>13.515000000000001</v>
      </c>
      <c r="FL17" s="528">
        <v>13.935499999999999</v>
      </c>
      <c r="FM17" s="528">
        <v>13.4533</v>
      </c>
      <c r="FN17" s="528">
        <v>13.1188</v>
      </c>
      <c r="FO17" s="528">
        <v>12.9976</v>
      </c>
      <c r="FP17" s="528">
        <v>12.868</v>
      </c>
      <c r="FQ17" s="528">
        <v>13.1168</v>
      </c>
      <c r="FR17" s="528">
        <v>12.8469</v>
      </c>
      <c r="FS17" s="509">
        <v>11</v>
      </c>
      <c r="FV17" s="509">
        <v>11</v>
      </c>
      <c r="FW17" s="528">
        <v>12.2369</v>
      </c>
      <c r="FX17" s="528">
        <v>12.043200000000001</v>
      </c>
      <c r="FY17" s="528">
        <v>11.968</v>
      </c>
      <c r="FZ17" s="528">
        <v>11.793100000000001</v>
      </c>
      <c r="GA17" s="528">
        <v>11.641</v>
      </c>
      <c r="GB17" s="528">
        <v>11.7965</v>
      </c>
      <c r="GC17" s="528">
        <v>11.5738</v>
      </c>
      <c r="GD17" s="528">
        <v>12.371</v>
      </c>
      <c r="GE17" s="528">
        <v>12.4956</v>
      </c>
      <c r="GF17" s="528">
        <v>13.314299999999999</v>
      </c>
      <c r="GG17" s="528">
        <v>13.5252</v>
      </c>
      <c r="GH17" s="528">
        <v>13.6569</v>
      </c>
      <c r="GI17" s="509">
        <v>11</v>
      </c>
      <c r="GL17" s="509">
        <v>11</v>
      </c>
      <c r="GM17" s="528">
        <v>12.7646</v>
      </c>
      <c r="GN17" s="528">
        <v>13.083600000000001</v>
      </c>
      <c r="GO17" s="528">
        <v>12.657400000000001</v>
      </c>
      <c r="GP17" s="528">
        <v>12.248799999999999</v>
      </c>
      <c r="GQ17" s="528">
        <v>12.917899999999999</v>
      </c>
      <c r="GR17" s="528">
        <v>12.8093</v>
      </c>
      <c r="GS17" s="528">
        <v>12.8232</v>
      </c>
      <c r="GT17" s="528">
        <v>12.646100000000001</v>
      </c>
      <c r="GU17" s="528">
        <v>12.985300000000001</v>
      </c>
      <c r="GV17" s="528">
        <v>12.527699999999999</v>
      </c>
      <c r="GW17" s="528">
        <v>12.206799999999999</v>
      </c>
      <c r="GX17" s="528">
        <v>12.458600000000001</v>
      </c>
      <c r="GY17" s="509">
        <v>11</v>
      </c>
      <c r="HB17" s="509">
        <v>11</v>
      </c>
      <c r="HC17" s="528">
        <v>13.5045</v>
      </c>
      <c r="HD17" s="528">
        <v>14.139200000000001</v>
      </c>
      <c r="HE17" s="528">
        <v>15.351699999999999</v>
      </c>
      <c r="HF17" s="528">
        <v>13.571199999999999</v>
      </c>
      <c r="HG17" s="528">
        <v>13.110300000000001</v>
      </c>
      <c r="HH17" s="528">
        <v>13.4793</v>
      </c>
      <c r="HI17" s="528">
        <v>13.575799999999999</v>
      </c>
      <c r="HJ17" s="528">
        <v>12.934900000000001</v>
      </c>
      <c r="HK17" s="528">
        <v>13.392300000000001</v>
      </c>
      <c r="HL17" s="528">
        <v>13.322699999999999</v>
      </c>
      <c r="HM17" s="528">
        <v>13.2996</v>
      </c>
      <c r="HN17" s="528">
        <v>12.9862</v>
      </c>
      <c r="HO17" s="509">
        <v>11</v>
      </c>
      <c r="HP17" s="529"/>
      <c r="HQ17" s="529"/>
      <c r="HR17" s="509">
        <v>11</v>
      </c>
      <c r="HS17" s="528">
        <v>10.962</v>
      </c>
      <c r="HT17" s="528">
        <v>10.804</v>
      </c>
      <c r="HU17" s="528">
        <v>10.8383</v>
      </c>
      <c r="HV17" s="528">
        <v>10.555199999999999</v>
      </c>
      <c r="HW17" s="528">
        <v>10.5465</v>
      </c>
      <c r="HX17" s="528">
        <v>10.362</v>
      </c>
      <c r="HY17" s="528">
        <v>10.299300000000001</v>
      </c>
      <c r="HZ17" s="528">
        <v>9.9877000000000002</v>
      </c>
      <c r="IA17" s="528">
        <v>10.501300000000001</v>
      </c>
      <c r="IB17" s="528">
        <v>12.443300000000001</v>
      </c>
      <c r="IC17" s="528">
        <v>12.8392</v>
      </c>
      <c r="ID17" s="528">
        <v>13.492100000000001</v>
      </c>
      <c r="IE17" s="509">
        <v>11</v>
      </c>
      <c r="IF17" s="529"/>
      <c r="IG17" s="529"/>
      <c r="IH17" s="509">
        <v>11</v>
      </c>
      <c r="II17" s="528">
        <v>11.0091</v>
      </c>
      <c r="IJ17" s="528">
        <v>10.968299999999999</v>
      </c>
      <c r="IK17" s="528">
        <v>11.1426</v>
      </c>
      <c r="IL17" s="528">
        <v>10.970499999999999</v>
      </c>
      <c r="IM17" s="528">
        <v>10.8269</v>
      </c>
      <c r="IN17" s="528">
        <v>10.904299999999999</v>
      </c>
      <c r="IO17" s="528">
        <v>10.7531</v>
      </c>
      <c r="IP17" s="528">
        <v>10.9832</v>
      </c>
      <c r="IQ17" s="528">
        <v>11.1227</v>
      </c>
      <c r="IR17" s="528">
        <v>10.837899999999999</v>
      </c>
      <c r="IS17" s="528">
        <v>10.8108</v>
      </c>
      <c r="IT17" s="528">
        <v>10.812799999999999</v>
      </c>
      <c r="IU17" s="509">
        <v>11</v>
      </c>
      <c r="IV17" s="529"/>
      <c r="IW17" s="529"/>
      <c r="IX17" s="509">
        <v>11</v>
      </c>
      <c r="IY17" s="528">
        <v>10.544600000000001</v>
      </c>
      <c r="IZ17" s="528">
        <v>10.4803</v>
      </c>
      <c r="JA17" s="528">
        <v>10.7094</v>
      </c>
      <c r="JB17" s="528">
        <v>11.144299999999999</v>
      </c>
      <c r="JC17" s="528">
        <v>10.925800000000001</v>
      </c>
      <c r="JD17" s="528">
        <v>11.419</v>
      </c>
      <c r="JE17" s="528">
        <v>11.0243</v>
      </c>
      <c r="JF17" s="528">
        <v>10.8386</v>
      </c>
      <c r="JG17" s="528">
        <v>11.019600000000001</v>
      </c>
      <c r="JH17" s="528">
        <v>11.084199999999999</v>
      </c>
      <c r="JI17" s="528">
        <v>10.863200000000001</v>
      </c>
      <c r="JJ17" s="528">
        <v>10.8558</v>
      </c>
      <c r="JK17" s="509">
        <v>11</v>
      </c>
      <c r="JL17" s="529"/>
      <c r="JM17" s="529"/>
      <c r="JN17" s="509">
        <v>11</v>
      </c>
      <c r="JO17" s="528">
        <v>11.3643</v>
      </c>
      <c r="JP17" s="528">
        <v>11.1919</v>
      </c>
      <c r="JQ17" s="528">
        <v>11.0181</v>
      </c>
      <c r="JR17" s="528">
        <v>11.1945</v>
      </c>
      <c r="JS17" s="528">
        <v>10.9693</v>
      </c>
      <c r="JT17" s="528">
        <v>10.886799999999999</v>
      </c>
      <c r="JU17" s="528">
        <v>10.7997</v>
      </c>
      <c r="JV17" s="528">
        <v>10.638299999999999</v>
      </c>
      <c r="JW17" s="528">
        <v>10.7126</v>
      </c>
      <c r="JX17" s="528">
        <v>10.794</v>
      </c>
      <c r="JY17" s="528">
        <v>10.7104</v>
      </c>
      <c r="JZ17" s="528">
        <v>10.502000000000001</v>
      </c>
      <c r="KA17" s="509">
        <v>11</v>
      </c>
      <c r="KB17" s="529"/>
      <c r="KC17" s="529"/>
      <c r="KD17" s="509">
        <v>11</v>
      </c>
      <c r="KE17" s="528">
        <v>10.8847</v>
      </c>
      <c r="KF17" s="528">
        <v>11.103899999999999</v>
      </c>
      <c r="KG17" s="528">
        <v>10.9695</v>
      </c>
      <c r="KH17" s="528">
        <v>11.1631</v>
      </c>
      <c r="KI17" s="528">
        <v>11.527200000000001</v>
      </c>
      <c r="KJ17" s="528">
        <v>11.380800000000001</v>
      </c>
      <c r="KK17" s="528">
        <v>11.531499999999999</v>
      </c>
      <c r="KL17" s="528">
        <v>11.377599999999999</v>
      </c>
      <c r="KM17" s="528">
        <v>11.5717</v>
      </c>
      <c r="KN17" s="528">
        <v>11.2874</v>
      </c>
      <c r="KO17" s="528">
        <v>11.4465</v>
      </c>
      <c r="KP17" s="528">
        <v>11.291</v>
      </c>
      <c r="KQ17" s="509">
        <v>11</v>
      </c>
      <c r="KR17" s="529"/>
      <c r="KS17" s="529"/>
      <c r="KT17" s="509">
        <v>11</v>
      </c>
      <c r="KU17" s="528">
        <v>10.411199999999999</v>
      </c>
      <c r="KV17" s="528">
        <v>10.8979</v>
      </c>
      <c r="KW17" s="528">
        <v>11.106400000000001</v>
      </c>
      <c r="KX17" s="528">
        <v>10.754099999999999</v>
      </c>
      <c r="KY17" s="528">
        <v>10.17</v>
      </c>
      <c r="KZ17" s="528">
        <v>10.7431</v>
      </c>
      <c r="LA17" s="528">
        <v>10.4795</v>
      </c>
      <c r="LB17" s="528">
        <v>10.700100000000001</v>
      </c>
      <c r="LC17" s="528">
        <v>11.023300000000001</v>
      </c>
      <c r="LD17" s="528">
        <v>11.2356</v>
      </c>
      <c r="LE17" s="528">
        <v>10.9688</v>
      </c>
      <c r="LF17" s="528">
        <v>11.163500000000001</v>
      </c>
      <c r="LG17" s="509">
        <v>11</v>
      </c>
      <c r="LH17" s="529"/>
      <c r="LI17" s="529"/>
      <c r="LJ17" s="509">
        <v>11</v>
      </c>
      <c r="LK17" s="528">
        <v>9.2043999999999997</v>
      </c>
      <c r="LL17" s="528">
        <v>9.1380999999999997</v>
      </c>
      <c r="LM17" s="528">
        <v>9.0753000000000004</v>
      </c>
      <c r="LN17" s="528">
        <v>9.0421999999999993</v>
      </c>
      <c r="LO17" s="528">
        <v>9.4463000000000008</v>
      </c>
      <c r="LP17" s="528">
        <v>9.7411999999999992</v>
      </c>
      <c r="LQ17" s="528">
        <v>9.8552</v>
      </c>
      <c r="LR17" s="528">
        <v>9.7334999999999994</v>
      </c>
      <c r="LS17" s="528">
        <v>9.9604999999999997</v>
      </c>
      <c r="LT17" s="528">
        <v>10.204800000000001</v>
      </c>
      <c r="LU17" s="528">
        <v>10.242800000000001</v>
      </c>
      <c r="LV17" s="528">
        <v>10.1852</v>
      </c>
      <c r="LW17" s="509">
        <v>11</v>
      </c>
      <c r="LX17" s="529"/>
      <c r="LY17" s="529"/>
      <c r="LZ17" s="509">
        <v>11</v>
      </c>
      <c r="MA17" s="528">
        <v>9.7416999999999998</v>
      </c>
      <c r="MB17" s="528">
        <v>9.6463999999999999</v>
      </c>
      <c r="MC17" s="528">
        <v>9.6468000000000007</v>
      </c>
      <c r="MD17" s="528">
        <v>9.3587000000000007</v>
      </c>
      <c r="ME17" s="528">
        <v>9.2159999999999993</v>
      </c>
      <c r="MF17" s="528">
        <v>9.1234999999999999</v>
      </c>
      <c r="MG17" s="528">
        <v>9.1193000000000008</v>
      </c>
      <c r="MH17" s="528">
        <v>9.0897000000000006</v>
      </c>
      <c r="MI17" s="528">
        <v>9.3241999999999994</v>
      </c>
      <c r="MJ17" s="528">
        <v>9.5162999999999993</v>
      </c>
      <c r="MK17" s="528">
        <v>9.2114999999999991</v>
      </c>
      <c r="ML17" s="528">
        <v>9.2124000000000006</v>
      </c>
      <c r="MM17" s="509">
        <v>11</v>
      </c>
      <c r="MN17" s="529"/>
      <c r="MO17" s="529"/>
      <c r="MP17" s="509">
        <v>11</v>
      </c>
      <c r="MQ17" s="528">
        <v>9.5150000000000006</v>
      </c>
      <c r="MR17" s="528">
        <v>9.3998000000000008</v>
      </c>
      <c r="MS17" s="528">
        <v>9.2836999999999996</v>
      </c>
      <c r="MT17" s="528">
        <v>9.3217999999999996</v>
      </c>
      <c r="MU17" s="528">
        <v>9.4855</v>
      </c>
      <c r="MV17" s="528">
        <v>9.8519000000000005</v>
      </c>
      <c r="MW17" s="528">
        <v>9.5195000000000007</v>
      </c>
      <c r="MX17" s="528">
        <v>9.3260000000000005</v>
      </c>
      <c r="MY17" s="528">
        <v>9.3140999999999998</v>
      </c>
      <c r="MZ17" s="528">
        <v>9.4753000000000007</v>
      </c>
      <c r="NA17" s="528">
        <v>9.6532999999999998</v>
      </c>
      <c r="NB17" s="528">
        <v>9.4262999999999995</v>
      </c>
      <c r="NC17" s="509">
        <v>11</v>
      </c>
      <c r="ND17" s="529"/>
      <c r="NE17" s="529"/>
      <c r="NF17" s="509">
        <v>11</v>
      </c>
      <c r="NG17" s="528">
        <v>9.8527000000000005</v>
      </c>
      <c r="NH17" s="528">
        <v>10.0764</v>
      </c>
      <c r="NI17" s="528">
        <v>9.7927</v>
      </c>
      <c r="NJ17" s="528">
        <v>9.4771000000000001</v>
      </c>
      <c r="NK17" s="528">
        <v>9.3480000000000008</v>
      </c>
      <c r="NL17" s="528">
        <v>9.5816999999999997</v>
      </c>
      <c r="NM17" s="528">
        <v>9.3302999999999994</v>
      </c>
      <c r="NN17" s="528">
        <v>9.4873999999999992</v>
      </c>
      <c r="NO17" s="528">
        <v>9.3470999999999993</v>
      </c>
      <c r="NP17" s="528">
        <v>9.4597999999999995</v>
      </c>
      <c r="NQ17" s="528">
        <v>9.4158000000000008</v>
      </c>
      <c r="NR17" s="528">
        <v>9.4288000000000007</v>
      </c>
      <c r="NS17" s="509">
        <v>11</v>
      </c>
      <c r="NT17" s="529"/>
      <c r="NU17" s="529"/>
      <c r="NV17" s="509">
        <v>11</v>
      </c>
      <c r="NW17" s="528">
        <v>8.0775000000000006</v>
      </c>
      <c r="NX17" s="528">
        <v>8.4528999999999996</v>
      </c>
      <c r="NY17" s="528">
        <v>8.6273</v>
      </c>
      <c r="NZ17" s="528">
        <v>8.5274000000000001</v>
      </c>
      <c r="OA17" s="528">
        <v>8.5007000000000001</v>
      </c>
      <c r="OB17" s="528">
        <v>8.8360000000000003</v>
      </c>
      <c r="OC17" s="528">
        <v>8.9431999999999992</v>
      </c>
      <c r="OD17" s="528">
        <v>9.0187000000000008</v>
      </c>
      <c r="OE17" s="528">
        <v>10.3499</v>
      </c>
      <c r="OF17" s="528">
        <v>10.354900000000001</v>
      </c>
      <c r="OG17" s="528">
        <v>10.0015</v>
      </c>
      <c r="OH17" s="528">
        <v>9.9517000000000007</v>
      </c>
      <c r="OI17" s="509">
        <v>11</v>
      </c>
      <c r="OJ17" s="529"/>
      <c r="OK17" s="529"/>
      <c r="OL17" s="509">
        <v>11</v>
      </c>
      <c r="OM17" s="528">
        <v>7.8208000000000002</v>
      </c>
      <c r="ON17" s="528">
        <v>7.8048000000000002</v>
      </c>
      <c r="OO17" s="528">
        <v>8.0152000000000001</v>
      </c>
      <c r="OP17" s="528">
        <v>7.8913000000000002</v>
      </c>
      <c r="OQ17" s="528">
        <v>7.9253</v>
      </c>
      <c r="OR17" s="528">
        <v>7.9878</v>
      </c>
      <c r="OS17" s="528">
        <v>7.8952999999999998</v>
      </c>
      <c r="OT17" s="528">
        <v>7.7895000000000003</v>
      </c>
      <c r="OU17" s="528">
        <v>7.7790999999999997</v>
      </c>
      <c r="OV17" s="528">
        <v>7.77</v>
      </c>
      <c r="OW17" s="528">
        <v>8.3766999999999996</v>
      </c>
      <c r="OX17" s="528">
        <v>8.1148000000000007</v>
      </c>
      <c r="OY17" s="509">
        <v>11</v>
      </c>
      <c r="OZ17" s="529"/>
      <c r="PA17" s="529"/>
      <c r="PB17" s="509">
        <v>11</v>
      </c>
      <c r="PC17" s="528">
        <v>7.4779</v>
      </c>
      <c r="PD17" s="528">
        <v>7.4863</v>
      </c>
      <c r="PE17" s="528">
        <v>7.5712999999999999</v>
      </c>
      <c r="PF17" s="528">
        <v>7.5366</v>
      </c>
      <c r="PG17" s="528">
        <v>7.4762000000000004</v>
      </c>
      <c r="PH17" s="528">
        <v>7.5278</v>
      </c>
      <c r="PI17" s="528">
        <v>7.6383000000000001</v>
      </c>
      <c r="PJ17" s="528">
        <v>7.5349000000000004</v>
      </c>
      <c r="PK17" s="528">
        <v>7.5426000000000002</v>
      </c>
      <c r="PL17" s="528">
        <v>7.5740999999999996</v>
      </c>
      <c r="PM17" s="528">
        <v>7.9527000000000001</v>
      </c>
      <c r="PN17" s="528">
        <v>7.9032</v>
      </c>
      <c r="PO17" s="509">
        <v>11</v>
      </c>
      <c r="PP17" s="529"/>
      <c r="PQ17" s="529"/>
      <c r="PR17" s="509">
        <v>11</v>
      </c>
      <c r="PS17" s="528">
        <v>5.3949999999999996</v>
      </c>
      <c r="PT17" s="528">
        <v>5.59</v>
      </c>
      <c r="PU17" s="528">
        <v>7.5875000000000004</v>
      </c>
      <c r="PV17" s="528">
        <v>6.2933000000000003</v>
      </c>
      <c r="PW17" s="528">
        <v>5.8883000000000001</v>
      </c>
      <c r="PX17" s="528">
        <v>6.2317</v>
      </c>
      <c r="PY17" s="528">
        <v>6.165</v>
      </c>
      <c r="PZ17" s="528">
        <v>6.1384999999999996</v>
      </c>
      <c r="QA17" s="528">
        <v>6.2568000000000001</v>
      </c>
      <c r="QB17" s="528">
        <v>6.5740999999999996</v>
      </c>
      <c r="QC17" s="528">
        <v>8.1382999999999992</v>
      </c>
      <c r="QD17" s="528">
        <v>7.7083000000000004</v>
      </c>
      <c r="QE17" s="509">
        <v>11</v>
      </c>
      <c r="QF17" s="529"/>
      <c r="QG17" s="529"/>
      <c r="QH17" s="509">
        <v>11</v>
      </c>
      <c r="QI17" s="528">
        <v>3.1057000000000001</v>
      </c>
      <c r="QJ17" s="528">
        <v>3.1055000000000001</v>
      </c>
      <c r="QK17" s="528">
        <v>3.3149999999999999</v>
      </c>
      <c r="QL17" s="528">
        <v>3.363</v>
      </c>
      <c r="QM17" s="528">
        <v>3.3395999999999999</v>
      </c>
      <c r="QN17" s="528">
        <v>3.3588</v>
      </c>
      <c r="QO17" s="528">
        <v>3.4001999999999999</v>
      </c>
      <c r="QP17" s="528">
        <v>3.3881999999999999</v>
      </c>
      <c r="QQ17" s="528">
        <v>3.4014000000000002</v>
      </c>
      <c r="QR17" s="528">
        <v>3.4175</v>
      </c>
      <c r="QS17" s="528">
        <v>3.4285000000000001</v>
      </c>
      <c r="QT17" s="528">
        <v>3.4510999999999998</v>
      </c>
      <c r="QU17" s="509">
        <v>11</v>
      </c>
      <c r="QV17" s="529"/>
      <c r="QW17" s="529"/>
      <c r="QX17" s="509">
        <v>11</v>
      </c>
      <c r="QY17" s="528">
        <v>3.1063000000000001</v>
      </c>
      <c r="QZ17" s="528">
        <v>3.0977000000000001</v>
      </c>
      <c r="RA17" s="528">
        <v>3.113</v>
      </c>
      <c r="RB17" s="528">
        <v>3.0939999999999999</v>
      </c>
      <c r="RC17" s="528">
        <v>3.1335000000000002</v>
      </c>
      <c r="RD17" s="528">
        <v>3.1269</v>
      </c>
      <c r="RE17" s="528">
        <v>3.1261000000000001</v>
      </c>
      <c r="RF17" s="528">
        <v>3.11</v>
      </c>
      <c r="RG17" s="528">
        <v>3.1126999999999998</v>
      </c>
      <c r="RH17" s="528">
        <v>3.1156000000000001</v>
      </c>
      <c r="RI17" s="528">
        <v>3.2450000000000001</v>
      </c>
      <c r="RJ17" s="528">
        <v>3.1074999999999999</v>
      </c>
      <c r="RK17" s="509">
        <v>11</v>
      </c>
      <c r="RL17" s="529"/>
      <c r="RM17" s="529"/>
      <c r="RN17" s="509">
        <v>11</v>
      </c>
      <c r="RO17" s="528">
        <v>3.0661999999999998</v>
      </c>
      <c r="RP17" s="528">
        <v>3.0644999999999998</v>
      </c>
      <c r="RQ17" s="528">
        <v>3.0611999999999999</v>
      </c>
      <c r="RR17" s="528">
        <v>3.0695000000000001</v>
      </c>
      <c r="RS17" s="528">
        <v>3.1</v>
      </c>
      <c r="RT17" s="528">
        <v>3.1175999999999999</v>
      </c>
      <c r="RU17" s="528">
        <v>3.1099000000000001</v>
      </c>
      <c r="RV17" s="528">
        <v>3.1019999999999999</v>
      </c>
      <c r="RW17" s="528">
        <v>3.0630000000000002</v>
      </c>
      <c r="RX17" s="528">
        <v>3.1151</v>
      </c>
      <c r="RY17" s="528">
        <v>3.1248999999999998</v>
      </c>
      <c r="RZ17" s="528">
        <v>3.1128</v>
      </c>
      <c r="SA17" s="509">
        <v>11</v>
      </c>
      <c r="SB17" s="529"/>
      <c r="SC17" s="529"/>
      <c r="SD17" s="509">
        <v>11</v>
      </c>
      <c r="SE17" s="528">
        <v>2.9502000000000002</v>
      </c>
      <c r="SF17" s="528">
        <v>2.9618000000000002</v>
      </c>
      <c r="SG17" s="528">
        <v>2.9729999999999999</v>
      </c>
      <c r="SH17" s="528">
        <v>2.9862000000000002</v>
      </c>
      <c r="SI17" s="528">
        <v>2.9982000000000002</v>
      </c>
      <c r="SJ17" s="528">
        <v>3.0097999999999998</v>
      </c>
      <c r="SK17" s="528">
        <v>3.0226000000000002</v>
      </c>
      <c r="SL17" s="528">
        <v>3.0346000000000002</v>
      </c>
      <c r="SM17" s="528">
        <v>3.0474000000000001</v>
      </c>
      <c r="SN17" s="528">
        <v>3.0602</v>
      </c>
      <c r="SO17" s="528">
        <v>3.0726</v>
      </c>
      <c r="SP17" s="528">
        <v>3.0624799999999999</v>
      </c>
      <c r="SQ17" s="509">
        <v>11</v>
      </c>
      <c r="SR17" s="529"/>
      <c r="SS17" s="529"/>
      <c r="ST17" s="509">
        <v>11</v>
      </c>
      <c r="SU17" s="528">
        <v>2.653</v>
      </c>
      <c r="SV17" s="528">
        <v>2.6829999999999998</v>
      </c>
      <c r="SW17" s="528">
        <v>2.7109999999999999</v>
      </c>
      <c r="SX17" s="528">
        <v>2.7429999999999999</v>
      </c>
      <c r="SY17" s="528">
        <v>2.7730000000000001</v>
      </c>
      <c r="SZ17" s="528">
        <v>2.8001999999999998</v>
      </c>
      <c r="TA17" s="528">
        <v>2.8258000000000001</v>
      </c>
      <c r="TB17" s="528">
        <v>2.8506</v>
      </c>
      <c r="TC17" s="528">
        <v>2.8738000000000001</v>
      </c>
      <c r="TD17" s="528">
        <v>2.8994</v>
      </c>
      <c r="TE17" s="528">
        <v>2.9234</v>
      </c>
      <c r="TF17" s="528">
        <v>2.9369999999999998</v>
      </c>
      <c r="TG17" s="509">
        <v>11</v>
      </c>
      <c r="TH17" s="529"/>
      <c r="TI17" s="529"/>
      <c r="TJ17" s="509">
        <v>11</v>
      </c>
      <c r="TK17" s="528">
        <v>2.2879999999999998</v>
      </c>
      <c r="TL17" s="528">
        <v>2.319</v>
      </c>
      <c r="TM17" s="528">
        <v>2.347</v>
      </c>
      <c r="TN17" s="528">
        <v>2.3759999999999999</v>
      </c>
      <c r="TO17" s="528">
        <v>2.4079999999999999</v>
      </c>
      <c r="TP17" s="528">
        <v>2.4380000000000002</v>
      </c>
      <c r="TQ17" s="528">
        <v>2.4670000000000001</v>
      </c>
      <c r="TR17" s="528">
        <v>2.5</v>
      </c>
      <c r="TS17" s="528">
        <v>2.5289999999999999</v>
      </c>
      <c r="TT17" s="528">
        <v>2.5609999999999999</v>
      </c>
      <c r="TU17" s="528">
        <v>2.5920000000000001</v>
      </c>
      <c r="TV17" s="528">
        <v>2.62</v>
      </c>
      <c r="TW17" s="509">
        <v>11</v>
      </c>
    </row>
    <row r="18" spans="2:543" s="4" customFormat="1" ht="23" customHeight="1">
      <c r="B18" s="509">
        <v>12</v>
      </c>
      <c r="C18" s="541">
        <v>20.4453</v>
      </c>
      <c r="D18" s="541">
        <v>20.4148</v>
      </c>
      <c r="E18" s="541">
        <v>20.974299999999999</v>
      </c>
      <c r="F18" s="541">
        <v>20.12</v>
      </c>
      <c r="G18" s="541">
        <v>20.372</v>
      </c>
      <c r="H18" s="541">
        <v>19.6128</v>
      </c>
      <c r="I18" s="541">
        <v>20.442299999999999</v>
      </c>
      <c r="J18" s="541">
        <v>19.956199999999999</v>
      </c>
      <c r="K18" s="541">
        <v>20.020299999999999</v>
      </c>
      <c r="L18" s="541">
        <v>19.975200000000001</v>
      </c>
      <c r="M18" s="541">
        <v>19.393999999999998</v>
      </c>
      <c r="N18" s="541">
        <v>19.673200000000001</v>
      </c>
      <c r="O18" s="509">
        <v>12</v>
      </c>
      <c r="R18" s="509">
        <v>12</v>
      </c>
      <c r="S18" s="541">
        <v>19.970500000000001</v>
      </c>
      <c r="T18" s="541">
        <v>20.058800000000002</v>
      </c>
      <c r="U18" s="541">
        <v>20.985299999999999</v>
      </c>
      <c r="V18" s="541">
        <v>20.088999999999999</v>
      </c>
      <c r="W18" s="541">
        <v>19.885999999999999</v>
      </c>
      <c r="X18" s="541">
        <v>19.700199999999999</v>
      </c>
      <c r="Y18" s="541">
        <v>20.007000000000001</v>
      </c>
      <c r="Z18" s="541">
        <v>20.1038</v>
      </c>
      <c r="AA18" s="541">
        <v>19.931799999999999</v>
      </c>
      <c r="AB18" s="541">
        <v>20.729299999999999</v>
      </c>
      <c r="AC18" s="541">
        <v>20.470199999999998</v>
      </c>
      <c r="AD18" s="541">
        <v>21.032800000000002</v>
      </c>
      <c r="AE18" s="509">
        <v>12</v>
      </c>
      <c r="AH18" s="509">
        <v>12</v>
      </c>
      <c r="AI18" s="541">
        <v>18.845300000000002</v>
      </c>
      <c r="AJ18" s="541">
        <v>18.7653</v>
      </c>
      <c r="AK18" s="541">
        <v>21.026700000000002</v>
      </c>
      <c r="AL18" s="541">
        <v>24.038799999999998</v>
      </c>
      <c r="AM18" s="541">
        <v>23.680499999999999</v>
      </c>
      <c r="AN18" s="541">
        <v>21.922999999999998</v>
      </c>
      <c r="AO18" s="541">
        <v>22.694500000000001</v>
      </c>
      <c r="AP18" s="541">
        <v>22.484999999999999</v>
      </c>
      <c r="AQ18" s="541">
        <v>21.2773</v>
      </c>
      <c r="AR18" s="541">
        <v>21.431799999999999</v>
      </c>
      <c r="AS18" s="541">
        <v>20.401800000000001</v>
      </c>
      <c r="AT18" s="541">
        <v>19.9572</v>
      </c>
      <c r="AU18" s="509">
        <v>12</v>
      </c>
      <c r="AX18" s="509">
        <v>12</v>
      </c>
      <c r="AY18" s="528">
        <v>19.171399999999998</v>
      </c>
      <c r="AZ18" s="528">
        <v>19.089300000000001</v>
      </c>
      <c r="BA18" s="528">
        <v>19.490200000000002</v>
      </c>
      <c r="BB18" s="528">
        <v>18.835999999999999</v>
      </c>
      <c r="BC18" s="528">
        <v>19.2623</v>
      </c>
      <c r="BD18" s="528">
        <v>19.204000000000001</v>
      </c>
      <c r="BE18" s="528">
        <v>19.2425</v>
      </c>
      <c r="BF18" s="528">
        <v>19.511800000000001</v>
      </c>
      <c r="BG18" s="528">
        <v>19.535399999999999</v>
      </c>
      <c r="BH18" s="528">
        <v>19.476400000000002</v>
      </c>
      <c r="BI18" s="528">
        <v>19.1068</v>
      </c>
      <c r="BJ18" s="528">
        <v>19.2362</v>
      </c>
      <c r="BK18" s="509">
        <v>12</v>
      </c>
      <c r="BN18" s="509">
        <v>12</v>
      </c>
      <c r="BO18" s="528">
        <v>19.240500000000001</v>
      </c>
      <c r="BP18" s="528">
        <v>18.881499999999999</v>
      </c>
      <c r="BQ18" s="530">
        <v>18.7148</v>
      </c>
      <c r="BR18" s="528">
        <v>18.2882</v>
      </c>
      <c r="BS18" s="528">
        <v>19.2989</v>
      </c>
      <c r="BT18" s="528">
        <v>20.528099999999998</v>
      </c>
      <c r="BU18" s="528">
        <v>19.055900000000001</v>
      </c>
      <c r="BV18" s="528">
        <v>18.6511</v>
      </c>
      <c r="BW18" s="528">
        <v>19.2989</v>
      </c>
      <c r="BX18" s="528">
        <v>19.118300000000001</v>
      </c>
      <c r="BY18" s="528">
        <v>20.043800000000001</v>
      </c>
      <c r="BZ18" s="528">
        <v>20.362100000000002</v>
      </c>
      <c r="CA18" s="509">
        <v>12</v>
      </c>
      <c r="CD18" s="509">
        <v>12</v>
      </c>
      <c r="CE18" s="528">
        <v>21.616800000000001</v>
      </c>
      <c r="CF18" s="528">
        <v>20.4163</v>
      </c>
      <c r="CG18" s="528">
        <v>19.7974</v>
      </c>
      <c r="CH18" s="528">
        <v>18.692299999999999</v>
      </c>
      <c r="CI18" s="528">
        <v>18.9587</v>
      </c>
      <c r="CJ18" s="528">
        <v>18.194600000000001</v>
      </c>
      <c r="CK18" s="528">
        <v>17.975100000000001</v>
      </c>
      <c r="CL18" s="528">
        <v>17.907299999999999</v>
      </c>
      <c r="CM18" s="528">
        <v>17.7331</v>
      </c>
      <c r="CN18" s="528">
        <v>18.6327</v>
      </c>
      <c r="CO18" s="528">
        <v>19.09</v>
      </c>
      <c r="CP18" s="528">
        <v>18.944500000000001</v>
      </c>
      <c r="CQ18" s="509">
        <v>12</v>
      </c>
      <c r="CT18" s="509">
        <v>12</v>
      </c>
      <c r="CU18" s="528">
        <v>17.9283</v>
      </c>
      <c r="CV18" s="528">
        <v>18.808900000000001</v>
      </c>
      <c r="CW18" s="528">
        <v>17.860099999999999</v>
      </c>
      <c r="CX18" s="528">
        <v>17.739100000000001</v>
      </c>
      <c r="CY18" s="528">
        <v>18.020499999999998</v>
      </c>
      <c r="CZ18" s="528">
        <v>18.2742</v>
      </c>
      <c r="DA18" s="528">
        <v>18.5991</v>
      </c>
      <c r="DB18" s="528">
        <v>18.347899999999999</v>
      </c>
      <c r="DC18" s="528">
        <v>18.5427</v>
      </c>
      <c r="DD18" s="528">
        <v>18.878599999999999</v>
      </c>
      <c r="DE18" s="528">
        <v>20.481200000000001</v>
      </c>
      <c r="DF18" s="528">
        <v>20.4162</v>
      </c>
      <c r="DG18" s="509">
        <v>12</v>
      </c>
      <c r="DJ18" s="509">
        <v>12</v>
      </c>
      <c r="DK18" s="528">
        <v>14.6274</v>
      </c>
      <c r="DL18" s="528">
        <v>14.930899999999999</v>
      </c>
      <c r="DM18" s="528">
        <v>15.5837</v>
      </c>
      <c r="DN18" s="528">
        <v>15.055400000000001</v>
      </c>
      <c r="DO18" s="528">
        <v>15.1424</v>
      </c>
      <c r="DP18" s="528">
        <v>15.4779</v>
      </c>
      <c r="DQ18" s="528">
        <v>15.817399999999999</v>
      </c>
      <c r="DR18" s="528">
        <v>16.165199999999999</v>
      </c>
      <c r="DS18" s="528">
        <v>16.7773</v>
      </c>
      <c r="DT18" s="528">
        <v>16.546399999999998</v>
      </c>
      <c r="DU18" s="528">
        <v>16.765799999999999</v>
      </c>
      <c r="DV18" s="528">
        <v>17.074999999999999</v>
      </c>
      <c r="DW18" s="509">
        <v>12</v>
      </c>
      <c r="DZ18" s="509">
        <v>12</v>
      </c>
      <c r="EA18" s="528">
        <v>13.1403</v>
      </c>
      <c r="EB18" s="528">
        <v>13.3134</v>
      </c>
      <c r="EC18" s="528">
        <v>13.2248</v>
      </c>
      <c r="ED18" s="528">
        <v>13.045299999999999</v>
      </c>
      <c r="EE18" s="528">
        <v>12.947699999999999</v>
      </c>
      <c r="EF18" s="528">
        <v>13.0486</v>
      </c>
      <c r="EG18" s="528">
        <v>13.0015</v>
      </c>
      <c r="EH18" s="528">
        <v>13.236000000000001</v>
      </c>
      <c r="EI18" s="528">
        <v>13.214399999999999</v>
      </c>
      <c r="EJ18" s="528">
        <v>13.3789</v>
      </c>
      <c r="EK18" s="528">
        <v>13.5528</v>
      </c>
      <c r="EL18" s="528">
        <v>14.5181</v>
      </c>
      <c r="EM18" s="509">
        <v>12</v>
      </c>
      <c r="EP18" s="509">
        <v>12</v>
      </c>
      <c r="EQ18" s="528">
        <v>12.6555</v>
      </c>
      <c r="ER18" s="528">
        <v>12.730700000000001</v>
      </c>
      <c r="ES18" s="528">
        <v>12.6684</v>
      </c>
      <c r="ET18" s="528">
        <v>12.114000000000001</v>
      </c>
      <c r="EU18" s="528">
        <v>11.980700000000001</v>
      </c>
      <c r="EV18" s="528">
        <v>12.857200000000001</v>
      </c>
      <c r="EW18" s="528">
        <v>12.949400000000001</v>
      </c>
      <c r="EX18" s="528">
        <v>12.646000000000001</v>
      </c>
      <c r="EY18" s="528">
        <v>13.1119</v>
      </c>
      <c r="EZ18" s="528">
        <v>13.0913</v>
      </c>
      <c r="FA18" s="528">
        <v>13.241199999999999</v>
      </c>
      <c r="FB18" s="528">
        <v>12.8574</v>
      </c>
      <c r="FC18" s="509">
        <v>12</v>
      </c>
      <c r="FF18" s="509">
        <v>12</v>
      </c>
      <c r="FG18" s="528">
        <v>13.6204</v>
      </c>
      <c r="FH18" s="528">
        <v>12.72</v>
      </c>
      <c r="FI18" s="528">
        <v>12.784000000000001</v>
      </c>
      <c r="FJ18" s="528">
        <v>13.1568</v>
      </c>
      <c r="FK18" s="528">
        <v>13.446999999999999</v>
      </c>
      <c r="FL18" s="528">
        <v>14.0351</v>
      </c>
      <c r="FM18" s="528">
        <v>13.292400000000001</v>
      </c>
      <c r="FN18" s="528">
        <v>13.1188</v>
      </c>
      <c r="FO18" s="528">
        <v>12.992100000000001</v>
      </c>
      <c r="FP18" s="528">
        <v>12.911899999999999</v>
      </c>
      <c r="FQ18" s="528">
        <v>13.1168</v>
      </c>
      <c r="FR18" s="528">
        <v>12.7964</v>
      </c>
      <c r="FS18" s="509">
        <v>12</v>
      </c>
      <c r="FV18" s="509">
        <v>12</v>
      </c>
      <c r="FW18" s="528">
        <v>12.254200000000001</v>
      </c>
      <c r="FX18" s="528">
        <v>12.0937</v>
      </c>
      <c r="FY18" s="528">
        <v>11.9755</v>
      </c>
      <c r="FZ18" s="528">
        <v>11.742100000000001</v>
      </c>
      <c r="GA18" s="528">
        <v>11.600899999999999</v>
      </c>
      <c r="GB18" s="528">
        <v>11.7965</v>
      </c>
      <c r="GC18" s="528">
        <v>11.633699999999999</v>
      </c>
      <c r="GD18" s="528">
        <v>12.322100000000001</v>
      </c>
      <c r="GE18" s="528">
        <v>12.4956</v>
      </c>
      <c r="GF18" s="528">
        <v>13.2751</v>
      </c>
      <c r="GG18" s="528">
        <v>13.562200000000001</v>
      </c>
      <c r="GH18" s="528">
        <v>13.6569</v>
      </c>
      <c r="GI18" s="509">
        <v>12</v>
      </c>
      <c r="GL18" s="509">
        <v>12</v>
      </c>
      <c r="GM18" s="528">
        <v>12.724299999999999</v>
      </c>
      <c r="GN18" s="528">
        <v>13.0601</v>
      </c>
      <c r="GO18" s="528">
        <v>12.6028</v>
      </c>
      <c r="GP18" s="528">
        <v>12.248799999999999</v>
      </c>
      <c r="GQ18" s="528">
        <v>12.5297</v>
      </c>
      <c r="GR18" s="528">
        <v>12.7441</v>
      </c>
      <c r="GS18" s="528">
        <v>12.8232</v>
      </c>
      <c r="GT18" s="528">
        <v>12.6927</v>
      </c>
      <c r="GU18" s="528">
        <v>12.985300000000001</v>
      </c>
      <c r="GV18" s="528">
        <v>12.4895</v>
      </c>
      <c r="GW18" s="528">
        <v>12.2714</v>
      </c>
      <c r="GX18" s="528">
        <v>12.458600000000001</v>
      </c>
      <c r="GY18" s="509">
        <v>12</v>
      </c>
      <c r="HB18" s="509">
        <v>12</v>
      </c>
      <c r="HC18" s="528">
        <v>13.5045</v>
      </c>
      <c r="HD18" s="528">
        <v>14.3575</v>
      </c>
      <c r="HE18" s="528">
        <v>15.3142</v>
      </c>
      <c r="HF18" s="528">
        <v>13.571199999999999</v>
      </c>
      <c r="HG18" s="528">
        <v>13.1067</v>
      </c>
      <c r="HH18" s="528">
        <v>13.650700000000001</v>
      </c>
      <c r="HI18" s="528">
        <v>13.575799999999999</v>
      </c>
      <c r="HJ18" s="528">
        <v>12.922000000000001</v>
      </c>
      <c r="HK18" s="528">
        <v>13.4582</v>
      </c>
      <c r="HL18" s="528">
        <v>13.322699999999999</v>
      </c>
      <c r="HM18" s="528">
        <v>13.2308</v>
      </c>
      <c r="HN18" s="528">
        <v>12.9739</v>
      </c>
      <c r="HO18" s="509">
        <v>12</v>
      </c>
      <c r="HP18" s="529"/>
      <c r="HQ18" s="529"/>
      <c r="HR18" s="509">
        <v>12</v>
      </c>
      <c r="HS18" s="528">
        <v>10.9572</v>
      </c>
      <c r="HT18" s="528">
        <v>10.7575</v>
      </c>
      <c r="HU18" s="528">
        <v>10.847799999999999</v>
      </c>
      <c r="HV18" s="528">
        <v>10.5503</v>
      </c>
      <c r="HW18" s="528">
        <v>10.5465</v>
      </c>
      <c r="HX18" s="528">
        <v>10.3847</v>
      </c>
      <c r="HY18" s="528">
        <v>10.307600000000001</v>
      </c>
      <c r="HZ18" s="528">
        <v>10.1305</v>
      </c>
      <c r="IA18" s="528">
        <v>10.5862</v>
      </c>
      <c r="IB18" s="528">
        <v>12.443300000000001</v>
      </c>
      <c r="IC18" s="528">
        <v>12.785</v>
      </c>
      <c r="ID18" s="528">
        <v>13.472200000000001</v>
      </c>
      <c r="IE18" s="509">
        <v>12</v>
      </c>
      <c r="IF18" s="529"/>
      <c r="IG18" s="529"/>
      <c r="IH18" s="509">
        <v>12</v>
      </c>
      <c r="II18" s="528">
        <v>11.033300000000001</v>
      </c>
      <c r="IJ18" s="528">
        <v>10.968299999999999</v>
      </c>
      <c r="IK18" s="528">
        <v>11.1426</v>
      </c>
      <c r="IL18" s="528">
        <v>11.012600000000001</v>
      </c>
      <c r="IM18" s="528">
        <v>10.8178</v>
      </c>
      <c r="IN18" s="528">
        <v>10.9702</v>
      </c>
      <c r="IO18" s="528">
        <v>10.791700000000001</v>
      </c>
      <c r="IP18" s="528">
        <v>10.9832</v>
      </c>
      <c r="IQ18" s="528">
        <v>11.140700000000001</v>
      </c>
      <c r="IR18" s="528">
        <v>10.8383</v>
      </c>
      <c r="IS18" s="528">
        <v>10.8108</v>
      </c>
      <c r="IT18" s="528">
        <v>10.8185</v>
      </c>
      <c r="IU18" s="509">
        <v>12</v>
      </c>
      <c r="IV18" s="529"/>
      <c r="IW18" s="529"/>
      <c r="IX18" s="509">
        <v>12</v>
      </c>
      <c r="IY18" s="528">
        <v>10.599</v>
      </c>
      <c r="IZ18" s="528">
        <v>10.4803</v>
      </c>
      <c r="JA18" s="528">
        <v>10.7094</v>
      </c>
      <c r="JB18" s="528">
        <v>11.095599999999999</v>
      </c>
      <c r="JC18" s="528">
        <v>10.842499999999999</v>
      </c>
      <c r="JD18" s="528">
        <v>11.419</v>
      </c>
      <c r="JE18" s="528">
        <v>10.954700000000001</v>
      </c>
      <c r="JF18" s="528">
        <v>10.880800000000001</v>
      </c>
      <c r="JG18" s="528">
        <v>11.027100000000001</v>
      </c>
      <c r="JH18" s="528">
        <v>11.059699999999999</v>
      </c>
      <c r="JI18" s="528">
        <v>10.863200000000001</v>
      </c>
      <c r="JJ18" s="528">
        <v>10.8606</v>
      </c>
      <c r="JK18" s="509">
        <v>12</v>
      </c>
      <c r="JL18" s="529"/>
      <c r="JM18" s="529"/>
      <c r="JN18" s="509">
        <v>12</v>
      </c>
      <c r="JO18" s="528">
        <v>11.2667</v>
      </c>
      <c r="JP18" s="528">
        <v>11.1533</v>
      </c>
      <c r="JQ18" s="528">
        <v>11.032400000000001</v>
      </c>
      <c r="JR18" s="528">
        <v>11.158300000000001</v>
      </c>
      <c r="JS18" s="528">
        <v>11.0082</v>
      </c>
      <c r="JT18" s="528">
        <v>10.886799999999999</v>
      </c>
      <c r="JU18" s="528">
        <v>10.742800000000001</v>
      </c>
      <c r="JV18" s="528">
        <v>10.587400000000001</v>
      </c>
      <c r="JW18" s="528">
        <v>10.7126</v>
      </c>
      <c r="JX18" s="528">
        <v>10.7965</v>
      </c>
      <c r="JY18" s="528">
        <v>10.714</v>
      </c>
      <c r="JZ18" s="528">
        <v>10.502000000000001</v>
      </c>
      <c r="KA18" s="509">
        <v>12</v>
      </c>
      <c r="KB18" s="529"/>
      <c r="KC18" s="529"/>
      <c r="KD18" s="509">
        <v>12</v>
      </c>
      <c r="KE18" s="528">
        <v>10.8847</v>
      </c>
      <c r="KF18" s="528">
        <v>11.1069</v>
      </c>
      <c r="KG18" s="528">
        <v>10.9368</v>
      </c>
      <c r="KH18" s="528">
        <v>11.1631</v>
      </c>
      <c r="KI18" s="528">
        <v>11.6328</v>
      </c>
      <c r="KJ18" s="528">
        <v>11.366</v>
      </c>
      <c r="KK18" s="528">
        <v>11.531499999999999</v>
      </c>
      <c r="KL18" s="528">
        <v>11.394299999999999</v>
      </c>
      <c r="KM18" s="528">
        <v>11.5717</v>
      </c>
      <c r="KN18" s="528">
        <v>11.240600000000001</v>
      </c>
      <c r="KO18" s="528">
        <v>11.4299</v>
      </c>
      <c r="KP18" s="528">
        <v>11.291</v>
      </c>
      <c r="KQ18" s="509">
        <v>12</v>
      </c>
      <c r="KR18" s="529"/>
      <c r="KS18" s="529"/>
      <c r="KT18" s="509">
        <v>12</v>
      </c>
      <c r="KU18" s="528">
        <v>10.411199999999999</v>
      </c>
      <c r="KV18" s="528">
        <v>10.9948</v>
      </c>
      <c r="KW18" s="528">
        <v>11.0998</v>
      </c>
      <c r="KX18" s="528">
        <v>10.7651</v>
      </c>
      <c r="KY18" s="528">
        <v>10.17</v>
      </c>
      <c r="KZ18" s="528">
        <v>10.714499999999999</v>
      </c>
      <c r="LA18" s="528">
        <v>10.4482</v>
      </c>
      <c r="LB18" s="528">
        <v>10.6623</v>
      </c>
      <c r="LC18" s="528">
        <v>10.950200000000001</v>
      </c>
      <c r="LD18" s="528">
        <v>11.2356</v>
      </c>
      <c r="LE18" s="528">
        <v>11.0097</v>
      </c>
      <c r="LF18" s="528">
        <v>11.214499999999999</v>
      </c>
      <c r="LG18" s="509">
        <v>12</v>
      </c>
      <c r="LH18" s="529"/>
      <c r="LI18" s="529"/>
      <c r="LJ18" s="509">
        <v>12</v>
      </c>
      <c r="LK18" s="528">
        <v>9.2444000000000006</v>
      </c>
      <c r="LL18" s="528">
        <v>9.1464999999999996</v>
      </c>
      <c r="LM18" s="528">
        <v>9.0728000000000009</v>
      </c>
      <c r="LN18" s="528">
        <v>9.0446000000000009</v>
      </c>
      <c r="LO18" s="528">
        <v>9.4463000000000008</v>
      </c>
      <c r="LP18" s="528">
        <v>9.6992999999999991</v>
      </c>
      <c r="LQ18" s="528">
        <v>9.8338000000000001</v>
      </c>
      <c r="LR18" s="528">
        <v>9.7334999999999994</v>
      </c>
      <c r="LS18" s="528">
        <v>9.9511000000000003</v>
      </c>
      <c r="LT18" s="528">
        <v>10.2195</v>
      </c>
      <c r="LU18" s="528">
        <v>10.295299999999999</v>
      </c>
      <c r="LV18" s="528">
        <v>10.1744</v>
      </c>
      <c r="LW18" s="509">
        <v>12</v>
      </c>
      <c r="LX18" s="529"/>
      <c r="LY18" s="529"/>
      <c r="LZ18" s="509">
        <v>12</v>
      </c>
      <c r="MA18" s="528">
        <v>9.8167000000000009</v>
      </c>
      <c r="MB18" s="528">
        <v>9.6463999999999999</v>
      </c>
      <c r="MC18" s="528">
        <v>9.6468000000000007</v>
      </c>
      <c r="MD18" s="528">
        <v>9.3093000000000004</v>
      </c>
      <c r="ME18" s="528">
        <v>9.1966999999999999</v>
      </c>
      <c r="MF18" s="528">
        <v>9.0679999999999996</v>
      </c>
      <c r="MG18" s="528">
        <v>9.1476000000000006</v>
      </c>
      <c r="MH18" s="528">
        <v>9.0897000000000006</v>
      </c>
      <c r="MI18" s="528">
        <v>9.3716000000000008</v>
      </c>
      <c r="MJ18" s="528">
        <v>9.4053000000000004</v>
      </c>
      <c r="MK18" s="528">
        <v>9.2114999999999991</v>
      </c>
      <c r="ML18" s="528">
        <v>9.1865000000000006</v>
      </c>
      <c r="MM18" s="509">
        <v>12</v>
      </c>
      <c r="MN18" s="529"/>
      <c r="MO18" s="529"/>
      <c r="MP18" s="509">
        <v>12</v>
      </c>
      <c r="MQ18" s="528">
        <v>9.4464000000000006</v>
      </c>
      <c r="MR18" s="528">
        <v>9.4347999999999992</v>
      </c>
      <c r="MS18" s="528">
        <v>9.2836999999999996</v>
      </c>
      <c r="MT18" s="528">
        <v>9.2867999999999995</v>
      </c>
      <c r="MU18" s="528">
        <v>9.5701999999999998</v>
      </c>
      <c r="MV18" s="528">
        <v>9.8519000000000005</v>
      </c>
      <c r="MW18" s="528">
        <v>9.5023</v>
      </c>
      <c r="MX18" s="528">
        <v>9.3198000000000008</v>
      </c>
      <c r="MY18" s="528">
        <v>9.3242999999999991</v>
      </c>
      <c r="MZ18" s="528">
        <v>9.4632000000000005</v>
      </c>
      <c r="NA18" s="528">
        <v>9.6532999999999998</v>
      </c>
      <c r="NB18" s="528">
        <v>9.3984000000000005</v>
      </c>
      <c r="NC18" s="509">
        <v>12</v>
      </c>
      <c r="ND18" s="529"/>
      <c r="NE18" s="529"/>
      <c r="NF18" s="509">
        <v>12</v>
      </c>
      <c r="NG18" s="528">
        <v>9.8091000000000008</v>
      </c>
      <c r="NH18" s="528">
        <v>10.060600000000001</v>
      </c>
      <c r="NI18" s="528">
        <v>9.8011999999999997</v>
      </c>
      <c r="NJ18" s="528">
        <v>9.4771000000000001</v>
      </c>
      <c r="NK18" s="528">
        <v>9.2992000000000008</v>
      </c>
      <c r="NL18" s="528">
        <v>9.5984999999999996</v>
      </c>
      <c r="NM18" s="528">
        <v>9.3302999999999994</v>
      </c>
      <c r="NN18" s="528">
        <v>9.5062999999999995</v>
      </c>
      <c r="NO18" s="528">
        <v>9.3470999999999993</v>
      </c>
      <c r="NP18" s="528">
        <v>9.4681999999999995</v>
      </c>
      <c r="NQ18" s="528">
        <v>9.4125999999999994</v>
      </c>
      <c r="NR18" s="528">
        <v>9.4288000000000007</v>
      </c>
      <c r="NS18" s="509">
        <v>12</v>
      </c>
      <c r="NT18" s="529"/>
      <c r="NU18" s="529"/>
      <c r="NV18" s="509">
        <v>12</v>
      </c>
      <c r="NW18" s="528">
        <v>8.0775000000000006</v>
      </c>
      <c r="NX18" s="528">
        <v>8.4849999999999994</v>
      </c>
      <c r="NY18" s="528">
        <v>8.6273</v>
      </c>
      <c r="NZ18" s="528">
        <v>8.5274000000000001</v>
      </c>
      <c r="OA18" s="528">
        <v>8.4833999999999996</v>
      </c>
      <c r="OB18" s="528">
        <v>8.8808000000000007</v>
      </c>
      <c r="OC18" s="528">
        <v>8.9431999999999992</v>
      </c>
      <c r="OD18" s="528">
        <v>9.1252999999999993</v>
      </c>
      <c r="OE18" s="528">
        <v>10.532500000000001</v>
      </c>
      <c r="OF18" s="528">
        <v>10.354900000000001</v>
      </c>
      <c r="OG18" s="528">
        <v>10.025600000000001</v>
      </c>
      <c r="OH18" s="528">
        <v>9.9499999999999993</v>
      </c>
      <c r="OI18" s="509">
        <v>12</v>
      </c>
      <c r="OJ18" s="529"/>
      <c r="OK18" s="529"/>
      <c r="OL18" s="509">
        <v>12</v>
      </c>
      <c r="OM18" s="528">
        <v>7.8208000000000002</v>
      </c>
      <c r="ON18" s="528">
        <v>7.7988</v>
      </c>
      <c r="OO18" s="528">
        <v>7.9589999999999996</v>
      </c>
      <c r="OP18" s="528">
        <v>7.9153000000000002</v>
      </c>
      <c r="OQ18" s="528">
        <v>7.9253</v>
      </c>
      <c r="OR18" s="528">
        <v>7.9688999999999997</v>
      </c>
      <c r="OS18" s="528">
        <v>7.8913000000000002</v>
      </c>
      <c r="OT18" s="528">
        <v>7.8262999999999998</v>
      </c>
      <c r="OU18" s="528">
        <v>7.7769000000000004</v>
      </c>
      <c r="OV18" s="528">
        <v>7.77</v>
      </c>
      <c r="OW18" s="528">
        <v>8.2627000000000006</v>
      </c>
      <c r="OX18" s="528">
        <v>8.1394000000000002</v>
      </c>
      <c r="OY18" s="509">
        <v>12</v>
      </c>
      <c r="OZ18" s="529"/>
      <c r="PA18" s="529"/>
      <c r="PB18" s="509">
        <v>12</v>
      </c>
      <c r="PC18" s="528">
        <v>7.5187999999999997</v>
      </c>
      <c r="PD18" s="528">
        <v>7.4863</v>
      </c>
      <c r="PE18" s="528">
        <v>7.5892999999999997</v>
      </c>
      <c r="PF18" s="528">
        <v>7.4950000000000001</v>
      </c>
      <c r="PG18" s="528">
        <v>7.4762000000000004</v>
      </c>
      <c r="PH18" s="528">
        <v>7.5148999999999999</v>
      </c>
      <c r="PI18" s="528">
        <v>7.6182999999999996</v>
      </c>
      <c r="PJ18" s="528">
        <v>7.5349000000000004</v>
      </c>
      <c r="PK18" s="528">
        <v>7.5385</v>
      </c>
      <c r="PL18" s="528">
        <v>7.6109</v>
      </c>
      <c r="PM18" s="528">
        <v>7.9005000000000001</v>
      </c>
      <c r="PN18" s="528">
        <v>7.8723000000000001</v>
      </c>
      <c r="PO18" s="509">
        <v>12</v>
      </c>
      <c r="PP18" s="529"/>
      <c r="PQ18" s="529"/>
      <c r="PR18" s="509">
        <v>12</v>
      </c>
      <c r="PS18" s="528">
        <v>5.78</v>
      </c>
      <c r="PT18" s="528">
        <v>5.59</v>
      </c>
      <c r="PU18" s="528">
        <v>7.5875000000000004</v>
      </c>
      <c r="PV18" s="528">
        <v>6.2916999999999996</v>
      </c>
      <c r="PW18" s="528">
        <v>5.9574999999999996</v>
      </c>
      <c r="PX18" s="528">
        <v>6.2317</v>
      </c>
      <c r="PY18" s="528">
        <v>6.1074999999999999</v>
      </c>
      <c r="PZ18" s="528">
        <v>6.1452999999999998</v>
      </c>
      <c r="QA18" s="528">
        <v>6.2754000000000003</v>
      </c>
      <c r="QB18" s="528">
        <v>6.8132999999999999</v>
      </c>
      <c r="QC18" s="528">
        <v>8.1382999999999992</v>
      </c>
      <c r="QD18" s="528">
        <v>7.79</v>
      </c>
      <c r="QE18" s="509">
        <v>12</v>
      </c>
      <c r="QF18" s="529"/>
      <c r="QG18" s="529"/>
      <c r="QH18" s="509">
        <v>12</v>
      </c>
      <c r="QI18" s="528">
        <v>3.1150000000000002</v>
      </c>
      <c r="QJ18" s="528">
        <v>3.105</v>
      </c>
      <c r="QK18" s="528">
        <v>3.2888000000000002</v>
      </c>
      <c r="QL18" s="528">
        <v>3.3641999999999999</v>
      </c>
      <c r="QM18" s="528">
        <v>3.3163</v>
      </c>
      <c r="QN18" s="528">
        <v>3.3588</v>
      </c>
      <c r="QO18" s="528">
        <v>3.4005999999999998</v>
      </c>
      <c r="QP18" s="528">
        <v>3.403</v>
      </c>
      <c r="QQ18" s="528">
        <v>3.4014000000000002</v>
      </c>
      <c r="QR18" s="528">
        <v>3.4159999999999999</v>
      </c>
      <c r="QS18" s="528">
        <v>3.4424000000000001</v>
      </c>
      <c r="QT18" s="528">
        <v>3.4510999999999998</v>
      </c>
      <c r="QU18" s="509">
        <v>12</v>
      </c>
      <c r="QV18" s="529"/>
      <c r="QW18" s="529"/>
      <c r="QX18" s="509">
        <v>12</v>
      </c>
      <c r="QY18" s="528">
        <v>3.1107999999999998</v>
      </c>
      <c r="QZ18" s="528">
        <v>3.0975000000000001</v>
      </c>
      <c r="RA18" s="528">
        <v>3.1173999999999999</v>
      </c>
      <c r="RB18" s="528">
        <v>3.0939999999999999</v>
      </c>
      <c r="RC18" s="528">
        <v>3.1309</v>
      </c>
      <c r="RD18" s="528">
        <v>3.1282000000000001</v>
      </c>
      <c r="RE18" s="528">
        <v>3.1261000000000001</v>
      </c>
      <c r="RF18" s="528">
        <v>3.1110000000000002</v>
      </c>
      <c r="RG18" s="528">
        <v>3.1126999999999998</v>
      </c>
      <c r="RH18" s="528">
        <v>3.1158000000000001</v>
      </c>
      <c r="RI18" s="528">
        <v>3.24</v>
      </c>
      <c r="RJ18" s="528">
        <v>3.1074999999999999</v>
      </c>
      <c r="RK18" s="509">
        <v>12</v>
      </c>
      <c r="RL18" s="529"/>
      <c r="RM18" s="529"/>
      <c r="RN18" s="509">
        <v>12</v>
      </c>
      <c r="RO18" s="528">
        <v>3.0661999999999998</v>
      </c>
      <c r="RP18" s="528">
        <v>3.0674000000000001</v>
      </c>
      <c r="RQ18" s="528">
        <v>3.0611999999999999</v>
      </c>
      <c r="RR18" s="528">
        <v>3.0695000000000001</v>
      </c>
      <c r="RS18" s="528">
        <v>3.1107999999999998</v>
      </c>
      <c r="RT18" s="528">
        <v>3.1168999999999998</v>
      </c>
      <c r="RU18" s="528">
        <v>3.1099000000000001</v>
      </c>
      <c r="RV18" s="528">
        <v>3.0983999999999998</v>
      </c>
      <c r="RW18" s="528">
        <v>3.0768</v>
      </c>
      <c r="RX18" s="528">
        <v>3.1151</v>
      </c>
      <c r="RY18" s="528">
        <v>3.1196999999999999</v>
      </c>
      <c r="RZ18" s="528">
        <v>3.1116999999999999</v>
      </c>
      <c r="SA18" s="509">
        <v>12</v>
      </c>
      <c r="SB18" s="529"/>
      <c r="SC18" s="529"/>
      <c r="SD18" s="509">
        <v>12</v>
      </c>
      <c r="SE18" s="528">
        <v>2.9506000000000001</v>
      </c>
      <c r="SF18" s="528">
        <v>2.9622000000000002</v>
      </c>
      <c r="SG18" s="528">
        <v>2.9733999999999998</v>
      </c>
      <c r="SH18" s="528">
        <v>2.9866000000000001</v>
      </c>
      <c r="SI18" s="528">
        <v>2.9982000000000002</v>
      </c>
      <c r="SJ18" s="528">
        <v>3.0110000000000001</v>
      </c>
      <c r="SK18" s="528">
        <v>3.0230000000000001</v>
      </c>
      <c r="SL18" s="528">
        <v>3.0346000000000002</v>
      </c>
      <c r="SM18" s="528">
        <v>3.0478000000000001</v>
      </c>
      <c r="SN18" s="528">
        <v>3.0613999999999999</v>
      </c>
      <c r="SO18" s="528">
        <v>3.073</v>
      </c>
      <c r="SP18" s="528">
        <v>3.0623300000000002</v>
      </c>
      <c r="SQ18" s="509">
        <v>12</v>
      </c>
      <c r="SR18" s="529"/>
      <c r="SS18" s="529"/>
      <c r="ST18" s="509">
        <v>12</v>
      </c>
      <c r="SU18" s="528">
        <v>2.6539999999999999</v>
      </c>
      <c r="SV18" s="528">
        <v>2.6829999999999998</v>
      </c>
      <c r="SW18" s="528">
        <v>2.7109999999999999</v>
      </c>
      <c r="SX18" s="528">
        <v>2.7440000000000002</v>
      </c>
      <c r="SY18" s="528">
        <v>2.774</v>
      </c>
      <c r="SZ18" s="528">
        <v>2.8010000000000002</v>
      </c>
      <c r="TA18" s="528">
        <v>2.8266</v>
      </c>
      <c r="TB18" s="528">
        <v>2.8506</v>
      </c>
      <c r="TC18" s="528">
        <v>2.8761999999999999</v>
      </c>
      <c r="TD18" s="528">
        <v>2.9001999999999999</v>
      </c>
      <c r="TE18" s="528">
        <v>2.9234</v>
      </c>
      <c r="TF18" s="528">
        <v>2.9382000000000001</v>
      </c>
      <c r="TG18" s="509">
        <v>12</v>
      </c>
      <c r="TH18" s="529"/>
      <c r="TI18" s="529"/>
      <c r="TJ18" s="509">
        <v>12</v>
      </c>
      <c r="TK18" s="528">
        <v>2.2890000000000001</v>
      </c>
      <c r="TL18" s="528">
        <v>2.319</v>
      </c>
      <c r="TM18" s="528">
        <v>2.347</v>
      </c>
      <c r="TN18" s="528">
        <v>2.379</v>
      </c>
      <c r="TO18" s="528">
        <v>2.4089999999999998</v>
      </c>
      <c r="TP18" s="528">
        <v>2.4380000000000002</v>
      </c>
      <c r="TQ18" s="528">
        <v>2.4700000000000002</v>
      </c>
      <c r="TR18" s="528">
        <v>2.5009999999999999</v>
      </c>
      <c r="TS18" s="528">
        <v>2.5299999999999998</v>
      </c>
      <c r="TT18" s="528">
        <v>2.5619999999999998</v>
      </c>
      <c r="TU18" s="528">
        <v>2.5920000000000001</v>
      </c>
      <c r="TV18" s="528">
        <v>2.621</v>
      </c>
      <c r="TW18" s="509">
        <v>12</v>
      </c>
    </row>
    <row r="19" spans="2:543" s="4" customFormat="1" ht="23" customHeight="1">
      <c r="B19" s="509">
        <v>13</v>
      </c>
      <c r="C19" s="541">
        <v>20.378499999999999</v>
      </c>
      <c r="D19" s="541">
        <v>20.4148</v>
      </c>
      <c r="E19" s="541">
        <v>20.974299999999999</v>
      </c>
      <c r="F19" s="541">
        <v>20.0093</v>
      </c>
      <c r="G19" s="541">
        <v>20.2592</v>
      </c>
      <c r="H19" s="541">
        <v>19.6128</v>
      </c>
      <c r="I19" s="541">
        <v>20.747299999999999</v>
      </c>
      <c r="J19" s="541">
        <v>19.959499999999998</v>
      </c>
      <c r="K19" s="541">
        <v>19.902699999999999</v>
      </c>
      <c r="L19" s="541">
        <v>19.965199999999999</v>
      </c>
      <c r="M19" s="541">
        <v>19.393999999999998</v>
      </c>
      <c r="N19" s="541">
        <v>19.673200000000001</v>
      </c>
      <c r="O19" s="509">
        <v>13</v>
      </c>
      <c r="R19" s="509">
        <v>13</v>
      </c>
      <c r="S19" s="541">
        <v>20.113</v>
      </c>
      <c r="T19" s="541">
        <v>19.953499999999998</v>
      </c>
      <c r="U19" s="541">
        <v>20.7133</v>
      </c>
      <c r="V19" s="541">
        <v>20.163</v>
      </c>
      <c r="W19" s="541">
        <v>19.884799999999998</v>
      </c>
      <c r="X19" s="541">
        <v>19.700199999999999</v>
      </c>
      <c r="Y19" s="541">
        <v>19.88</v>
      </c>
      <c r="Z19" s="541">
        <v>19.952999999999999</v>
      </c>
      <c r="AA19" s="541">
        <v>19.931799999999999</v>
      </c>
      <c r="AB19" s="541">
        <v>20.8017</v>
      </c>
      <c r="AC19" s="541">
        <v>20.465199999999999</v>
      </c>
      <c r="AD19" s="541">
        <v>21.032800000000002</v>
      </c>
      <c r="AE19" s="509">
        <v>13</v>
      </c>
      <c r="AH19" s="509">
        <v>13</v>
      </c>
      <c r="AI19" s="541">
        <v>18.845300000000002</v>
      </c>
      <c r="AJ19" s="541">
        <v>18.673999999999999</v>
      </c>
      <c r="AK19" s="541">
        <v>21.213000000000001</v>
      </c>
      <c r="AL19" s="541">
        <v>24.038799999999998</v>
      </c>
      <c r="AM19" s="541">
        <v>23.869299999999999</v>
      </c>
      <c r="AN19" s="541">
        <v>22.4252</v>
      </c>
      <c r="AO19" s="541">
        <v>22.694500000000001</v>
      </c>
      <c r="AP19" s="541">
        <v>22.349</v>
      </c>
      <c r="AQ19" s="541">
        <v>21.2773</v>
      </c>
      <c r="AR19" s="541">
        <v>21.182200000000002</v>
      </c>
      <c r="AS19" s="541">
        <v>20.577200000000001</v>
      </c>
      <c r="AT19" s="541">
        <v>19.9572</v>
      </c>
      <c r="AU19" s="509">
        <v>13</v>
      </c>
      <c r="AX19" s="509">
        <v>13</v>
      </c>
      <c r="AY19" s="528">
        <v>19.171399999999998</v>
      </c>
      <c r="AZ19" s="528">
        <v>19.252400000000002</v>
      </c>
      <c r="BA19" s="528">
        <v>19.424299999999999</v>
      </c>
      <c r="BB19" s="528">
        <v>18.8432</v>
      </c>
      <c r="BC19" s="528">
        <v>19.2623</v>
      </c>
      <c r="BD19" s="528">
        <v>19.122199999999999</v>
      </c>
      <c r="BE19" s="528">
        <v>19.122699999999998</v>
      </c>
      <c r="BF19" s="528">
        <v>19.4283</v>
      </c>
      <c r="BG19" s="528">
        <v>19.547799999999999</v>
      </c>
      <c r="BH19" s="528">
        <v>19.476400000000002</v>
      </c>
      <c r="BI19" s="528">
        <v>19.109000000000002</v>
      </c>
      <c r="BJ19" s="528">
        <v>19.2362</v>
      </c>
      <c r="BK19" s="509">
        <v>13</v>
      </c>
      <c r="BN19" s="509">
        <v>13</v>
      </c>
      <c r="BO19" s="528">
        <v>19.343299999999999</v>
      </c>
      <c r="BP19" s="528">
        <v>18.862300000000001</v>
      </c>
      <c r="BQ19" s="530">
        <v>18.581199999999999</v>
      </c>
      <c r="BR19" s="528">
        <v>18.201799999999999</v>
      </c>
      <c r="BS19" s="528">
        <v>19.2989</v>
      </c>
      <c r="BT19" s="528">
        <v>20.472200000000001</v>
      </c>
      <c r="BU19" s="528">
        <v>18.963200000000001</v>
      </c>
      <c r="BV19" s="528">
        <v>18.6511</v>
      </c>
      <c r="BW19" s="528">
        <v>19.268000000000001</v>
      </c>
      <c r="BX19" s="528">
        <v>19.021699999999999</v>
      </c>
      <c r="BY19" s="528">
        <v>20.3614</v>
      </c>
      <c r="BZ19" s="528">
        <v>20.362100000000002</v>
      </c>
      <c r="CA19" s="509">
        <v>13</v>
      </c>
      <c r="CD19" s="509">
        <v>13</v>
      </c>
      <c r="CE19" s="528">
        <v>21.907599999999999</v>
      </c>
      <c r="CF19" s="528">
        <v>20.4163</v>
      </c>
      <c r="CG19" s="528">
        <v>19.7974</v>
      </c>
      <c r="CH19" s="528">
        <v>18.764600000000002</v>
      </c>
      <c r="CI19" s="528">
        <v>18.9039</v>
      </c>
      <c r="CJ19" s="528">
        <v>18.193899999999999</v>
      </c>
      <c r="CK19" s="528">
        <v>17.9482</v>
      </c>
      <c r="CL19" s="528">
        <v>17.907299999999999</v>
      </c>
      <c r="CM19" s="528">
        <v>17.644300000000001</v>
      </c>
      <c r="CN19" s="528">
        <v>18.718</v>
      </c>
      <c r="CO19" s="528">
        <v>19.09</v>
      </c>
      <c r="CP19" s="528">
        <v>18.944500000000001</v>
      </c>
      <c r="CQ19" s="509">
        <v>13</v>
      </c>
      <c r="CT19" s="509">
        <v>13</v>
      </c>
      <c r="CU19" s="528">
        <v>17.930399999999999</v>
      </c>
      <c r="CV19" s="528">
        <v>19.1754</v>
      </c>
      <c r="CW19" s="528">
        <v>17.860099999999999</v>
      </c>
      <c r="CX19" s="528">
        <v>17.645199999999999</v>
      </c>
      <c r="CY19" s="528">
        <v>17.954899999999999</v>
      </c>
      <c r="CZ19" s="528">
        <v>18.2742</v>
      </c>
      <c r="DA19" s="528">
        <v>18.459700000000002</v>
      </c>
      <c r="DB19" s="528">
        <v>18.267800000000001</v>
      </c>
      <c r="DC19" s="528">
        <v>18.845099999999999</v>
      </c>
      <c r="DD19" s="528">
        <v>18.953099999999999</v>
      </c>
      <c r="DE19" s="528">
        <v>20.481200000000001</v>
      </c>
      <c r="DF19" s="528">
        <v>20.4162</v>
      </c>
      <c r="DG19" s="509">
        <v>13</v>
      </c>
      <c r="DJ19" s="509">
        <v>13</v>
      </c>
      <c r="DK19" s="528">
        <v>14.580399999999999</v>
      </c>
      <c r="DL19" s="528">
        <v>15.1099</v>
      </c>
      <c r="DM19" s="528">
        <v>15.445499999999999</v>
      </c>
      <c r="DN19" s="528">
        <v>15.055400000000001</v>
      </c>
      <c r="DO19" s="528">
        <v>15.2624</v>
      </c>
      <c r="DP19" s="528">
        <v>15.4779</v>
      </c>
      <c r="DQ19" s="528">
        <v>15.785600000000001</v>
      </c>
      <c r="DR19" s="528">
        <v>16.324100000000001</v>
      </c>
      <c r="DS19" s="528">
        <v>16.7773</v>
      </c>
      <c r="DT19" s="528">
        <v>16.417999999999999</v>
      </c>
      <c r="DU19" s="528">
        <v>16.717300000000002</v>
      </c>
      <c r="DV19" s="528">
        <v>17.074999999999999</v>
      </c>
      <c r="DW19" s="509">
        <v>13</v>
      </c>
      <c r="DZ19" s="509">
        <v>13</v>
      </c>
      <c r="EA19" s="528">
        <v>13.1403</v>
      </c>
      <c r="EB19" s="528">
        <v>13.291600000000001</v>
      </c>
      <c r="EC19" s="528">
        <v>13.243</v>
      </c>
      <c r="ED19" s="528">
        <v>13.045299999999999</v>
      </c>
      <c r="EE19" s="528">
        <v>12.984299999999999</v>
      </c>
      <c r="EF19" s="528">
        <v>13.0306</v>
      </c>
      <c r="EG19" s="528">
        <v>13.0015</v>
      </c>
      <c r="EH19" s="528">
        <v>13.1998</v>
      </c>
      <c r="EI19" s="528">
        <v>13.214399999999999</v>
      </c>
      <c r="EJ19" s="528">
        <v>13.3789</v>
      </c>
      <c r="EK19" s="528">
        <v>13.587400000000001</v>
      </c>
      <c r="EL19" s="528">
        <v>14.5181</v>
      </c>
      <c r="EM19" s="509">
        <v>13</v>
      </c>
      <c r="EP19" s="509">
        <v>13</v>
      </c>
      <c r="EQ19" s="528">
        <v>12.6555</v>
      </c>
      <c r="ER19" s="528">
        <v>12.7706</v>
      </c>
      <c r="ES19" s="528">
        <v>12.530799999999999</v>
      </c>
      <c r="ET19" s="528">
        <v>12.069100000000001</v>
      </c>
      <c r="EU19" s="528">
        <v>11.980700000000001</v>
      </c>
      <c r="EV19" s="528">
        <v>12.884600000000001</v>
      </c>
      <c r="EW19" s="528">
        <v>12.8599</v>
      </c>
      <c r="EX19" s="528">
        <v>12.588900000000001</v>
      </c>
      <c r="EY19" s="528">
        <v>13.0938</v>
      </c>
      <c r="EZ19" s="528">
        <v>13.0913</v>
      </c>
      <c r="FA19" s="528">
        <v>13.231400000000001</v>
      </c>
      <c r="FB19" s="528">
        <v>12.8574</v>
      </c>
      <c r="FC19" s="509">
        <v>13</v>
      </c>
      <c r="FF19" s="509">
        <v>13</v>
      </c>
      <c r="FG19" s="528">
        <v>13.6592</v>
      </c>
      <c r="FH19" s="528">
        <v>12.72</v>
      </c>
      <c r="FI19" s="528">
        <v>12.629899999999999</v>
      </c>
      <c r="FJ19" s="528">
        <v>13.132400000000001</v>
      </c>
      <c r="FK19" s="528">
        <v>13.446999999999999</v>
      </c>
      <c r="FL19" s="528">
        <v>13.9625</v>
      </c>
      <c r="FM19" s="528">
        <v>13.3241</v>
      </c>
      <c r="FN19" s="528">
        <v>13.1188</v>
      </c>
      <c r="FO19" s="528">
        <v>12.9992</v>
      </c>
      <c r="FP19" s="528">
        <v>12.879200000000001</v>
      </c>
      <c r="FQ19" s="528">
        <v>13.178900000000001</v>
      </c>
      <c r="FR19" s="528">
        <v>12.7964</v>
      </c>
      <c r="FS19" s="509">
        <v>13</v>
      </c>
      <c r="FV19" s="509">
        <v>13</v>
      </c>
      <c r="FW19" s="528">
        <v>12.1907</v>
      </c>
      <c r="FX19" s="528">
        <v>12.0937</v>
      </c>
      <c r="FY19" s="528">
        <v>11.9755</v>
      </c>
      <c r="FZ19" s="528">
        <v>11.7447</v>
      </c>
      <c r="GA19" s="528">
        <v>11.6075</v>
      </c>
      <c r="GB19" s="528">
        <v>11.7965</v>
      </c>
      <c r="GC19" s="528">
        <v>11.727399999999999</v>
      </c>
      <c r="GD19" s="528">
        <v>12.389900000000001</v>
      </c>
      <c r="GE19" s="528">
        <v>12.632400000000001</v>
      </c>
      <c r="GF19" s="528">
        <v>13.326599999999999</v>
      </c>
      <c r="GG19" s="528">
        <v>13.562200000000001</v>
      </c>
      <c r="GH19" s="528">
        <v>13.6569</v>
      </c>
      <c r="GI19" s="509">
        <v>13</v>
      </c>
      <c r="GL19" s="509">
        <v>13</v>
      </c>
      <c r="GM19" s="528">
        <v>12.6692</v>
      </c>
      <c r="GN19" s="528">
        <v>13.0609</v>
      </c>
      <c r="GO19" s="528">
        <v>12.619199999999999</v>
      </c>
      <c r="GP19" s="528">
        <v>12.1997</v>
      </c>
      <c r="GQ19" s="528">
        <v>12.5025</v>
      </c>
      <c r="GR19" s="528">
        <v>12.7441</v>
      </c>
      <c r="GS19" s="528">
        <v>12.7859</v>
      </c>
      <c r="GT19" s="528">
        <v>12.7432</v>
      </c>
      <c r="GU19" s="528">
        <v>12.985300000000001</v>
      </c>
      <c r="GV19" s="528">
        <v>12.4224</v>
      </c>
      <c r="GW19" s="528">
        <v>12.259600000000001</v>
      </c>
      <c r="GX19" s="528">
        <v>12.458600000000001</v>
      </c>
      <c r="GY19" s="509">
        <v>13</v>
      </c>
      <c r="HB19" s="509">
        <v>13</v>
      </c>
      <c r="HC19" s="528">
        <v>13.700799999999999</v>
      </c>
      <c r="HD19" s="528">
        <v>14.5313</v>
      </c>
      <c r="HE19" s="528">
        <v>15.1145</v>
      </c>
      <c r="HF19" s="528">
        <v>13.571199999999999</v>
      </c>
      <c r="HG19" s="528">
        <v>13.1008</v>
      </c>
      <c r="HH19" s="528">
        <v>13.4581</v>
      </c>
      <c r="HI19" s="528">
        <v>13.575799999999999</v>
      </c>
      <c r="HJ19" s="528">
        <v>12.9937</v>
      </c>
      <c r="HK19" s="528">
        <v>13.4582</v>
      </c>
      <c r="HL19" s="528">
        <v>13.255000000000001</v>
      </c>
      <c r="HM19" s="528">
        <v>13.1622</v>
      </c>
      <c r="HN19" s="528">
        <v>12.9739</v>
      </c>
      <c r="HO19" s="509">
        <v>13</v>
      </c>
      <c r="HP19" s="529"/>
      <c r="HQ19" s="529"/>
      <c r="HR19" s="509">
        <v>13</v>
      </c>
      <c r="HS19" s="528">
        <v>10.9572</v>
      </c>
      <c r="HT19" s="528">
        <v>10.7736</v>
      </c>
      <c r="HU19" s="528">
        <v>10.7965</v>
      </c>
      <c r="HV19" s="528">
        <v>10.5503</v>
      </c>
      <c r="HW19" s="528">
        <v>10.566599999999999</v>
      </c>
      <c r="HX19" s="528">
        <v>10.4268</v>
      </c>
      <c r="HY19" s="528">
        <v>10.307600000000001</v>
      </c>
      <c r="HZ19" s="528">
        <v>10.1295</v>
      </c>
      <c r="IA19" s="528">
        <v>10.6745</v>
      </c>
      <c r="IB19" s="528">
        <v>12.443300000000001</v>
      </c>
      <c r="IC19" s="528">
        <v>12.9892</v>
      </c>
      <c r="ID19" s="528">
        <v>13.472200000000001</v>
      </c>
      <c r="IE19" s="509">
        <v>13</v>
      </c>
      <c r="IF19" s="529"/>
      <c r="IG19" s="529"/>
      <c r="IH19" s="509">
        <v>13</v>
      </c>
      <c r="II19" s="528">
        <v>10.965</v>
      </c>
      <c r="IJ19" s="528">
        <v>10.960100000000001</v>
      </c>
      <c r="IK19" s="528">
        <v>11.1205</v>
      </c>
      <c r="IL19" s="528">
        <v>10.984</v>
      </c>
      <c r="IM19" s="528">
        <v>10.8178</v>
      </c>
      <c r="IN19" s="528">
        <v>10.9307</v>
      </c>
      <c r="IO19" s="528">
        <v>10.8248</v>
      </c>
      <c r="IP19" s="528">
        <v>10.9832</v>
      </c>
      <c r="IQ19" s="528">
        <v>11.105700000000001</v>
      </c>
      <c r="IR19" s="528">
        <v>10.8101</v>
      </c>
      <c r="IS19" s="528">
        <v>10.880800000000001</v>
      </c>
      <c r="IT19" s="528">
        <v>10.8185</v>
      </c>
      <c r="IU19" s="509">
        <v>13</v>
      </c>
      <c r="IV19" s="529"/>
      <c r="IW19" s="529"/>
      <c r="IX19" s="509">
        <v>13</v>
      </c>
      <c r="IY19" s="528">
        <v>10.6097</v>
      </c>
      <c r="IZ19" s="528">
        <v>10.4803</v>
      </c>
      <c r="JA19" s="528">
        <v>10.7094</v>
      </c>
      <c r="JB19" s="528">
        <v>11.0708</v>
      </c>
      <c r="JC19" s="528">
        <v>10.838100000000001</v>
      </c>
      <c r="JD19" s="528">
        <v>11.377700000000001</v>
      </c>
      <c r="JE19" s="528">
        <v>11.009499999999999</v>
      </c>
      <c r="JF19" s="528">
        <v>10.880800000000001</v>
      </c>
      <c r="JG19" s="528">
        <v>11.070499999999999</v>
      </c>
      <c r="JH19" s="528">
        <v>11.024800000000001</v>
      </c>
      <c r="JI19" s="528">
        <v>10.863200000000001</v>
      </c>
      <c r="JJ19" s="528">
        <v>10.8606</v>
      </c>
      <c r="JK19" s="509">
        <v>13</v>
      </c>
      <c r="JL19" s="529"/>
      <c r="JM19" s="529"/>
      <c r="JN19" s="509">
        <v>13</v>
      </c>
      <c r="JO19" s="528">
        <v>11.2209</v>
      </c>
      <c r="JP19" s="528">
        <v>11.1533</v>
      </c>
      <c r="JQ19" s="528">
        <v>11.032400000000001</v>
      </c>
      <c r="JR19" s="528">
        <v>11.087899999999999</v>
      </c>
      <c r="JS19" s="528">
        <v>11.032299999999999</v>
      </c>
      <c r="JT19" s="528">
        <v>10.886799999999999</v>
      </c>
      <c r="JU19" s="528">
        <v>10.704499999999999</v>
      </c>
      <c r="JV19" s="528">
        <v>10.5815</v>
      </c>
      <c r="JW19" s="528">
        <v>10.708</v>
      </c>
      <c r="JX19" s="528">
        <v>10.800700000000001</v>
      </c>
      <c r="JY19" s="528">
        <v>10.714</v>
      </c>
      <c r="JZ19" s="528">
        <v>10.502000000000001</v>
      </c>
      <c r="KA19" s="509">
        <v>13</v>
      </c>
      <c r="KB19" s="529"/>
      <c r="KC19" s="529"/>
      <c r="KD19" s="509">
        <v>13</v>
      </c>
      <c r="KE19" s="528">
        <v>10.8376</v>
      </c>
      <c r="KF19" s="528">
        <v>10.986599999999999</v>
      </c>
      <c r="KG19" s="528">
        <v>10.9633</v>
      </c>
      <c r="KH19" s="528">
        <v>11.2233</v>
      </c>
      <c r="KI19" s="528">
        <v>11.6325</v>
      </c>
      <c r="KJ19" s="528">
        <v>11.366</v>
      </c>
      <c r="KK19" s="528">
        <v>11.5152</v>
      </c>
      <c r="KL19" s="528">
        <v>11.4436</v>
      </c>
      <c r="KM19" s="528">
        <v>11.5717</v>
      </c>
      <c r="KN19" s="528">
        <v>11.244899999999999</v>
      </c>
      <c r="KO19" s="528">
        <v>11.399699999999999</v>
      </c>
      <c r="KP19" s="528">
        <v>11.291</v>
      </c>
      <c r="KQ19" s="509">
        <v>13</v>
      </c>
      <c r="KR19" s="529"/>
      <c r="KS19" s="529"/>
      <c r="KT19" s="509">
        <v>13</v>
      </c>
      <c r="KU19" s="528">
        <v>10.411199999999999</v>
      </c>
      <c r="KV19" s="528">
        <v>10.94</v>
      </c>
      <c r="KW19" s="528">
        <v>11.0052</v>
      </c>
      <c r="KX19" s="528">
        <v>10.7651</v>
      </c>
      <c r="KY19" s="528">
        <v>10.1068</v>
      </c>
      <c r="KZ19" s="528">
        <v>10.6119</v>
      </c>
      <c r="LA19" s="528">
        <v>10.4482</v>
      </c>
      <c r="LB19" s="528">
        <v>10.690899999999999</v>
      </c>
      <c r="LC19" s="528">
        <v>10.973699999999999</v>
      </c>
      <c r="LD19" s="528">
        <v>11.2356</v>
      </c>
      <c r="LE19" s="528">
        <v>10.9582</v>
      </c>
      <c r="LF19" s="528">
        <v>11.214499999999999</v>
      </c>
      <c r="LG19" s="509">
        <v>13</v>
      </c>
      <c r="LH19" s="529"/>
      <c r="LI19" s="529"/>
      <c r="LJ19" s="509">
        <v>13</v>
      </c>
      <c r="LK19" s="528">
        <v>9.2444000000000006</v>
      </c>
      <c r="LL19" s="528">
        <v>9.0786999999999995</v>
      </c>
      <c r="LM19" s="528">
        <v>9.0702999999999996</v>
      </c>
      <c r="LN19" s="528">
        <v>9.0770999999999997</v>
      </c>
      <c r="LO19" s="528">
        <v>9.4463000000000008</v>
      </c>
      <c r="LP19" s="528">
        <v>9.6607000000000003</v>
      </c>
      <c r="LQ19" s="528">
        <v>9.7979000000000003</v>
      </c>
      <c r="LR19" s="528">
        <v>9.7639999999999993</v>
      </c>
      <c r="LS19" s="528">
        <v>9.9654000000000007</v>
      </c>
      <c r="LT19" s="528">
        <v>10.2195</v>
      </c>
      <c r="LU19" s="528">
        <v>10.333399999999999</v>
      </c>
      <c r="LV19" s="528">
        <v>10.1744</v>
      </c>
      <c r="LW19" s="509">
        <v>13</v>
      </c>
      <c r="LX19" s="529"/>
      <c r="LY19" s="529"/>
      <c r="LZ19" s="509">
        <v>13</v>
      </c>
      <c r="MA19" s="528">
        <v>9.8547999999999991</v>
      </c>
      <c r="MB19" s="528">
        <v>9.7238000000000007</v>
      </c>
      <c r="MC19" s="528">
        <v>9.6702999999999992</v>
      </c>
      <c r="MD19" s="528">
        <v>9.3093000000000004</v>
      </c>
      <c r="ME19" s="528">
        <v>9.1966999999999999</v>
      </c>
      <c r="MF19" s="528">
        <v>9.0289999999999999</v>
      </c>
      <c r="MG19" s="528">
        <v>9.2952999999999992</v>
      </c>
      <c r="MH19" s="528">
        <v>9.0897000000000006</v>
      </c>
      <c r="MI19" s="528">
        <v>9.5474999999999994</v>
      </c>
      <c r="MJ19" s="528">
        <v>9.3397000000000006</v>
      </c>
      <c r="MK19" s="528">
        <v>9.2317999999999998</v>
      </c>
      <c r="ML19" s="528">
        <v>9.1865000000000006</v>
      </c>
      <c r="MM19" s="509">
        <v>13</v>
      </c>
      <c r="MN19" s="529"/>
      <c r="MO19" s="529"/>
      <c r="MP19" s="509">
        <v>13</v>
      </c>
      <c r="MQ19" s="528">
        <v>9.4779999999999998</v>
      </c>
      <c r="MR19" s="528">
        <v>9.4347999999999992</v>
      </c>
      <c r="MS19" s="528">
        <v>9.2836999999999996</v>
      </c>
      <c r="MT19" s="528">
        <v>9.3917999999999999</v>
      </c>
      <c r="MU19" s="528">
        <v>9.5768000000000004</v>
      </c>
      <c r="MV19" s="528">
        <v>9.9262999999999995</v>
      </c>
      <c r="MW19" s="528">
        <v>9.4280000000000008</v>
      </c>
      <c r="MX19" s="528">
        <v>9.3198000000000008</v>
      </c>
      <c r="MY19" s="528">
        <v>9.2813999999999997</v>
      </c>
      <c r="MZ19" s="528">
        <v>9.4789999999999992</v>
      </c>
      <c r="NA19" s="528">
        <v>9.6532999999999998</v>
      </c>
      <c r="NB19" s="528">
        <v>9.3984000000000005</v>
      </c>
      <c r="NC19" s="509">
        <v>13</v>
      </c>
      <c r="ND19" s="529"/>
      <c r="NE19" s="529"/>
      <c r="NF19" s="509">
        <v>13</v>
      </c>
      <c r="NG19" s="528">
        <v>9.9393999999999991</v>
      </c>
      <c r="NH19" s="528">
        <v>9.9793000000000003</v>
      </c>
      <c r="NI19" s="528">
        <v>9.7479999999999993</v>
      </c>
      <c r="NJ19" s="528">
        <v>9.5728000000000009</v>
      </c>
      <c r="NK19" s="528">
        <v>9.2532999999999994</v>
      </c>
      <c r="NL19" s="528">
        <v>9.5984999999999996</v>
      </c>
      <c r="NM19" s="528">
        <v>9.3522999999999996</v>
      </c>
      <c r="NN19" s="528">
        <v>9.4149999999999991</v>
      </c>
      <c r="NO19" s="528">
        <v>9.3470999999999993</v>
      </c>
      <c r="NP19" s="528">
        <v>9.4506999999999994</v>
      </c>
      <c r="NQ19" s="528">
        <v>9.3856999999999999</v>
      </c>
      <c r="NR19" s="528">
        <v>9.4288000000000007</v>
      </c>
      <c r="NS19" s="509">
        <v>13</v>
      </c>
      <c r="NT19" s="529"/>
      <c r="NU19" s="529"/>
      <c r="NV19" s="509">
        <v>13</v>
      </c>
      <c r="NW19" s="528">
        <v>8.0856999999999992</v>
      </c>
      <c r="NX19" s="528">
        <v>8.4521999999999995</v>
      </c>
      <c r="NY19" s="528">
        <v>8.6690000000000005</v>
      </c>
      <c r="NZ19" s="528">
        <v>8.5274000000000001</v>
      </c>
      <c r="OA19" s="528">
        <v>8.4672999999999998</v>
      </c>
      <c r="OB19" s="528">
        <v>8.9609000000000005</v>
      </c>
      <c r="OC19" s="528">
        <v>8.9431999999999992</v>
      </c>
      <c r="OD19" s="528">
        <v>9.2015999999999991</v>
      </c>
      <c r="OE19" s="528">
        <v>10.532500000000001</v>
      </c>
      <c r="OF19" s="528">
        <v>10.2157</v>
      </c>
      <c r="OG19" s="528">
        <v>10.006</v>
      </c>
      <c r="OH19" s="528">
        <v>9.9499999999999993</v>
      </c>
      <c r="OI19" s="509">
        <v>13</v>
      </c>
      <c r="OJ19" s="529"/>
      <c r="OK19" s="529"/>
      <c r="OL19" s="509">
        <v>13</v>
      </c>
      <c r="OM19" s="528">
        <v>7.8208000000000002</v>
      </c>
      <c r="ON19" s="528">
        <v>7.7927</v>
      </c>
      <c r="OO19" s="528">
        <v>7.9779999999999998</v>
      </c>
      <c r="OP19" s="528">
        <v>7.9153000000000002</v>
      </c>
      <c r="OQ19" s="528">
        <v>7.9028</v>
      </c>
      <c r="OR19" s="528">
        <v>7.9752999999999998</v>
      </c>
      <c r="OS19" s="528">
        <v>7.8913000000000002</v>
      </c>
      <c r="OT19" s="528">
        <v>7.8059000000000003</v>
      </c>
      <c r="OU19" s="528">
        <v>7.7847</v>
      </c>
      <c r="OV19" s="528">
        <v>7.77</v>
      </c>
      <c r="OW19" s="528">
        <v>8.31</v>
      </c>
      <c r="OX19" s="528">
        <v>8.1394000000000002</v>
      </c>
      <c r="OY19" s="509">
        <v>13</v>
      </c>
      <c r="OZ19" s="529"/>
      <c r="PA19" s="529"/>
      <c r="PB19" s="509">
        <v>13</v>
      </c>
      <c r="PC19" s="528">
        <v>7.5213000000000001</v>
      </c>
      <c r="PD19" s="528">
        <v>7.4928999999999997</v>
      </c>
      <c r="PE19" s="528">
        <v>7.6237000000000004</v>
      </c>
      <c r="PF19" s="528">
        <v>7.4989999999999997</v>
      </c>
      <c r="PG19" s="528">
        <v>7.4762000000000004</v>
      </c>
      <c r="PH19" s="528">
        <v>7.6307999999999998</v>
      </c>
      <c r="PI19" s="528">
        <v>7.6429</v>
      </c>
      <c r="PJ19" s="528">
        <v>7.5171999999999999</v>
      </c>
      <c r="PK19" s="528">
        <v>7.5561999999999996</v>
      </c>
      <c r="PL19" s="528">
        <v>7.6109</v>
      </c>
      <c r="PM19" s="528">
        <v>7.9016999999999999</v>
      </c>
      <c r="PN19" s="528">
        <v>7.8723000000000001</v>
      </c>
      <c r="PO19" s="509">
        <v>13</v>
      </c>
      <c r="PP19" s="529"/>
      <c r="PQ19" s="529"/>
      <c r="PR19" s="509">
        <v>13</v>
      </c>
      <c r="PS19" s="528">
        <v>5.7575000000000003</v>
      </c>
      <c r="PT19" s="528">
        <v>5.59</v>
      </c>
      <c r="PU19" s="528">
        <v>7.5875000000000004</v>
      </c>
      <c r="PV19" s="528">
        <v>6.3033000000000001</v>
      </c>
      <c r="PW19" s="528">
        <v>5.9082999999999997</v>
      </c>
      <c r="PX19" s="528">
        <v>6.2824999999999998</v>
      </c>
      <c r="PY19" s="528">
        <v>6.1208999999999998</v>
      </c>
      <c r="PZ19" s="528">
        <v>6.1452999999999998</v>
      </c>
      <c r="QA19" s="528">
        <v>6.2885999999999997</v>
      </c>
      <c r="QB19" s="528">
        <v>6.7466999999999997</v>
      </c>
      <c r="QC19" s="528">
        <v>8.1382999999999992</v>
      </c>
      <c r="QD19" s="528">
        <v>7.79</v>
      </c>
      <c r="QE19" s="509">
        <v>13</v>
      </c>
      <c r="QF19" s="529"/>
      <c r="QG19" s="529"/>
      <c r="QH19" s="509">
        <v>13</v>
      </c>
      <c r="QI19" s="528">
        <v>3.1097999999999999</v>
      </c>
      <c r="QJ19" s="528">
        <v>3.105</v>
      </c>
      <c r="QK19" s="528">
        <v>3.2888000000000002</v>
      </c>
      <c r="QL19" s="528">
        <v>3.3654000000000002</v>
      </c>
      <c r="QM19" s="528">
        <v>3.3172999999999999</v>
      </c>
      <c r="QN19" s="528">
        <v>3.3588</v>
      </c>
      <c r="QO19" s="528">
        <v>3.4018000000000002</v>
      </c>
      <c r="QP19" s="528">
        <v>3.3980000000000001</v>
      </c>
      <c r="QQ19" s="528">
        <v>3.4123000000000001</v>
      </c>
      <c r="QR19" s="528">
        <v>3.4199000000000002</v>
      </c>
      <c r="QS19" s="528">
        <v>3.4424000000000001</v>
      </c>
      <c r="QT19" s="528">
        <v>3.4510999999999998</v>
      </c>
      <c r="QU19" s="509">
        <v>13</v>
      </c>
      <c r="QV19" s="529"/>
      <c r="QW19" s="529"/>
      <c r="QX19" s="509">
        <v>13</v>
      </c>
      <c r="QY19" s="528">
        <v>3.1168999999999998</v>
      </c>
      <c r="QZ19" s="528">
        <v>3.1009000000000002</v>
      </c>
      <c r="RA19" s="528">
        <v>3.1196999999999999</v>
      </c>
      <c r="RB19" s="528">
        <v>3.0985</v>
      </c>
      <c r="RC19" s="528">
        <v>3.1355</v>
      </c>
      <c r="RD19" s="528">
        <v>3.1282000000000001</v>
      </c>
      <c r="RE19" s="528">
        <v>3.1246</v>
      </c>
      <c r="RF19" s="528">
        <v>3.11</v>
      </c>
      <c r="RG19" s="528">
        <v>3.1126999999999998</v>
      </c>
      <c r="RH19" s="528">
        <v>3.1158000000000001</v>
      </c>
      <c r="RI19" s="528">
        <v>3.2162999999999999</v>
      </c>
      <c r="RJ19" s="528">
        <v>3.1074999999999999</v>
      </c>
      <c r="RK19" s="509">
        <v>13</v>
      </c>
      <c r="RL19" s="529"/>
      <c r="RM19" s="529"/>
      <c r="RN19" s="509">
        <v>13</v>
      </c>
      <c r="RO19" s="528">
        <v>3.0661999999999998</v>
      </c>
      <c r="RP19" s="528">
        <v>3.0644</v>
      </c>
      <c r="RQ19" s="528">
        <v>3.0608</v>
      </c>
      <c r="RR19" s="528">
        <v>3.0695000000000001</v>
      </c>
      <c r="RS19" s="528">
        <v>3.0968</v>
      </c>
      <c r="RT19" s="528">
        <v>3.1191</v>
      </c>
      <c r="RU19" s="528">
        <v>3.1099000000000001</v>
      </c>
      <c r="RV19" s="528">
        <v>3.0880999999999998</v>
      </c>
      <c r="RW19" s="528">
        <v>3.0768</v>
      </c>
      <c r="RX19" s="528">
        <v>3.1151</v>
      </c>
      <c r="RY19" s="528">
        <v>3.1147999999999998</v>
      </c>
      <c r="RZ19" s="528">
        <v>3.1116999999999999</v>
      </c>
      <c r="SA19" s="509">
        <v>13</v>
      </c>
      <c r="SB19" s="529"/>
      <c r="SC19" s="529"/>
      <c r="SD19" s="509">
        <v>13</v>
      </c>
      <c r="SE19" s="528">
        <v>2.9506000000000001</v>
      </c>
      <c r="SF19" s="528">
        <v>2.9634</v>
      </c>
      <c r="SG19" s="528">
        <v>2.9746000000000001</v>
      </c>
      <c r="SH19" s="528">
        <v>2.9870000000000001</v>
      </c>
      <c r="SI19" s="528">
        <v>2.9982000000000002</v>
      </c>
      <c r="SJ19" s="528">
        <v>3.0114000000000001</v>
      </c>
      <c r="SK19" s="528">
        <v>3.0234000000000001</v>
      </c>
      <c r="SL19" s="528">
        <v>3.0350000000000001</v>
      </c>
      <c r="SM19" s="528">
        <v>3.0482</v>
      </c>
      <c r="SN19" s="528">
        <v>3.0613999999999999</v>
      </c>
      <c r="SO19" s="528">
        <v>3.07403</v>
      </c>
      <c r="SP19" s="528">
        <v>3.0629900000000001</v>
      </c>
      <c r="SQ19" s="509">
        <v>13</v>
      </c>
      <c r="SR19" s="529"/>
      <c r="SS19" s="529"/>
      <c r="ST19" s="509">
        <v>13</v>
      </c>
      <c r="SU19" s="528">
        <v>2.6549999999999998</v>
      </c>
      <c r="SV19" s="528">
        <v>2.6840000000000002</v>
      </c>
      <c r="SW19" s="528">
        <v>2.7120000000000002</v>
      </c>
      <c r="SX19" s="528">
        <v>2.7450000000000001</v>
      </c>
      <c r="SY19" s="528">
        <v>2.774</v>
      </c>
      <c r="SZ19" s="528">
        <v>2.8033999999999999</v>
      </c>
      <c r="TA19" s="528">
        <v>2.8273999999999999</v>
      </c>
      <c r="TB19" s="528">
        <v>2.8506</v>
      </c>
      <c r="TC19" s="528">
        <v>2.8769999999999998</v>
      </c>
      <c r="TD19" s="528">
        <v>2.9009999999999998</v>
      </c>
      <c r="TE19" s="528">
        <v>2.9241999999999999</v>
      </c>
      <c r="TF19" s="528">
        <v>2.9386000000000001</v>
      </c>
      <c r="TG19" s="509">
        <v>13</v>
      </c>
      <c r="TH19" s="529"/>
      <c r="TI19" s="529"/>
      <c r="TJ19" s="509">
        <v>13</v>
      </c>
      <c r="TK19" s="528">
        <v>2.29</v>
      </c>
      <c r="TL19" s="528">
        <v>2.319</v>
      </c>
      <c r="TM19" s="528">
        <v>2.347</v>
      </c>
      <c r="TN19" s="528">
        <v>2.38</v>
      </c>
      <c r="TO19" s="528">
        <v>2.41</v>
      </c>
      <c r="TP19" s="528">
        <v>2.4390000000000001</v>
      </c>
      <c r="TQ19" s="528">
        <v>2.4710000000000001</v>
      </c>
      <c r="TR19" s="528">
        <v>2.5009999999999999</v>
      </c>
      <c r="TS19" s="528">
        <v>2.5329999999999999</v>
      </c>
      <c r="TT19" s="528">
        <v>2.5630000000000002</v>
      </c>
      <c r="TU19" s="528">
        <v>2.5920000000000001</v>
      </c>
      <c r="TV19" s="528">
        <v>2.6240000000000001</v>
      </c>
      <c r="TW19" s="509">
        <v>13</v>
      </c>
    </row>
    <row r="20" spans="2:543" s="4" customFormat="1" ht="23" customHeight="1">
      <c r="B20" s="509">
        <v>14</v>
      </c>
      <c r="C20" s="541">
        <v>20.366</v>
      </c>
      <c r="D20" s="541">
        <v>20.4148</v>
      </c>
      <c r="E20" s="541">
        <v>20.974299999999999</v>
      </c>
      <c r="F20" s="541">
        <v>19.840699999999998</v>
      </c>
      <c r="G20" s="541">
        <v>20.32</v>
      </c>
      <c r="H20" s="541">
        <v>19.9297</v>
      </c>
      <c r="I20" s="541">
        <v>20.7882</v>
      </c>
      <c r="J20" s="541">
        <v>19.959499999999998</v>
      </c>
      <c r="K20" s="541">
        <v>19.7957</v>
      </c>
      <c r="L20" s="541">
        <v>20.0352</v>
      </c>
      <c r="M20" s="541">
        <v>19.393999999999998</v>
      </c>
      <c r="N20" s="541">
        <v>19.819199999999999</v>
      </c>
      <c r="O20" s="509">
        <v>14</v>
      </c>
      <c r="R20" s="509">
        <v>14</v>
      </c>
      <c r="S20" s="541">
        <v>19.9373</v>
      </c>
      <c r="T20" s="541">
        <v>19.953499999999998</v>
      </c>
      <c r="U20" s="541">
        <v>20.7133</v>
      </c>
      <c r="V20" s="541">
        <v>20.094999999999999</v>
      </c>
      <c r="W20" s="541">
        <v>20.094000000000001</v>
      </c>
      <c r="X20" s="541">
        <v>19.700199999999999</v>
      </c>
      <c r="Y20" s="541">
        <v>19.857700000000001</v>
      </c>
      <c r="Z20" s="541">
        <v>19.890699999999999</v>
      </c>
      <c r="AA20" s="541">
        <v>19.871700000000001</v>
      </c>
      <c r="AB20" s="541">
        <v>20.776700000000002</v>
      </c>
      <c r="AC20" s="541">
        <v>20.465199999999999</v>
      </c>
      <c r="AD20" s="541">
        <v>20.892199999999999</v>
      </c>
      <c r="AE20" s="509">
        <v>14</v>
      </c>
      <c r="AH20" s="509">
        <v>14</v>
      </c>
      <c r="AI20" s="541">
        <v>18.773199999999999</v>
      </c>
      <c r="AJ20" s="541">
        <v>18.630800000000001</v>
      </c>
      <c r="AK20" s="541">
        <v>22.151800000000001</v>
      </c>
      <c r="AL20" s="541">
        <v>24.092500000000001</v>
      </c>
      <c r="AM20" s="541">
        <v>24.0487</v>
      </c>
      <c r="AN20" s="541">
        <v>22.4252</v>
      </c>
      <c r="AO20" s="541">
        <v>22.534199999999998</v>
      </c>
      <c r="AP20" s="541">
        <v>22.345700000000001</v>
      </c>
      <c r="AQ20" s="541">
        <v>21.2773</v>
      </c>
      <c r="AR20" s="541">
        <v>21.218299999999999</v>
      </c>
      <c r="AS20" s="541">
        <v>20.5303</v>
      </c>
      <c r="AT20" s="541">
        <v>19.9572</v>
      </c>
      <c r="AU20" s="509">
        <v>14</v>
      </c>
      <c r="AX20" s="509">
        <v>14</v>
      </c>
      <c r="AY20" s="528">
        <v>19.171399999999998</v>
      </c>
      <c r="AZ20" s="528">
        <v>19.2592</v>
      </c>
      <c r="BA20" s="528">
        <v>19.3049</v>
      </c>
      <c r="BB20" s="528">
        <v>18.8432</v>
      </c>
      <c r="BC20" s="528">
        <v>19.1374</v>
      </c>
      <c r="BD20" s="528">
        <v>19.138300000000001</v>
      </c>
      <c r="BE20" s="528">
        <v>19.122699999999998</v>
      </c>
      <c r="BF20" s="528">
        <v>19.580300000000001</v>
      </c>
      <c r="BG20" s="528">
        <v>19.426500000000001</v>
      </c>
      <c r="BH20" s="528">
        <v>19.476400000000002</v>
      </c>
      <c r="BI20" s="528">
        <v>19.2178</v>
      </c>
      <c r="BJ20" s="528">
        <v>19.1785</v>
      </c>
      <c r="BK20" s="509">
        <v>14</v>
      </c>
      <c r="BN20" s="509">
        <v>14</v>
      </c>
      <c r="BO20" s="528">
        <v>19.343299999999999</v>
      </c>
      <c r="BP20" s="528">
        <v>18.670300000000001</v>
      </c>
      <c r="BQ20" s="530">
        <v>18.619900000000001</v>
      </c>
      <c r="BR20" s="528">
        <v>18.135300000000001</v>
      </c>
      <c r="BS20" s="528">
        <v>19.2989</v>
      </c>
      <c r="BT20" s="528">
        <v>20.596</v>
      </c>
      <c r="BU20" s="528">
        <v>18.824100000000001</v>
      </c>
      <c r="BV20" s="528">
        <v>18.927299999999999</v>
      </c>
      <c r="BW20" s="528">
        <v>19.051100000000002</v>
      </c>
      <c r="BX20" s="528">
        <v>19.021699999999999</v>
      </c>
      <c r="BY20" s="528">
        <v>20.317900000000002</v>
      </c>
      <c r="BZ20" s="528">
        <v>20.288900000000002</v>
      </c>
      <c r="CA20" s="509">
        <v>14</v>
      </c>
      <c r="CD20" s="509">
        <v>14</v>
      </c>
      <c r="CE20" s="528">
        <v>21.720400000000001</v>
      </c>
      <c r="CF20" s="528">
        <v>20.3535</v>
      </c>
      <c r="CG20" s="528">
        <v>19.6279</v>
      </c>
      <c r="CH20" s="528">
        <v>18.764600000000002</v>
      </c>
      <c r="CI20" s="528">
        <v>18.9039</v>
      </c>
      <c r="CJ20" s="528">
        <v>18.180199999999999</v>
      </c>
      <c r="CK20" s="528">
        <v>17.770800000000001</v>
      </c>
      <c r="CL20" s="528">
        <v>17.907299999999999</v>
      </c>
      <c r="CM20" s="528">
        <v>17.780999999999999</v>
      </c>
      <c r="CN20" s="528">
        <v>18.763100000000001</v>
      </c>
      <c r="CO20" s="528">
        <v>19.052600000000002</v>
      </c>
      <c r="CP20" s="528">
        <v>18.974</v>
      </c>
      <c r="CQ20" s="509">
        <v>14</v>
      </c>
      <c r="CT20" s="509">
        <v>14</v>
      </c>
      <c r="CU20" s="528">
        <v>17.911899999999999</v>
      </c>
      <c r="CV20" s="528">
        <v>19.1754</v>
      </c>
      <c r="CW20" s="528">
        <v>17.860099999999999</v>
      </c>
      <c r="CX20" s="528">
        <v>17.571899999999999</v>
      </c>
      <c r="CY20" s="528">
        <v>17.991499999999998</v>
      </c>
      <c r="CZ20" s="528">
        <v>18.5046</v>
      </c>
      <c r="DA20" s="528">
        <v>18.300599999999999</v>
      </c>
      <c r="DB20" s="528">
        <v>18.267800000000001</v>
      </c>
      <c r="DC20" s="528">
        <v>19.064599999999999</v>
      </c>
      <c r="DD20" s="528">
        <v>18.962199999999999</v>
      </c>
      <c r="DE20" s="528">
        <v>20.481200000000001</v>
      </c>
      <c r="DF20" s="528">
        <v>20.330500000000001</v>
      </c>
      <c r="DG20" s="509">
        <v>14</v>
      </c>
      <c r="DJ20" s="509">
        <v>14</v>
      </c>
      <c r="DK20" s="528">
        <v>14.639799999999999</v>
      </c>
      <c r="DL20" s="528">
        <v>14.916700000000001</v>
      </c>
      <c r="DM20" s="528">
        <v>15.4003</v>
      </c>
      <c r="DN20" s="528">
        <v>15.1706</v>
      </c>
      <c r="DO20" s="528">
        <v>15.321099999999999</v>
      </c>
      <c r="DP20" s="528">
        <v>15.4779</v>
      </c>
      <c r="DQ20" s="528">
        <v>15.732900000000001</v>
      </c>
      <c r="DR20" s="528">
        <v>16.297599999999999</v>
      </c>
      <c r="DS20" s="528">
        <v>16.810300000000002</v>
      </c>
      <c r="DT20" s="528">
        <v>16.421900000000001</v>
      </c>
      <c r="DU20" s="528">
        <v>16.740600000000001</v>
      </c>
      <c r="DV20" s="528">
        <v>17.074999999999999</v>
      </c>
      <c r="DW20" s="509">
        <v>14</v>
      </c>
      <c r="DZ20" s="509">
        <v>14</v>
      </c>
      <c r="EA20" s="528">
        <v>13.006500000000001</v>
      </c>
      <c r="EB20" s="528">
        <v>13.3056</v>
      </c>
      <c r="EC20" s="528">
        <v>13.2659</v>
      </c>
      <c r="ED20" s="528">
        <v>13.045299999999999</v>
      </c>
      <c r="EE20" s="528">
        <v>12.9534</v>
      </c>
      <c r="EF20" s="528">
        <v>12.9815</v>
      </c>
      <c r="EG20" s="528">
        <v>13.0015</v>
      </c>
      <c r="EH20" s="528">
        <v>13.159000000000001</v>
      </c>
      <c r="EI20" s="528">
        <v>13.214399999999999</v>
      </c>
      <c r="EJ20" s="528">
        <v>13.4331</v>
      </c>
      <c r="EK20" s="528">
        <v>13.561299999999999</v>
      </c>
      <c r="EL20" s="528">
        <v>14.5181</v>
      </c>
      <c r="EM20" s="509">
        <v>14</v>
      </c>
      <c r="EP20" s="509">
        <v>14</v>
      </c>
      <c r="EQ20" s="528">
        <v>12.6555</v>
      </c>
      <c r="ER20" s="528">
        <v>12.7364</v>
      </c>
      <c r="ES20" s="528">
        <v>12.4641</v>
      </c>
      <c r="ET20" s="528">
        <v>12.069100000000001</v>
      </c>
      <c r="EU20" s="528">
        <v>12.109400000000001</v>
      </c>
      <c r="EV20" s="528">
        <v>12.844200000000001</v>
      </c>
      <c r="EW20" s="528">
        <v>12.8599</v>
      </c>
      <c r="EX20" s="528">
        <v>12.566599999999999</v>
      </c>
      <c r="EY20" s="528">
        <v>13.0854</v>
      </c>
      <c r="EZ20" s="528">
        <v>13.0913</v>
      </c>
      <c r="FA20" s="528">
        <v>13.187900000000001</v>
      </c>
      <c r="FB20" s="528">
        <v>12.934200000000001</v>
      </c>
      <c r="FC20" s="509">
        <v>14</v>
      </c>
      <c r="FF20" s="509">
        <v>14</v>
      </c>
      <c r="FG20" s="528">
        <v>13.5982</v>
      </c>
      <c r="FH20" s="528">
        <v>12.7857</v>
      </c>
      <c r="FI20" s="528">
        <v>12.715</v>
      </c>
      <c r="FJ20" s="528">
        <v>13.073600000000001</v>
      </c>
      <c r="FK20" s="528">
        <v>13.446999999999999</v>
      </c>
      <c r="FL20" s="528">
        <v>14.006</v>
      </c>
      <c r="FM20" s="528">
        <v>13.4795</v>
      </c>
      <c r="FN20" s="528">
        <v>13.109400000000001</v>
      </c>
      <c r="FO20" s="528">
        <v>13.0305</v>
      </c>
      <c r="FP20" s="528">
        <v>12.879200000000001</v>
      </c>
      <c r="FQ20" s="528">
        <v>13.1975</v>
      </c>
      <c r="FR20" s="528">
        <v>12.7584</v>
      </c>
      <c r="FS20" s="509">
        <v>14</v>
      </c>
      <c r="FV20" s="509">
        <v>14</v>
      </c>
      <c r="FW20" s="528">
        <v>12.075699999999999</v>
      </c>
      <c r="FX20" s="528">
        <v>12.0937</v>
      </c>
      <c r="FY20" s="528">
        <v>11.9755</v>
      </c>
      <c r="FZ20" s="528">
        <v>11.826599999999999</v>
      </c>
      <c r="GA20" s="528">
        <v>11.6656</v>
      </c>
      <c r="GB20" s="528">
        <v>11.868600000000001</v>
      </c>
      <c r="GC20" s="528">
        <v>11.7867</v>
      </c>
      <c r="GD20" s="528">
        <v>12.389900000000001</v>
      </c>
      <c r="GE20" s="528">
        <v>12.768700000000001</v>
      </c>
      <c r="GF20" s="528">
        <v>13.221299999999999</v>
      </c>
      <c r="GG20" s="528">
        <v>13.562200000000001</v>
      </c>
      <c r="GH20" s="528">
        <v>13.640599999999999</v>
      </c>
      <c r="GI20" s="509">
        <v>14</v>
      </c>
      <c r="GL20" s="509">
        <v>14</v>
      </c>
      <c r="GM20" s="528">
        <v>12.729100000000001</v>
      </c>
      <c r="GN20" s="528">
        <v>13.0609</v>
      </c>
      <c r="GO20" s="528">
        <v>12.619199999999999</v>
      </c>
      <c r="GP20" s="528">
        <v>12.1808</v>
      </c>
      <c r="GQ20" s="528">
        <v>12.4351</v>
      </c>
      <c r="GR20" s="528">
        <v>12.7441</v>
      </c>
      <c r="GS20" s="528">
        <v>12.8233</v>
      </c>
      <c r="GT20" s="528">
        <v>12.7258</v>
      </c>
      <c r="GU20" s="528">
        <v>12.961600000000001</v>
      </c>
      <c r="GV20" s="528">
        <v>12.432</v>
      </c>
      <c r="GW20" s="528">
        <v>12.259600000000001</v>
      </c>
      <c r="GX20" s="528">
        <v>12.4617</v>
      </c>
      <c r="GY20" s="509">
        <v>14</v>
      </c>
      <c r="HB20" s="509">
        <v>14</v>
      </c>
      <c r="HC20" s="528">
        <v>13.7608</v>
      </c>
      <c r="HD20" s="528">
        <v>14.6013</v>
      </c>
      <c r="HE20" s="528">
        <v>14.908300000000001</v>
      </c>
      <c r="HF20" s="528">
        <v>13.364800000000001</v>
      </c>
      <c r="HG20" s="528">
        <v>13.220800000000001</v>
      </c>
      <c r="HH20" s="528">
        <v>13.4581</v>
      </c>
      <c r="HI20" s="528">
        <v>13.7052</v>
      </c>
      <c r="HJ20" s="528">
        <v>12.997</v>
      </c>
      <c r="HK20" s="528">
        <v>13.4582</v>
      </c>
      <c r="HL20" s="528">
        <v>13.2178</v>
      </c>
      <c r="HM20" s="528">
        <v>13.206099999999999</v>
      </c>
      <c r="HN20" s="528">
        <v>12.9739</v>
      </c>
      <c r="HO20" s="509">
        <v>14</v>
      </c>
      <c r="HP20" s="529"/>
      <c r="HQ20" s="529"/>
      <c r="HR20" s="509">
        <v>14</v>
      </c>
      <c r="HS20" s="528">
        <v>10.9572</v>
      </c>
      <c r="HT20" s="528">
        <v>10.746499999999999</v>
      </c>
      <c r="HU20" s="528">
        <v>10.7735</v>
      </c>
      <c r="HV20" s="528">
        <v>10.5503</v>
      </c>
      <c r="HW20" s="528">
        <v>10.505800000000001</v>
      </c>
      <c r="HX20" s="528">
        <v>10.395</v>
      </c>
      <c r="HY20" s="528">
        <v>10.307600000000001</v>
      </c>
      <c r="HZ20" s="528">
        <v>10.159000000000001</v>
      </c>
      <c r="IA20" s="528">
        <v>10.6745</v>
      </c>
      <c r="IB20" s="528">
        <v>13.0867</v>
      </c>
      <c r="IC20" s="528">
        <v>13.0875</v>
      </c>
      <c r="ID20" s="528">
        <v>13.472200000000001</v>
      </c>
      <c r="IE20" s="509">
        <v>14</v>
      </c>
      <c r="IF20" s="529"/>
      <c r="IG20" s="529"/>
      <c r="IH20" s="509">
        <v>14</v>
      </c>
      <c r="II20" s="528">
        <v>10.965</v>
      </c>
      <c r="IJ20" s="528">
        <v>11.0227</v>
      </c>
      <c r="IK20" s="528">
        <v>11.148300000000001</v>
      </c>
      <c r="IL20" s="528">
        <v>11.013500000000001</v>
      </c>
      <c r="IM20" s="528">
        <v>10.8178</v>
      </c>
      <c r="IN20" s="528">
        <v>10.9331</v>
      </c>
      <c r="IO20" s="528">
        <v>10.7799</v>
      </c>
      <c r="IP20" s="528">
        <v>11.017300000000001</v>
      </c>
      <c r="IQ20" s="528">
        <v>11.071999999999999</v>
      </c>
      <c r="IR20" s="528">
        <v>10.8101</v>
      </c>
      <c r="IS20" s="528">
        <v>10.937799999999999</v>
      </c>
      <c r="IT20" s="528">
        <v>10.8025</v>
      </c>
      <c r="IU20" s="509">
        <v>14</v>
      </c>
      <c r="IV20" s="529"/>
      <c r="IW20" s="529"/>
      <c r="IX20" s="509">
        <v>14</v>
      </c>
      <c r="IY20" s="528">
        <v>10.5732</v>
      </c>
      <c r="IZ20" s="528">
        <v>10.487</v>
      </c>
      <c r="JA20" s="528">
        <v>10.7125</v>
      </c>
      <c r="JB20" s="528">
        <v>11.0708</v>
      </c>
      <c r="JC20" s="528">
        <v>10.838100000000001</v>
      </c>
      <c r="JD20" s="528">
        <v>11.3827</v>
      </c>
      <c r="JE20" s="528">
        <v>11.0303</v>
      </c>
      <c r="JF20" s="528">
        <v>10.880800000000001</v>
      </c>
      <c r="JG20" s="528">
        <v>11.036099999999999</v>
      </c>
      <c r="JH20" s="528">
        <v>10.9406</v>
      </c>
      <c r="JI20" s="528">
        <v>10.915800000000001</v>
      </c>
      <c r="JJ20" s="528">
        <v>10.8375</v>
      </c>
      <c r="JK20" s="509">
        <v>14</v>
      </c>
      <c r="JL20" s="529"/>
      <c r="JM20" s="529"/>
      <c r="JN20" s="509">
        <v>14</v>
      </c>
      <c r="JO20" s="528">
        <v>11.1761</v>
      </c>
      <c r="JP20" s="528">
        <v>11.1533</v>
      </c>
      <c r="JQ20" s="528">
        <v>11.032400000000001</v>
      </c>
      <c r="JR20" s="528">
        <v>11.115500000000001</v>
      </c>
      <c r="JS20" s="528">
        <v>11.0189</v>
      </c>
      <c r="JT20" s="528">
        <v>10.864800000000001</v>
      </c>
      <c r="JU20" s="528">
        <v>10.6881</v>
      </c>
      <c r="JV20" s="528">
        <v>10.5815</v>
      </c>
      <c r="JW20" s="528">
        <v>10.699400000000001</v>
      </c>
      <c r="JX20" s="528">
        <v>10.8842</v>
      </c>
      <c r="JY20" s="528">
        <v>10.714</v>
      </c>
      <c r="JZ20" s="528">
        <v>10.624000000000001</v>
      </c>
      <c r="KA20" s="509">
        <v>14</v>
      </c>
      <c r="KB20" s="529"/>
      <c r="KC20" s="529"/>
      <c r="KD20" s="509">
        <v>14</v>
      </c>
      <c r="KE20" s="528">
        <v>10.818</v>
      </c>
      <c r="KF20" s="528">
        <v>10.9626</v>
      </c>
      <c r="KG20" s="528">
        <v>10.9633</v>
      </c>
      <c r="KH20" s="528">
        <v>11.2211</v>
      </c>
      <c r="KI20" s="528">
        <v>11.624599999999999</v>
      </c>
      <c r="KJ20" s="528">
        <v>11.366</v>
      </c>
      <c r="KK20" s="528">
        <v>11.5009</v>
      </c>
      <c r="KL20" s="528">
        <v>11.4414</v>
      </c>
      <c r="KM20" s="528">
        <v>11.6005</v>
      </c>
      <c r="KN20" s="528">
        <v>11.2865</v>
      </c>
      <c r="KO20" s="528">
        <v>11.399699999999999</v>
      </c>
      <c r="KP20" s="528">
        <v>11.334300000000001</v>
      </c>
      <c r="KQ20" s="509">
        <v>14</v>
      </c>
      <c r="KR20" s="529"/>
      <c r="KS20" s="529"/>
      <c r="KT20" s="509">
        <v>14</v>
      </c>
      <c r="KU20" s="528">
        <v>10.4672</v>
      </c>
      <c r="KV20" s="528">
        <v>10.9832</v>
      </c>
      <c r="KW20" s="528">
        <v>10.907299999999999</v>
      </c>
      <c r="KX20" s="528">
        <v>10.7651</v>
      </c>
      <c r="KY20" s="528">
        <v>10.177300000000001</v>
      </c>
      <c r="KZ20" s="528">
        <v>10.577500000000001</v>
      </c>
      <c r="LA20" s="528">
        <v>10.4482</v>
      </c>
      <c r="LB20" s="528">
        <v>10.7448</v>
      </c>
      <c r="LC20" s="528">
        <v>10.973699999999999</v>
      </c>
      <c r="LD20" s="528">
        <v>11.194599999999999</v>
      </c>
      <c r="LE20" s="528">
        <v>11.058199999999999</v>
      </c>
      <c r="LF20" s="528">
        <v>11.214499999999999</v>
      </c>
      <c r="LG20" s="509">
        <v>14</v>
      </c>
      <c r="LH20" s="529"/>
      <c r="LI20" s="529"/>
      <c r="LJ20" s="509">
        <v>14</v>
      </c>
      <c r="LK20" s="528">
        <v>9.2444000000000006</v>
      </c>
      <c r="LL20" s="528">
        <v>9.0896000000000008</v>
      </c>
      <c r="LM20" s="528">
        <v>9.0753000000000004</v>
      </c>
      <c r="LN20" s="528">
        <v>9.0770999999999997</v>
      </c>
      <c r="LO20" s="528">
        <v>9.5101999999999993</v>
      </c>
      <c r="LP20" s="528">
        <v>9.7035</v>
      </c>
      <c r="LQ20" s="528">
        <v>9.7979000000000003</v>
      </c>
      <c r="LR20" s="528">
        <v>9.8401999999999994</v>
      </c>
      <c r="LS20" s="528">
        <v>10.0023</v>
      </c>
      <c r="LT20" s="528">
        <v>10.2195</v>
      </c>
      <c r="LU20" s="528">
        <v>10.3447</v>
      </c>
      <c r="LV20" s="528">
        <v>10.1785</v>
      </c>
      <c r="LW20" s="509">
        <v>14</v>
      </c>
      <c r="LX20" s="529"/>
      <c r="LY20" s="529"/>
      <c r="LZ20" s="509">
        <v>14</v>
      </c>
      <c r="MA20" s="528">
        <v>9.8547999999999991</v>
      </c>
      <c r="MB20" s="528">
        <v>9.7388999999999992</v>
      </c>
      <c r="MC20" s="528">
        <v>9.6624999999999996</v>
      </c>
      <c r="MD20" s="528">
        <v>9.3093000000000004</v>
      </c>
      <c r="ME20" s="528">
        <v>9.1966999999999999</v>
      </c>
      <c r="MF20" s="528">
        <v>9.0939999999999994</v>
      </c>
      <c r="MG20" s="528">
        <v>9.3420000000000005</v>
      </c>
      <c r="MH20" s="528">
        <v>9.1247000000000007</v>
      </c>
      <c r="MI20" s="528">
        <v>9.4446999999999992</v>
      </c>
      <c r="MJ20" s="528">
        <v>9.3397000000000006</v>
      </c>
      <c r="MK20" s="528">
        <v>9.2707999999999995</v>
      </c>
      <c r="ML20" s="528">
        <v>9.1819000000000006</v>
      </c>
      <c r="MM20" s="509">
        <v>14</v>
      </c>
      <c r="MN20" s="529"/>
      <c r="MO20" s="529"/>
      <c r="MP20" s="509">
        <v>14</v>
      </c>
      <c r="MQ20" s="528">
        <v>9.5351999999999997</v>
      </c>
      <c r="MR20" s="528">
        <v>9.4347999999999992</v>
      </c>
      <c r="MS20" s="528">
        <v>9.3125</v>
      </c>
      <c r="MT20" s="528">
        <v>9.3964999999999996</v>
      </c>
      <c r="MU20" s="528">
        <v>9.5768000000000004</v>
      </c>
      <c r="MV20" s="528">
        <v>9.8545999999999996</v>
      </c>
      <c r="MW20" s="528">
        <v>9.4748000000000001</v>
      </c>
      <c r="MX20" s="528">
        <v>9.3198000000000008</v>
      </c>
      <c r="MY20" s="528">
        <v>9.2542000000000009</v>
      </c>
      <c r="MZ20" s="528">
        <v>9.5192999999999994</v>
      </c>
      <c r="NA20" s="528">
        <v>9.6007999999999996</v>
      </c>
      <c r="NB20" s="528">
        <v>9.4418000000000006</v>
      </c>
      <c r="NC20" s="509">
        <v>14</v>
      </c>
      <c r="ND20" s="529"/>
      <c r="NE20" s="529"/>
      <c r="NF20" s="509">
        <v>14</v>
      </c>
      <c r="NG20" s="528">
        <v>10.0848</v>
      </c>
      <c r="NH20" s="528">
        <v>9.9793000000000003</v>
      </c>
      <c r="NI20" s="528">
        <v>9.7479999999999993</v>
      </c>
      <c r="NJ20" s="528">
        <v>9.5569000000000006</v>
      </c>
      <c r="NK20" s="528">
        <v>9.3247</v>
      </c>
      <c r="NL20" s="528">
        <v>9.5984999999999996</v>
      </c>
      <c r="NM20" s="528">
        <v>9.4358000000000004</v>
      </c>
      <c r="NN20" s="528">
        <v>9.3533000000000008</v>
      </c>
      <c r="NO20" s="528">
        <v>9.3173999999999992</v>
      </c>
      <c r="NP20" s="528">
        <v>9.4674999999999994</v>
      </c>
      <c r="NQ20" s="528">
        <v>9.3856999999999999</v>
      </c>
      <c r="NR20" s="528">
        <v>9.4143000000000008</v>
      </c>
      <c r="NS20" s="509">
        <v>14</v>
      </c>
      <c r="NT20" s="529"/>
      <c r="NU20" s="529"/>
      <c r="NV20" s="509">
        <v>14</v>
      </c>
      <c r="NW20" s="528">
        <v>8.2774999999999999</v>
      </c>
      <c r="NX20" s="528">
        <v>8.4495000000000005</v>
      </c>
      <c r="NY20" s="528">
        <v>8.5672999999999995</v>
      </c>
      <c r="NZ20" s="528">
        <v>8.5106000000000002</v>
      </c>
      <c r="OA20" s="528">
        <v>8.4964999999999993</v>
      </c>
      <c r="OB20" s="528">
        <v>8.9609000000000005</v>
      </c>
      <c r="OC20" s="528">
        <v>8.9535</v>
      </c>
      <c r="OD20" s="528">
        <v>9.1761999999999997</v>
      </c>
      <c r="OE20" s="528">
        <v>10.532500000000001</v>
      </c>
      <c r="OF20" s="528">
        <v>10.1555</v>
      </c>
      <c r="OG20" s="528">
        <v>10.0563</v>
      </c>
      <c r="OH20" s="528">
        <v>9.9499999999999993</v>
      </c>
      <c r="OI20" s="509">
        <v>14</v>
      </c>
      <c r="OJ20" s="529"/>
      <c r="OK20" s="529"/>
      <c r="OL20" s="509">
        <v>14</v>
      </c>
      <c r="OM20" s="528">
        <v>7.8606999999999996</v>
      </c>
      <c r="ON20" s="528">
        <v>7.7968000000000002</v>
      </c>
      <c r="OO20" s="528">
        <v>7.9611000000000001</v>
      </c>
      <c r="OP20" s="528">
        <v>7.9153000000000002</v>
      </c>
      <c r="OQ20" s="528">
        <v>7.9242999999999997</v>
      </c>
      <c r="OR20" s="528">
        <v>7.9633000000000003</v>
      </c>
      <c r="OS20" s="528">
        <v>7.8913000000000002</v>
      </c>
      <c r="OT20" s="528">
        <v>7.782</v>
      </c>
      <c r="OU20" s="528">
        <v>7.7847</v>
      </c>
      <c r="OV20" s="528">
        <v>7.7591999999999999</v>
      </c>
      <c r="OW20" s="528">
        <v>8.3582999999999998</v>
      </c>
      <c r="OX20" s="528">
        <v>8.1394000000000002</v>
      </c>
      <c r="OY20" s="509">
        <v>14</v>
      </c>
      <c r="OZ20" s="529"/>
      <c r="PA20" s="529"/>
      <c r="PB20" s="509">
        <v>14</v>
      </c>
      <c r="PC20" s="528">
        <v>7.5213000000000001</v>
      </c>
      <c r="PD20" s="528">
        <v>7.5278999999999998</v>
      </c>
      <c r="PE20" s="528">
        <v>7.6044999999999998</v>
      </c>
      <c r="PF20" s="528">
        <v>7.4989999999999997</v>
      </c>
      <c r="PG20" s="528">
        <v>7.4469000000000003</v>
      </c>
      <c r="PH20" s="528">
        <v>7.5743</v>
      </c>
      <c r="PI20" s="528">
        <v>7.6429</v>
      </c>
      <c r="PJ20" s="528">
        <v>7.5106000000000002</v>
      </c>
      <c r="PK20" s="528">
        <v>7.5416999999999996</v>
      </c>
      <c r="PL20" s="528">
        <v>7.6109</v>
      </c>
      <c r="PM20" s="528">
        <v>7.9154999999999998</v>
      </c>
      <c r="PN20" s="528">
        <v>7.8723000000000001</v>
      </c>
      <c r="PO20" s="509">
        <v>14</v>
      </c>
      <c r="PP20" s="529"/>
      <c r="PQ20" s="529"/>
      <c r="PR20" s="509">
        <v>14</v>
      </c>
      <c r="PS20" s="528">
        <v>5.6875</v>
      </c>
      <c r="PT20" s="528">
        <v>5.6375000000000002</v>
      </c>
      <c r="PU20" s="528">
        <v>6.4675000000000002</v>
      </c>
      <c r="PV20" s="528">
        <v>6.3033000000000001</v>
      </c>
      <c r="PW20" s="528">
        <v>5.9082999999999997</v>
      </c>
      <c r="PX20" s="528">
        <v>6.2792000000000003</v>
      </c>
      <c r="PY20" s="528">
        <v>6.0971000000000002</v>
      </c>
      <c r="PZ20" s="528">
        <v>6.1452999999999998</v>
      </c>
      <c r="QA20" s="528">
        <v>6.2850000000000001</v>
      </c>
      <c r="QB20" s="528">
        <v>6.7042000000000002</v>
      </c>
      <c r="QC20" s="528">
        <v>7.665</v>
      </c>
      <c r="QD20" s="528">
        <v>7.7504</v>
      </c>
      <c r="QE20" s="509">
        <v>14</v>
      </c>
      <c r="QF20" s="529"/>
      <c r="QG20" s="529"/>
      <c r="QH20" s="509">
        <v>14</v>
      </c>
      <c r="QI20" s="528">
        <v>3.1093999999999999</v>
      </c>
      <c r="QJ20" s="528">
        <v>3.105</v>
      </c>
      <c r="QK20" s="528">
        <v>3.2888000000000002</v>
      </c>
      <c r="QL20" s="528">
        <v>3.3656999999999999</v>
      </c>
      <c r="QM20" s="528">
        <v>3.3325</v>
      </c>
      <c r="QN20" s="528">
        <v>3.3613</v>
      </c>
      <c r="QO20" s="528">
        <v>3.4022000000000001</v>
      </c>
      <c r="QP20" s="528">
        <v>3.3980000000000001</v>
      </c>
      <c r="QQ20" s="528">
        <v>3.4134000000000002</v>
      </c>
      <c r="QR20" s="528">
        <v>3.4169999999999998</v>
      </c>
      <c r="QS20" s="528">
        <v>3.4424000000000001</v>
      </c>
      <c r="QT20" s="528">
        <v>3.4533999999999998</v>
      </c>
      <c r="QU20" s="509">
        <v>14</v>
      </c>
      <c r="QV20" s="529"/>
      <c r="QW20" s="529"/>
      <c r="QX20" s="509">
        <v>14</v>
      </c>
      <c r="QY20" s="528">
        <v>3.1095999999999999</v>
      </c>
      <c r="QZ20" s="528">
        <v>3.1009000000000002</v>
      </c>
      <c r="RA20" s="528">
        <v>3.1196999999999999</v>
      </c>
      <c r="RB20" s="528">
        <v>3.0962000000000001</v>
      </c>
      <c r="RC20" s="528">
        <v>3.1291000000000002</v>
      </c>
      <c r="RD20" s="528">
        <v>3.1282000000000001</v>
      </c>
      <c r="RE20" s="528">
        <v>3.1294</v>
      </c>
      <c r="RF20" s="528">
        <v>3.1164999999999998</v>
      </c>
      <c r="RG20" s="528">
        <v>3.1118999999999999</v>
      </c>
      <c r="RH20" s="528">
        <v>3.1135999999999999</v>
      </c>
      <c r="RI20" s="528">
        <v>3.2162999999999999</v>
      </c>
      <c r="RJ20" s="528">
        <v>3.1168999999999998</v>
      </c>
      <c r="RK20" s="509">
        <v>14</v>
      </c>
      <c r="RL20" s="529"/>
      <c r="RM20" s="529"/>
      <c r="RN20" s="509">
        <v>14</v>
      </c>
      <c r="RO20" s="528">
        <v>3.0668000000000002</v>
      </c>
      <c r="RP20" s="528">
        <v>3.0632999999999999</v>
      </c>
      <c r="RQ20" s="528">
        <v>3.0609999999999999</v>
      </c>
      <c r="RR20" s="528">
        <v>3.0657000000000001</v>
      </c>
      <c r="RS20" s="528">
        <v>3.0863</v>
      </c>
      <c r="RT20" s="528">
        <v>3.1191</v>
      </c>
      <c r="RU20" s="528">
        <v>3.1179999999999999</v>
      </c>
      <c r="RV20" s="528">
        <v>3.0758999999999999</v>
      </c>
      <c r="RW20" s="528">
        <v>3.0768</v>
      </c>
      <c r="RX20" s="528">
        <v>3.1137999999999999</v>
      </c>
      <c r="RY20" s="528">
        <v>3.1156000000000001</v>
      </c>
      <c r="RZ20" s="528">
        <v>3.1116999999999999</v>
      </c>
      <c r="SA20" s="509">
        <v>14</v>
      </c>
      <c r="SB20" s="529"/>
      <c r="SC20" s="529"/>
      <c r="SD20" s="509">
        <v>14</v>
      </c>
      <c r="SE20" s="528">
        <v>2.9506000000000001</v>
      </c>
      <c r="SF20" s="528">
        <v>2.9638</v>
      </c>
      <c r="SG20" s="528">
        <v>2.9750000000000001</v>
      </c>
      <c r="SH20" s="528">
        <v>2.9870000000000001</v>
      </c>
      <c r="SI20" s="528">
        <v>2.9986000000000002</v>
      </c>
      <c r="SJ20" s="528">
        <v>3.0118</v>
      </c>
      <c r="SK20" s="528">
        <v>3.0234000000000001</v>
      </c>
      <c r="SL20" s="528">
        <v>3.0362</v>
      </c>
      <c r="SM20" s="528">
        <v>3.0486</v>
      </c>
      <c r="SN20" s="528">
        <v>3.0613999999999999</v>
      </c>
      <c r="SO20" s="528">
        <v>3.07348</v>
      </c>
      <c r="SP20" s="528">
        <v>3.0629900000000001</v>
      </c>
      <c r="SQ20" s="509">
        <v>14</v>
      </c>
      <c r="SR20" s="529"/>
      <c r="SS20" s="529"/>
      <c r="ST20" s="509">
        <v>14</v>
      </c>
      <c r="SU20" s="528">
        <v>2.6549999999999998</v>
      </c>
      <c r="SV20" s="528">
        <v>2.6869999999999998</v>
      </c>
      <c r="SW20" s="528">
        <v>2.7149999999999999</v>
      </c>
      <c r="SX20" s="528">
        <v>2.746</v>
      </c>
      <c r="SY20" s="528">
        <v>2.774</v>
      </c>
      <c r="SZ20" s="528">
        <v>2.8041999999999998</v>
      </c>
      <c r="TA20" s="528">
        <v>2.8281999999999998</v>
      </c>
      <c r="TB20" s="528">
        <v>2.8513999999999999</v>
      </c>
      <c r="TC20" s="528">
        <v>2.8778000000000001</v>
      </c>
      <c r="TD20" s="528">
        <v>2.9009999999999998</v>
      </c>
      <c r="TE20" s="528">
        <v>2.9266000000000001</v>
      </c>
      <c r="TF20" s="528">
        <v>2.9390000000000001</v>
      </c>
      <c r="TG20" s="509">
        <v>14</v>
      </c>
      <c r="TH20" s="529"/>
      <c r="TI20" s="529"/>
      <c r="TJ20" s="509">
        <v>14</v>
      </c>
      <c r="TK20" s="528">
        <v>2.2909999999999999</v>
      </c>
      <c r="TL20" s="528">
        <v>2.3199999999999998</v>
      </c>
      <c r="TM20" s="528">
        <v>2.3479999999999999</v>
      </c>
      <c r="TN20" s="528">
        <v>2.3809999999999998</v>
      </c>
      <c r="TO20" s="528">
        <v>2.41</v>
      </c>
      <c r="TP20" s="528">
        <v>2.4420000000000002</v>
      </c>
      <c r="TQ20" s="528">
        <v>2.472</v>
      </c>
      <c r="TR20" s="528">
        <v>2.5009999999999999</v>
      </c>
      <c r="TS20" s="528">
        <v>2.5339999999999998</v>
      </c>
      <c r="TT20" s="528">
        <v>2.5640000000000001</v>
      </c>
      <c r="TU20" s="528">
        <v>2.593</v>
      </c>
      <c r="TV20" s="528">
        <v>2.625</v>
      </c>
      <c r="TW20" s="509">
        <v>14</v>
      </c>
    </row>
    <row r="21" spans="2:543" s="4" customFormat="1" ht="23" customHeight="1">
      <c r="B21" s="509">
        <v>15</v>
      </c>
      <c r="C21" s="541">
        <v>20.360700000000001</v>
      </c>
      <c r="D21" s="541">
        <v>20.418800000000001</v>
      </c>
      <c r="E21" s="541">
        <v>20.9695</v>
      </c>
      <c r="F21" s="541">
        <v>19.840699999999998</v>
      </c>
      <c r="G21" s="541">
        <v>20.32</v>
      </c>
      <c r="H21" s="541">
        <v>20.4527</v>
      </c>
      <c r="I21" s="541">
        <v>20.761299999999999</v>
      </c>
      <c r="J21" s="541">
        <v>19.959499999999998</v>
      </c>
      <c r="K21" s="541">
        <v>20.055</v>
      </c>
      <c r="L21" s="541">
        <v>20.0398</v>
      </c>
      <c r="M21" s="541">
        <v>19.535299999999999</v>
      </c>
      <c r="N21" s="541">
        <v>19.645800000000001</v>
      </c>
      <c r="O21" s="509">
        <v>15</v>
      </c>
      <c r="R21" s="509">
        <v>15</v>
      </c>
      <c r="S21" s="541">
        <v>19.793500000000002</v>
      </c>
      <c r="T21" s="541">
        <v>19.953499999999998</v>
      </c>
      <c r="U21" s="541">
        <v>20.7133</v>
      </c>
      <c r="V21" s="541">
        <v>20.073499999999999</v>
      </c>
      <c r="W21" s="541">
        <v>20.049499999999998</v>
      </c>
      <c r="X21" s="541">
        <v>19.882300000000001</v>
      </c>
      <c r="Y21" s="541">
        <v>19.998799999999999</v>
      </c>
      <c r="Z21" s="541">
        <v>19.890699999999999</v>
      </c>
      <c r="AA21" s="541">
        <v>19.867699999999999</v>
      </c>
      <c r="AB21" s="541">
        <v>20.682700000000001</v>
      </c>
      <c r="AC21" s="541">
        <v>20.465199999999999</v>
      </c>
      <c r="AD21" s="541">
        <v>20.938300000000002</v>
      </c>
      <c r="AE21" s="509">
        <v>15</v>
      </c>
      <c r="AH21" s="509">
        <v>15</v>
      </c>
      <c r="AI21" s="541">
        <v>18.8215</v>
      </c>
      <c r="AJ21" s="541">
        <v>18.645800000000001</v>
      </c>
      <c r="AK21" s="541">
        <v>22.151800000000001</v>
      </c>
      <c r="AL21" s="541">
        <v>23.742699999999999</v>
      </c>
      <c r="AM21" s="541">
        <v>24.211300000000001</v>
      </c>
      <c r="AN21" s="541">
        <v>22.4252</v>
      </c>
      <c r="AO21" s="541">
        <v>22.4633</v>
      </c>
      <c r="AP21" s="541">
        <v>22.262799999999999</v>
      </c>
      <c r="AQ21" s="541">
        <v>21.321000000000002</v>
      </c>
      <c r="AR21" s="541">
        <v>21.367699999999999</v>
      </c>
      <c r="AS21" s="541">
        <v>20.5303</v>
      </c>
      <c r="AT21" s="541">
        <v>20.107500000000002</v>
      </c>
      <c r="AU21" s="509">
        <v>15</v>
      </c>
      <c r="AX21" s="509">
        <v>15</v>
      </c>
      <c r="AY21" s="528">
        <v>19.1236</v>
      </c>
      <c r="AZ21" s="528">
        <v>19.4084</v>
      </c>
      <c r="BA21" s="528">
        <v>19.332000000000001</v>
      </c>
      <c r="BB21" s="528">
        <v>18.8432</v>
      </c>
      <c r="BC21" s="528">
        <v>19.192799999999998</v>
      </c>
      <c r="BD21" s="528">
        <v>19.1645</v>
      </c>
      <c r="BE21" s="528">
        <v>19.122699999999998</v>
      </c>
      <c r="BF21" s="528">
        <v>19.463000000000001</v>
      </c>
      <c r="BG21" s="528">
        <v>19.426500000000001</v>
      </c>
      <c r="BH21" s="528">
        <v>19.3217</v>
      </c>
      <c r="BI21" s="528">
        <v>19.4543</v>
      </c>
      <c r="BJ21" s="528">
        <v>19.1785</v>
      </c>
      <c r="BK21" s="509">
        <v>15</v>
      </c>
      <c r="BN21" s="509">
        <v>15</v>
      </c>
      <c r="BO21" s="528">
        <v>19.343299999999999</v>
      </c>
      <c r="BP21" s="528">
        <v>18.626899999999999</v>
      </c>
      <c r="BQ21" s="530">
        <v>18.560400000000001</v>
      </c>
      <c r="BR21" s="528">
        <v>18.135300000000001</v>
      </c>
      <c r="BS21" s="528">
        <v>19.353899999999999</v>
      </c>
      <c r="BT21" s="528">
        <v>20.625900000000001</v>
      </c>
      <c r="BU21" s="528">
        <v>18.824100000000001</v>
      </c>
      <c r="BV21" s="528">
        <v>19.180099999999999</v>
      </c>
      <c r="BW21" s="528">
        <v>18.877500000000001</v>
      </c>
      <c r="BX21" s="528">
        <v>19.021699999999999</v>
      </c>
      <c r="BY21" s="528">
        <v>20.515799999999999</v>
      </c>
      <c r="BZ21" s="528">
        <v>20.256599999999999</v>
      </c>
      <c r="CA21" s="509">
        <v>15</v>
      </c>
      <c r="CD21" s="509">
        <v>15</v>
      </c>
      <c r="CE21" s="528">
        <v>21.720400000000001</v>
      </c>
      <c r="CF21" s="528">
        <v>20.327999999999999</v>
      </c>
      <c r="CG21" s="528">
        <v>19.580300000000001</v>
      </c>
      <c r="CH21" s="528">
        <v>18.764600000000002</v>
      </c>
      <c r="CI21" s="528">
        <v>18.9039</v>
      </c>
      <c r="CJ21" s="528">
        <v>18.072500000000002</v>
      </c>
      <c r="CK21" s="528">
        <v>17.7422</v>
      </c>
      <c r="CL21" s="528">
        <v>17.847000000000001</v>
      </c>
      <c r="CM21" s="528">
        <v>17.7836</v>
      </c>
      <c r="CN21" s="528">
        <v>18.763100000000001</v>
      </c>
      <c r="CO21" s="528">
        <v>19.167999999999999</v>
      </c>
      <c r="CP21" s="528">
        <v>19.139099999999999</v>
      </c>
      <c r="CQ21" s="509">
        <v>15</v>
      </c>
      <c r="CT21" s="509">
        <v>15</v>
      </c>
      <c r="CU21" s="528">
        <v>17.850000000000001</v>
      </c>
      <c r="CV21" s="528">
        <v>19.1754</v>
      </c>
      <c r="CW21" s="528">
        <v>17.700199999999999</v>
      </c>
      <c r="CX21" s="528">
        <v>17.489999999999998</v>
      </c>
      <c r="CY21" s="528">
        <v>17.991499999999998</v>
      </c>
      <c r="CZ21" s="528">
        <v>18.791499999999999</v>
      </c>
      <c r="DA21" s="528">
        <v>18.393699999999999</v>
      </c>
      <c r="DB21" s="528">
        <v>18.267800000000001</v>
      </c>
      <c r="DC21" s="528">
        <v>19.152000000000001</v>
      </c>
      <c r="DD21" s="528">
        <v>19.039899999999999</v>
      </c>
      <c r="DE21" s="528">
        <v>21.051100000000002</v>
      </c>
      <c r="DF21" s="528">
        <v>20.256699999999999</v>
      </c>
      <c r="DG21" s="509">
        <v>15</v>
      </c>
      <c r="DJ21" s="509">
        <v>15</v>
      </c>
      <c r="DK21" s="528">
        <v>14.555899999999999</v>
      </c>
      <c r="DL21" s="528">
        <v>14.916700000000001</v>
      </c>
      <c r="DM21" s="528">
        <v>15.4003</v>
      </c>
      <c r="DN21" s="528">
        <v>15.294700000000001</v>
      </c>
      <c r="DO21" s="528">
        <v>15.221299999999999</v>
      </c>
      <c r="DP21" s="528">
        <v>15.440899999999999</v>
      </c>
      <c r="DQ21" s="528">
        <v>15.740399999999999</v>
      </c>
      <c r="DR21" s="528">
        <v>16.297599999999999</v>
      </c>
      <c r="DS21" s="528">
        <v>16.8261</v>
      </c>
      <c r="DT21" s="528">
        <v>16.584800000000001</v>
      </c>
      <c r="DU21" s="528">
        <v>16.740600000000001</v>
      </c>
      <c r="DV21" s="528">
        <v>17.359200000000001</v>
      </c>
      <c r="DW21" s="509">
        <v>15</v>
      </c>
      <c r="DZ21" s="509">
        <v>15</v>
      </c>
      <c r="EA21" s="528">
        <v>12.988899999999999</v>
      </c>
      <c r="EB21" s="528">
        <v>13.332000000000001</v>
      </c>
      <c r="EC21" s="528">
        <v>13.2456</v>
      </c>
      <c r="ED21" s="528">
        <v>13.078799999999999</v>
      </c>
      <c r="EE21" s="528">
        <v>12.923400000000001</v>
      </c>
      <c r="EF21" s="528">
        <v>12.9815</v>
      </c>
      <c r="EG21" s="528">
        <v>12.984999999999999</v>
      </c>
      <c r="EH21" s="528">
        <v>13.1113</v>
      </c>
      <c r="EI21" s="528">
        <v>13.214399999999999</v>
      </c>
      <c r="EJ21" s="528">
        <v>13.420299999999999</v>
      </c>
      <c r="EK21" s="528">
        <v>13.599500000000001</v>
      </c>
      <c r="EL21" s="528">
        <v>14.5181</v>
      </c>
      <c r="EM21" s="509">
        <v>15</v>
      </c>
      <c r="EP21" s="509">
        <v>15</v>
      </c>
      <c r="EQ21" s="528">
        <v>12.6478</v>
      </c>
      <c r="ER21" s="528">
        <v>12.711600000000001</v>
      </c>
      <c r="ES21" s="528">
        <v>12.396699999999999</v>
      </c>
      <c r="ET21" s="528">
        <v>12.069100000000001</v>
      </c>
      <c r="EU21" s="528">
        <v>12.1448</v>
      </c>
      <c r="EV21" s="528">
        <v>12.7812</v>
      </c>
      <c r="EW21" s="528">
        <v>12.8599</v>
      </c>
      <c r="EX21" s="528">
        <v>12.7545</v>
      </c>
      <c r="EY21" s="528">
        <v>13.0854</v>
      </c>
      <c r="EZ21" s="528">
        <v>13.051399999999999</v>
      </c>
      <c r="FA21" s="528">
        <v>13.103</v>
      </c>
      <c r="FB21" s="528">
        <v>12.934200000000001</v>
      </c>
      <c r="FC21" s="509">
        <v>15</v>
      </c>
      <c r="FF21" s="509">
        <v>15</v>
      </c>
      <c r="FG21" s="528">
        <v>13.5982</v>
      </c>
      <c r="FH21" s="528">
        <v>12.7392</v>
      </c>
      <c r="FI21" s="528">
        <v>12.633599999999999</v>
      </c>
      <c r="FJ21" s="528">
        <v>13.073600000000001</v>
      </c>
      <c r="FK21" s="528">
        <v>13.492900000000001</v>
      </c>
      <c r="FL21" s="528">
        <v>13.97</v>
      </c>
      <c r="FM21" s="528">
        <v>13.4795</v>
      </c>
      <c r="FN21" s="528">
        <v>13.147399999999999</v>
      </c>
      <c r="FO21" s="528">
        <v>12.9749</v>
      </c>
      <c r="FP21" s="528">
        <v>12.879200000000001</v>
      </c>
      <c r="FQ21" s="528">
        <v>13.228400000000001</v>
      </c>
      <c r="FR21" s="528">
        <v>12.786899999999999</v>
      </c>
      <c r="FS21" s="509">
        <v>15</v>
      </c>
      <c r="FV21" s="509">
        <v>15</v>
      </c>
      <c r="FW21" s="528">
        <v>12.1028</v>
      </c>
      <c r="FX21" s="528">
        <v>12.063499999999999</v>
      </c>
      <c r="FY21" s="528">
        <v>11.944100000000001</v>
      </c>
      <c r="FZ21" s="528">
        <v>11.790699999999999</v>
      </c>
      <c r="GA21" s="528">
        <v>11.6656</v>
      </c>
      <c r="GB21" s="528">
        <v>11.868</v>
      </c>
      <c r="GC21" s="528">
        <v>11.717000000000001</v>
      </c>
      <c r="GD21" s="528">
        <v>12.389900000000001</v>
      </c>
      <c r="GE21" s="528">
        <v>12.8994</v>
      </c>
      <c r="GF21" s="528">
        <v>13.364699999999999</v>
      </c>
      <c r="GG21" s="528">
        <v>13.416499999999999</v>
      </c>
      <c r="GH21" s="528">
        <v>13.7714</v>
      </c>
      <c r="GI21" s="509">
        <v>15</v>
      </c>
      <c r="GL21" s="509">
        <v>15</v>
      </c>
      <c r="GM21" s="528">
        <v>12.7698</v>
      </c>
      <c r="GN21" s="528">
        <v>13.0609</v>
      </c>
      <c r="GO21" s="528">
        <v>12.619199999999999</v>
      </c>
      <c r="GP21" s="528">
        <v>12.212199999999999</v>
      </c>
      <c r="GQ21" s="528">
        <v>12.350099999999999</v>
      </c>
      <c r="GR21" s="528">
        <v>12.674799999999999</v>
      </c>
      <c r="GS21" s="528">
        <v>12.714</v>
      </c>
      <c r="GT21" s="528">
        <v>12.7258</v>
      </c>
      <c r="GU21" s="528">
        <v>12.8729</v>
      </c>
      <c r="GV21" s="528">
        <v>12.3683</v>
      </c>
      <c r="GW21" s="528">
        <v>12.259600000000001</v>
      </c>
      <c r="GX21" s="528">
        <v>12.386900000000001</v>
      </c>
      <c r="GY21" s="509">
        <v>15</v>
      </c>
      <c r="HB21" s="509">
        <v>15</v>
      </c>
      <c r="HC21" s="528">
        <v>13.839</v>
      </c>
      <c r="HD21" s="528">
        <v>14.6013</v>
      </c>
      <c r="HE21" s="528">
        <v>14.908300000000001</v>
      </c>
      <c r="HF21" s="528">
        <v>13.0914</v>
      </c>
      <c r="HG21" s="528">
        <v>13.3177</v>
      </c>
      <c r="HH21" s="528">
        <v>13.4581</v>
      </c>
      <c r="HI21" s="528">
        <v>13.810499999999999</v>
      </c>
      <c r="HJ21" s="528">
        <v>12.8658</v>
      </c>
      <c r="HK21" s="528">
        <v>13.3432</v>
      </c>
      <c r="HL21" s="528">
        <v>13.1774</v>
      </c>
      <c r="HM21" s="528">
        <v>13.206099999999999</v>
      </c>
      <c r="HN21" s="528">
        <v>12.9253</v>
      </c>
      <c r="HO21" s="509">
        <v>15</v>
      </c>
      <c r="HP21" s="529"/>
      <c r="HQ21" s="529"/>
      <c r="HR21" s="509">
        <v>15</v>
      </c>
      <c r="HS21" s="528">
        <v>10.931800000000001</v>
      </c>
      <c r="HT21" s="528">
        <v>10.7509</v>
      </c>
      <c r="HU21" s="528">
        <v>10.777799999999999</v>
      </c>
      <c r="HV21" s="528">
        <v>10.5337</v>
      </c>
      <c r="HW21" s="528">
        <v>10.483499999999999</v>
      </c>
      <c r="HX21" s="528">
        <v>10.395</v>
      </c>
      <c r="HY21" s="528">
        <v>10.311999999999999</v>
      </c>
      <c r="HZ21" s="528">
        <v>10.1968</v>
      </c>
      <c r="IA21" s="528">
        <v>10.6745</v>
      </c>
      <c r="IB21" s="528">
        <v>12.3743</v>
      </c>
      <c r="IC21" s="528">
        <v>13.1663</v>
      </c>
      <c r="ID21" s="528">
        <v>13.472200000000001</v>
      </c>
      <c r="IE21" s="509">
        <v>15</v>
      </c>
      <c r="IF21" s="529"/>
      <c r="IG21" s="529"/>
      <c r="IH21" s="509">
        <v>15</v>
      </c>
      <c r="II21" s="528">
        <v>10.965</v>
      </c>
      <c r="IJ21" s="528">
        <v>10.9915</v>
      </c>
      <c r="IK21" s="528">
        <v>11.172700000000001</v>
      </c>
      <c r="IL21" s="528">
        <v>11.013500000000001</v>
      </c>
      <c r="IM21" s="528">
        <v>10.8148</v>
      </c>
      <c r="IN21" s="528">
        <v>10.953799999999999</v>
      </c>
      <c r="IO21" s="528">
        <v>10.7799</v>
      </c>
      <c r="IP21" s="528">
        <v>10.9915</v>
      </c>
      <c r="IQ21" s="528">
        <v>11.074299999999999</v>
      </c>
      <c r="IR21" s="528">
        <v>10.8101</v>
      </c>
      <c r="IS21" s="528">
        <v>10.8941</v>
      </c>
      <c r="IT21" s="528">
        <v>10.8376</v>
      </c>
      <c r="IU21" s="509">
        <v>15</v>
      </c>
      <c r="IV21" s="529"/>
      <c r="IW21" s="529"/>
      <c r="IX21" s="509">
        <v>15</v>
      </c>
      <c r="IY21" s="528">
        <v>10.5732</v>
      </c>
      <c r="IZ21" s="528">
        <v>10.5258</v>
      </c>
      <c r="JA21" s="528">
        <v>10.7126</v>
      </c>
      <c r="JB21" s="528">
        <v>11.0708</v>
      </c>
      <c r="JC21" s="528">
        <v>10.838100000000001</v>
      </c>
      <c r="JD21" s="528">
        <v>11.432700000000001</v>
      </c>
      <c r="JE21" s="528">
        <v>11.052300000000001</v>
      </c>
      <c r="JF21" s="528">
        <v>10.8147</v>
      </c>
      <c r="JG21" s="528">
        <v>11.011699999999999</v>
      </c>
      <c r="JH21" s="528">
        <v>10.9406</v>
      </c>
      <c r="JI21" s="528">
        <v>10.926299999999999</v>
      </c>
      <c r="JJ21" s="528">
        <v>10.8255</v>
      </c>
      <c r="JK21" s="509">
        <v>15</v>
      </c>
      <c r="JL21" s="529"/>
      <c r="JM21" s="529"/>
      <c r="JN21" s="509">
        <v>15</v>
      </c>
      <c r="JO21" s="528">
        <v>11.1858</v>
      </c>
      <c r="JP21" s="528">
        <v>11.1532</v>
      </c>
      <c r="JQ21" s="528">
        <v>11.0223</v>
      </c>
      <c r="JR21" s="528">
        <v>11.061500000000001</v>
      </c>
      <c r="JS21" s="528">
        <v>11.0189</v>
      </c>
      <c r="JT21" s="528">
        <v>10.868</v>
      </c>
      <c r="JU21" s="528">
        <v>10.6898</v>
      </c>
      <c r="JV21" s="528">
        <v>10.5815</v>
      </c>
      <c r="JW21" s="528">
        <v>10.7456</v>
      </c>
      <c r="JX21" s="528">
        <v>10.940799999999999</v>
      </c>
      <c r="JY21" s="528">
        <v>10.683299999999999</v>
      </c>
      <c r="JZ21" s="528">
        <v>10.636799999999999</v>
      </c>
      <c r="KA21" s="509">
        <v>15</v>
      </c>
      <c r="KB21" s="529"/>
      <c r="KC21" s="529"/>
      <c r="KD21" s="509">
        <v>15</v>
      </c>
      <c r="KE21" s="528">
        <v>10.8369</v>
      </c>
      <c r="KF21" s="528">
        <v>10.9626</v>
      </c>
      <c r="KG21" s="528">
        <v>10.9633</v>
      </c>
      <c r="KH21" s="528">
        <v>11.270200000000001</v>
      </c>
      <c r="KI21" s="528">
        <v>11.6281</v>
      </c>
      <c r="KJ21" s="528">
        <v>11.3689</v>
      </c>
      <c r="KK21" s="528">
        <v>11.494899999999999</v>
      </c>
      <c r="KL21" s="528">
        <v>11.4414</v>
      </c>
      <c r="KM21" s="528">
        <v>11.576000000000001</v>
      </c>
      <c r="KN21" s="528">
        <v>11.302099999999999</v>
      </c>
      <c r="KO21" s="528">
        <v>11.399699999999999</v>
      </c>
      <c r="KP21" s="528">
        <v>11.304500000000001</v>
      </c>
      <c r="KQ21" s="509">
        <v>15</v>
      </c>
      <c r="KR21" s="529"/>
      <c r="KS21" s="529"/>
      <c r="KT21" s="509">
        <v>15</v>
      </c>
      <c r="KU21" s="528">
        <v>10.536799999999999</v>
      </c>
      <c r="KV21" s="528">
        <v>10.972300000000001</v>
      </c>
      <c r="KW21" s="528">
        <v>10.817299999999999</v>
      </c>
      <c r="KX21" s="528">
        <v>10.702</v>
      </c>
      <c r="KY21" s="528">
        <v>10.160500000000001</v>
      </c>
      <c r="KZ21" s="528">
        <v>10.577500000000001</v>
      </c>
      <c r="LA21" s="528">
        <v>10.4213</v>
      </c>
      <c r="LB21" s="528">
        <v>10.7562</v>
      </c>
      <c r="LC21" s="528">
        <v>10.973699999999999</v>
      </c>
      <c r="LD21" s="528">
        <v>11.1853</v>
      </c>
      <c r="LE21" s="528">
        <v>11.175700000000001</v>
      </c>
      <c r="LF21" s="528">
        <v>11.214499999999999</v>
      </c>
      <c r="LG21" s="509">
        <v>15</v>
      </c>
      <c r="LH21" s="529"/>
      <c r="LI21" s="529"/>
      <c r="LJ21" s="509">
        <v>15</v>
      </c>
      <c r="LK21" s="528">
        <v>9.2734000000000005</v>
      </c>
      <c r="LL21" s="528">
        <v>9.0607000000000006</v>
      </c>
      <c r="LM21" s="528">
        <v>9.1152999999999995</v>
      </c>
      <c r="LN21" s="528">
        <v>9.0770999999999997</v>
      </c>
      <c r="LO21" s="528">
        <v>9.4932999999999996</v>
      </c>
      <c r="LP21" s="528">
        <v>9.6532</v>
      </c>
      <c r="LQ21" s="528">
        <v>9.7979000000000003</v>
      </c>
      <c r="LR21" s="528">
        <v>9.9512</v>
      </c>
      <c r="LS21" s="528">
        <v>10.0023</v>
      </c>
      <c r="LT21" s="528">
        <v>10.1592</v>
      </c>
      <c r="LU21" s="528">
        <v>10.278700000000001</v>
      </c>
      <c r="LV21" s="528">
        <v>10.1785</v>
      </c>
      <c r="LW21" s="509">
        <v>15</v>
      </c>
      <c r="LX21" s="529"/>
      <c r="LY21" s="529"/>
      <c r="LZ21" s="509">
        <v>15</v>
      </c>
      <c r="MA21" s="528">
        <v>9.8547999999999991</v>
      </c>
      <c r="MB21" s="528">
        <v>9.7065000000000001</v>
      </c>
      <c r="MC21" s="528">
        <v>9.6319999999999997</v>
      </c>
      <c r="MD21" s="528">
        <v>9.3093000000000004</v>
      </c>
      <c r="ME21" s="528">
        <v>9.2249999999999996</v>
      </c>
      <c r="MF21" s="528">
        <v>9.1180000000000003</v>
      </c>
      <c r="MG21" s="528">
        <v>9.3420000000000005</v>
      </c>
      <c r="MH21" s="528">
        <v>9.0862999999999996</v>
      </c>
      <c r="MI21" s="528">
        <v>9.4748000000000001</v>
      </c>
      <c r="MJ21" s="528">
        <v>9.3397000000000006</v>
      </c>
      <c r="MK21" s="528">
        <v>9.2518999999999991</v>
      </c>
      <c r="ML21" s="528">
        <v>9.1204000000000001</v>
      </c>
      <c r="MM21" s="509">
        <v>15</v>
      </c>
      <c r="MN21" s="529"/>
      <c r="MO21" s="529"/>
      <c r="MP21" s="509">
        <v>15</v>
      </c>
      <c r="MQ21" s="528">
        <v>9.5056999999999992</v>
      </c>
      <c r="MR21" s="528">
        <v>9.4212000000000007</v>
      </c>
      <c r="MS21" s="528">
        <v>9.3338000000000001</v>
      </c>
      <c r="MT21" s="528">
        <v>9.3987999999999996</v>
      </c>
      <c r="MU21" s="528">
        <v>9.5768000000000004</v>
      </c>
      <c r="MV21" s="528">
        <v>9.7645</v>
      </c>
      <c r="MW21" s="528">
        <v>9.4367999999999999</v>
      </c>
      <c r="MX21" s="528">
        <v>9.2918000000000003</v>
      </c>
      <c r="MY21" s="528">
        <v>9.2859999999999996</v>
      </c>
      <c r="MZ21" s="528">
        <v>9.5192999999999994</v>
      </c>
      <c r="NA21" s="528">
        <v>9.5579999999999998</v>
      </c>
      <c r="NB21" s="528">
        <v>9.4497</v>
      </c>
      <c r="NC21" s="509">
        <v>15</v>
      </c>
      <c r="ND21" s="529"/>
      <c r="NE21" s="529"/>
      <c r="NF21" s="509">
        <v>15</v>
      </c>
      <c r="NG21" s="528">
        <v>10.6</v>
      </c>
      <c r="NH21" s="528">
        <v>9.9793000000000003</v>
      </c>
      <c r="NI21" s="528">
        <v>9.7479999999999993</v>
      </c>
      <c r="NJ21" s="528">
        <v>9.5058000000000007</v>
      </c>
      <c r="NK21" s="528">
        <v>9.2698</v>
      </c>
      <c r="NL21" s="528">
        <v>9.5451999999999995</v>
      </c>
      <c r="NM21" s="528">
        <v>9.4589999999999996</v>
      </c>
      <c r="NN21" s="528">
        <v>9.3533000000000008</v>
      </c>
      <c r="NO21" s="528">
        <v>9.3192000000000004</v>
      </c>
      <c r="NP21" s="528">
        <v>9.5190000000000001</v>
      </c>
      <c r="NQ21" s="528">
        <v>9.3856999999999999</v>
      </c>
      <c r="NR21" s="528">
        <v>9.4143000000000008</v>
      </c>
      <c r="NS21" s="509">
        <v>15</v>
      </c>
      <c r="NT21" s="529"/>
      <c r="NU21" s="529"/>
      <c r="NV21" s="509">
        <v>15</v>
      </c>
      <c r="NW21" s="528">
        <v>8.1628000000000007</v>
      </c>
      <c r="NX21" s="528">
        <v>8.4495000000000005</v>
      </c>
      <c r="NY21" s="528">
        <v>8.5672999999999995</v>
      </c>
      <c r="NZ21" s="528">
        <v>8.5129999999999999</v>
      </c>
      <c r="OA21" s="528">
        <v>8.5198</v>
      </c>
      <c r="OB21" s="528">
        <v>8.9609000000000005</v>
      </c>
      <c r="OC21" s="528">
        <v>8.9024999999999999</v>
      </c>
      <c r="OD21" s="528">
        <v>9.2324999999999999</v>
      </c>
      <c r="OE21" s="528">
        <v>10.5792</v>
      </c>
      <c r="OF21" s="528">
        <v>10.186299999999999</v>
      </c>
      <c r="OG21" s="528">
        <v>10.0563</v>
      </c>
      <c r="OH21" s="528">
        <v>9.9481999999999999</v>
      </c>
      <c r="OI21" s="509">
        <v>15</v>
      </c>
      <c r="OJ21" s="529"/>
      <c r="OK21" s="529"/>
      <c r="OL21" s="509">
        <v>15</v>
      </c>
      <c r="OM21" s="528">
        <v>7.8125</v>
      </c>
      <c r="ON21" s="528">
        <v>7.7897999999999996</v>
      </c>
      <c r="OO21" s="528">
        <v>7.9987000000000004</v>
      </c>
      <c r="OP21" s="528">
        <v>7.9222000000000001</v>
      </c>
      <c r="OQ21" s="528">
        <v>7.9065000000000003</v>
      </c>
      <c r="OR21" s="528">
        <v>7.9633000000000003</v>
      </c>
      <c r="OS21" s="528">
        <v>7.8525999999999998</v>
      </c>
      <c r="OT21" s="528">
        <v>7.7827999999999999</v>
      </c>
      <c r="OU21" s="528">
        <v>7.7847</v>
      </c>
      <c r="OV21" s="528">
        <v>7.7483000000000004</v>
      </c>
      <c r="OW21" s="528">
        <v>8.3800000000000008</v>
      </c>
      <c r="OX21" s="528">
        <v>8.1394000000000002</v>
      </c>
      <c r="OY21" s="509">
        <v>15</v>
      </c>
      <c r="OZ21" s="529"/>
      <c r="PA21" s="529"/>
      <c r="PB21" s="509">
        <v>15</v>
      </c>
      <c r="PC21" s="528">
        <v>7.5213000000000001</v>
      </c>
      <c r="PD21" s="528">
        <v>7.5688000000000004</v>
      </c>
      <c r="PE21" s="528">
        <v>7.5892999999999997</v>
      </c>
      <c r="PF21" s="528">
        <v>7.4989999999999997</v>
      </c>
      <c r="PG21" s="528">
        <v>7.4433999999999996</v>
      </c>
      <c r="PH21" s="528">
        <v>7.6342999999999996</v>
      </c>
      <c r="PI21" s="528">
        <v>7.6429</v>
      </c>
      <c r="PJ21" s="528">
        <v>7.4897</v>
      </c>
      <c r="PK21" s="528">
        <v>7.5416999999999996</v>
      </c>
      <c r="PL21" s="528">
        <v>7.6265000000000001</v>
      </c>
      <c r="PM21" s="528">
        <v>7.9215</v>
      </c>
      <c r="PN21" s="528">
        <v>7.8723000000000001</v>
      </c>
      <c r="PO21" s="509">
        <v>15</v>
      </c>
      <c r="PP21" s="529"/>
      <c r="PQ21" s="529"/>
      <c r="PR21" s="509">
        <v>15</v>
      </c>
      <c r="PS21" s="528">
        <v>5.6875</v>
      </c>
      <c r="PT21" s="528">
        <v>5.6150000000000002</v>
      </c>
      <c r="PU21" s="528">
        <v>6.47</v>
      </c>
      <c r="PV21" s="528">
        <v>6.3033000000000001</v>
      </c>
      <c r="PW21" s="528">
        <v>5.9082999999999997</v>
      </c>
      <c r="PX21" s="528">
        <v>6.1807999999999996</v>
      </c>
      <c r="PY21" s="528">
        <v>6.0282999999999998</v>
      </c>
      <c r="PZ21" s="528">
        <v>6.14</v>
      </c>
      <c r="QA21" s="528">
        <v>6.2743000000000002</v>
      </c>
      <c r="QB21" s="528">
        <v>6.7042000000000002</v>
      </c>
      <c r="QC21" s="528">
        <v>7.8724999999999996</v>
      </c>
      <c r="QD21" s="528">
        <v>7.7949999999999999</v>
      </c>
      <c r="QE21" s="509">
        <v>15</v>
      </c>
      <c r="QF21" s="529"/>
      <c r="QG21" s="529"/>
      <c r="QH21" s="509">
        <v>15</v>
      </c>
      <c r="QI21" s="528">
        <v>3.1061000000000001</v>
      </c>
      <c r="QJ21" s="528">
        <v>3.105</v>
      </c>
      <c r="QK21" s="528">
        <v>3.3025000000000002</v>
      </c>
      <c r="QL21" s="528">
        <v>3.3660000000000001</v>
      </c>
      <c r="QM21" s="528">
        <v>3.3325</v>
      </c>
      <c r="QN21" s="528">
        <v>3.3784000000000001</v>
      </c>
      <c r="QO21" s="528">
        <v>3.4026000000000001</v>
      </c>
      <c r="QP21" s="528">
        <v>3.3980000000000001</v>
      </c>
      <c r="QQ21" s="528">
        <v>3.4199000000000002</v>
      </c>
      <c r="QR21" s="528">
        <v>3.4136000000000002</v>
      </c>
      <c r="QS21" s="528">
        <v>3.4434999999999998</v>
      </c>
      <c r="QT21" s="528">
        <v>3.4584999999999999</v>
      </c>
      <c r="QU21" s="509">
        <v>15</v>
      </c>
      <c r="QV21" s="529"/>
      <c r="QW21" s="529"/>
      <c r="QX21" s="509">
        <v>15</v>
      </c>
      <c r="QY21" s="528">
        <v>3.113</v>
      </c>
      <c r="QZ21" s="528">
        <v>3.1009000000000002</v>
      </c>
      <c r="RA21" s="528">
        <v>3.1196999999999999</v>
      </c>
      <c r="RB21" s="528">
        <v>3.1006999999999998</v>
      </c>
      <c r="RC21" s="528">
        <v>3.1309999999999998</v>
      </c>
      <c r="RD21" s="528">
        <v>3.121</v>
      </c>
      <c r="RE21" s="528">
        <v>3.1284000000000001</v>
      </c>
      <c r="RF21" s="528">
        <v>3.1164999999999998</v>
      </c>
      <c r="RG21" s="528">
        <v>3.1118999999999999</v>
      </c>
      <c r="RH21" s="528">
        <v>3.1128999999999998</v>
      </c>
      <c r="RI21" s="528">
        <v>3.2162999999999999</v>
      </c>
      <c r="RJ21" s="528">
        <v>3.113</v>
      </c>
      <c r="RK21" s="509">
        <v>15</v>
      </c>
      <c r="RL21" s="529"/>
      <c r="RM21" s="529"/>
      <c r="RN21" s="509">
        <v>15</v>
      </c>
      <c r="RO21" s="528">
        <v>3.0661</v>
      </c>
      <c r="RP21" s="528">
        <v>3.0640000000000001</v>
      </c>
      <c r="RQ21" s="528">
        <v>3.0609999999999999</v>
      </c>
      <c r="RR21" s="528">
        <v>3.0625</v>
      </c>
      <c r="RS21" s="528">
        <v>3.0884999999999998</v>
      </c>
      <c r="RT21" s="528">
        <v>3.1191</v>
      </c>
      <c r="RU21" s="528">
        <v>3.1156000000000001</v>
      </c>
      <c r="RV21" s="528">
        <v>3.0733000000000001</v>
      </c>
      <c r="RW21" s="528">
        <v>3.0948000000000002</v>
      </c>
      <c r="RX21" s="528">
        <v>3.1219000000000001</v>
      </c>
      <c r="RY21" s="528">
        <v>3.1156000000000001</v>
      </c>
      <c r="RZ21" s="528">
        <v>3.1137000000000001</v>
      </c>
      <c r="SA21" s="509">
        <v>15</v>
      </c>
      <c r="SB21" s="529"/>
      <c r="SC21" s="529"/>
      <c r="SD21" s="509">
        <v>15</v>
      </c>
      <c r="SE21" s="528">
        <v>2.9510000000000001</v>
      </c>
      <c r="SF21" s="528">
        <v>2.9641999999999999</v>
      </c>
      <c r="SG21" s="528">
        <v>2.9754</v>
      </c>
      <c r="SH21" s="528">
        <v>2.9870000000000001</v>
      </c>
      <c r="SI21" s="528">
        <v>2.9998</v>
      </c>
      <c r="SJ21" s="528">
        <v>3.0122</v>
      </c>
      <c r="SK21" s="528">
        <v>3.0234000000000001</v>
      </c>
      <c r="SL21" s="528">
        <v>3.0366</v>
      </c>
      <c r="SM21" s="528">
        <v>3.0486</v>
      </c>
      <c r="SN21" s="528">
        <v>3.0617999999999999</v>
      </c>
      <c r="SO21" s="528">
        <v>3.0711499999999998</v>
      </c>
      <c r="SP21" s="528">
        <v>3.0629900000000001</v>
      </c>
      <c r="SQ21" s="509">
        <v>15</v>
      </c>
      <c r="SR21" s="529"/>
      <c r="SS21" s="529"/>
      <c r="ST21" s="509">
        <v>15</v>
      </c>
      <c r="SU21" s="528">
        <v>2.6549999999999998</v>
      </c>
      <c r="SV21" s="528">
        <v>2.6880000000000002</v>
      </c>
      <c r="SW21" s="528">
        <v>2.7160000000000002</v>
      </c>
      <c r="SX21" s="528">
        <v>2.746</v>
      </c>
      <c r="SY21" s="528">
        <v>2.7749999999999999</v>
      </c>
      <c r="SZ21" s="528">
        <v>2.8050000000000002</v>
      </c>
      <c r="TA21" s="528">
        <v>2.8281999999999998</v>
      </c>
      <c r="TB21" s="528">
        <v>2.8538000000000001</v>
      </c>
      <c r="TC21" s="528">
        <v>2.8786</v>
      </c>
      <c r="TD21" s="528">
        <v>2.9009999999999998</v>
      </c>
      <c r="TE21" s="528">
        <v>2.9274</v>
      </c>
      <c r="TF21" s="528">
        <v>2.9394</v>
      </c>
      <c r="TG21" s="509">
        <v>15</v>
      </c>
      <c r="TH21" s="529"/>
      <c r="TI21" s="529"/>
      <c r="TJ21" s="509">
        <v>15</v>
      </c>
      <c r="TK21" s="528">
        <v>2.2909999999999999</v>
      </c>
      <c r="TL21" s="528">
        <v>2.323</v>
      </c>
      <c r="TM21" s="528">
        <v>2.351</v>
      </c>
      <c r="TN21" s="528">
        <v>2.3820000000000001</v>
      </c>
      <c r="TO21" s="528">
        <v>2.41</v>
      </c>
      <c r="TP21" s="528">
        <v>2.4430000000000001</v>
      </c>
      <c r="TQ21" s="528">
        <v>2.4729999999999999</v>
      </c>
      <c r="TR21" s="528">
        <v>2.5019999999999998</v>
      </c>
      <c r="TS21" s="528">
        <v>2.5350000000000001</v>
      </c>
      <c r="TT21" s="528">
        <v>2.5640000000000001</v>
      </c>
      <c r="TU21" s="528">
        <v>2.5960000000000001</v>
      </c>
      <c r="TV21" s="528">
        <v>2.6259999999999999</v>
      </c>
      <c r="TW21" s="509">
        <v>15</v>
      </c>
    </row>
    <row r="22" spans="2:543" s="4" customFormat="1" ht="23" customHeight="1">
      <c r="B22" s="509">
        <v>16</v>
      </c>
      <c r="C22" s="541">
        <v>20.360700000000001</v>
      </c>
      <c r="D22" s="541">
        <v>20.411000000000001</v>
      </c>
      <c r="E22" s="541">
        <v>20.890799999999999</v>
      </c>
      <c r="F22" s="541">
        <v>19.840699999999998</v>
      </c>
      <c r="G22" s="541">
        <v>20.32</v>
      </c>
      <c r="H22" s="541">
        <v>20.658300000000001</v>
      </c>
      <c r="I22" s="541">
        <v>20.941500000000001</v>
      </c>
      <c r="J22" s="541">
        <v>19.873999999999999</v>
      </c>
      <c r="K22" s="541">
        <v>19.976800000000001</v>
      </c>
      <c r="L22" s="541">
        <v>20.0398</v>
      </c>
      <c r="M22" s="541">
        <v>19.401499999999999</v>
      </c>
      <c r="N22" s="541">
        <v>19.695499999999999</v>
      </c>
      <c r="O22" s="509">
        <v>16</v>
      </c>
      <c r="R22" s="509">
        <v>16</v>
      </c>
      <c r="S22" s="541">
        <v>19.779299999999999</v>
      </c>
      <c r="T22" s="541">
        <v>19.962199999999999</v>
      </c>
      <c r="U22" s="541">
        <v>20.7133</v>
      </c>
      <c r="V22" s="541">
        <v>20.058299999999999</v>
      </c>
      <c r="W22" s="541">
        <v>20.049499999999998</v>
      </c>
      <c r="X22" s="541">
        <v>19.906500000000001</v>
      </c>
      <c r="Y22" s="541">
        <v>19.8992</v>
      </c>
      <c r="Z22" s="541">
        <v>19.890699999999999</v>
      </c>
      <c r="AA22" s="541">
        <v>19.903500000000001</v>
      </c>
      <c r="AB22" s="541">
        <v>20.607500000000002</v>
      </c>
      <c r="AC22" s="541">
        <v>20.465199999999999</v>
      </c>
      <c r="AD22" s="541">
        <v>21.164999999999999</v>
      </c>
      <c r="AE22" s="509">
        <v>16</v>
      </c>
      <c r="AH22" s="509">
        <v>16</v>
      </c>
      <c r="AI22" s="541">
        <v>18.812000000000001</v>
      </c>
      <c r="AJ22" s="541">
        <v>18.645800000000001</v>
      </c>
      <c r="AK22" s="541">
        <v>22.151800000000001</v>
      </c>
      <c r="AL22" s="541">
        <v>23.564499999999999</v>
      </c>
      <c r="AM22" s="541">
        <v>24.270800000000001</v>
      </c>
      <c r="AN22" s="541">
        <v>22.334700000000002</v>
      </c>
      <c r="AO22" s="541">
        <v>22.6173</v>
      </c>
      <c r="AP22" s="541">
        <v>22.262799999999999</v>
      </c>
      <c r="AQ22" s="541">
        <v>21.072800000000001</v>
      </c>
      <c r="AR22" s="541">
        <v>21.299800000000001</v>
      </c>
      <c r="AS22" s="541">
        <v>20.5303</v>
      </c>
      <c r="AT22" s="541">
        <v>20.177800000000001</v>
      </c>
      <c r="AU22" s="509">
        <v>16</v>
      </c>
      <c r="AX22" s="509">
        <v>16</v>
      </c>
      <c r="AY22" s="528">
        <v>19.006399999999999</v>
      </c>
      <c r="AZ22" s="528">
        <v>19.3569</v>
      </c>
      <c r="BA22" s="528">
        <v>19.3233</v>
      </c>
      <c r="BB22" s="528">
        <v>18.771899999999999</v>
      </c>
      <c r="BC22" s="528">
        <v>19.142700000000001</v>
      </c>
      <c r="BD22" s="528">
        <v>19.1645</v>
      </c>
      <c r="BE22" s="528">
        <v>19.0307</v>
      </c>
      <c r="BF22" s="528">
        <v>19.5763</v>
      </c>
      <c r="BG22" s="528">
        <v>19.426500000000001</v>
      </c>
      <c r="BH22" s="528">
        <v>19.2652</v>
      </c>
      <c r="BI22" s="528">
        <v>19.422799999999999</v>
      </c>
      <c r="BJ22" s="528">
        <v>19.1785</v>
      </c>
      <c r="BK22" s="509">
        <v>16</v>
      </c>
      <c r="BN22" s="509">
        <v>16</v>
      </c>
      <c r="BO22" s="528">
        <v>19.044599999999999</v>
      </c>
      <c r="BP22" s="528">
        <v>18.602499999999999</v>
      </c>
      <c r="BQ22" s="530">
        <v>18.5854</v>
      </c>
      <c r="BR22" s="528">
        <v>18.135300000000001</v>
      </c>
      <c r="BS22" s="528">
        <v>19.5214</v>
      </c>
      <c r="BT22" s="528">
        <v>20.6953</v>
      </c>
      <c r="BU22" s="528">
        <v>18.824100000000001</v>
      </c>
      <c r="BV22" s="528">
        <v>18.997299999999999</v>
      </c>
      <c r="BW22" s="528">
        <v>18.877500000000001</v>
      </c>
      <c r="BX22" s="528">
        <v>18.920200000000001</v>
      </c>
      <c r="BY22" s="528">
        <v>20.3979</v>
      </c>
      <c r="BZ22" s="528">
        <v>20.256599999999999</v>
      </c>
      <c r="CA22" s="509">
        <v>16</v>
      </c>
      <c r="CD22" s="509">
        <v>16</v>
      </c>
      <c r="CE22" s="528">
        <v>21.720400000000001</v>
      </c>
      <c r="CF22" s="528">
        <v>20.3507</v>
      </c>
      <c r="CG22" s="528">
        <v>19.654299999999999</v>
      </c>
      <c r="CH22" s="528">
        <v>18.764600000000002</v>
      </c>
      <c r="CI22" s="528">
        <v>18.759399999999999</v>
      </c>
      <c r="CJ22" s="528">
        <v>17.9343</v>
      </c>
      <c r="CK22" s="528">
        <v>17.7422</v>
      </c>
      <c r="CL22" s="528">
        <v>17.775500000000001</v>
      </c>
      <c r="CM22" s="528">
        <v>17.727799999999998</v>
      </c>
      <c r="CN22" s="528">
        <v>18.763100000000001</v>
      </c>
      <c r="CO22" s="528">
        <v>19.133400000000002</v>
      </c>
      <c r="CP22" s="528">
        <v>19.120200000000001</v>
      </c>
      <c r="CQ22" s="509">
        <v>16</v>
      </c>
      <c r="CT22" s="509">
        <v>16</v>
      </c>
      <c r="CU22" s="528">
        <v>17.912099999999999</v>
      </c>
      <c r="CV22" s="528">
        <v>19.039200000000001</v>
      </c>
      <c r="CW22" s="528">
        <v>17.769100000000002</v>
      </c>
      <c r="CX22" s="528">
        <v>17.388000000000002</v>
      </c>
      <c r="CY22" s="528">
        <v>17.991499999999998</v>
      </c>
      <c r="CZ22" s="528">
        <v>18.981400000000001</v>
      </c>
      <c r="DA22" s="528">
        <v>18.306100000000001</v>
      </c>
      <c r="DB22" s="528">
        <v>18.2455</v>
      </c>
      <c r="DC22" s="528">
        <v>19.227499999999999</v>
      </c>
      <c r="DD22" s="528">
        <v>19.039899999999999</v>
      </c>
      <c r="DE22" s="528">
        <v>20.872900000000001</v>
      </c>
      <c r="DF22" s="528">
        <v>20.2226</v>
      </c>
      <c r="DG22" s="509">
        <v>16</v>
      </c>
      <c r="DJ22" s="509">
        <v>16</v>
      </c>
      <c r="DK22" s="528">
        <v>14.564399999999999</v>
      </c>
      <c r="DL22" s="528">
        <v>14.916700000000001</v>
      </c>
      <c r="DM22" s="528">
        <v>15.4003</v>
      </c>
      <c r="DN22" s="528">
        <v>15.2339</v>
      </c>
      <c r="DO22" s="528">
        <v>15.1235</v>
      </c>
      <c r="DP22" s="528">
        <v>15.4129</v>
      </c>
      <c r="DQ22" s="528">
        <v>15.672800000000001</v>
      </c>
      <c r="DR22" s="528">
        <v>16.297599999999999</v>
      </c>
      <c r="DS22" s="528">
        <v>16.816800000000001</v>
      </c>
      <c r="DT22" s="528">
        <v>16.580400000000001</v>
      </c>
      <c r="DU22" s="528">
        <v>16.740600000000001</v>
      </c>
      <c r="DV22" s="528">
        <v>17.377600000000001</v>
      </c>
      <c r="DW22" s="509">
        <v>16</v>
      </c>
      <c r="DZ22" s="509">
        <v>16</v>
      </c>
      <c r="EA22" s="528">
        <v>13.095599999999999</v>
      </c>
      <c r="EB22" s="528">
        <v>13.332000000000001</v>
      </c>
      <c r="EC22" s="528">
        <v>13.2456</v>
      </c>
      <c r="ED22" s="528">
        <v>13.049300000000001</v>
      </c>
      <c r="EE22" s="528">
        <v>12.8993</v>
      </c>
      <c r="EF22" s="528">
        <v>12.9815</v>
      </c>
      <c r="EG22" s="528">
        <v>12.9755</v>
      </c>
      <c r="EH22" s="528">
        <v>13.0717</v>
      </c>
      <c r="EI22" s="528">
        <v>13.2644</v>
      </c>
      <c r="EJ22" s="528">
        <v>13.4094</v>
      </c>
      <c r="EK22" s="528">
        <v>13.599500000000001</v>
      </c>
      <c r="EL22" s="528">
        <v>14.6648</v>
      </c>
      <c r="EM22" s="509">
        <v>16</v>
      </c>
      <c r="EP22" s="509">
        <v>16</v>
      </c>
      <c r="EQ22" s="528">
        <v>12.6533</v>
      </c>
      <c r="ER22" s="528">
        <v>12.6982</v>
      </c>
      <c r="ES22" s="528">
        <v>12.454499999999999</v>
      </c>
      <c r="ET22" s="528">
        <v>12.0824</v>
      </c>
      <c r="EU22" s="528">
        <v>12.1485</v>
      </c>
      <c r="EV22" s="528">
        <v>12.7812</v>
      </c>
      <c r="EW22" s="528">
        <v>12.823399999999999</v>
      </c>
      <c r="EX22" s="528">
        <v>12.7255</v>
      </c>
      <c r="EY22" s="528">
        <v>13.0854</v>
      </c>
      <c r="EZ22" s="528">
        <v>13.049200000000001</v>
      </c>
      <c r="FA22" s="528">
        <v>13.017300000000001</v>
      </c>
      <c r="FB22" s="528">
        <v>12.934200000000001</v>
      </c>
      <c r="FC22" s="509">
        <v>16</v>
      </c>
      <c r="FF22" s="509">
        <v>16</v>
      </c>
      <c r="FG22" s="528">
        <v>13.5982</v>
      </c>
      <c r="FH22" s="528">
        <v>12.7753</v>
      </c>
      <c r="FI22" s="528">
        <v>12.671900000000001</v>
      </c>
      <c r="FJ22" s="528">
        <v>13.073600000000001</v>
      </c>
      <c r="FK22" s="528">
        <v>13.6739</v>
      </c>
      <c r="FL22" s="528">
        <v>13.997400000000001</v>
      </c>
      <c r="FM22" s="528">
        <v>13.4795</v>
      </c>
      <c r="FN22" s="528">
        <v>13.1311</v>
      </c>
      <c r="FO22" s="528">
        <v>12.9749</v>
      </c>
      <c r="FP22" s="528">
        <v>12.8901</v>
      </c>
      <c r="FQ22" s="528">
        <v>13.235300000000001</v>
      </c>
      <c r="FR22" s="528">
        <v>12.786899999999999</v>
      </c>
      <c r="FS22" s="509">
        <v>16</v>
      </c>
      <c r="FV22" s="509">
        <v>16</v>
      </c>
      <c r="FW22" s="528">
        <v>12.1028</v>
      </c>
      <c r="FX22" s="528">
        <v>12.046099999999999</v>
      </c>
      <c r="FY22" s="528">
        <v>11.923500000000001</v>
      </c>
      <c r="FZ22" s="528">
        <v>11.767899999999999</v>
      </c>
      <c r="GA22" s="528">
        <v>11.6656</v>
      </c>
      <c r="GB22" s="528">
        <v>11.7982</v>
      </c>
      <c r="GC22" s="528">
        <v>11.701000000000001</v>
      </c>
      <c r="GD22" s="528">
        <v>12.299200000000001</v>
      </c>
      <c r="GE22" s="528">
        <v>12.964600000000001</v>
      </c>
      <c r="GF22" s="528">
        <v>13.364699999999999</v>
      </c>
      <c r="GG22" s="528">
        <v>13.5122</v>
      </c>
      <c r="GH22" s="528">
        <v>13.9412</v>
      </c>
      <c r="GI22" s="509">
        <v>16</v>
      </c>
      <c r="GL22" s="509">
        <v>16</v>
      </c>
      <c r="GM22" s="528">
        <v>12.7364</v>
      </c>
      <c r="GN22" s="528">
        <v>12.9764</v>
      </c>
      <c r="GO22" s="528">
        <v>12.619199999999999</v>
      </c>
      <c r="GP22" s="528">
        <v>12.182700000000001</v>
      </c>
      <c r="GQ22" s="528">
        <v>12.350099999999999</v>
      </c>
      <c r="GR22" s="528">
        <v>12.5974</v>
      </c>
      <c r="GS22" s="528">
        <v>12.717599999999999</v>
      </c>
      <c r="GT22" s="528">
        <v>12.7258</v>
      </c>
      <c r="GU22" s="528">
        <v>12.8355</v>
      </c>
      <c r="GV22" s="528">
        <v>12.4101</v>
      </c>
      <c r="GW22" s="528">
        <v>12.259600000000001</v>
      </c>
      <c r="GX22" s="528">
        <v>12.3703</v>
      </c>
      <c r="GY22" s="509">
        <v>16</v>
      </c>
      <c r="HB22" s="509">
        <v>16</v>
      </c>
      <c r="HC22" s="528">
        <v>14.1083</v>
      </c>
      <c r="HD22" s="528">
        <v>14.6013</v>
      </c>
      <c r="HE22" s="528">
        <v>14.908300000000001</v>
      </c>
      <c r="HF22" s="528">
        <v>13.086</v>
      </c>
      <c r="HG22" s="528">
        <v>13.298299999999999</v>
      </c>
      <c r="HH22" s="528">
        <v>13.399699999999999</v>
      </c>
      <c r="HI22" s="528">
        <v>13.7645</v>
      </c>
      <c r="HJ22" s="528">
        <v>12.8658</v>
      </c>
      <c r="HK22" s="528">
        <v>13.389200000000001</v>
      </c>
      <c r="HL22" s="528">
        <v>13.0779</v>
      </c>
      <c r="HM22" s="528">
        <v>13.206099999999999</v>
      </c>
      <c r="HN22" s="528">
        <v>12.810499999999999</v>
      </c>
      <c r="HO22" s="509">
        <v>16</v>
      </c>
      <c r="HP22" s="529"/>
      <c r="HQ22" s="529"/>
      <c r="HR22" s="509">
        <v>16</v>
      </c>
      <c r="HS22" s="528">
        <v>10.914</v>
      </c>
      <c r="HT22" s="528">
        <v>10.741300000000001</v>
      </c>
      <c r="HU22" s="528">
        <v>10.777799999999999</v>
      </c>
      <c r="HV22" s="528">
        <v>10.491899999999999</v>
      </c>
      <c r="HW22" s="528">
        <v>10.4884</v>
      </c>
      <c r="HX22" s="528">
        <v>10.395</v>
      </c>
      <c r="HY22" s="528">
        <v>10.2925</v>
      </c>
      <c r="HZ22" s="528">
        <v>10.1586</v>
      </c>
      <c r="IA22" s="528">
        <v>10.582800000000001</v>
      </c>
      <c r="IB22" s="528">
        <v>12.345000000000001</v>
      </c>
      <c r="IC22" s="528">
        <v>13.1663</v>
      </c>
      <c r="ID22" s="528">
        <v>13.1821</v>
      </c>
      <c r="IE22" s="509">
        <v>16</v>
      </c>
      <c r="IF22" s="529"/>
      <c r="IG22" s="529"/>
      <c r="IH22" s="509">
        <v>16</v>
      </c>
      <c r="II22" s="528">
        <v>10.9765</v>
      </c>
      <c r="IJ22" s="528">
        <v>10.9152</v>
      </c>
      <c r="IK22" s="528">
        <v>11.1867</v>
      </c>
      <c r="IL22" s="528">
        <v>11.013500000000001</v>
      </c>
      <c r="IM22" s="528">
        <v>10.7987</v>
      </c>
      <c r="IN22" s="528">
        <v>10.901199999999999</v>
      </c>
      <c r="IO22" s="528">
        <v>10.7799</v>
      </c>
      <c r="IP22" s="528">
        <v>11.0549</v>
      </c>
      <c r="IQ22" s="528">
        <v>11.074299999999999</v>
      </c>
      <c r="IR22" s="528">
        <v>10.825200000000001</v>
      </c>
      <c r="IS22" s="528">
        <v>10.868499999999999</v>
      </c>
      <c r="IT22" s="528">
        <v>10.8376</v>
      </c>
      <c r="IU22" s="509">
        <v>16</v>
      </c>
      <c r="IV22" s="529"/>
      <c r="IW22" s="529"/>
      <c r="IX22" s="509">
        <v>16</v>
      </c>
      <c r="IY22" s="528">
        <v>10.5732</v>
      </c>
      <c r="IZ22" s="528">
        <v>10.524900000000001</v>
      </c>
      <c r="JA22" s="528">
        <v>10.6942</v>
      </c>
      <c r="JB22" s="528">
        <v>11.0708</v>
      </c>
      <c r="JC22" s="528">
        <v>11.032500000000001</v>
      </c>
      <c r="JD22" s="528">
        <v>11.4527</v>
      </c>
      <c r="JE22" s="528">
        <v>11.052300000000001</v>
      </c>
      <c r="JF22" s="528">
        <v>10.8028</v>
      </c>
      <c r="JG22" s="528">
        <v>10.9818</v>
      </c>
      <c r="JH22" s="528">
        <v>10.9406</v>
      </c>
      <c r="JI22" s="528">
        <v>10.8675</v>
      </c>
      <c r="JJ22" s="528">
        <v>10.792199999999999</v>
      </c>
      <c r="JK22" s="509">
        <v>16</v>
      </c>
      <c r="JL22" s="529"/>
      <c r="JM22" s="529"/>
      <c r="JN22" s="509">
        <v>16</v>
      </c>
      <c r="JO22" s="528">
        <v>11.1858</v>
      </c>
      <c r="JP22" s="528">
        <v>11.155799999999999</v>
      </c>
      <c r="JQ22" s="528">
        <v>11.135</v>
      </c>
      <c r="JR22" s="528">
        <v>11.103199999999999</v>
      </c>
      <c r="JS22" s="528">
        <v>11.0189</v>
      </c>
      <c r="JT22" s="528">
        <v>10.8392</v>
      </c>
      <c r="JU22" s="528">
        <v>10.6372</v>
      </c>
      <c r="JV22" s="528">
        <v>10.6343</v>
      </c>
      <c r="JW22" s="528">
        <v>10.8355</v>
      </c>
      <c r="JX22" s="528">
        <v>10.940799999999999</v>
      </c>
      <c r="JY22" s="528">
        <v>10.6897</v>
      </c>
      <c r="JZ22" s="528">
        <v>10.693099999999999</v>
      </c>
      <c r="KA22" s="509">
        <v>16</v>
      </c>
      <c r="KB22" s="529"/>
      <c r="KC22" s="529"/>
      <c r="KD22" s="509">
        <v>16</v>
      </c>
      <c r="KE22" s="528">
        <v>10.8231</v>
      </c>
      <c r="KF22" s="528">
        <v>10.9626</v>
      </c>
      <c r="KG22" s="528">
        <v>10.963800000000001</v>
      </c>
      <c r="KH22" s="528">
        <v>11.284800000000001</v>
      </c>
      <c r="KI22" s="528">
        <v>11.6281</v>
      </c>
      <c r="KJ22" s="528">
        <v>11.432700000000001</v>
      </c>
      <c r="KK22" s="528">
        <v>11.4552</v>
      </c>
      <c r="KL22" s="528">
        <v>11.4414</v>
      </c>
      <c r="KM22" s="528">
        <v>11.585100000000001</v>
      </c>
      <c r="KN22" s="528">
        <v>11.3195</v>
      </c>
      <c r="KO22" s="528">
        <v>11.381</v>
      </c>
      <c r="KP22" s="528">
        <v>11.2903</v>
      </c>
      <c r="KQ22" s="509">
        <v>16</v>
      </c>
      <c r="KR22" s="529"/>
      <c r="KS22" s="529"/>
      <c r="KT22" s="509">
        <v>16</v>
      </c>
      <c r="KU22" s="528">
        <v>10.5274</v>
      </c>
      <c r="KV22" s="528">
        <v>10.972300000000001</v>
      </c>
      <c r="KW22" s="528">
        <v>10.817299999999999</v>
      </c>
      <c r="KX22" s="528">
        <v>10.610200000000001</v>
      </c>
      <c r="KY22" s="528">
        <v>10.142799999999999</v>
      </c>
      <c r="KZ22" s="528">
        <v>10.577500000000001</v>
      </c>
      <c r="LA22" s="528">
        <v>10.382099999999999</v>
      </c>
      <c r="LB22" s="528">
        <v>10.696099999999999</v>
      </c>
      <c r="LC22" s="528">
        <v>10.9793</v>
      </c>
      <c r="LD22" s="528">
        <v>11.2347</v>
      </c>
      <c r="LE22" s="528">
        <v>11.175700000000001</v>
      </c>
      <c r="LF22" s="528">
        <v>11.1877</v>
      </c>
      <c r="LG22" s="509">
        <v>16</v>
      </c>
      <c r="LH22" s="529"/>
      <c r="LI22" s="529"/>
      <c r="LJ22" s="509">
        <v>16</v>
      </c>
      <c r="LK22" s="528">
        <v>9.1922999999999995</v>
      </c>
      <c r="LL22" s="528">
        <v>9.0838000000000001</v>
      </c>
      <c r="LM22" s="528">
        <v>9.1181999999999999</v>
      </c>
      <c r="LN22" s="528">
        <v>9.0748999999999995</v>
      </c>
      <c r="LO22" s="528">
        <v>9.5204000000000004</v>
      </c>
      <c r="LP22" s="528">
        <v>9.6532</v>
      </c>
      <c r="LQ22" s="528">
        <v>9.7072000000000003</v>
      </c>
      <c r="LR22" s="528">
        <v>9.9667999999999992</v>
      </c>
      <c r="LS22" s="528">
        <v>10.0023</v>
      </c>
      <c r="LT22" s="528">
        <v>10.1084</v>
      </c>
      <c r="LU22" s="528">
        <v>10.209199999999999</v>
      </c>
      <c r="LV22" s="528">
        <v>10.1785</v>
      </c>
      <c r="LW22" s="509">
        <v>16</v>
      </c>
      <c r="LX22" s="529"/>
      <c r="LY22" s="529"/>
      <c r="LZ22" s="509">
        <v>16</v>
      </c>
      <c r="MA22" s="528">
        <v>9.8797999999999995</v>
      </c>
      <c r="MB22" s="528">
        <v>9.7218999999999998</v>
      </c>
      <c r="MC22" s="528">
        <v>9.5760000000000005</v>
      </c>
      <c r="MD22" s="528">
        <v>9.3093000000000004</v>
      </c>
      <c r="ME22" s="528">
        <v>9.1921999999999997</v>
      </c>
      <c r="MF22" s="528">
        <v>9.0523000000000007</v>
      </c>
      <c r="MG22" s="528">
        <v>9.3420000000000005</v>
      </c>
      <c r="MH22" s="528">
        <v>9.1205999999999996</v>
      </c>
      <c r="MI22" s="528">
        <v>9.4748000000000001</v>
      </c>
      <c r="MJ22" s="528">
        <v>9.3537999999999997</v>
      </c>
      <c r="MK22" s="528">
        <v>9.2362000000000002</v>
      </c>
      <c r="ML22" s="528">
        <v>9.1204000000000001</v>
      </c>
      <c r="MM22" s="509">
        <v>16</v>
      </c>
      <c r="MN22" s="529"/>
      <c r="MO22" s="529"/>
      <c r="MP22" s="509">
        <v>16</v>
      </c>
      <c r="MQ22" s="528">
        <v>9.5056999999999992</v>
      </c>
      <c r="MR22" s="528">
        <v>9.3987999999999996</v>
      </c>
      <c r="MS22" s="528">
        <v>9.3126999999999995</v>
      </c>
      <c r="MT22" s="528">
        <v>9.3987999999999996</v>
      </c>
      <c r="MU22" s="528">
        <v>9.5661000000000005</v>
      </c>
      <c r="MV22" s="528">
        <v>9.7879000000000005</v>
      </c>
      <c r="MW22" s="528">
        <v>9.4367999999999999</v>
      </c>
      <c r="MX22" s="528">
        <v>9.2515999999999998</v>
      </c>
      <c r="MY22" s="528">
        <v>9.3125</v>
      </c>
      <c r="MZ22" s="528">
        <v>9.5192999999999994</v>
      </c>
      <c r="NA22" s="528">
        <v>9.4962999999999997</v>
      </c>
      <c r="NB22" s="528">
        <v>9.4126999999999992</v>
      </c>
      <c r="NC22" s="509">
        <v>16</v>
      </c>
      <c r="ND22" s="529"/>
      <c r="NE22" s="529"/>
      <c r="NF22" s="509">
        <v>16</v>
      </c>
      <c r="NG22" s="528">
        <v>10.5383</v>
      </c>
      <c r="NH22" s="528">
        <v>9.9486000000000008</v>
      </c>
      <c r="NI22" s="528">
        <v>9.7527000000000008</v>
      </c>
      <c r="NJ22" s="528">
        <v>9.5084999999999997</v>
      </c>
      <c r="NK22" s="528">
        <v>9.2698</v>
      </c>
      <c r="NL22" s="528">
        <v>9.5767000000000007</v>
      </c>
      <c r="NM22" s="528">
        <v>9.3388000000000009</v>
      </c>
      <c r="NN22" s="528">
        <v>9.3533000000000008</v>
      </c>
      <c r="NO22" s="528">
        <v>9.3323</v>
      </c>
      <c r="NP22" s="528">
        <v>9.6308000000000007</v>
      </c>
      <c r="NQ22" s="528">
        <v>9.3787000000000003</v>
      </c>
      <c r="NR22" s="528">
        <v>9.4109999999999996</v>
      </c>
      <c r="NS22" s="509">
        <v>16</v>
      </c>
      <c r="NT22" s="529"/>
      <c r="NU22" s="529"/>
      <c r="NV22" s="509">
        <v>16</v>
      </c>
      <c r="NW22" s="528">
        <v>8.1661999999999999</v>
      </c>
      <c r="NX22" s="528">
        <v>8.4495000000000005</v>
      </c>
      <c r="NY22" s="528">
        <v>8.5672999999999995</v>
      </c>
      <c r="NZ22" s="528">
        <v>8.4928000000000008</v>
      </c>
      <c r="OA22" s="528">
        <v>8.5068999999999999</v>
      </c>
      <c r="OB22" s="528">
        <v>9.0463000000000005</v>
      </c>
      <c r="OC22" s="528">
        <v>8.8547999999999991</v>
      </c>
      <c r="OD22" s="528">
        <v>9.2324999999999999</v>
      </c>
      <c r="OE22" s="528">
        <v>10.523300000000001</v>
      </c>
      <c r="OF22" s="528">
        <v>10.18</v>
      </c>
      <c r="OG22" s="528">
        <v>10.0563</v>
      </c>
      <c r="OH22" s="528">
        <v>9.9490999999999996</v>
      </c>
      <c r="OI22" s="509">
        <v>16</v>
      </c>
      <c r="OJ22" s="529"/>
      <c r="OK22" s="529"/>
      <c r="OL22" s="509">
        <v>16</v>
      </c>
      <c r="OM22" s="528">
        <v>7.8005000000000004</v>
      </c>
      <c r="ON22" s="528">
        <v>7.7897999999999996</v>
      </c>
      <c r="OO22" s="528">
        <v>7.9987000000000004</v>
      </c>
      <c r="OP22" s="528">
        <v>7.9063999999999997</v>
      </c>
      <c r="OQ22" s="528">
        <v>7.8925000000000001</v>
      </c>
      <c r="OR22" s="528">
        <v>7.9633000000000003</v>
      </c>
      <c r="OS22" s="528">
        <v>7.8693</v>
      </c>
      <c r="OT22" s="528">
        <v>7.766</v>
      </c>
      <c r="OU22" s="528">
        <v>7.7793999999999999</v>
      </c>
      <c r="OV22" s="528">
        <v>7.7427000000000001</v>
      </c>
      <c r="OW22" s="528">
        <v>8.3800000000000008</v>
      </c>
      <c r="OX22" s="528">
        <v>8.1997999999999998</v>
      </c>
      <c r="OY22" s="509">
        <v>16</v>
      </c>
      <c r="OZ22" s="529"/>
      <c r="PA22" s="529"/>
      <c r="PB22" s="509">
        <v>16</v>
      </c>
      <c r="PC22" s="528">
        <v>7.4679000000000002</v>
      </c>
      <c r="PD22" s="528">
        <v>7.5297999999999998</v>
      </c>
      <c r="PE22" s="528">
        <v>7.5616000000000003</v>
      </c>
      <c r="PF22" s="528">
        <v>7.4995000000000003</v>
      </c>
      <c r="PG22" s="528">
        <v>7.4074999999999998</v>
      </c>
      <c r="PH22" s="528">
        <v>7.6342999999999996</v>
      </c>
      <c r="PI22" s="528">
        <v>7.6390000000000002</v>
      </c>
      <c r="PJ22" s="528">
        <v>7.4867999999999997</v>
      </c>
      <c r="PK22" s="528">
        <v>7.5416999999999996</v>
      </c>
      <c r="PL22" s="528">
        <v>7.6923000000000004</v>
      </c>
      <c r="PM22" s="528">
        <v>7.9181999999999997</v>
      </c>
      <c r="PN22" s="528">
        <v>7.8723000000000001</v>
      </c>
      <c r="PO22" s="509">
        <v>16</v>
      </c>
      <c r="PP22" s="529"/>
      <c r="PQ22" s="529"/>
      <c r="PR22" s="509">
        <v>16</v>
      </c>
      <c r="PS22" s="528">
        <v>5.6875</v>
      </c>
      <c r="PT22" s="528">
        <v>5.7675000000000001</v>
      </c>
      <c r="PU22" s="528">
        <v>6.57</v>
      </c>
      <c r="PV22" s="528">
        <v>6.3033000000000001</v>
      </c>
      <c r="PW22" s="528">
        <v>5.9408000000000003</v>
      </c>
      <c r="PX22" s="528">
        <v>6.2275</v>
      </c>
      <c r="PY22" s="528">
        <v>6.0282999999999998</v>
      </c>
      <c r="PZ22" s="528">
        <v>6.1425999999999998</v>
      </c>
      <c r="QA22" s="528">
        <v>6.2775999999999996</v>
      </c>
      <c r="QB22" s="528">
        <v>6.7042000000000002</v>
      </c>
      <c r="QC22" s="528">
        <v>8.0950000000000006</v>
      </c>
      <c r="QD22" s="528">
        <v>7.8192000000000004</v>
      </c>
      <c r="QE22" s="509">
        <v>16</v>
      </c>
      <c r="QF22" s="529"/>
      <c r="QG22" s="529"/>
      <c r="QH22" s="509">
        <v>16</v>
      </c>
      <c r="QI22" s="528">
        <v>3.1061000000000001</v>
      </c>
      <c r="QJ22" s="528">
        <v>3.1055000000000001</v>
      </c>
      <c r="QK22" s="528">
        <v>3.2848999999999999</v>
      </c>
      <c r="QL22" s="528">
        <v>3.3666</v>
      </c>
      <c r="QM22" s="528">
        <v>3.3325</v>
      </c>
      <c r="QN22" s="528">
        <v>3.3734000000000002</v>
      </c>
      <c r="QO22" s="528">
        <v>3.4024999999999999</v>
      </c>
      <c r="QP22" s="528">
        <v>3.3996</v>
      </c>
      <c r="QQ22" s="528">
        <v>3.4167999999999998</v>
      </c>
      <c r="QR22" s="528">
        <v>3.4136000000000002</v>
      </c>
      <c r="QS22" s="528">
        <v>3.4512999999999998</v>
      </c>
      <c r="QT22" s="528">
        <v>3.4542999999999999</v>
      </c>
      <c r="QU22" s="509">
        <v>16</v>
      </c>
      <c r="QV22" s="529"/>
      <c r="QW22" s="529"/>
      <c r="QX22" s="509">
        <v>16</v>
      </c>
      <c r="QY22" s="528">
        <v>3.113</v>
      </c>
      <c r="QZ22" s="528">
        <v>3.0966999999999998</v>
      </c>
      <c r="RA22" s="528">
        <v>3.1196000000000002</v>
      </c>
      <c r="RB22" s="528">
        <v>3.0989</v>
      </c>
      <c r="RC22" s="528">
        <v>3.1309999999999998</v>
      </c>
      <c r="RD22" s="528">
        <v>3.1221999999999999</v>
      </c>
      <c r="RE22" s="528">
        <v>3.1234999999999999</v>
      </c>
      <c r="RF22" s="528">
        <v>3.1164999999999998</v>
      </c>
      <c r="RG22" s="528">
        <v>3.1109</v>
      </c>
      <c r="RH22" s="528">
        <v>3.1135000000000002</v>
      </c>
      <c r="RI22" s="528">
        <v>3.2324999999999999</v>
      </c>
      <c r="RJ22" s="528">
        <v>3.1118000000000001</v>
      </c>
      <c r="RK22" s="509">
        <v>16</v>
      </c>
      <c r="RL22" s="529"/>
      <c r="RM22" s="529"/>
      <c r="RN22" s="509">
        <v>16</v>
      </c>
      <c r="RO22" s="528">
        <v>3.0642</v>
      </c>
      <c r="RP22" s="528">
        <v>3.0640000000000001</v>
      </c>
      <c r="RQ22" s="528">
        <v>3.0609999999999999</v>
      </c>
      <c r="RR22" s="528">
        <v>3.0649999999999999</v>
      </c>
      <c r="RS22" s="528">
        <v>3.1093999999999999</v>
      </c>
      <c r="RT22" s="528">
        <v>3.1191</v>
      </c>
      <c r="RU22" s="528">
        <v>3.1173999999999999</v>
      </c>
      <c r="RV22" s="528">
        <v>3.0733000000000001</v>
      </c>
      <c r="RW22" s="528">
        <v>3.0941000000000001</v>
      </c>
      <c r="RX22" s="528">
        <v>3.1360000000000001</v>
      </c>
      <c r="RY22" s="528">
        <v>3.1156000000000001</v>
      </c>
      <c r="RZ22" s="528">
        <v>3.1168999999999998</v>
      </c>
      <c r="SA22" s="509">
        <v>16</v>
      </c>
      <c r="SB22" s="529"/>
      <c r="SC22" s="529"/>
      <c r="SD22" s="509">
        <v>16</v>
      </c>
      <c r="SE22" s="528">
        <v>2.9521999999999999</v>
      </c>
      <c r="SF22" s="528">
        <v>2.9645999999999999</v>
      </c>
      <c r="SG22" s="528">
        <v>2.9758</v>
      </c>
      <c r="SH22" s="528">
        <v>2.9874000000000001</v>
      </c>
      <c r="SI22" s="528">
        <v>3.0002</v>
      </c>
      <c r="SJ22" s="528">
        <v>3.0122</v>
      </c>
      <c r="SK22" s="528">
        <v>3.0238</v>
      </c>
      <c r="SL22" s="528">
        <v>3.0369999999999999</v>
      </c>
      <c r="SM22" s="528">
        <v>3.0486</v>
      </c>
      <c r="SN22" s="528">
        <v>3.0621999999999998</v>
      </c>
      <c r="SO22" s="528">
        <v>3.07179</v>
      </c>
      <c r="SP22" s="528">
        <v>3.0629900000000001</v>
      </c>
      <c r="SQ22" s="509">
        <v>16</v>
      </c>
      <c r="SR22" s="529"/>
      <c r="SS22" s="529"/>
      <c r="ST22" s="509">
        <v>16</v>
      </c>
      <c r="SU22" s="528">
        <v>2.6560000000000001</v>
      </c>
      <c r="SV22" s="528">
        <v>2.6890000000000001</v>
      </c>
      <c r="SW22" s="528">
        <v>2.7170000000000001</v>
      </c>
      <c r="SX22" s="528">
        <v>2.746</v>
      </c>
      <c r="SY22" s="528">
        <v>2.778</v>
      </c>
      <c r="SZ22" s="528">
        <v>2.8058000000000001</v>
      </c>
      <c r="TA22" s="528">
        <v>2.8281999999999998</v>
      </c>
      <c r="TB22" s="528">
        <v>2.8546</v>
      </c>
      <c r="TC22" s="528">
        <v>2.8786</v>
      </c>
      <c r="TD22" s="528">
        <v>2.9018000000000002</v>
      </c>
      <c r="TE22" s="528">
        <v>2.9278</v>
      </c>
      <c r="TF22" s="528">
        <v>2.9394</v>
      </c>
      <c r="TG22" s="509">
        <v>16</v>
      </c>
      <c r="TH22" s="529"/>
      <c r="TI22" s="529"/>
      <c r="TJ22" s="509">
        <v>16</v>
      </c>
      <c r="TK22" s="528">
        <v>2.2909999999999999</v>
      </c>
      <c r="TL22" s="528">
        <v>2.3239999999999998</v>
      </c>
      <c r="TM22" s="528">
        <v>2.3519999999999999</v>
      </c>
      <c r="TN22" s="528">
        <v>2.3820000000000001</v>
      </c>
      <c r="TO22" s="528">
        <v>2.411</v>
      </c>
      <c r="TP22" s="528">
        <v>2.444</v>
      </c>
      <c r="TQ22" s="528">
        <v>2.4729999999999999</v>
      </c>
      <c r="TR22" s="528">
        <v>2.5049999999999999</v>
      </c>
      <c r="TS22" s="528">
        <v>2.536</v>
      </c>
      <c r="TT22" s="528">
        <v>2.5640000000000001</v>
      </c>
      <c r="TU22" s="528">
        <v>2.597</v>
      </c>
      <c r="TV22" s="528">
        <v>2.6269999999999998</v>
      </c>
      <c r="TW22" s="509">
        <v>16</v>
      </c>
    </row>
    <row r="23" spans="2:543" s="4" customFormat="1" ht="23" customHeight="1">
      <c r="B23" s="509">
        <v>17</v>
      </c>
      <c r="C23" s="541">
        <v>20.360700000000001</v>
      </c>
      <c r="D23" s="541">
        <v>20.3992</v>
      </c>
      <c r="E23" s="541">
        <v>20.874300000000002</v>
      </c>
      <c r="F23" s="541">
        <v>19.840699999999998</v>
      </c>
      <c r="G23" s="541">
        <v>20.144300000000001</v>
      </c>
      <c r="H23" s="541">
        <v>20.6675</v>
      </c>
      <c r="I23" s="541">
        <v>20.941500000000001</v>
      </c>
      <c r="J23" s="541">
        <v>19.861799999999999</v>
      </c>
      <c r="K23" s="541">
        <v>19.976800000000001</v>
      </c>
      <c r="L23" s="541">
        <v>20.0398</v>
      </c>
      <c r="M23" s="541">
        <v>19.381799999999998</v>
      </c>
      <c r="N23" s="541">
        <v>19.796299999999999</v>
      </c>
      <c r="O23" s="509">
        <v>17</v>
      </c>
      <c r="R23" s="509">
        <v>17</v>
      </c>
      <c r="S23" s="541">
        <v>19.779299999999999</v>
      </c>
      <c r="T23" s="541">
        <v>19.951799999999999</v>
      </c>
      <c r="U23" s="541">
        <v>20.7637</v>
      </c>
      <c r="V23" s="541">
        <v>19.927</v>
      </c>
      <c r="W23" s="541">
        <v>20.049499999999998</v>
      </c>
      <c r="X23" s="541">
        <v>20.1235</v>
      </c>
      <c r="Y23" s="541">
        <v>19.941199999999998</v>
      </c>
      <c r="Z23" s="541">
        <v>19.860299999999999</v>
      </c>
      <c r="AA23" s="541">
        <v>19.903500000000001</v>
      </c>
      <c r="AB23" s="541">
        <v>20.607500000000002</v>
      </c>
      <c r="AC23" s="541">
        <v>20.507200000000001</v>
      </c>
      <c r="AD23" s="541">
        <v>21.2393</v>
      </c>
      <c r="AE23" s="509">
        <v>17</v>
      </c>
      <c r="AH23" s="509">
        <v>17</v>
      </c>
      <c r="AI23" s="541">
        <v>18.807700000000001</v>
      </c>
      <c r="AJ23" s="541">
        <v>18.645800000000001</v>
      </c>
      <c r="AK23" s="541">
        <v>22.151800000000001</v>
      </c>
      <c r="AL23" s="541">
        <v>24.115500000000001</v>
      </c>
      <c r="AM23" s="541">
        <v>24.270800000000001</v>
      </c>
      <c r="AN23" s="541">
        <v>22.543500000000002</v>
      </c>
      <c r="AO23" s="541">
        <v>22.364699999999999</v>
      </c>
      <c r="AP23" s="541">
        <v>22.262799999999999</v>
      </c>
      <c r="AQ23" s="541">
        <v>21.072800000000001</v>
      </c>
      <c r="AR23" s="541">
        <v>21.383199999999999</v>
      </c>
      <c r="AS23" s="541">
        <v>20.5303</v>
      </c>
      <c r="AT23" s="541">
        <v>20.1113</v>
      </c>
      <c r="AU23" s="509">
        <v>17</v>
      </c>
      <c r="AX23" s="509">
        <v>17</v>
      </c>
      <c r="AY23" s="528">
        <v>19.0457</v>
      </c>
      <c r="AZ23" s="528">
        <v>19.3569</v>
      </c>
      <c r="BA23" s="528">
        <v>19.3233</v>
      </c>
      <c r="BB23" s="528">
        <v>18.8489</v>
      </c>
      <c r="BC23" s="528">
        <v>19.1236</v>
      </c>
      <c r="BD23" s="528">
        <v>19.1645</v>
      </c>
      <c r="BE23" s="528">
        <v>18.9803</v>
      </c>
      <c r="BF23" s="528">
        <v>19.636500000000002</v>
      </c>
      <c r="BG23" s="528">
        <v>19.426500000000001</v>
      </c>
      <c r="BH23" s="528">
        <v>19.251999999999999</v>
      </c>
      <c r="BI23" s="528">
        <v>19.422799999999999</v>
      </c>
      <c r="BJ23" s="528">
        <v>19.045500000000001</v>
      </c>
      <c r="BK23" s="509">
        <v>17</v>
      </c>
      <c r="BN23" s="509">
        <v>17</v>
      </c>
      <c r="BO23" s="528">
        <v>18.811299999999999</v>
      </c>
      <c r="BP23" s="528">
        <v>18.515899999999998</v>
      </c>
      <c r="BQ23" s="530">
        <v>18.702300000000001</v>
      </c>
      <c r="BR23" s="528">
        <v>18.087</v>
      </c>
      <c r="BS23" s="528">
        <v>19.785399999999999</v>
      </c>
      <c r="BT23" s="528">
        <v>20.6953</v>
      </c>
      <c r="BU23" s="528">
        <v>18.885400000000001</v>
      </c>
      <c r="BV23" s="528">
        <v>19.233899999999998</v>
      </c>
      <c r="BW23" s="528">
        <v>18.877500000000001</v>
      </c>
      <c r="BX23" s="528">
        <v>18.8096</v>
      </c>
      <c r="BY23" s="528">
        <v>20.3371</v>
      </c>
      <c r="BZ23" s="528">
        <v>20.256599999999999</v>
      </c>
      <c r="CA23" s="509">
        <v>17</v>
      </c>
      <c r="CD23" s="509">
        <v>17</v>
      </c>
      <c r="CE23" s="528">
        <v>21.632999999999999</v>
      </c>
      <c r="CF23" s="528">
        <v>20.325399999999998</v>
      </c>
      <c r="CG23" s="528">
        <v>19.449300000000001</v>
      </c>
      <c r="CH23" s="528">
        <v>18.764600000000002</v>
      </c>
      <c r="CI23" s="528">
        <v>18.670000000000002</v>
      </c>
      <c r="CJ23" s="528">
        <v>18.115400000000001</v>
      </c>
      <c r="CK23" s="528">
        <v>17.7422</v>
      </c>
      <c r="CL23" s="528">
        <v>17.848299999999998</v>
      </c>
      <c r="CM23" s="528">
        <v>17.727799999999998</v>
      </c>
      <c r="CN23" s="528">
        <v>18.9008</v>
      </c>
      <c r="CO23" s="528">
        <v>19.226800000000001</v>
      </c>
      <c r="CP23" s="528">
        <v>19.120200000000001</v>
      </c>
      <c r="CQ23" s="509">
        <v>17</v>
      </c>
      <c r="CT23" s="509">
        <v>17</v>
      </c>
      <c r="CU23" s="528">
        <v>17.912099999999999</v>
      </c>
      <c r="CV23" s="528">
        <v>18.847100000000001</v>
      </c>
      <c r="CW23" s="528">
        <v>17.925999999999998</v>
      </c>
      <c r="CX23" s="528">
        <v>17.388000000000002</v>
      </c>
      <c r="CY23" s="528">
        <v>18.156199999999998</v>
      </c>
      <c r="CZ23" s="528">
        <v>18.8672</v>
      </c>
      <c r="DA23" s="528">
        <v>18.306100000000001</v>
      </c>
      <c r="DB23" s="528">
        <v>18.036300000000001</v>
      </c>
      <c r="DC23" s="528">
        <v>19.227499999999999</v>
      </c>
      <c r="DD23" s="528">
        <v>19.039899999999999</v>
      </c>
      <c r="DE23" s="528">
        <v>20.349</v>
      </c>
      <c r="DF23" s="528">
        <v>20.597300000000001</v>
      </c>
      <c r="DG23" s="509">
        <v>17</v>
      </c>
      <c r="DJ23" s="509">
        <v>17</v>
      </c>
      <c r="DK23" s="528">
        <v>14.582100000000001</v>
      </c>
      <c r="DL23" s="528">
        <v>14.8605</v>
      </c>
      <c r="DM23" s="528">
        <v>15.4003</v>
      </c>
      <c r="DN23" s="528">
        <v>15.389099999999999</v>
      </c>
      <c r="DO23" s="528">
        <v>15.1235</v>
      </c>
      <c r="DP23" s="528">
        <v>15.432700000000001</v>
      </c>
      <c r="DQ23" s="528">
        <v>15.747</v>
      </c>
      <c r="DR23" s="528">
        <v>16.354099999999999</v>
      </c>
      <c r="DS23" s="528">
        <v>16.816800000000001</v>
      </c>
      <c r="DT23" s="528">
        <v>16.580400000000001</v>
      </c>
      <c r="DU23" s="528">
        <v>16.740600000000001</v>
      </c>
      <c r="DV23" s="528">
        <v>17.152899999999999</v>
      </c>
      <c r="DW23" s="509">
        <v>17</v>
      </c>
      <c r="DZ23" s="509">
        <v>17</v>
      </c>
      <c r="EA23" s="528">
        <v>13.168900000000001</v>
      </c>
      <c r="EB23" s="528">
        <v>13.332000000000001</v>
      </c>
      <c r="EC23" s="528">
        <v>13.2456</v>
      </c>
      <c r="ED23" s="528">
        <v>13.098599999999999</v>
      </c>
      <c r="EE23" s="528">
        <v>12.9755</v>
      </c>
      <c r="EF23" s="528">
        <v>13.016400000000001</v>
      </c>
      <c r="EG23" s="528">
        <v>12.9611</v>
      </c>
      <c r="EH23" s="528">
        <v>13.0717</v>
      </c>
      <c r="EI23" s="528">
        <v>13.2644</v>
      </c>
      <c r="EJ23" s="528">
        <v>13.542299999999999</v>
      </c>
      <c r="EK23" s="528">
        <v>13.599500000000001</v>
      </c>
      <c r="EL23" s="528">
        <v>14.785299999999999</v>
      </c>
      <c r="EM23" s="509">
        <v>17</v>
      </c>
      <c r="EP23" s="509">
        <v>17</v>
      </c>
      <c r="EQ23" s="528">
        <v>12.6526</v>
      </c>
      <c r="ER23" s="528">
        <v>12.6982</v>
      </c>
      <c r="ES23" s="528">
        <v>12.454499999999999</v>
      </c>
      <c r="ET23" s="528">
        <v>12.1729</v>
      </c>
      <c r="EU23" s="528">
        <v>12.231299999999999</v>
      </c>
      <c r="EV23" s="528">
        <v>12.7812</v>
      </c>
      <c r="EW23" s="528">
        <v>12.7387</v>
      </c>
      <c r="EX23" s="528">
        <v>12.862500000000001</v>
      </c>
      <c r="EY23" s="528">
        <v>13.0854</v>
      </c>
      <c r="EZ23" s="528">
        <v>12.9725</v>
      </c>
      <c r="FA23" s="528">
        <v>13.017300000000001</v>
      </c>
      <c r="FB23" s="528">
        <v>12.951499999999999</v>
      </c>
      <c r="FC23" s="509">
        <v>17</v>
      </c>
      <c r="FF23" s="509">
        <v>17</v>
      </c>
      <c r="FG23" s="528">
        <v>13.626300000000001</v>
      </c>
      <c r="FH23" s="528">
        <v>12.7658</v>
      </c>
      <c r="FI23" s="528">
        <v>12.6591</v>
      </c>
      <c r="FJ23" s="528">
        <v>13.145799999999999</v>
      </c>
      <c r="FK23" s="528">
        <v>13.7302</v>
      </c>
      <c r="FL23" s="528">
        <v>13.997400000000001</v>
      </c>
      <c r="FM23" s="528">
        <v>13.344900000000001</v>
      </c>
      <c r="FN23" s="528">
        <v>13.1639</v>
      </c>
      <c r="FO23" s="528">
        <v>12.9749</v>
      </c>
      <c r="FP23" s="528">
        <v>12.8188</v>
      </c>
      <c r="FQ23" s="528">
        <v>13.2522</v>
      </c>
      <c r="FR23" s="528">
        <v>12.786899999999999</v>
      </c>
      <c r="FS23" s="509">
        <v>17</v>
      </c>
      <c r="FV23" s="509">
        <v>17</v>
      </c>
      <c r="FW23" s="528">
        <v>12.1028</v>
      </c>
      <c r="FX23" s="528">
        <v>12.114000000000001</v>
      </c>
      <c r="FY23" s="528">
        <v>12.017099999999999</v>
      </c>
      <c r="FZ23" s="528">
        <v>11.767899999999999</v>
      </c>
      <c r="GA23" s="528">
        <v>11.7219</v>
      </c>
      <c r="GB23" s="528">
        <v>11.8751</v>
      </c>
      <c r="GC23" s="528">
        <v>11.701000000000001</v>
      </c>
      <c r="GD23" s="528">
        <v>12.2424</v>
      </c>
      <c r="GE23" s="528">
        <v>12.964600000000001</v>
      </c>
      <c r="GF23" s="528">
        <v>13.364699999999999</v>
      </c>
      <c r="GG23" s="528">
        <v>13.5672</v>
      </c>
      <c r="GH23" s="528">
        <v>13.823</v>
      </c>
      <c r="GI23" s="509">
        <v>17</v>
      </c>
      <c r="GL23" s="509">
        <v>17</v>
      </c>
      <c r="GM23" s="528">
        <v>12.7364</v>
      </c>
      <c r="GN23" s="528">
        <v>12.942</v>
      </c>
      <c r="GO23" s="528">
        <v>12.5527</v>
      </c>
      <c r="GP23" s="528">
        <v>12.1934</v>
      </c>
      <c r="GQ23" s="528">
        <v>12.350099999999999</v>
      </c>
      <c r="GR23" s="528">
        <v>12.600099999999999</v>
      </c>
      <c r="GS23" s="528">
        <v>12.779500000000001</v>
      </c>
      <c r="GT23" s="528">
        <v>12.7256</v>
      </c>
      <c r="GU23" s="528">
        <v>12.8355</v>
      </c>
      <c r="GV23" s="528">
        <v>12.4101</v>
      </c>
      <c r="GW23" s="528">
        <v>12.262600000000001</v>
      </c>
      <c r="GX23" s="528">
        <v>12.3963</v>
      </c>
      <c r="GY23" s="509">
        <v>17</v>
      </c>
      <c r="HB23" s="509">
        <v>17</v>
      </c>
      <c r="HC23" s="528">
        <v>14.219200000000001</v>
      </c>
      <c r="HD23" s="528">
        <v>14.432600000000001</v>
      </c>
      <c r="HE23" s="528">
        <v>14.908300000000001</v>
      </c>
      <c r="HF23" s="528">
        <v>13.1683</v>
      </c>
      <c r="HG23" s="528">
        <v>13.298299999999999</v>
      </c>
      <c r="HH23" s="528">
        <v>13.452299999999999</v>
      </c>
      <c r="HI23" s="528">
        <v>13.6526</v>
      </c>
      <c r="HJ23" s="528">
        <v>12.8658</v>
      </c>
      <c r="HK23" s="528">
        <v>13.389200000000001</v>
      </c>
      <c r="HL23" s="528">
        <v>13.0884</v>
      </c>
      <c r="HM23" s="528">
        <v>13.206099999999999</v>
      </c>
      <c r="HN23" s="528">
        <v>12.7234</v>
      </c>
      <c r="HO23" s="509">
        <v>17</v>
      </c>
      <c r="HP23" s="529"/>
      <c r="HQ23" s="529"/>
      <c r="HR23" s="509">
        <v>17</v>
      </c>
      <c r="HS23" s="528">
        <v>10.920299999999999</v>
      </c>
      <c r="HT23" s="528">
        <v>10.741300000000001</v>
      </c>
      <c r="HU23" s="528">
        <v>10.777799999999999</v>
      </c>
      <c r="HV23" s="528">
        <v>10.484299999999999</v>
      </c>
      <c r="HW23" s="528">
        <v>10.476900000000001</v>
      </c>
      <c r="HX23" s="528">
        <v>10.365500000000001</v>
      </c>
      <c r="HY23" s="528">
        <v>10.322900000000001</v>
      </c>
      <c r="HZ23" s="528">
        <v>10.1586</v>
      </c>
      <c r="IA23" s="528">
        <v>10.582800000000001</v>
      </c>
      <c r="IB23" s="528">
        <v>12.719200000000001</v>
      </c>
      <c r="IC23" s="528">
        <v>13.1663</v>
      </c>
      <c r="ID23" s="528">
        <v>13.3317</v>
      </c>
      <c r="IE23" s="509">
        <v>17</v>
      </c>
      <c r="IF23" s="529"/>
      <c r="IG23" s="529"/>
      <c r="IH23" s="509">
        <v>17</v>
      </c>
      <c r="II23" s="528">
        <v>10.9419</v>
      </c>
      <c r="IJ23" s="528">
        <v>10.952199999999999</v>
      </c>
      <c r="IK23" s="528">
        <v>11.1348</v>
      </c>
      <c r="IL23" s="528">
        <v>10.9917</v>
      </c>
      <c r="IM23" s="528">
        <v>10.8032</v>
      </c>
      <c r="IN23" s="528">
        <v>10.901199999999999</v>
      </c>
      <c r="IO23" s="528">
        <v>10.7608</v>
      </c>
      <c r="IP23" s="528">
        <v>11.114800000000001</v>
      </c>
      <c r="IQ23" s="528">
        <v>11.074299999999999</v>
      </c>
      <c r="IR23" s="528">
        <v>10.8133</v>
      </c>
      <c r="IS23" s="528">
        <v>10.9145</v>
      </c>
      <c r="IT23" s="528">
        <v>10.8376</v>
      </c>
      <c r="IU23" s="509">
        <v>17</v>
      </c>
      <c r="IV23" s="529"/>
      <c r="IW23" s="529"/>
      <c r="IX23" s="509">
        <v>17</v>
      </c>
      <c r="IY23" s="528">
        <v>10.575200000000001</v>
      </c>
      <c r="IZ23" s="528">
        <v>10.516999999999999</v>
      </c>
      <c r="JA23" s="528">
        <v>10.666700000000001</v>
      </c>
      <c r="JB23" s="528">
        <v>11.0708</v>
      </c>
      <c r="JC23" s="528">
        <v>11.1532</v>
      </c>
      <c r="JD23" s="528">
        <v>11.411300000000001</v>
      </c>
      <c r="JE23" s="528">
        <v>11.052300000000001</v>
      </c>
      <c r="JF23" s="528">
        <v>10.824999999999999</v>
      </c>
      <c r="JG23" s="528">
        <v>10.9818</v>
      </c>
      <c r="JH23" s="528">
        <v>10.8765</v>
      </c>
      <c r="JI23" s="528">
        <v>10.859500000000001</v>
      </c>
      <c r="JJ23" s="528">
        <v>10.792199999999999</v>
      </c>
      <c r="JK23" s="509">
        <v>17</v>
      </c>
      <c r="JL23" s="529"/>
      <c r="JM23" s="529"/>
      <c r="JN23" s="509">
        <v>17</v>
      </c>
      <c r="JO23" s="528">
        <v>11.1858</v>
      </c>
      <c r="JP23" s="528">
        <v>11.153499999999999</v>
      </c>
      <c r="JQ23" s="528">
        <v>11.203799999999999</v>
      </c>
      <c r="JR23" s="528">
        <v>11.103199999999999</v>
      </c>
      <c r="JS23" s="528">
        <v>11.029</v>
      </c>
      <c r="JT23" s="528">
        <v>10.8332</v>
      </c>
      <c r="JU23" s="528">
        <v>10.6372</v>
      </c>
      <c r="JV23" s="528">
        <v>10.603999999999999</v>
      </c>
      <c r="JW23" s="528">
        <v>10.8355</v>
      </c>
      <c r="JX23" s="528">
        <v>10.940799999999999</v>
      </c>
      <c r="JY23" s="528">
        <v>10.650499999999999</v>
      </c>
      <c r="JZ23" s="528">
        <v>10.7378</v>
      </c>
      <c r="KA23" s="509">
        <v>17</v>
      </c>
      <c r="KB23" s="529"/>
      <c r="KC23" s="529"/>
      <c r="KD23" s="509">
        <v>17</v>
      </c>
      <c r="KE23" s="528">
        <v>10.8514</v>
      </c>
      <c r="KF23" s="528">
        <v>10.9627</v>
      </c>
      <c r="KG23" s="528">
        <v>10.9621</v>
      </c>
      <c r="KH23" s="528">
        <v>11.27</v>
      </c>
      <c r="KI23" s="528">
        <v>11.6281</v>
      </c>
      <c r="KJ23" s="528">
        <v>11.4259</v>
      </c>
      <c r="KK23" s="528">
        <v>11.4909</v>
      </c>
      <c r="KL23" s="528">
        <v>11.4048</v>
      </c>
      <c r="KM23" s="528">
        <v>11.585100000000001</v>
      </c>
      <c r="KN23" s="528">
        <v>11.3195</v>
      </c>
      <c r="KO23" s="528">
        <v>11.3583</v>
      </c>
      <c r="KP23" s="528">
        <v>11.2028</v>
      </c>
      <c r="KQ23" s="509">
        <v>17</v>
      </c>
      <c r="KR23" s="529"/>
      <c r="KS23" s="529"/>
      <c r="KT23" s="509">
        <v>17</v>
      </c>
      <c r="KU23" s="528">
        <v>10.487500000000001</v>
      </c>
      <c r="KV23" s="528">
        <v>10.972300000000001</v>
      </c>
      <c r="KW23" s="528">
        <v>10.817299999999999</v>
      </c>
      <c r="KX23" s="528">
        <v>10.639799999999999</v>
      </c>
      <c r="KY23" s="528">
        <v>10.2927</v>
      </c>
      <c r="KZ23" s="528">
        <v>10.5946</v>
      </c>
      <c r="LA23" s="528">
        <v>10.4308</v>
      </c>
      <c r="LB23" s="528">
        <v>10.696099999999999</v>
      </c>
      <c r="LC23" s="528">
        <v>10.9793</v>
      </c>
      <c r="LD23" s="528">
        <v>11.1785</v>
      </c>
      <c r="LE23" s="528">
        <v>11.175700000000001</v>
      </c>
      <c r="LF23" s="528">
        <v>11.2728</v>
      </c>
      <c r="LG23" s="509">
        <v>17</v>
      </c>
      <c r="LH23" s="529"/>
      <c r="LI23" s="529"/>
      <c r="LJ23" s="509">
        <v>17</v>
      </c>
      <c r="LK23" s="528">
        <v>9.1710999999999991</v>
      </c>
      <c r="LL23" s="528">
        <v>9.0838000000000001</v>
      </c>
      <c r="LM23" s="528">
        <v>9.1181999999999999</v>
      </c>
      <c r="LN23" s="528">
        <v>9.1714000000000002</v>
      </c>
      <c r="LO23" s="528">
        <v>9.4717000000000002</v>
      </c>
      <c r="LP23" s="528">
        <v>9.6532</v>
      </c>
      <c r="LQ23" s="528">
        <v>9.7522000000000002</v>
      </c>
      <c r="LR23" s="528">
        <v>9.9291999999999998</v>
      </c>
      <c r="LS23" s="528">
        <v>10.0023</v>
      </c>
      <c r="LT23" s="528">
        <v>10.068300000000001</v>
      </c>
      <c r="LU23" s="528">
        <v>10.209199999999999</v>
      </c>
      <c r="LV23" s="528">
        <v>10.185</v>
      </c>
      <c r="LW23" s="509">
        <v>17</v>
      </c>
      <c r="LX23" s="529"/>
      <c r="LY23" s="529"/>
      <c r="LZ23" s="509">
        <v>17</v>
      </c>
      <c r="MA23" s="528">
        <v>9.9017999999999997</v>
      </c>
      <c r="MB23" s="528">
        <v>9.6762999999999995</v>
      </c>
      <c r="MC23" s="528">
        <v>9.5843000000000007</v>
      </c>
      <c r="MD23" s="528">
        <v>9.2908000000000008</v>
      </c>
      <c r="ME23" s="528">
        <v>9.1609999999999996</v>
      </c>
      <c r="MF23" s="528">
        <v>9.0523000000000007</v>
      </c>
      <c r="MG23" s="528">
        <v>9.3542000000000005</v>
      </c>
      <c r="MH23" s="528">
        <v>9.0939999999999994</v>
      </c>
      <c r="MI23" s="528">
        <v>9.4748000000000001</v>
      </c>
      <c r="MJ23" s="528">
        <v>9.2752999999999997</v>
      </c>
      <c r="MK23" s="528">
        <v>9.2027999999999999</v>
      </c>
      <c r="ML23" s="528">
        <v>9.1204000000000001</v>
      </c>
      <c r="MM23" s="509">
        <v>17</v>
      </c>
      <c r="MN23" s="529"/>
      <c r="MO23" s="529"/>
      <c r="MP23" s="509">
        <v>17</v>
      </c>
      <c r="MQ23" s="528">
        <v>9.5056999999999992</v>
      </c>
      <c r="MR23" s="528">
        <v>9.3879999999999999</v>
      </c>
      <c r="MS23" s="528">
        <v>9.3436000000000003</v>
      </c>
      <c r="MT23" s="528">
        <v>9.3987999999999996</v>
      </c>
      <c r="MU23" s="528">
        <v>9.5820000000000007</v>
      </c>
      <c r="MV23" s="528">
        <v>9.8477999999999994</v>
      </c>
      <c r="MW23" s="528">
        <v>9.4367999999999999</v>
      </c>
      <c r="MX23" s="528">
        <v>9.2504000000000008</v>
      </c>
      <c r="MY23" s="528">
        <v>9.3125</v>
      </c>
      <c r="MZ23" s="528">
        <v>9.5878999999999994</v>
      </c>
      <c r="NA23" s="528">
        <v>9.4625000000000004</v>
      </c>
      <c r="NB23" s="528">
        <v>9.4126999999999992</v>
      </c>
      <c r="NC23" s="509">
        <v>17</v>
      </c>
      <c r="ND23" s="529"/>
      <c r="NE23" s="529"/>
      <c r="NF23" s="509">
        <v>17</v>
      </c>
      <c r="NG23" s="528">
        <v>10.5383</v>
      </c>
      <c r="NH23" s="528">
        <v>9.9314999999999998</v>
      </c>
      <c r="NI23" s="528">
        <v>9.7052999999999994</v>
      </c>
      <c r="NJ23" s="528">
        <v>9.5429999999999993</v>
      </c>
      <c r="NK23" s="528">
        <v>9.2698</v>
      </c>
      <c r="NL23" s="528">
        <v>9.5017999999999994</v>
      </c>
      <c r="NM23" s="528">
        <v>9.3343000000000007</v>
      </c>
      <c r="NN23" s="528">
        <v>9.3882999999999992</v>
      </c>
      <c r="NO23" s="528">
        <v>9.3323</v>
      </c>
      <c r="NP23" s="528">
        <v>9.6308000000000007</v>
      </c>
      <c r="NQ23" s="528">
        <v>9.3684999999999992</v>
      </c>
      <c r="NR23" s="528">
        <v>9.3789999999999996</v>
      </c>
      <c r="NS23" s="509">
        <v>17</v>
      </c>
      <c r="NT23" s="529"/>
      <c r="NU23" s="529"/>
      <c r="NV23" s="509">
        <v>17</v>
      </c>
      <c r="NW23" s="528">
        <v>8.2761999999999993</v>
      </c>
      <c r="NX23" s="528">
        <v>8.4651999999999994</v>
      </c>
      <c r="NY23" s="528">
        <v>8.5594999999999999</v>
      </c>
      <c r="NZ23" s="528">
        <v>8.4716000000000005</v>
      </c>
      <c r="OA23" s="528">
        <v>8.5068999999999999</v>
      </c>
      <c r="OB23" s="528">
        <v>9.0374999999999996</v>
      </c>
      <c r="OC23" s="528">
        <v>8.8535000000000004</v>
      </c>
      <c r="OD23" s="528">
        <v>9.2324999999999999</v>
      </c>
      <c r="OE23" s="528">
        <v>10.523300000000001</v>
      </c>
      <c r="OF23" s="528">
        <v>10.1312</v>
      </c>
      <c r="OG23" s="528">
        <v>9.9964999999999993</v>
      </c>
      <c r="OH23" s="528">
        <v>9.9497999999999998</v>
      </c>
      <c r="OI23" s="509">
        <v>17</v>
      </c>
      <c r="OJ23" s="529"/>
      <c r="OK23" s="529"/>
      <c r="OL23" s="509">
        <v>17</v>
      </c>
      <c r="OM23" s="528">
        <v>7.8085000000000004</v>
      </c>
      <c r="ON23" s="528">
        <v>7.7897999999999996</v>
      </c>
      <c r="OO23" s="528">
        <v>7.9987000000000004</v>
      </c>
      <c r="OP23" s="528">
        <v>7.8876999999999997</v>
      </c>
      <c r="OQ23" s="528">
        <v>7.9031000000000002</v>
      </c>
      <c r="OR23" s="528">
        <v>7.9581</v>
      </c>
      <c r="OS23" s="528">
        <v>7.8860999999999999</v>
      </c>
      <c r="OT23" s="528">
        <v>7.766</v>
      </c>
      <c r="OU23" s="528">
        <v>7.7793999999999999</v>
      </c>
      <c r="OV23" s="528">
        <v>7.7403000000000004</v>
      </c>
      <c r="OW23" s="528">
        <v>8.3800000000000008</v>
      </c>
      <c r="OX23" s="528">
        <v>8.1376000000000008</v>
      </c>
      <c r="OY23" s="509">
        <v>17</v>
      </c>
      <c r="OZ23" s="529"/>
      <c r="PA23" s="529"/>
      <c r="PB23" s="509">
        <v>17</v>
      </c>
      <c r="PC23" s="528">
        <v>7.5246000000000004</v>
      </c>
      <c r="PD23" s="528">
        <v>7.5007999999999999</v>
      </c>
      <c r="PE23" s="528">
        <v>7.5616000000000003</v>
      </c>
      <c r="PF23" s="528">
        <v>7.4736000000000002</v>
      </c>
      <c r="PG23" s="528">
        <v>7.4466999999999999</v>
      </c>
      <c r="PH23" s="528">
        <v>7.6342999999999996</v>
      </c>
      <c r="PI23" s="528">
        <v>7.6452999999999998</v>
      </c>
      <c r="PJ23" s="528">
        <v>7.5076999999999998</v>
      </c>
      <c r="PK23" s="528">
        <v>7.5416999999999996</v>
      </c>
      <c r="PL23" s="528">
        <v>7.7472000000000003</v>
      </c>
      <c r="PM23" s="528">
        <v>7.9181999999999997</v>
      </c>
      <c r="PN23" s="528">
        <v>7.9016999999999999</v>
      </c>
      <c r="PO23" s="509">
        <v>17</v>
      </c>
      <c r="PP23" s="529"/>
      <c r="PQ23" s="529"/>
      <c r="PR23" s="509">
        <v>17</v>
      </c>
      <c r="PS23" s="528">
        <v>5.3949999999999996</v>
      </c>
      <c r="PT23" s="528">
        <v>5.9924999999999997</v>
      </c>
      <c r="PU23" s="528">
        <v>6.9725000000000001</v>
      </c>
      <c r="PV23" s="528">
        <v>6.3033000000000001</v>
      </c>
      <c r="PW23" s="528">
        <v>5.9741999999999997</v>
      </c>
      <c r="PX23" s="528">
        <v>6.1867000000000001</v>
      </c>
      <c r="PY23" s="528">
        <v>6.0282999999999998</v>
      </c>
      <c r="PZ23" s="528">
        <v>6.1544999999999996</v>
      </c>
      <c r="QA23" s="528">
        <v>6.2775999999999996</v>
      </c>
      <c r="QB23" s="528">
        <v>6.7480000000000002</v>
      </c>
      <c r="QC23" s="528">
        <v>7.9</v>
      </c>
      <c r="QD23" s="528">
        <v>7.8192000000000004</v>
      </c>
      <c r="QE23" s="509">
        <v>17</v>
      </c>
      <c r="QF23" s="529"/>
      <c r="QG23" s="529"/>
      <c r="QH23" s="509">
        <v>17</v>
      </c>
      <c r="QI23" s="528">
        <v>3.1061000000000001</v>
      </c>
      <c r="QJ23" s="528">
        <v>3.105</v>
      </c>
      <c r="QK23" s="528">
        <v>3.3106</v>
      </c>
      <c r="QL23" s="528">
        <v>3.3666</v>
      </c>
      <c r="QM23" s="528">
        <v>3.3298000000000001</v>
      </c>
      <c r="QN23" s="528">
        <v>3.3673000000000002</v>
      </c>
      <c r="QO23" s="528">
        <v>3.4024999999999999</v>
      </c>
      <c r="QP23" s="528">
        <v>3.4047999999999998</v>
      </c>
      <c r="QQ23" s="528">
        <v>3.4167999999999998</v>
      </c>
      <c r="QR23" s="528">
        <v>3.4136000000000002</v>
      </c>
      <c r="QS23" s="528">
        <v>3.4525999999999999</v>
      </c>
      <c r="QT23" s="528">
        <v>3.4605999999999999</v>
      </c>
      <c r="QU23" s="509">
        <v>17</v>
      </c>
      <c r="QV23" s="529"/>
      <c r="QW23" s="529"/>
      <c r="QX23" s="509">
        <v>17</v>
      </c>
      <c r="QY23" s="528">
        <v>3.113</v>
      </c>
      <c r="QZ23" s="528">
        <v>3.1</v>
      </c>
      <c r="RA23" s="528">
        <v>3.1181999999999999</v>
      </c>
      <c r="RB23" s="528">
        <v>3.0939999999999999</v>
      </c>
      <c r="RC23" s="528">
        <v>3.1309999999999998</v>
      </c>
      <c r="RD23" s="528">
        <v>3.1166</v>
      </c>
      <c r="RE23" s="528">
        <v>3.1242000000000001</v>
      </c>
      <c r="RF23" s="528">
        <v>3.1078999999999999</v>
      </c>
      <c r="RG23" s="528">
        <v>3.1109</v>
      </c>
      <c r="RH23" s="528">
        <v>3.1135000000000002</v>
      </c>
      <c r="RI23" s="528">
        <v>3.2124999999999999</v>
      </c>
      <c r="RJ23" s="528">
        <v>3.1065</v>
      </c>
      <c r="RK23" s="509">
        <v>17</v>
      </c>
      <c r="RL23" s="529"/>
      <c r="RM23" s="529"/>
      <c r="RN23" s="509">
        <v>17</v>
      </c>
      <c r="RO23" s="528">
        <v>3.0646</v>
      </c>
      <c r="RP23" s="528">
        <v>3.0640000000000001</v>
      </c>
      <c r="RQ23" s="528">
        <v>3.0621999999999998</v>
      </c>
      <c r="RR23" s="528">
        <v>3.0649999999999999</v>
      </c>
      <c r="RS23" s="528">
        <v>3.1093999999999999</v>
      </c>
      <c r="RT23" s="528">
        <v>3.1193</v>
      </c>
      <c r="RU23" s="528">
        <v>3.1183999999999998</v>
      </c>
      <c r="RV23" s="528">
        <v>3.0733000000000001</v>
      </c>
      <c r="RW23" s="528">
        <v>3.0941000000000001</v>
      </c>
      <c r="RX23" s="528">
        <v>3.1343999999999999</v>
      </c>
      <c r="RY23" s="528">
        <v>3.113</v>
      </c>
      <c r="RZ23" s="528">
        <v>3.1372</v>
      </c>
      <c r="SA23" s="509">
        <v>17</v>
      </c>
      <c r="SB23" s="529"/>
      <c r="SC23" s="529"/>
      <c r="SD23" s="509">
        <v>17</v>
      </c>
      <c r="SE23" s="528">
        <v>2.9525999999999999</v>
      </c>
      <c r="SF23" s="528">
        <v>2.9645999999999999</v>
      </c>
      <c r="SG23" s="528">
        <v>2.9758</v>
      </c>
      <c r="SH23" s="528">
        <v>2.9885999999999999</v>
      </c>
      <c r="SI23" s="528">
        <v>3.0005999999999999</v>
      </c>
      <c r="SJ23" s="528">
        <v>3.0122</v>
      </c>
      <c r="SK23" s="528">
        <v>3.0249999999999999</v>
      </c>
      <c r="SL23" s="528">
        <v>3.0373999999999999</v>
      </c>
      <c r="SM23" s="528">
        <v>3.0489999999999999</v>
      </c>
      <c r="SN23" s="528">
        <v>3.0626000000000002</v>
      </c>
      <c r="SO23" s="528">
        <v>3.07179</v>
      </c>
      <c r="SP23" s="528">
        <v>3.06216</v>
      </c>
      <c r="SQ23" s="509">
        <v>17</v>
      </c>
      <c r="SR23" s="529"/>
      <c r="SS23" s="529"/>
      <c r="ST23" s="509">
        <v>17</v>
      </c>
      <c r="SU23" s="528">
        <v>2.6589999999999998</v>
      </c>
      <c r="SV23" s="528">
        <v>2.69</v>
      </c>
      <c r="SW23" s="528">
        <v>2.718</v>
      </c>
      <c r="SX23" s="528">
        <v>2.7469999999999999</v>
      </c>
      <c r="SY23" s="528">
        <v>2.7789999999999999</v>
      </c>
      <c r="SZ23" s="528">
        <v>2.8058000000000001</v>
      </c>
      <c r="TA23" s="528">
        <v>2.8290000000000002</v>
      </c>
      <c r="TB23" s="528">
        <v>2.8553999999999999</v>
      </c>
      <c r="TC23" s="528">
        <v>2.8786</v>
      </c>
      <c r="TD23" s="528">
        <v>2.9041999999999999</v>
      </c>
      <c r="TE23" s="528">
        <v>2.9281999999999999</v>
      </c>
      <c r="TF23" s="528">
        <v>2.9394</v>
      </c>
      <c r="TG23" s="509">
        <v>17</v>
      </c>
      <c r="TH23" s="529"/>
      <c r="TI23" s="529"/>
      <c r="TJ23" s="509">
        <v>17</v>
      </c>
      <c r="TK23" s="528">
        <v>2.2919999999999998</v>
      </c>
      <c r="TL23" s="528">
        <v>2.3250000000000002</v>
      </c>
      <c r="TM23" s="528">
        <v>2.3530000000000002</v>
      </c>
      <c r="TN23" s="528">
        <v>2.3820000000000001</v>
      </c>
      <c r="TO23" s="528">
        <v>2.4140000000000001</v>
      </c>
      <c r="TP23" s="528">
        <v>2.4449999999999998</v>
      </c>
      <c r="TQ23" s="528">
        <v>2.4729999999999999</v>
      </c>
      <c r="TR23" s="528">
        <v>2.5059999999999998</v>
      </c>
      <c r="TS23" s="528">
        <v>2.536</v>
      </c>
      <c r="TT23" s="528">
        <v>2.5649999999999999</v>
      </c>
      <c r="TU23" s="528">
        <v>2.5979999999999999</v>
      </c>
      <c r="TV23" s="528">
        <v>2.6269999999999998</v>
      </c>
      <c r="TW23" s="509">
        <v>17</v>
      </c>
    </row>
    <row r="24" spans="2:543" s="4" customFormat="1" ht="23" customHeight="1">
      <c r="B24" s="509">
        <v>18</v>
      </c>
      <c r="C24" s="541">
        <v>20.311800000000002</v>
      </c>
      <c r="D24" s="541">
        <v>20.333500000000001</v>
      </c>
      <c r="E24" s="541">
        <v>20.703499999999998</v>
      </c>
      <c r="F24" s="541">
        <v>19.840699999999998</v>
      </c>
      <c r="G24" s="541">
        <v>20.078199999999999</v>
      </c>
      <c r="H24" s="541">
        <v>20.572800000000001</v>
      </c>
      <c r="I24" s="541">
        <v>20.941500000000001</v>
      </c>
      <c r="J24" s="541">
        <v>19.930299999999999</v>
      </c>
      <c r="K24" s="541">
        <v>19.976800000000001</v>
      </c>
      <c r="L24" s="541">
        <v>20.0838</v>
      </c>
      <c r="M24" s="541">
        <v>19.313700000000001</v>
      </c>
      <c r="N24" s="541">
        <v>19.796299999999999</v>
      </c>
      <c r="O24" s="509">
        <v>18</v>
      </c>
      <c r="R24" s="509">
        <v>18</v>
      </c>
      <c r="S24" s="541">
        <v>19.779299999999999</v>
      </c>
      <c r="T24" s="541">
        <v>20.202300000000001</v>
      </c>
      <c r="U24" s="541">
        <v>20.575299999999999</v>
      </c>
      <c r="V24" s="541">
        <v>19.927</v>
      </c>
      <c r="W24" s="541">
        <v>19.848700000000001</v>
      </c>
      <c r="X24" s="541">
        <v>20.058800000000002</v>
      </c>
      <c r="Y24" s="541">
        <v>19.941199999999998</v>
      </c>
      <c r="Z24" s="541">
        <v>19.886299999999999</v>
      </c>
      <c r="AA24" s="541">
        <v>19.900300000000001</v>
      </c>
      <c r="AB24" s="541">
        <v>20.607500000000002</v>
      </c>
      <c r="AC24" s="541">
        <v>20.809200000000001</v>
      </c>
      <c r="AD24" s="541">
        <v>20.9238</v>
      </c>
      <c r="AE24" s="509">
        <v>18</v>
      </c>
      <c r="AH24" s="509">
        <v>18</v>
      </c>
      <c r="AI24" s="541">
        <v>18.792999999999999</v>
      </c>
      <c r="AJ24" s="541">
        <v>18.571200000000001</v>
      </c>
      <c r="AK24" s="541">
        <v>21.928799999999999</v>
      </c>
      <c r="AL24" s="541">
        <v>24.209800000000001</v>
      </c>
      <c r="AM24" s="541">
        <v>24.270800000000001</v>
      </c>
      <c r="AN24" s="541">
        <v>22.216799999999999</v>
      </c>
      <c r="AO24" s="541">
        <v>22.3032</v>
      </c>
      <c r="AP24" s="541">
        <v>22.031300000000002</v>
      </c>
      <c r="AQ24" s="541">
        <v>21.069199999999999</v>
      </c>
      <c r="AR24" s="541">
        <v>21.383199999999999</v>
      </c>
      <c r="AS24" s="541">
        <v>20.4833</v>
      </c>
      <c r="AT24" s="541">
        <v>19.9513</v>
      </c>
      <c r="AU24" s="509">
        <v>18</v>
      </c>
      <c r="AX24" s="509">
        <v>18</v>
      </c>
      <c r="AY24" s="528">
        <v>18.9908</v>
      </c>
      <c r="AZ24" s="528">
        <v>19.3569</v>
      </c>
      <c r="BA24" s="528">
        <v>19.3233</v>
      </c>
      <c r="BB24" s="528">
        <v>18.951599999999999</v>
      </c>
      <c r="BC24" s="528">
        <v>19.071000000000002</v>
      </c>
      <c r="BD24" s="528">
        <v>19.148700000000002</v>
      </c>
      <c r="BE24" s="528">
        <v>19.078099999999999</v>
      </c>
      <c r="BF24" s="528">
        <v>19.636500000000002</v>
      </c>
      <c r="BG24" s="528">
        <v>19.366499999999998</v>
      </c>
      <c r="BH24" s="528">
        <v>19.2135</v>
      </c>
      <c r="BI24" s="528">
        <v>19.422799999999999</v>
      </c>
      <c r="BJ24" s="528">
        <v>18.970199999999998</v>
      </c>
      <c r="BK24" s="509">
        <v>18</v>
      </c>
      <c r="BN24" s="509">
        <v>18</v>
      </c>
      <c r="BO24" s="528">
        <v>18.836200000000002</v>
      </c>
      <c r="BP24" s="528">
        <v>18.515899999999998</v>
      </c>
      <c r="BQ24" s="530">
        <v>18.702300000000001</v>
      </c>
      <c r="BR24" s="528">
        <v>18.039400000000001</v>
      </c>
      <c r="BS24" s="528">
        <v>19.709399999999999</v>
      </c>
      <c r="BT24" s="528">
        <v>20.6953</v>
      </c>
      <c r="BU24" s="528">
        <v>18.835999999999999</v>
      </c>
      <c r="BV24" s="528">
        <v>19.010000000000002</v>
      </c>
      <c r="BW24" s="528">
        <v>18.8689</v>
      </c>
      <c r="BX24" s="528">
        <v>18.769300000000001</v>
      </c>
      <c r="BY24" s="528">
        <v>20.3371</v>
      </c>
      <c r="BZ24" s="528">
        <v>20.3337</v>
      </c>
      <c r="CA24" s="509">
        <v>18</v>
      </c>
      <c r="CD24" s="509">
        <v>18</v>
      </c>
      <c r="CE24" s="528">
        <v>21.664300000000001</v>
      </c>
      <c r="CF24" s="528">
        <v>20.3325</v>
      </c>
      <c r="CG24" s="528">
        <v>19.172999999999998</v>
      </c>
      <c r="CH24" s="528">
        <v>18.752800000000001</v>
      </c>
      <c r="CI24" s="528">
        <v>18.618300000000001</v>
      </c>
      <c r="CJ24" s="528">
        <v>18.115400000000001</v>
      </c>
      <c r="CK24" s="528">
        <v>17.561299999999999</v>
      </c>
      <c r="CL24" s="528">
        <v>17.716000000000001</v>
      </c>
      <c r="CM24" s="528">
        <v>17.727799999999998</v>
      </c>
      <c r="CN24" s="528">
        <v>19.075299999999999</v>
      </c>
      <c r="CO24" s="528">
        <v>19.122399999999999</v>
      </c>
      <c r="CP24" s="528">
        <v>19.120200000000001</v>
      </c>
      <c r="CQ24" s="509">
        <v>18</v>
      </c>
      <c r="CT24" s="509">
        <v>18</v>
      </c>
      <c r="CU24" s="528">
        <v>17.912099999999999</v>
      </c>
      <c r="CV24" s="528">
        <v>18.814800000000002</v>
      </c>
      <c r="CW24" s="528">
        <v>17.930800000000001</v>
      </c>
      <c r="CX24" s="528">
        <v>17.388000000000002</v>
      </c>
      <c r="CY24" s="528">
        <v>18.179500000000001</v>
      </c>
      <c r="CZ24" s="528">
        <v>18.9968</v>
      </c>
      <c r="DA24" s="528">
        <v>18.306100000000001</v>
      </c>
      <c r="DB24" s="528">
        <v>17.986899999999999</v>
      </c>
      <c r="DC24" s="528">
        <v>19.227499999999999</v>
      </c>
      <c r="DD24" s="528">
        <v>19.0046</v>
      </c>
      <c r="DE24" s="528">
        <v>20.288399999999999</v>
      </c>
      <c r="DF24" s="528">
        <v>20.597300000000001</v>
      </c>
      <c r="DG24" s="509">
        <v>18</v>
      </c>
      <c r="DJ24" s="509">
        <v>18</v>
      </c>
      <c r="DK24" s="528">
        <v>14.582100000000001</v>
      </c>
      <c r="DL24" s="528">
        <v>14.8979</v>
      </c>
      <c r="DM24" s="528">
        <v>15.4892</v>
      </c>
      <c r="DN24" s="528">
        <v>15.2455</v>
      </c>
      <c r="DO24" s="528">
        <v>15.1235</v>
      </c>
      <c r="DP24" s="528">
        <v>15.4192</v>
      </c>
      <c r="DQ24" s="528">
        <v>15.747</v>
      </c>
      <c r="DR24" s="528">
        <v>16.3658</v>
      </c>
      <c r="DS24" s="528">
        <v>16.771599999999999</v>
      </c>
      <c r="DT24" s="528">
        <v>16.580400000000001</v>
      </c>
      <c r="DU24" s="528">
        <v>16.7395</v>
      </c>
      <c r="DV24" s="528">
        <v>17.135999999999999</v>
      </c>
      <c r="DW24" s="509">
        <v>18</v>
      </c>
      <c r="DZ24" s="509">
        <v>18</v>
      </c>
      <c r="EA24" s="528">
        <v>13.290699999999999</v>
      </c>
      <c r="EB24" s="528">
        <v>13.2477</v>
      </c>
      <c r="EC24" s="528">
        <v>13.2456</v>
      </c>
      <c r="ED24" s="528">
        <v>13.098599999999999</v>
      </c>
      <c r="EE24" s="528">
        <v>12.9755</v>
      </c>
      <c r="EF24" s="528">
        <v>13.032299999999999</v>
      </c>
      <c r="EG24" s="528">
        <v>12.939</v>
      </c>
      <c r="EH24" s="528">
        <v>13.0717</v>
      </c>
      <c r="EI24" s="528">
        <v>13.222300000000001</v>
      </c>
      <c r="EJ24" s="528">
        <v>13.5616</v>
      </c>
      <c r="EK24" s="528">
        <v>13.599500000000001</v>
      </c>
      <c r="EL24" s="528">
        <v>14.7499</v>
      </c>
      <c r="EM24" s="509">
        <v>18</v>
      </c>
      <c r="EP24" s="509">
        <v>18</v>
      </c>
      <c r="EQ24" s="528">
        <v>12.6305</v>
      </c>
      <c r="ER24" s="528">
        <v>12.6982</v>
      </c>
      <c r="ES24" s="528">
        <v>12.454499999999999</v>
      </c>
      <c r="ET24" s="528">
        <v>12.1668</v>
      </c>
      <c r="EU24" s="528">
        <v>12.2378</v>
      </c>
      <c r="EV24" s="528">
        <v>12.691599999999999</v>
      </c>
      <c r="EW24" s="528">
        <v>12.629899999999999</v>
      </c>
      <c r="EX24" s="528">
        <v>12.862500000000001</v>
      </c>
      <c r="EY24" s="528">
        <v>13.054</v>
      </c>
      <c r="EZ24" s="528">
        <v>12.881600000000001</v>
      </c>
      <c r="FA24" s="528">
        <v>13.017300000000001</v>
      </c>
      <c r="FB24" s="528">
        <v>12.943899999999999</v>
      </c>
      <c r="FC24" s="509">
        <v>18</v>
      </c>
      <c r="FF24" s="509">
        <v>18</v>
      </c>
      <c r="FG24" s="528">
        <v>13.540100000000001</v>
      </c>
      <c r="FH24" s="528">
        <v>12.882199999999999</v>
      </c>
      <c r="FI24" s="528">
        <v>12.6591</v>
      </c>
      <c r="FJ24" s="528">
        <v>13.216799999999999</v>
      </c>
      <c r="FK24" s="528">
        <v>13.774699999999999</v>
      </c>
      <c r="FL24" s="528">
        <v>13.997400000000001</v>
      </c>
      <c r="FM24" s="528">
        <v>13.283200000000001</v>
      </c>
      <c r="FN24" s="528">
        <v>13.143000000000001</v>
      </c>
      <c r="FO24" s="528">
        <v>12.745799999999999</v>
      </c>
      <c r="FP24" s="528">
        <v>12.807700000000001</v>
      </c>
      <c r="FQ24" s="528">
        <v>13.2522</v>
      </c>
      <c r="FR24" s="528">
        <v>12.7768</v>
      </c>
      <c r="FS24" s="509">
        <v>18</v>
      </c>
      <c r="FV24" s="509">
        <v>18</v>
      </c>
      <c r="FW24" s="528">
        <v>12.0871</v>
      </c>
      <c r="FX24" s="528">
        <v>12.095700000000001</v>
      </c>
      <c r="FY24" s="528">
        <v>12.071</v>
      </c>
      <c r="FZ24" s="528">
        <v>11.767899999999999</v>
      </c>
      <c r="GA24" s="528">
        <v>11.7094</v>
      </c>
      <c r="GB24" s="528">
        <v>11.959099999999999</v>
      </c>
      <c r="GC24" s="528">
        <v>11.701000000000001</v>
      </c>
      <c r="GD24" s="528">
        <v>12.2631</v>
      </c>
      <c r="GE24" s="528">
        <v>12.964600000000001</v>
      </c>
      <c r="GF24" s="528">
        <v>13.271100000000001</v>
      </c>
      <c r="GG24" s="528">
        <v>13.5847</v>
      </c>
      <c r="GH24" s="528">
        <v>13.823</v>
      </c>
      <c r="GI24" s="509">
        <v>18</v>
      </c>
      <c r="GL24" s="509">
        <v>18</v>
      </c>
      <c r="GM24" s="528">
        <v>12.7364</v>
      </c>
      <c r="GN24" s="528">
        <v>12.8683</v>
      </c>
      <c r="GO24" s="528">
        <v>12.525399999999999</v>
      </c>
      <c r="GP24" s="528">
        <v>12.1934</v>
      </c>
      <c r="GQ24" s="528">
        <v>12.5684</v>
      </c>
      <c r="GR24" s="528">
        <v>12.5878</v>
      </c>
      <c r="GS24" s="528">
        <v>12.779500000000001</v>
      </c>
      <c r="GT24" s="528">
        <v>12.645799999999999</v>
      </c>
      <c r="GU24" s="528">
        <v>12.8355</v>
      </c>
      <c r="GV24" s="528">
        <v>12.4101</v>
      </c>
      <c r="GW24" s="528">
        <v>12.4353</v>
      </c>
      <c r="GX24" s="528">
        <v>12.4505</v>
      </c>
      <c r="GY24" s="509">
        <v>18</v>
      </c>
      <c r="HB24" s="509">
        <v>18</v>
      </c>
      <c r="HC24" s="528">
        <v>14.219200000000001</v>
      </c>
      <c r="HD24" s="528">
        <v>14.5288</v>
      </c>
      <c r="HE24" s="528">
        <v>14.569000000000001</v>
      </c>
      <c r="HF24" s="528">
        <v>13.0511</v>
      </c>
      <c r="HG24" s="528">
        <v>13.298299999999999</v>
      </c>
      <c r="HH24" s="528">
        <v>13.352499999999999</v>
      </c>
      <c r="HI24" s="528">
        <v>13.587</v>
      </c>
      <c r="HJ24" s="528">
        <v>12.8766</v>
      </c>
      <c r="HK24" s="528">
        <v>13.3475</v>
      </c>
      <c r="HL24" s="528">
        <v>13.0884</v>
      </c>
      <c r="HM24" s="528">
        <v>13.1012</v>
      </c>
      <c r="HN24" s="528">
        <v>12.698</v>
      </c>
      <c r="HO24" s="509">
        <v>18</v>
      </c>
      <c r="HP24" s="529"/>
      <c r="HQ24" s="529"/>
      <c r="HR24" s="509">
        <v>18</v>
      </c>
      <c r="HS24" s="528">
        <v>10.9458</v>
      </c>
      <c r="HT24" s="528">
        <v>10.741300000000001</v>
      </c>
      <c r="HU24" s="528">
        <v>10.777799999999999</v>
      </c>
      <c r="HV24" s="528">
        <v>10.4579</v>
      </c>
      <c r="HW24" s="528">
        <v>10.476900000000001</v>
      </c>
      <c r="HX24" s="528">
        <v>10.3399</v>
      </c>
      <c r="HY24" s="528">
        <v>10.2608</v>
      </c>
      <c r="HZ24" s="528">
        <v>10.1586</v>
      </c>
      <c r="IA24" s="528">
        <v>10.705399999999999</v>
      </c>
      <c r="IB24" s="528">
        <v>13.0633</v>
      </c>
      <c r="IC24" s="528">
        <v>13.1663</v>
      </c>
      <c r="ID24" s="528">
        <v>13.271699999999999</v>
      </c>
      <c r="IE24" s="509">
        <v>18</v>
      </c>
      <c r="IF24" s="529"/>
      <c r="IG24" s="529"/>
      <c r="IH24" s="509">
        <v>18</v>
      </c>
      <c r="II24" s="528">
        <v>10.986000000000001</v>
      </c>
      <c r="IJ24" s="528">
        <v>10.952199999999999</v>
      </c>
      <c r="IK24" s="528">
        <v>11.1348</v>
      </c>
      <c r="IL24" s="528">
        <v>10.9856</v>
      </c>
      <c r="IM24" s="528">
        <v>10.7905</v>
      </c>
      <c r="IN24" s="528">
        <v>10.901199999999999</v>
      </c>
      <c r="IO24" s="528">
        <v>10.7653</v>
      </c>
      <c r="IP24" s="528">
        <v>11.2676</v>
      </c>
      <c r="IQ24" s="528">
        <v>11.111000000000001</v>
      </c>
      <c r="IR24" s="528">
        <v>10.841799999999999</v>
      </c>
      <c r="IS24" s="528">
        <v>10.9145</v>
      </c>
      <c r="IT24" s="528">
        <v>10.8249</v>
      </c>
      <c r="IU24" s="509">
        <v>18</v>
      </c>
      <c r="IV24" s="529"/>
      <c r="IW24" s="529"/>
      <c r="IX24" s="509">
        <v>18</v>
      </c>
      <c r="IY24" s="528">
        <v>10.558999999999999</v>
      </c>
      <c r="IZ24" s="528">
        <v>10.5175</v>
      </c>
      <c r="JA24" s="528">
        <v>10.6212</v>
      </c>
      <c r="JB24" s="528">
        <v>11.047700000000001</v>
      </c>
      <c r="JC24" s="528">
        <v>11.0518</v>
      </c>
      <c r="JD24" s="528">
        <v>11.411300000000001</v>
      </c>
      <c r="JE24" s="528">
        <v>11.0275</v>
      </c>
      <c r="JF24" s="528">
        <v>10.75</v>
      </c>
      <c r="JG24" s="528">
        <v>10.9818</v>
      </c>
      <c r="JH24" s="528">
        <v>10.836399999999999</v>
      </c>
      <c r="JI24" s="528">
        <v>10.8527</v>
      </c>
      <c r="JJ24" s="528">
        <v>10.792199999999999</v>
      </c>
      <c r="JK24" s="509">
        <v>18</v>
      </c>
      <c r="JL24" s="529"/>
      <c r="JM24" s="529"/>
      <c r="JN24" s="509">
        <v>18</v>
      </c>
      <c r="JO24" s="528">
        <v>11.2339</v>
      </c>
      <c r="JP24" s="528">
        <v>11.1625</v>
      </c>
      <c r="JQ24" s="528">
        <v>11.227600000000001</v>
      </c>
      <c r="JR24" s="528">
        <v>11.103199999999999</v>
      </c>
      <c r="JS24" s="528">
        <v>11.037599999999999</v>
      </c>
      <c r="JT24" s="528">
        <v>10.800700000000001</v>
      </c>
      <c r="JU24" s="528">
        <v>10.6372</v>
      </c>
      <c r="JV24" s="528">
        <v>10.5809</v>
      </c>
      <c r="JW24" s="528">
        <v>10.8355</v>
      </c>
      <c r="JX24" s="528">
        <v>10.916399999999999</v>
      </c>
      <c r="JY24" s="528">
        <v>10.635</v>
      </c>
      <c r="JZ24" s="528">
        <v>10.7378</v>
      </c>
      <c r="KA24" s="509">
        <v>18</v>
      </c>
      <c r="KB24" s="529"/>
      <c r="KC24" s="529"/>
      <c r="KD24" s="509">
        <v>18</v>
      </c>
      <c r="KE24" s="528">
        <v>10.8514</v>
      </c>
      <c r="KF24" s="528">
        <v>10.9434</v>
      </c>
      <c r="KG24" s="528">
        <v>11.039</v>
      </c>
      <c r="KH24" s="528">
        <v>11.27</v>
      </c>
      <c r="KI24" s="528">
        <v>11.571300000000001</v>
      </c>
      <c r="KJ24" s="528">
        <v>11.399100000000001</v>
      </c>
      <c r="KK24" s="528">
        <v>11.4909</v>
      </c>
      <c r="KL24" s="528">
        <v>11.3848</v>
      </c>
      <c r="KM24" s="528">
        <v>11.533300000000001</v>
      </c>
      <c r="KN24" s="528">
        <v>11.3195</v>
      </c>
      <c r="KO24" s="528">
        <v>11.3508</v>
      </c>
      <c r="KP24" s="528">
        <v>11.2316</v>
      </c>
      <c r="KQ24" s="509">
        <v>18</v>
      </c>
      <c r="KR24" s="529"/>
      <c r="KS24" s="529"/>
      <c r="KT24" s="509">
        <v>18</v>
      </c>
      <c r="KU24" s="528">
        <v>10.5083</v>
      </c>
      <c r="KV24" s="528">
        <v>10.882300000000001</v>
      </c>
      <c r="KW24" s="528">
        <v>10.848100000000001</v>
      </c>
      <c r="KX24" s="528">
        <v>10.639799999999999</v>
      </c>
      <c r="KY24" s="528">
        <v>10.2927</v>
      </c>
      <c r="KZ24" s="528">
        <v>10.4983</v>
      </c>
      <c r="LA24" s="528">
        <v>10.4079</v>
      </c>
      <c r="LB24" s="528">
        <v>10.696099999999999</v>
      </c>
      <c r="LC24" s="528">
        <v>10.971299999999999</v>
      </c>
      <c r="LD24" s="528">
        <v>11.247199999999999</v>
      </c>
      <c r="LE24" s="528">
        <v>11.1442</v>
      </c>
      <c r="LF24" s="528">
        <v>11.306100000000001</v>
      </c>
      <c r="LG24" s="509">
        <v>18</v>
      </c>
      <c r="LH24" s="529"/>
      <c r="LI24" s="529"/>
      <c r="LJ24" s="509">
        <v>18</v>
      </c>
      <c r="LK24" s="528">
        <v>9.1992999999999991</v>
      </c>
      <c r="LL24" s="528">
        <v>9.0838000000000001</v>
      </c>
      <c r="LM24" s="528">
        <v>9.1181999999999999</v>
      </c>
      <c r="LN24" s="528">
        <v>9.1597000000000008</v>
      </c>
      <c r="LO24" s="528">
        <v>9.4863</v>
      </c>
      <c r="LP24" s="528">
        <v>9.6684000000000001</v>
      </c>
      <c r="LQ24" s="528">
        <v>9.7345000000000006</v>
      </c>
      <c r="LR24" s="528">
        <v>9.9291999999999998</v>
      </c>
      <c r="LS24" s="528">
        <v>9.9673999999999996</v>
      </c>
      <c r="LT24" s="528">
        <v>10.075699999999999</v>
      </c>
      <c r="LU24" s="528">
        <v>10.209199999999999</v>
      </c>
      <c r="LV24" s="528">
        <v>10.1966</v>
      </c>
      <c r="LW24" s="509">
        <v>18</v>
      </c>
      <c r="LX24" s="529"/>
      <c r="LY24" s="529"/>
      <c r="LZ24" s="509">
        <v>18</v>
      </c>
      <c r="MA24" s="528">
        <v>9.9778000000000002</v>
      </c>
      <c r="MB24" s="528">
        <v>9.6762999999999995</v>
      </c>
      <c r="MC24" s="528">
        <v>9.5843000000000007</v>
      </c>
      <c r="MD24" s="528">
        <v>9.3230000000000004</v>
      </c>
      <c r="ME24" s="528">
        <v>9.1645000000000003</v>
      </c>
      <c r="MF24" s="528">
        <v>9.0523000000000007</v>
      </c>
      <c r="MG24" s="528">
        <v>9.2918000000000003</v>
      </c>
      <c r="MH24" s="528">
        <v>9.0832999999999995</v>
      </c>
      <c r="MI24" s="528">
        <v>9.4941999999999993</v>
      </c>
      <c r="MJ24" s="528">
        <v>9.2349999999999994</v>
      </c>
      <c r="MK24" s="528">
        <v>9.2027999999999999</v>
      </c>
      <c r="ML24" s="528">
        <v>9.0798000000000005</v>
      </c>
      <c r="MM24" s="509">
        <v>18</v>
      </c>
      <c r="MN24" s="529"/>
      <c r="MO24" s="529"/>
      <c r="MP24" s="509">
        <v>18</v>
      </c>
      <c r="MQ24" s="528">
        <v>9.4482999999999997</v>
      </c>
      <c r="MR24" s="528">
        <v>9.3710000000000004</v>
      </c>
      <c r="MS24" s="528">
        <v>9.3224</v>
      </c>
      <c r="MT24" s="528">
        <v>9.4841999999999995</v>
      </c>
      <c r="MU24" s="528">
        <v>9.5088000000000008</v>
      </c>
      <c r="MV24" s="528">
        <v>9.8477999999999994</v>
      </c>
      <c r="MW24" s="528">
        <v>9.4152000000000005</v>
      </c>
      <c r="MX24" s="528">
        <v>9.1922999999999995</v>
      </c>
      <c r="MY24" s="528">
        <v>9.3125</v>
      </c>
      <c r="MZ24" s="528">
        <v>9.5350999999999999</v>
      </c>
      <c r="NA24" s="528">
        <v>9.4827999999999992</v>
      </c>
      <c r="NB24" s="528">
        <v>9.4126999999999992</v>
      </c>
      <c r="NC24" s="509">
        <v>18</v>
      </c>
      <c r="ND24" s="529"/>
      <c r="NE24" s="529"/>
      <c r="NF24" s="509">
        <v>18</v>
      </c>
      <c r="NG24" s="528">
        <v>10.5383</v>
      </c>
      <c r="NH24" s="528">
        <v>9.9190000000000005</v>
      </c>
      <c r="NI24" s="528">
        <v>9.6586999999999996</v>
      </c>
      <c r="NJ24" s="528">
        <v>9.5429999999999993</v>
      </c>
      <c r="NK24" s="528">
        <v>9.3590999999999998</v>
      </c>
      <c r="NL24" s="528">
        <v>9.4585000000000008</v>
      </c>
      <c r="NM24" s="528">
        <v>9.3343000000000007</v>
      </c>
      <c r="NN24" s="528">
        <v>9.3567999999999998</v>
      </c>
      <c r="NO24" s="528">
        <v>9.3092000000000006</v>
      </c>
      <c r="NP24" s="528">
        <v>9.6308000000000007</v>
      </c>
      <c r="NQ24" s="528">
        <v>9.4017999999999997</v>
      </c>
      <c r="NR24" s="528">
        <v>9.3577999999999992</v>
      </c>
      <c r="NS24" s="509">
        <v>18</v>
      </c>
      <c r="NT24" s="529"/>
      <c r="NU24" s="529"/>
      <c r="NV24" s="509">
        <v>18</v>
      </c>
      <c r="NW24" s="528">
        <v>8.2761999999999993</v>
      </c>
      <c r="NX24" s="528">
        <v>8.4628999999999994</v>
      </c>
      <c r="NY24" s="528">
        <v>8.5927000000000007</v>
      </c>
      <c r="NZ24" s="528">
        <v>8.5008999999999997</v>
      </c>
      <c r="OA24" s="528">
        <v>8.5068999999999999</v>
      </c>
      <c r="OB24" s="528">
        <v>8.9815000000000005</v>
      </c>
      <c r="OC24" s="528">
        <v>8.8392999999999997</v>
      </c>
      <c r="OD24" s="528">
        <v>9.1812000000000005</v>
      </c>
      <c r="OE24" s="528">
        <v>10.2058</v>
      </c>
      <c r="OF24" s="528">
        <v>10.1312</v>
      </c>
      <c r="OG24" s="528">
        <v>9.9764999999999997</v>
      </c>
      <c r="OH24" s="528">
        <v>9.8827999999999996</v>
      </c>
      <c r="OI24" s="509">
        <v>18</v>
      </c>
      <c r="OJ24" s="529"/>
      <c r="OK24" s="529"/>
      <c r="OL24" s="509">
        <v>18</v>
      </c>
      <c r="OM24" s="528">
        <v>7.8221999999999996</v>
      </c>
      <c r="ON24" s="528">
        <v>7.7779999999999996</v>
      </c>
      <c r="OO24" s="528">
        <v>7.9789000000000003</v>
      </c>
      <c r="OP24" s="528">
        <v>7.8978000000000002</v>
      </c>
      <c r="OQ24" s="528">
        <v>7.9031000000000002</v>
      </c>
      <c r="OR24" s="528">
        <v>7.9537000000000004</v>
      </c>
      <c r="OS24" s="528">
        <v>7.9282000000000004</v>
      </c>
      <c r="OT24" s="528">
        <v>7.766</v>
      </c>
      <c r="OU24" s="528">
        <v>7.7676999999999996</v>
      </c>
      <c r="OV24" s="528">
        <v>7.7336</v>
      </c>
      <c r="OW24" s="528">
        <v>8.3275000000000006</v>
      </c>
      <c r="OX24" s="528">
        <v>8.0915999999999997</v>
      </c>
      <c r="OY24" s="509">
        <v>18</v>
      </c>
      <c r="OZ24" s="529"/>
      <c r="PA24" s="529"/>
      <c r="PB24" s="509">
        <v>18</v>
      </c>
      <c r="PC24" s="528">
        <v>7.5254000000000003</v>
      </c>
      <c r="PD24" s="528">
        <v>7.5007999999999999</v>
      </c>
      <c r="PE24" s="528">
        <v>7.5616000000000003</v>
      </c>
      <c r="PF24" s="528">
        <v>7.4314999999999998</v>
      </c>
      <c r="PG24" s="528">
        <v>7.4179000000000004</v>
      </c>
      <c r="PH24" s="528">
        <v>7.5934999999999997</v>
      </c>
      <c r="PI24" s="528">
        <v>7.6574999999999998</v>
      </c>
      <c r="PJ24" s="528">
        <v>7.5076999999999998</v>
      </c>
      <c r="PK24" s="528">
        <v>7.5138999999999996</v>
      </c>
      <c r="PL24" s="528">
        <v>7.7949999999999999</v>
      </c>
      <c r="PM24" s="528">
        <v>7.9181999999999997</v>
      </c>
      <c r="PN24" s="528">
        <v>7.9272</v>
      </c>
      <c r="PO24" s="509">
        <v>18</v>
      </c>
      <c r="PP24" s="529"/>
      <c r="PQ24" s="529"/>
      <c r="PR24" s="509">
        <v>18</v>
      </c>
      <c r="PS24" s="528">
        <v>5.49</v>
      </c>
      <c r="PT24" s="528">
        <v>6.1</v>
      </c>
      <c r="PU24" s="528">
        <v>7.2074999999999996</v>
      </c>
      <c r="PV24" s="528">
        <v>6.2866999999999997</v>
      </c>
      <c r="PW24" s="528">
        <v>5.9492000000000003</v>
      </c>
      <c r="PX24" s="528">
        <v>6.1867000000000001</v>
      </c>
      <c r="PY24" s="528">
        <v>6.0449999999999999</v>
      </c>
      <c r="PZ24" s="528">
        <v>6.1673</v>
      </c>
      <c r="QA24" s="528">
        <v>6.2775999999999996</v>
      </c>
      <c r="QB24" s="528">
        <v>6.75</v>
      </c>
      <c r="QC24" s="528">
        <v>7.8</v>
      </c>
      <c r="QD24" s="528">
        <v>7.8192000000000004</v>
      </c>
      <c r="QE24" s="509">
        <v>18</v>
      </c>
      <c r="QF24" s="529"/>
      <c r="QG24" s="529"/>
      <c r="QH24" s="509">
        <v>18</v>
      </c>
      <c r="QI24" s="528">
        <v>3.1088</v>
      </c>
      <c r="QJ24" s="528">
        <v>3.1055000000000001</v>
      </c>
      <c r="QK24" s="528">
        <v>3.3033000000000001</v>
      </c>
      <c r="QL24" s="528">
        <v>3.3666</v>
      </c>
      <c r="QM24" s="528">
        <v>3.3319000000000001</v>
      </c>
      <c r="QN24" s="528">
        <v>3.3675000000000002</v>
      </c>
      <c r="QO24" s="528">
        <v>3.4024999999999999</v>
      </c>
      <c r="QP24" s="528">
        <v>3.4077999999999999</v>
      </c>
      <c r="QQ24" s="528">
        <v>3.4167999999999998</v>
      </c>
      <c r="QR24" s="528">
        <v>3.4178999999999999</v>
      </c>
      <c r="QS24" s="528">
        <v>3.4529999999999998</v>
      </c>
      <c r="QT24" s="528">
        <v>3.4605999999999999</v>
      </c>
      <c r="QU24" s="509">
        <v>18</v>
      </c>
      <c r="QV24" s="529"/>
      <c r="QW24" s="529"/>
      <c r="QX24" s="509">
        <v>18</v>
      </c>
      <c r="QY24" s="528">
        <v>3.113</v>
      </c>
      <c r="QZ24" s="528">
        <v>3.0977000000000001</v>
      </c>
      <c r="RA24" s="528">
        <v>3.12</v>
      </c>
      <c r="RB24" s="528">
        <v>3.0939999999999999</v>
      </c>
      <c r="RC24" s="528">
        <v>3.1288999999999998</v>
      </c>
      <c r="RD24" s="528">
        <v>3.1198999999999999</v>
      </c>
      <c r="RE24" s="528">
        <v>3.1242000000000001</v>
      </c>
      <c r="RF24" s="528">
        <v>3.1110000000000002</v>
      </c>
      <c r="RG24" s="528">
        <v>3.1107999999999998</v>
      </c>
      <c r="RH24" s="528">
        <v>3.1135000000000002</v>
      </c>
      <c r="RI24" s="528">
        <v>3.1850000000000001</v>
      </c>
      <c r="RJ24" s="528">
        <v>3.1053000000000002</v>
      </c>
      <c r="RK24" s="509">
        <v>18</v>
      </c>
      <c r="RL24" s="529"/>
      <c r="RM24" s="529"/>
      <c r="RN24" s="509">
        <v>18</v>
      </c>
      <c r="RO24" s="528">
        <v>3.0678999999999998</v>
      </c>
      <c r="RP24" s="528">
        <v>3.0634000000000001</v>
      </c>
      <c r="RQ24" s="528">
        <v>3.0609000000000002</v>
      </c>
      <c r="RR24" s="528">
        <v>3.0649999999999999</v>
      </c>
      <c r="RS24" s="528">
        <v>3.1093999999999999</v>
      </c>
      <c r="RT24" s="528">
        <v>3.121</v>
      </c>
      <c r="RU24" s="528">
        <v>3.1175000000000002</v>
      </c>
      <c r="RV24" s="528">
        <v>3.0768</v>
      </c>
      <c r="RW24" s="528">
        <v>3.0926</v>
      </c>
      <c r="RX24" s="528">
        <v>3.1343999999999999</v>
      </c>
      <c r="RY24" s="528">
        <v>3.1194999999999999</v>
      </c>
      <c r="RZ24" s="528">
        <v>3.1352000000000002</v>
      </c>
      <c r="SA24" s="509">
        <v>18</v>
      </c>
      <c r="SB24" s="529"/>
      <c r="SC24" s="529"/>
      <c r="SD24" s="509">
        <v>18</v>
      </c>
      <c r="SE24" s="528">
        <v>2.9529999999999998</v>
      </c>
      <c r="SF24" s="528">
        <v>2.9645999999999999</v>
      </c>
      <c r="SG24" s="528">
        <v>2.9758</v>
      </c>
      <c r="SH24" s="528">
        <v>2.9889999999999999</v>
      </c>
      <c r="SI24" s="528">
        <v>3.0009999999999999</v>
      </c>
      <c r="SJ24" s="528">
        <v>3.0125999999999999</v>
      </c>
      <c r="SK24" s="528">
        <v>3.0253999999999999</v>
      </c>
      <c r="SL24" s="528">
        <v>3.0373999999999999</v>
      </c>
      <c r="SM24" s="528">
        <v>3.0501999999999998</v>
      </c>
      <c r="SN24" s="528">
        <v>3.0630000000000002</v>
      </c>
      <c r="SO24" s="528">
        <v>3.07179</v>
      </c>
      <c r="SP24" s="528">
        <v>3.07531</v>
      </c>
      <c r="SQ24" s="509">
        <v>18</v>
      </c>
      <c r="SR24" s="529"/>
      <c r="SS24" s="529"/>
      <c r="ST24" s="509">
        <v>18</v>
      </c>
      <c r="SU24" s="528">
        <v>2.66</v>
      </c>
      <c r="SV24" s="528">
        <v>2.69</v>
      </c>
      <c r="SW24" s="528">
        <v>2.718</v>
      </c>
      <c r="SX24" s="528">
        <v>2.75</v>
      </c>
      <c r="SY24" s="528">
        <v>2.78</v>
      </c>
      <c r="SZ24" s="528">
        <v>2.8058000000000001</v>
      </c>
      <c r="TA24" s="528">
        <v>2.8313999999999999</v>
      </c>
      <c r="TB24" s="528">
        <v>2.8561999999999999</v>
      </c>
      <c r="TC24" s="528">
        <v>2.8794</v>
      </c>
      <c r="TD24" s="528">
        <v>2.9049999999999998</v>
      </c>
      <c r="TE24" s="528">
        <v>2.9281999999999999</v>
      </c>
      <c r="TF24" s="528">
        <v>2.9398</v>
      </c>
      <c r="TG24" s="509">
        <v>18</v>
      </c>
      <c r="TH24" s="529"/>
      <c r="TI24" s="529"/>
      <c r="TJ24" s="509">
        <v>18</v>
      </c>
      <c r="TK24" s="528">
        <v>2.2949999999999999</v>
      </c>
      <c r="TL24" s="528">
        <v>2.3260000000000001</v>
      </c>
      <c r="TM24" s="528">
        <v>2.3540000000000001</v>
      </c>
      <c r="TN24" s="528">
        <v>2.383</v>
      </c>
      <c r="TO24" s="528">
        <v>2.415</v>
      </c>
      <c r="TP24" s="528">
        <v>2.4449999999999998</v>
      </c>
      <c r="TQ24" s="528">
        <v>2.4740000000000002</v>
      </c>
      <c r="TR24" s="528">
        <v>2.5070000000000001</v>
      </c>
      <c r="TS24" s="528">
        <v>2.536</v>
      </c>
      <c r="TT24" s="528">
        <v>2.5680000000000001</v>
      </c>
      <c r="TU24" s="528">
        <v>2.5990000000000002</v>
      </c>
      <c r="TV24" s="528">
        <v>2.6269999999999998</v>
      </c>
      <c r="TW24" s="509">
        <v>18</v>
      </c>
    </row>
    <row r="25" spans="2:543" s="4" customFormat="1" ht="23" customHeight="1">
      <c r="B25" s="509">
        <v>19</v>
      </c>
      <c r="C25" s="541">
        <v>20.3002</v>
      </c>
      <c r="D25" s="541">
        <v>20.297799999999999</v>
      </c>
      <c r="E25" s="541">
        <v>20.558499999999999</v>
      </c>
      <c r="F25" s="541">
        <v>19.796700000000001</v>
      </c>
      <c r="G25" s="541">
        <v>19.963699999999999</v>
      </c>
      <c r="H25" s="541">
        <v>20.572800000000001</v>
      </c>
      <c r="I25" s="541">
        <v>20.611000000000001</v>
      </c>
      <c r="J25" s="541">
        <v>20.038699999999999</v>
      </c>
      <c r="K25" s="541">
        <v>19.976800000000001</v>
      </c>
      <c r="L25" s="541">
        <v>19.991299999999999</v>
      </c>
      <c r="M25" s="541">
        <v>19.433299999999999</v>
      </c>
      <c r="N25" s="541">
        <v>19.796299999999999</v>
      </c>
      <c r="O25" s="509">
        <v>19</v>
      </c>
      <c r="R25" s="509">
        <v>19</v>
      </c>
      <c r="S25" s="541">
        <v>19.787500000000001</v>
      </c>
      <c r="T25" s="541">
        <v>20.2257</v>
      </c>
      <c r="U25" s="541">
        <v>20.6828</v>
      </c>
      <c r="V25" s="541">
        <v>19.927</v>
      </c>
      <c r="W25" s="541">
        <v>19.802800000000001</v>
      </c>
      <c r="X25" s="541">
        <v>20.429200000000002</v>
      </c>
      <c r="Y25" s="541">
        <v>19.941199999999998</v>
      </c>
      <c r="Z25" s="541">
        <v>19.991199999999999</v>
      </c>
      <c r="AA25" s="541">
        <v>19.900300000000001</v>
      </c>
      <c r="AB25" s="541">
        <v>20.467199999999998</v>
      </c>
      <c r="AC25" s="541">
        <v>20.691199999999998</v>
      </c>
      <c r="AD25" s="541">
        <v>20.9238</v>
      </c>
      <c r="AE25" s="509">
        <v>19</v>
      </c>
      <c r="AH25" s="509">
        <v>19</v>
      </c>
      <c r="AI25" s="541">
        <v>18.792999999999999</v>
      </c>
      <c r="AJ25" s="541">
        <v>18.5715</v>
      </c>
      <c r="AK25" s="541">
        <v>23.057300000000001</v>
      </c>
      <c r="AL25" s="541">
        <v>24.209800000000001</v>
      </c>
      <c r="AM25" s="541">
        <v>23.957999999999998</v>
      </c>
      <c r="AN25" s="541">
        <v>22.278300000000002</v>
      </c>
      <c r="AO25" s="541">
        <v>22.3032</v>
      </c>
      <c r="AP25" s="541">
        <v>22.056999999999999</v>
      </c>
      <c r="AQ25" s="541">
        <v>20.984999999999999</v>
      </c>
      <c r="AR25" s="541">
        <v>21.383199999999999</v>
      </c>
      <c r="AS25" s="541">
        <v>20.321200000000001</v>
      </c>
      <c r="AT25" s="541">
        <v>19.817299999999999</v>
      </c>
      <c r="AU25" s="509">
        <v>19</v>
      </c>
      <c r="AX25" s="509">
        <v>19</v>
      </c>
      <c r="AY25" s="528">
        <v>19.062999999999999</v>
      </c>
      <c r="AZ25" s="528">
        <v>19.362500000000001</v>
      </c>
      <c r="BA25" s="528">
        <v>19.3233</v>
      </c>
      <c r="BB25" s="528">
        <v>18.951599999999999</v>
      </c>
      <c r="BC25" s="528">
        <v>19.071000000000002</v>
      </c>
      <c r="BD25" s="528">
        <v>19.192399999999999</v>
      </c>
      <c r="BE25" s="528">
        <v>19.023299999999999</v>
      </c>
      <c r="BF25" s="528">
        <v>19.636500000000002</v>
      </c>
      <c r="BG25" s="528">
        <v>19.426200000000001</v>
      </c>
      <c r="BH25" s="528">
        <v>19.1602</v>
      </c>
      <c r="BI25" s="528">
        <v>19.422799999999999</v>
      </c>
      <c r="BJ25" s="528">
        <v>18.916499999999999</v>
      </c>
      <c r="BK25" s="509">
        <v>19</v>
      </c>
      <c r="BN25" s="509">
        <v>19</v>
      </c>
      <c r="BO25" s="528">
        <v>18.655000000000001</v>
      </c>
      <c r="BP25" s="528">
        <v>18.515899999999998</v>
      </c>
      <c r="BQ25" s="530">
        <v>18.702300000000001</v>
      </c>
      <c r="BR25" s="528">
        <v>17.9787</v>
      </c>
      <c r="BS25" s="528">
        <v>19.703299999999999</v>
      </c>
      <c r="BT25" s="528">
        <v>20.716000000000001</v>
      </c>
      <c r="BU25" s="528">
        <v>18.876300000000001</v>
      </c>
      <c r="BV25" s="528">
        <v>19.010000000000002</v>
      </c>
      <c r="BW25" s="528">
        <v>18.8399</v>
      </c>
      <c r="BX25" s="528">
        <v>18.801200000000001</v>
      </c>
      <c r="BY25" s="528">
        <v>20.3371</v>
      </c>
      <c r="BZ25" s="528">
        <v>20.1126</v>
      </c>
      <c r="CA25" s="509">
        <v>19</v>
      </c>
      <c r="CD25" s="509">
        <v>19</v>
      </c>
      <c r="CE25" s="528">
        <v>21.573799999999999</v>
      </c>
      <c r="CF25" s="528">
        <v>20.3325</v>
      </c>
      <c r="CG25" s="528">
        <v>19.172999999999998</v>
      </c>
      <c r="CH25" s="528">
        <v>18.558199999999999</v>
      </c>
      <c r="CI25" s="528">
        <v>18.676100000000002</v>
      </c>
      <c r="CJ25" s="528">
        <v>18.115400000000001</v>
      </c>
      <c r="CK25" s="528">
        <v>17.583600000000001</v>
      </c>
      <c r="CL25" s="528">
        <v>17.732399999999998</v>
      </c>
      <c r="CM25" s="528">
        <v>17.685700000000001</v>
      </c>
      <c r="CN25" s="528">
        <v>19.011700000000001</v>
      </c>
      <c r="CO25" s="528">
        <v>19.122399999999999</v>
      </c>
      <c r="CP25" s="528">
        <v>19.128900000000002</v>
      </c>
      <c r="CQ25" s="509">
        <v>19</v>
      </c>
      <c r="CT25" s="509">
        <v>19</v>
      </c>
      <c r="CU25" s="528">
        <v>18.210799999999999</v>
      </c>
      <c r="CV25" s="528">
        <v>18.389500000000002</v>
      </c>
      <c r="CW25" s="528">
        <v>17.403400000000001</v>
      </c>
      <c r="CX25" s="528">
        <v>17.5669</v>
      </c>
      <c r="CY25" s="528">
        <v>18.3217</v>
      </c>
      <c r="CZ25" s="528">
        <v>18.9968</v>
      </c>
      <c r="DA25" s="528">
        <v>18.492000000000001</v>
      </c>
      <c r="DB25" s="528">
        <v>18.259799999999998</v>
      </c>
      <c r="DC25" s="528">
        <v>19.227499999999999</v>
      </c>
      <c r="DD25" s="528">
        <v>18.872299999999999</v>
      </c>
      <c r="DE25" s="528">
        <v>20.189800000000002</v>
      </c>
      <c r="DF25" s="528">
        <v>20.597300000000001</v>
      </c>
      <c r="DG25" s="509">
        <v>19</v>
      </c>
      <c r="DJ25" s="509">
        <v>19</v>
      </c>
      <c r="DK25" s="528">
        <v>14.582100000000001</v>
      </c>
      <c r="DL25" s="528">
        <v>14.8971</v>
      </c>
      <c r="DM25" s="528">
        <v>15.427099999999999</v>
      </c>
      <c r="DN25" s="528">
        <v>15.2455</v>
      </c>
      <c r="DO25" s="528">
        <v>15.022500000000001</v>
      </c>
      <c r="DP25" s="528">
        <v>15.4199</v>
      </c>
      <c r="DQ25" s="528">
        <v>15.747</v>
      </c>
      <c r="DR25" s="528">
        <v>16.3993</v>
      </c>
      <c r="DS25" s="528">
        <v>16.771599999999999</v>
      </c>
      <c r="DT25" s="528">
        <v>16.425000000000001</v>
      </c>
      <c r="DU25" s="528">
        <v>16.757000000000001</v>
      </c>
      <c r="DV25" s="528">
        <v>17.100000000000001</v>
      </c>
      <c r="DW25" s="509">
        <v>19</v>
      </c>
      <c r="DZ25" s="509">
        <v>19</v>
      </c>
      <c r="EA25" s="528">
        <v>13.290699999999999</v>
      </c>
      <c r="EB25" s="528">
        <v>13.194900000000001</v>
      </c>
      <c r="EC25" s="528">
        <v>13.234</v>
      </c>
      <c r="ED25" s="528">
        <v>13.098599999999999</v>
      </c>
      <c r="EE25" s="528">
        <v>12.9755</v>
      </c>
      <c r="EF25" s="528">
        <v>13.1007</v>
      </c>
      <c r="EG25" s="528">
        <v>12.945399999999999</v>
      </c>
      <c r="EH25" s="528">
        <v>13.0748</v>
      </c>
      <c r="EI25" s="528">
        <v>13.1762</v>
      </c>
      <c r="EJ25" s="528">
        <v>13.5616</v>
      </c>
      <c r="EK25" s="528">
        <v>13.534800000000001</v>
      </c>
      <c r="EL25" s="528">
        <v>14.6028</v>
      </c>
      <c r="EM25" s="509">
        <v>19</v>
      </c>
      <c r="EP25" s="509">
        <v>19</v>
      </c>
      <c r="EQ25" s="528">
        <v>12.5868</v>
      </c>
      <c r="ER25" s="528">
        <v>12.6866</v>
      </c>
      <c r="ES25" s="528">
        <v>12.454499999999999</v>
      </c>
      <c r="ET25" s="528">
        <v>12.237</v>
      </c>
      <c r="EU25" s="528">
        <v>12.2378</v>
      </c>
      <c r="EV25" s="528">
        <v>12.737</v>
      </c>
      <c r="EW25" s="528">
        <v>12.545500000000001</v>
      </c>
      <c r="EX25" s="528">
        <v>12.862500000000001</v>
      </c>
      <c r="EY25" s="528">
        <v>12.924099999999999</v>
      </c>
      <c r="EZ25" s="528">
        <v>12.771699999999999</v>
      </c>
      <c r="FA25" s="528">
        <v>13.017300000000001</v>
      </c>
      <c r="FB25" s="528">
        <v>12.9575</v>
      </c>
      <c r="FC25" s="509">
        <v>19</v>
      </c>
      <c r="FF25" s="509">
        <v>19</v>
      </c>
      <c r="FG25" s="528">
        <v>13.4621</v>
      </c>
      <c r="FH25" s="528">
        <v>12.882199999999999</v>
      </c>
      <c r="FI25" s="528">
        <v>12.6591</v>
      </c>
      <c r="FJ25" s="528">
        <v>13.0816</v>
      </c>
      <c r="FK25" s="528">
        <v>13.7994</v>
      </c>
      <c r="FL25" s="528">
        <v>13.9115</v>
      </c>
      <c r="FM25" s="528">
        <v>13.2226</v>
      </c>
      <c r="FN25" s="528">
        <v>13.143000000000001</v>
      </c>
      <c r="FO25" s="528">
        <v>12.7492</v>
      </c>
      <c r="FP25" s="528">
        <v>12.7981</v>
      </c>
      <c r="FQ25" s="528">
        <v>13.2522</v>
      </c>
      <c r="FR25" s="528">
        <v>12.7624</v>
      </c>
      <c r="FS25" s="509">
        <v>19</v>
      </c>
      <c r="FV25" s="509">
        <v>19</v>
      </c>
      <c r="FW25" s="528">
        <v>12.0299</v>
      </c>
      <c r="FX25" s="528">
        <v>12.048299999999999</v>
      </c>
      <c r="FY25" s="528">
        <v>12.092499999999999</v>
      </c>
      <c r="FZ25" s="528">
        <v>11.709</v>
      </c>
      <c r="GA25" s="528">
        <v>11.766</v>
      </c>
      <c r="GB25" s="528">
        <v>11.959099999999999</v>
      </c>
      <c r="GC25" s="528">
        <v>11.7178</v>
      </c>
      <c r="GD25" s="528">
        <v>12.165100000000001</v>
      </c>
      <c r="GE25" s="528">
        <v>12.964600000000001</v>
      </c>
      <c r="GF25" s="528">
        <v>13.295199999999999</v>
      </c>
      <c r="GG25" s="528">
        <v>13.637499999999999</v>
      </c>
      <c r="GH25" s="528">
        <v>13.823</v>
      </c>
      <c r="GI25" s="509">
        <v>19</v>
      </c>
      <c r="GL25" s="509">
        <v>19</v>
      </c>
      <c r="GM25" s="528">
        <v>12.6884</v>
      </c>
      <c r="GN25" s="528">
        <v>12.8781</v>
      </c>
      <c r="GO25" s="528">
        <v>12.4892</v>
      </c>
      <c r="GP25" s="528">
        <v>12.1934</v>
      </c>
      <c r="GQ25" s="528">
        <v>12.692600000000001</v>
      </c>
      <c r="GR25" s="528">
        <v>12.592499999999999</v>
      </c>
      <c r="GS25" s="528">
        <v>12.779500000000001</v>
      </c>
      <c r="GT25" s="528">
        <v>12.5944</v>
      </c>
      <c r="GU25" s="528">
        <v>12.8355</v>
      </c>
      <c r="GV25" s="528">
        <v>12.4276</v>
      </c>
      <c r="GW25" s="528">
        <v>12.378299999999999</v>
      </c>
      <c r="GX25" s="528">
        <v>12.4505</v>
      </c>
      <c r="GY25" s="509">
        <v>19</v>
      </c>
      <c r="HB25" s="509">
        <v>19</v>
      </c>
      <c r="HC25" s="528">
        <v>14.219200000000001</v>
      </c>
      <c r="HD25" s="528">
        <v>14.611800000000001</v>
      </c>
      <c r="HE25" s="528">
        <v>14.0502</v>
      </c>
      <c r="HF25" s="528">
        <v>13.0511</v>
      </c>
      <c r="HG25" s="528">
        <v>13.2058</v>
      </c>
      <c r="HH25" s="528">
        <v>13.469799999999999</v>
      </c>
      <c r="HI25" s="528">
        <v>13.587</v>
      </c>
      <c r="HJ25" s="528">
        <v>12.9963</v>
      </c>
      <c r="HK25" s="528">
        <v>13.23</v>
      </c>
      <c r="HL25" s="528">
        <v>13.0884</v>
      </c>
      <c r="HM25" s="528">
        <v>13.0875</v>
      </c>
      <c r="HN25" s="528">
        <v>12.9331</v>
      </c>
      <c r="HO25" s="509">
        <v>19</v>
      </c>
      <c r="HP25" s="529"/>
      <c r="HQ25" s="529"/>
      <c r="HR25" s="509">
        <v>19</v>
      </c>
      <c r="HS25" s="528">
        <v>10.9445</v>
      </c>
      <c r="HT25" s="528">
        <v>10.7653</v>
      </c>
      <c r="HU25" s="528">
        <v>10.7613</v>
      </c>
      <c r="HV25" s="528">
        <v>10.482799999999999</v>
      </c>
      <c r="HW25" s="528">
        <v>10.476900000000001</v>
      </c>
      <c r="HX25" s="528">
        <v>10.315300000000001</v>
      </c>
      <c r="HY25" s="528">
        <v>10.2311</v>
      </c>
      <c r="HZ25" s="528">
        <v>10.1966</v>
      </c>
      <c r="IA25" s="528">
        <v>10.870200000000001</v>
      </c>
      <c r="IB25" s="528">
        <v>13.0633</v>
      </c>
      <c r="IC25" s="528">
        <v>13.0242</v>
      </c>
      <c r="ID25" s="528">
        <v>13.1275</v>
      </c>
      <c r="IE25" s="509">
        <v>19</v>
      </c>
      <c r="IF25" s="529"/>
      <c r="IG25" s="529"/>
      <c r="IH25" s="509">
        <v>19</v>
      </c>
      <c r="II25" s="528">
        <v>10.923400000000001</v>
      </c>
      <c r="IJ25" s="528">
        <v>10.952199999999999</v>
      </c>
      <c r="IK25" s="528">
        <v>11.1348</v>
      </c>
      <c r="IL25" s="528">
        <v>10.991099999999999</v>
      </c>
      <c r="IM25" s="528">
        <v>10.8033</v>
      </c>
      <c r="IN25" s="528">
        <v>10.8148</v>
      </c>
      <c r="IO25" s="528">
        <v>10.7628</v>
      </c>
      <c r="IP25" s="528">
        <v>11.2676</v>
      </c>
      <c r="IQ25" s="528">
        <v>11.1471</v>
      </c>
      <c r="IR25" s="528">
        <v>10.818099999999999</v>
      </c>
      <c r="IS25" s="528">
        <v>10.9145</v>
      </c>
      <c r="IT25" s="528">
        <v>10.846</v>
      </c>
      <c r="IU25" s="509">
        <v>19</v>
      </c>
      <c r="IV25" s="529"/>
      <c r="IW25" s="529"/>
      <c r="IX25" s="509">
        <v>19</v>
      </c>
      <c r="IY25" s="528">
        <v>10.5372</v>
      </c>
      <c r="IZ25" s="528">
        <v>10.5175</v>
      </c>
      <c r="JA25" s="528">
        <v>10.6212</v>
      </c>
      <c r="JB25" s="528">
        <v>11.084199999999999</v>
      </c>
      <c r="JC25" s="528">
        <v>11.132999999999999</v>
      </c>
      <c r="JD25" s="528">
        <v>11.411300000000001</v>
      </c>
      <c r="JE25" s="528">
        <v>10.991400000000001</v>
      </c>
      <c r="JF25" s="528">
        <v>10.747999999999999</v>
      </c>
      <c r="JG25" s="528">
        <v>10.9468</v>
      </c>
      <c r="JH25" s="528">
        <v>10.8703</v>
      </c>
      <c r="JI25" s="528">
        <v>10.8527</v>
      </c>
      <c r="JJ25" s="528">
        <v>10.773999999999999</v>
      </c>
      <c r="JK25" s="509">
        <v>19</v>
      </c>
      <c r="JL25" s="529"/>
      <c r="JM25" s="529"/>
      <c r="JN25" s="509">
        <v>19</v>
      </c>
      <c r="JO25" s="528">
        <v>11.2285</v>
      </c>
      <c r="JP25" s="528">
        <v>11.1389</v>
      </c>
      <c r="JQ25" s="528">
        <v>11.2193</v>
      </c>
      <c r="JR25" s="528">
        <v>11.1021</v>
      </c>
      <c r="JS25" s="528">
        <v>10.9963</v>
      </c>
      <c r="JT25" s="528">
        <v>10.800700000000001</v>
      </c>
      <c r="JU25" s="528">
        <v>10.6312</v>
      </c>
      <c r="JV25" s="528">
        <v>10.6088</v>
      </c>
      <c r="JW25" s="528">
        <v>10.8355</v>
      </c>
      <c r="JX25" s="528">
        <v>10.8462</v>
      </c>
      <c r="JY25" s="528">
        <v>10.676</v>
      </c>
      <c r="JZ25" s="528">
        <v>10.7378</v>
      </c>
      <c r="KA25" s="509">
        <v>19</v>
      </c>
      <c r="KB25" s="529"/>
      <c r="KC25" s="529"/>
      <c r="KD25" s="509">
        <v>19</v>
      </c>
      <c r="KE25" s="528">
        <v>10.8514</v>
      </c>
      <c r="KF25" s="528">
        <v>10.9337</v>
      </c>
      <c r="KG25" s="528">
        <v>10.998799999999999</v>
      </c>
      <c r="KH25" s="528">
        <v>11.27</v>
      </c>
      <c r="KI25" s="528">
        <v>11.5282</v>
      </c>
      <c r="KJ25" s="528">
        <v>11.3523</v>
      </c>
      <c r="KK25" s="528">
        <v>11.4909</v>
      </c>
      <c r="KL25" s="528">
        <v>11.348100000000001</v>
      </c>
      <c r="KM25" s="528">
        <v>11.533300000000001</v>
      </c>
      <c r="KN25" s="528">
        <v>11.454000000000001</v>
      </c>
      <c r="KO25" s="528">
        <v>11.3271</v>
      </c>
      <c r="KP25" s="528">
        <v>11.2316</v>
      </c>
      <c r="KQ25" s="509">
        <v>19</v>
      </c>
      <c r="KR25" s="529"/>
      <c r="KS25" s="529"/>
      <c r="KT25" s="509">
        <v>19</v>
      </c>
      <c r="KU25" s="528">
        <v>10.5083</v>
      </c>
      <c r="KV25" s="528">
        <v>10.7667</v>
      </c>
      <c r="KW25" s="528">
        <v>10.8713</v>
      </c>
      <c r="KX25" s="528">
        <v>10.639799999999999</v>
      </c>
      <c r="KY25" s="528">
        <v>10.2927</v>
      </c>
      <c r="KZ25" s="528">
        <v>10.5014</v>
      </c>
      <c r="LA25" s="528">
        <v>10.349</v>
      </c>
      <c r="LB25" s="528">
        <v>10.7273</v>
      </c>
      <c r="LC25" s="528">
        <v>10.9054</v>
      </c>
      <c r="LD25" s="528">
        <v>11.247199999999999</v>
      </c>
      <c r="LE25" s="528">
        <v>11.1823</v>
      </c>
      <c r="LF25" s="528">
        <v>11.2676</v>
      </c>
      <c r="LG25" s="509">
        <v>19</v>
      </c>
      <c r="LH25" s="529"/>
      <c r="LI25" s="529"/>
      <c r="LJ25" s="509">
        <v>19</v>
      </c>
      <c r="LK25" s="528">
        <v>9.1255000000000006</v>
      </c>
      <c r="LL25" s="528">
        <v>9.0652000000000008</v>
      </c>
      <c r="LM25" s="528">
        <v>9.0929000000000002</v>
      </c>
      <c r="LN25" s="528">
        <v>9.1904000000000003</v>
      </c>
      <c r="LO25" s="528">
        <v>9.4863</v>
      </c>
      <c r="LP25" s="528">
        <v>9.6077999999999992</v>
      </c>
      <c r="LQ25" s="528">
        <v>9.6468000000000007</v>
      </c>
      <c r="LR25" s="528">
        <v>9.9291999999999998</v>
      </c>
      <c r="LS25" s="528">
        <v>9.9657999999999998</v>
      </c>
      <c r="LT25" s="528">
        <v>9.9987999999999992</v>
      </c>
      <c r="LU25" s="528">
        <v>10.2484</v>
      </c>
      <c r="LV25" s="528">
        <v>10.205299999999999</v>
      </c>
      <c r="LW25" s="509">
        <v>19</v>
      </c>
      <c r="LX25" s="529"/>
      <c r="LY25" s="529"/>
      <c r="LZ25" s="509">
        <v>19</v>
      </c>
      <c r="MA25" s="528">
        <v>9.8878000000000004</v>
      </c>
      <c r="MB25" s="528">
        <v>9.6762999999999995</v>
      </c>
      <c r="MC25" s="528">
        <v>9.5843000000000007</v>
      </c>
      <c r="MD25" s="528">
        <v>9.2722999999999995</v>
      </c>
      <c r="ME25" s="528">
        <v>8.9952000000000005</v>
      </c>
      <c r="MF25" s="528">
        <v>9.0521999999999991</v>
      </c>
      <c r="MG25" s="528">
        <v>9.1854999999999993</v>
      </c>
      <c r="MH25" s="528">
        <v>9.0832999999999995</v>
      </c>
      <c r="MI25" s="528">
        <v>9.4478000000000009</v>
      </c>
      <c r="MJ25" s="528">
        <v>9.234</v>
      </c>
      <c r="MK25" s="528">
        <v>9.2027999999999999</v>
      </c>
      <c r="ML25" s="528">
        <v>9.1197999999999997</v>
      </c>
      <c r="MM25" s="509">
        <v>19</v>
      </c>
      <c r="MN25" s="529"/>
      <c r="MO25" s="529"/>
      <c r="MP25" s="509">
        <v>19</v>
      </c>
      <c r="MQ25" s="528">
        <v>9.4171999999999993</v>
      </c>
      <c r="MR25" s="528">
        <v>9.3904999999999994</v>
      </c>
      <c r="MS25" s="528">
        <v>9.3224</v>
      </c>
      <c r="MT25" s="528">
        <v>9.4882000000000009</v>
      </c>
      <c r="MU25" s="528">
        <v>9.5450999999999997</v>
      </c>
      <c r="MV25" s="528">
        <v>9.8477999999999994</v>
      </c>
      <c r="MW25" s="528">
        <v>9.3491</v>
      </c>
      <c r="MX25" s="528">
        <v>9.1873000000000005</v>
      </c>
      <c r="MY25" s="528">
        <v>9.3516999999999992</v>
      </c>
      <c r="MZ25" s="528">
        <v>9.5442999999999998</v>
      </c>
      <c r="NA25" s="528">
        <v>9.4827999999999992</v>
      </c>
      <c r="NB25" s="528">
        <v>9.4078999999999997</v>
      </c>
      <c r="NC25" s="509">
        <v>19</v>
      </c>
      <c r="ND25" s="529"/>
      <c r="NE25" s="529"/>
      <c r="NF25" s="509">
        <v>19</v>
      </c>
      <c r="NG25" s="528">
        <v>10.3485</v>
      </c>
      <c r="NH25" s="528">
        <v>9.9042999999999992</v>
      </c>
      <c r="NI25" s="528">
        <v>9.6888000000000005</v>
      </c>
      <c r="NJ25" s="528">
        <v>9.5429999999999993</v>
      </c>
      <c r="NK25" s="528">
        <v>9.3663000000000007</v>
      </c>
      <c r="NL25" s="528">
        <v>9.4038000000000004</v>
      </c>
      <c r="NM25" s="528">
        <v>9.3343000000000007</v>
      </c>
      <c r="NN25" s="528">
        <v>9.3331999999999997</v>
      </c>
      <c r="NO25" s="528">
        <v>9.3092000000000006</v>
      </c>
      <c r="NP25" s="528">
        <v>9.7113999999999994</v>
      </c>
      <c r="NQ25" s="528">
        <v>9.3549000000000007</v>
      </c>
      <c r="NR25" s="528">
        <v>9.3577999999999992</v>
      </c>
      <c r="NS25" s="509">
        <v>19</v>
      </c>
      <c r="NT25" s="529"/>
      <c r="NU25" s="529"/>
      <c r="NV25" s="509">
        <v>19</v>
      </c>
      <c r="NW25" s="528">
        <v>8.2761999999999993</v>
      </c>
      <c r="NX25" s="528">
        <v>8.4578000000000007</v>
      </c>
      <c r="NY25" s="528">
        <v>8.6047999999999991</v>
      </c>
      <c r="NZ25" s="528">
        <v>8.5008999999999997</v>
      </c>
      <c r="OA25" s="528">
        <v>8.5146999999999995</v>
      </c>
      <c r="OB25" s="528">
        <v>8.8803000000000001</v>
      </c>
      <c r="OC25" s="528">
        <v>8.8392999999999997</v>
      </c>
      <c r="OD25" s="528">
        <v>9.3018000000000001</v>
      </c>
      <c r="OE25" s="528">
        <v>10.315799999999999</v>
      </c>
      <c r="OF25" s="528">
        <v>10.1312</v>
      </c>
      <c r="OG25" s="528">
        <v>9.9440000000000008</v>
      </c>
      <c r="OH25" s="528">
        <v>9.7863000000000007</v>
      </c>
      <c r="OI25" s="509">
        <v>19</v>
      </c>
      <c r="OJ25" s="529"/>
      <c r="OK25" s="529"/>
      <c r="OL25" s="509">
        <v>19</v>
      </c>
      <c r="OM25" s="528">
        <v>7.8221999999999996</v>
      </c>
      <c r="ON25" s="528">
        <v>7.7691999999999997</v>
      </c>
      <c r="OO25" s="528">
        <v>7.992</v>
      </c>
      <c r="OP25" s="528">
        <v>7.8852000000000002</v>
      </c>
      <c r="OQ25" s="528">
        <v>7.9031000000000002</v>
      </c>
      <c r="OR25" s="528">
        <v>7.9424000000000001</v>
      </c>
      <c r="OS25" s="528">
        <v>7.8556999999999997</v>
      </c>
      <c r="OT25" s="528">
        <v>7.7645999999999997</v>
      </c>
      <c r="OU25" s="528">
        <v>7.7545999999999999</v>
      </c>
      <c r="OV25" s="528">
        <v>7.7336</v>
      </c>
      <c r="OW25" s="528">
        <v>8.2424999999999997</v>
      </c>
      <c r="OX25" s="528">
        <v>8.0786999999999995</v>
      </c>
      <c r="OY25" s="509">
        <v>19</v>
      </c>
      <c r="OZ25" s="529"/>
      <c r="PA25" s="529"/>
      <c r="PB25" s="509">
        <v>19</v>
      </c>
      <c r="PC25" s="528">
        <v>7.51</v>
      </c>
      <c r="PD25" s="528">
        <v>7.5007999999999999</v>
      </c>
      <c r="PE25" s="528">
        <v>7.5762</v>
      </c>
      <c r="PF25" s="528">
        <v>7.4276</v>
      </c>
      <c r="PG25" s="528">
        <v>7.4179000000000004</v>
      </c>
      <c r="PH25" s="528">
        <v>7.5842999999999998</v>
      </c>
      <c r="PI25" s="528">
        <v>7.6536</v>
      </c>
      <c r="PJ25" s="528">
        <v>7.5076999999999998</v>
      </c>
      <c r="PK25" s="528">
        <v>7.5054999999999996</v>
      </c>
      <c r="PL25" s="528">
        <v>7.7725999999999997</v>
      </c>
      <c r="PM25" s="528">
        <v>7.9020000000000001</v>
      </c>
      <c r="PN25" s="528">
        <v>7.8771000000000004</v>
      </c>
      <c r="PO25" s="509">
        <v>19</v>
      </c>
      <c r="PP25" s="529"/>
      <c r="PQ25" s="529"/>
      <c r="PR25" s="509">
        <v>19</v>
      </c>
      <c r="PS25" s="528">
        <v>5.3075000000000001</v>
      </c>
      <c r="PT25" s="528">
        <v>6.1</v>
      </c>
      <c r="PU25" s="528">
        <v>7.2074999999999996</v>
      </c>
      <c r="PV25" s="528">
        <v>6.2732999999999999</v>
      </c>
      <c r="PW25" s="528">
        <v>5.9275000000000002</v>
      </c>
      <c r="PX25" s="528">
        <v>6.1867000000000001</v>
      </c>
      <c r="PY25" s="528">
        <v>5.9896000000000003</v>
      </c>
      <c r="PZ25" s="528">
        <v>6.1849999999999996</v>
      </c>
      <c r="QA25" s="528">
        <v>6.2750000000000004</v>
      </c>
      <c r="QB25" s="528">
        <v>6.7607999999999997</v>
      </c>
      <c r="QC25" s="528">
        <v>7.8</v>
      </c>
      <c r="QD25" s="528">
        <v>7.7695999999999996</v>
      </c>
      <c r="QE25" s="509">
        <v>19</v>
      </c>
      <c r="QF25" s="529"/>
      <c r="QG25" s="529"/>
      <c r="QH25" s="509">
        <v>19</v>
      </c>
      <c r="QI25" s="528">
        <v>3.1061000000000001</v>
      </c>
      <c r="QJ25" s="528">
        <v>3.1053000000000002</v>
      </c>
      <c r="QK25" s="528">
        <v>3.3043</v>
      </c>
      <c r="QL25" s="528">
        <v>3.367</v>
      </c>
      <c r="QM25" s="528">
        <v>3.3290000000000002</v>
      </c>
      <c r="QN25" s="528">
        <v>3.3675000000000002</v>
      </c>
      <c r="QO25" s="528">
        <v>3.4020000000000001</v>
      </c>
      <c r="QP25" s="528">
        <v>3.3845000000000001</v>
      </c>
      <c r="QQ25" s="528">
        <v>3.4167999999999998</v>
      </c>
      <c r="QR25" s="528">
        <v>3.4215</v>
      </c>
      <c r="QS25" s="528">
        <v>3.4533999999999998</v>
      </c>
      <c r="QT25" s="528">
        <v>3.4605999999999999</v>
      </c>
      <c r="QU25" s="509">
        <v>19</v>
      </c>
      <c r="QV25" s="529"/>
      <c r="QW25" s="529"/>
      <c r="QX25" s="509">
        <v>19</v>
      </c>
      <c r="QY25" s="528">
        <v>3.1103000000000001</v>
      </c>
      <c r="QZ25" s="528">
        <v>3.0985999999999998</v>
      </c>
      <c r="RA25" s="528">
        <v>3.1190000000000002</v>
      </c>
      <c r="RB25" s="528">
        <v>3.0939999999999999</v>
      </c>
      <c r="RC25" s="528">
        <v>3.1269999999999998</v>
      </c>
      <c r="RD25" s="528">
        <v>3.1171000000000002</v>
      </c>
      <c r="RE25" s="528">
        <v>3.1242000000000001</v>
      </c>
      <c r="RF25" s="528">
        <v>3.1103999999999998</v>
      </c>
      <c r="RG25" s="528">
        <v>3.1107999999999998</v>
      </c>
      <c r="RH25" s="528">
        <v>3.1139999999999999</v>
      </c>
      <c r="RI25" s="528">
        <v>3.1608000000000001</v>
      </c>
      <c r="RJ25" s="528">
        <v>3.1053000000000002</v>
      </c>
      <c r="RK25" s="509">
        <v>19</v>
      </c>
      <c r="RL25" s="529"/>
      <c r="RM25" s="529"/>
      <c r="RN25" s="509">
        <v>19</v>
      </c>
      <c r="RO25" s="528">
        <v>3.0678999999999998</v>
      </c>
      <c r="RP25" s="528">
        <v>3.0621</v>
      </c>
      <c r="RQ25" s="528">
        <v>3.0617999999999999</v>
      </c>
      <c r="RR25" s="528">
        <v>3.0649999999999999</v>
      </c>
      <c r="RS25" s="528">
        <v>3.1038999999999999</v>
      </c>
      <c r="RT25" s="528">
        <v>3.1219999999999999</v>
      </c>
      <c r="RU25" s="528">
        <v>3.1175000000000002</v>
      </c>
      <c r="RV25" s="528">
        <v>3.0869</v>
      </c>
      <c r="RW25" s="528">
        <v>3.0916000000000001</v>
      </c>
      <c r="RX25" s="528">
        <v>3.1343999999999999</v>
      </c>
      <c r="RY25" s="528">
        <v>3.1168</v>
      </c>
      <c r="RZ25" s="528">
        <v>3.1204000000000001</v>
      </c>
      <c r="SA25" s="509">
        <v>19</v>
      </c>
      <c r="SB25" s="529"/>
      <c r="SC25" s="529"/>
      <c r="SD25" s="509">
        <v>19</v>
      </c>
      <c r="SE25" s="528">
        <v>2.9533999999999998</v>
      </c>
      <c r="SF25" s="528">
        <v>2.9649999999999999</v>
      </c>
      <c r="SG25" s="528">
        <v>2.9762</v>
      </c>
      <c r="SH25" s="528">
        <v>2.9893999999999998</v>
      </c>
      <c r="SI25" s="528">
        <v>3.0009999999999999</v>
      </c>
      <c r="SJ25" s="528">
        <v>3.0137999999999998</v>
      </c>
      <c r="SK25" s="528">
        <v>3.0257999999999998</v>
      </c>
      <c r="SL25" s="528">
        <v>3.0373999999999999</v>
      </c>
      <c r="SM25" s="528">
        <v>3.0506000000000002</v>
      </c>
      <c r="SN25" s="528">
        <v>3.0642</v>
      </c>
      <c r="SO25" s="528">
        <v>3.0683799999999999</v>
      </c>
      <c r="SP25" s="528">
        <v>3.0755599999999998</v>
      </c>
      <c r="SQ25" s="509">
        <v>19</v>
      </c>
      <c r="SR25" s="529"/>
      <c r="SS25" s="529"/>
      <c r="ST25" s="509">
        <v>19</v>
      </c>
      <c r="SU25" s="528">
        <v>2.661</v>
      </c>
      <c r="SV25" s="528">
        <v>2.69</v>
      </c>
      <c r="SW25" s="528">
        <v>2.718</v>
      </c>
      <c r="SX25" s="528">
        <v>2.7509999999999999</v>
      </c>
      <c r="SY25" s="528">
        <v>2.7810000000000001</v>
      </c>
      <c r="SZ25" s="528">
        <v>2.8066</v>
      </c>
      <c r="TA25" s="528">
        <v>2.8321999999999998</v>
      </c>
      <c r="TB25" s="528">
        <v>2.8561999999999999</v>
      </c>
      <c r="TC25" s="528">
        <v>2.8818000000000001</v>
      </c>
      <c r="TD25" s="528">
        <v>2.9058000000000002</v>
      </c>
      <c r="TE25" s="528">
        <v>2.9281999999999999</v>
      </c>
      <c r="TF25" s="528">
        <v>2.9409999999999998</v>
      </c>
      <c r="TG25" s="509">
        <v>19</v>
      </c>
      <c r="TH25" s="529"/>
      <c r="TI25" s="529"/>
      <c r="TJ25" s="509">
        <v>19</v>
      </c>
      <c r="TK25" s="528">
        <v>2.2959999999999998</v>
      </c>
      <c r="TL25" s="528">
        <v>2.3260000000000001</v>
      </c>
      <c r="TM25" s="528">
        <v>2.3540000000000001</v>
      </c>
      <c r="TN25" s="528">
        <v>2.3860000000000001</v>
      </c>
      <c r="TO25" s="528">
        <v>2.4159999999999999</v>
      </c>
      <c r="TP25" s="528">
        <v>2.4449999999999998</v>
      </c>
      <c r="TQ25" s="528">
        <v>2.4769999999999999</v>
      </c>
      <c r="TR25" s="528">
        <v>2.508</v>
      </c>
      <c r="TS25" s="528">
        <v>2.5369999999999999</v>
      </c>
      <c r="TT25" s="528">
        <v>2.569</v>
      </c>
      <c r="TU25" s="528">
        <v>2.5990000000000002</v>
      </c>
      <c r="TV25" s="528">
        <v>2.6280000000000001</v>
      </c>
      <c r="TW25" s="509">
        <v>19</v>
      </c>
    </row>
    <row r="26" spans="2:543" s="4" customFormat="1" ht="23" customHeight="1">
      <c r="B26" s="509">
        <v>20</v>
      </c>
      <c r="C26" s="541">
        <v>20.402999999999999</v>
      </c>
      <c r="D26" s="541">
        <v>20.297799999999999</v>
      </c>
      <c r="E26" s="541">
        <v>20.558499999999999</v>
      </c>
      <c r="F26" s="541">
        <v>19.9377</v>
      </c>
      <c r="G26" s="541">
        <v>19.9663</v>
      </c>
      <c r="H26" s="541">
        <v>20.572800000000001</v>
      </c>
      <c r="I26" s="541">
        <v>20.395700000000001</v>
      </c>
      <c r="J26" s="541">
        <v>20.083500000000001</v>
      </c>
      <c r="K26" s="541">
        <v>20.052499999999998</v>
      </c>
      <c r="L26" s="541">
        <v>20.020700000000001</v>
      </c>
      <c r="M26" s="541">
        <v>19.433299999999999</v>
      </c>
      <c r="N26" s="541">
        <v>19.793199999999999</v>
      </c>
      <c r="O26" s="509">
        <v>20</v>
      </c>
      <c r="R26" s="509">
        <v>20</v>
      </c>
      <c r="S26" s="541">
        <v>19.757000000000001</v>
      </c>
      <c r="T26" s="541">
        <v>20.416499999999999</v>
      </c>
      <c r="U26" s="541">
        <v>20.441500000000001</v>
      </c>
      <c r="V26" s="541">
        <v>19.915800000000001</v>
      </c>
      <c r="W26" s="541">
        <v>19.831299999999999</v>
      </c>
      <c r="X26" s="541">
        <v>20.429200000000002</v>
      </c>
      <c r="Y26" s="541">
        <v>19.8537</v>
      </c>
      <c r="Z26" s="541">
        <v>20.0107</v>
      </c>
      <c r="AA26" s="541">
        <v>19.900300000000001</v>
      </c>
      <c r="AB26" s="541">
        <v>20.358699999999999</v>
      </c>
      <c r="AC26" s="541">
        <v>20.762799999999999</v>
      </c>
      <c r="AD26" s="541">
        <v>20.9238</v>
      </c>
      <c r="AE26" s="509">
        <v>20</v>
      </c>
      <c r="AH26" s="509">
        <v>20</v>
      </c>
      <c r="AI26" s="541">
        <v>18.792999999999999</v>
      </c>
      <c r="AJ26" s="541">
        <v>18.595199999999998</v>
      </c>
      <c r="AK26" s="541">
        <v>23.9008</v>
      </c>
      <c r="AL26" s="541">
        <v>24.209800000000001</v>
      </c>
      <c r="AM26" s="541">
        <v>23.603200000000001</v>
      </c>
      <c r="AN26" s="541">
        <v>22.608799999999999</v>
      </c>
      <c r="AO26" s="541">
        <v>22.3032</v>
      </c>
      <c r="AP26" s="541">
        <v>22.153500000000001</v>
      </c>
      <c r="AQ26" s="541">
        <v>20.984999999999999</v>
      </c>
      <c r="AR26" s="541">
        <v>21.176500000000001</v>
      </c>
      <c r="AS26" s="541">
        <v>20.238800000000001</v>
      </c>
      <c r="AT26" s="541">
        <v>19.817299999999999</v>
      </c>
      <c r="AU26" s="509">
        <v>20</v>
      </c>
      <c r="AX26" s="509">
        <v>20</v>
      </c>
      <c r="AY26" s="528">
        <v>19.062999999999999</v>
      </c>
      <c r="AZ26" s="528">
        <v>19.2578</v>
      </c>
      <c r="BA26" s="530">
        <v>19.217600000000001</v>
      </c>
      <c r="BB26" s="528">
        <v>18.951599999999999</v>
      </c>
      <c r="BC26" s="528">
        <v>19.071000000000002</v>
      </c>
      <c r="BD26" s="528">
        <v>19.101099999999999</v>
      </c>
      <c r="BE26" s="528">
        <v>19.0108</v>
      </c>
      <c r="BF26" s="528">
        <v>19.5669</v>
      </c>
      <c r="BG26" s="528">
        <v>19.352799999999998</v>
      </c>
      <c r="BH26" s="528">
        <v>19.1602</v>
      </c>
      <c r="BI26" s="528">
        <v>19.206299999999999</v>
      </c>
      <c r="BJ26" s="528">
        <v>18.9542</v>
      </c>
      <c r="BK26" s="509">
        <v>20</v>
      </c>
      <c r="BN26" s="509">
        <v>20</v>
      </c>
      <c r="BO26" s="528">
        <v>18.636099999999999</v>
      </c>
      <c r="BP26" s="528">
        <v>18.479700000000001</v>
      </c>
      <c r="BQ26" s="530">
        <v>18.702300000000001</v>
      </c>
      <c r="BR26" s="528">
        <v>18.033300000000001</v>
      </c>
      <c r="BS26" s="528">
        <v>19.703299999999999</v>
      </c>
      <c r="BT26" s="528">
        <v>20.6968</v>
      </c>
      <c r="BU26" s="528">
        <v>18.91</v>
      </c>
      <c r="BV26" s="528">
        <v>19.010000000000002</v>
      </c>
      <c r="BW26" s="528">
        <v>18.769400000000001</v>
      </c>
      <c r="BX26" s="528">
        <v>19.101800000000001</v>
      </c>
      <c r="BY26" s="528">
        <v>20.3371</v>
      </c>
      <c r="BZ26" s="528">
        <v>20.127700000000001</v>
      </c>
      <c r="CA26" s="509">
        <v>20</v>
      </c>
      <c r="CD26" s="509">
        <v>20</v>
      </c>
      <c r="CE26" s="528">
        <v>21.851400000000002</v>
      </c>
      <c r="CF26" s="528">
        <v>20.3325</v>
      </c>
      <c r="CG26" s="528">
        <v>19.172999999999998</v>
      </c>
      <c r="CH26" s="528">
        <v>18.4863</v>
      </c>
      <c r="CI26" s="528">
        <v>18.889800000000001</v>
      </c>
      <c r="CJ26" s="528">
        <v>17.932099999999998</v>
      </c>
      <c r="CK26" s="528">
        <v>17.513400000000001</v>
      </c>
      <c r="CL26" s="528">
        <v>17.732399999999998</v>
      </c>
      <c r="CM26" s="528">
        <v>17.760999999999999</v>
      </c>
      <c r="CN26" s="528">
        <v>18.886900000000001</v>
      </c>
      <c r="CO26" s="528">
        <v>19.122399999999999</v>
      </c>
      <c r="CP26" s="528">
        <v>19.0289</v>
      </c>
      <c r="CQ26" s="509">
        <v>20</v>
      </c>
      <c r="CT26" s="509">
        <v>20</v>
      </c>
      <c r="CU26" s="528">
        <v>18.232700000000001</v>
      </c>
      <c r="CV26" s="528">
        <v>18.143899999999999</v>
      </c>
      <c r="CW26" s="528">
        <v>17.403400000000001</v>
      </c>
      <c r="CX26" s="528">
        <v>17.459800000000001</v>
      </c>
      <c r="CY26" s="528">
        <v>18.376100000000001</v>
      </c>
      <c r="CZ26" s="528">
        <v>18.9968</v>
      </c>
      <c r="DA26" s="528">
        <v>18.4879</v>
      </c>
      <c r="DB26" s="528">
        <v>18.083200000000001</v>
      </c>
      <c r="DC26" s="528">
        <v>19.2514</v>
      </c>
      <c r="DD26" s="528">
        <v>18.672599999999999</v>
      </c>
      <c r="DE26" s="528">
        <v>20.189800000000002</v>
      </c>
      <c r="DF26" s="528">
        <v>20.428000000000001</v>
      </c>
      <c r="DG26" s="509">
        <v>20</v>
      </c>
      <c r="DJ26" s="509">
        <v>20</v>
      </c>
      <c r="DK26" s="528">
        <v>14.622299999999999</v>
      </c>
      <c r="DL26" s="528">
        <v>14.9473</v>
      </c>
      <c r="DM26" s="528">
        <v>15.4192</v>
      </c>
      <c r="DN26" s="528">
        <v>15.2455</v>
      </c>
      <c r="DO26" s="528">
        <v>15.12</v>
      </c>
      <c r="DP26" s="528">
        <v>15.4199</v>
      </c>
      <c r="DQ26" s="528">
        <v>15.801399999999999</v>
      </c>
      <c r="DR26" s="528">
        <v>16.431699999999999</v>
      </c>
      <c r="DS26" s="528">
        <v>16.771599999999999</v>
      </c>
      <c r="DT26" s="528">
        <v>16.395900000000001</v>
      </c>
      <c r="DU26" s="528">
        <v>16.7636</v>
      </c>
      <c r="DV26" s="528">
        <v>17.100000000000001</v>
      </c>
      <c r="DW26" s="509">
        <v>20</v>
      </c>
      <c r="DZ26" s="509">
        <v>20</v>
      </c>
      <c r="EA26" s="528">
        <v>13.290699999999999</v>
      </c>
      <c r="EB26" s="528">
        <v>13.226100000000001</v>
      </c>
      <c r="EC26" s="528">
        <v>13.1675</v>
      </c>
      <c r="ED26" s="528">
        <v>13.098599999999999</v>
      </c>
      <c r="EE26" s="528">
        <v>12.9193</v>
      </c>
      <c r="EF26" s="528">
        <v>13.0672</v>
      </c>
      <c r="EG26" s="528">
        <v>12.945399999999999</v>
      </c>
      <c r="EH26" s="528">
        <v>13.0505</v>
      </c>
      <c r="EI26" s="528">
        <v>13.2402</v>
      </c>
      <c r="EJ26" s="528">
        <v>13.5616</v>
      </c>
      <c r="EK26" s="528">
        <v>13.544499999999999</v>
      </c>
      <c r="EL26" s="528">
        <v>14.5562</v>
      </c>
      <c r="EM26" s="509">
        <v>20</v>
      </c>
      <c r="EP26" s="509">
        <v>20</v>
      </c>
      <c r="EQ26" s="528">
        <v>12.5868</v>
      </c>
      <c r="ER26" s="528">
        <v>12.6959</v>
      </c>
      <c r="ES26" s="528">
        <v>12.439</v>
      </c>
      <c r="ET26" s="528">
        <v>12.2479</v>
      </c>
      <c r="EU26" s="528">
        <v>12.2378</v>
      </c>
      <c r="EV26" s="528">
        <v>12.88</v>
      </c>
      <c r="EW26" s="528">
        <v>12.4976</v>
      </c>
      <c r="EX26" s="528">
        <v>12.872199999999999</v>
      </c>
      <c r="EY26" s="528">
        <v>12.9687</v>
      </c>
      <c r="EZ26" s="528">
        <v>12.771699999999999</v>
      </c>
      <c r="FA26" s="528">
        <v>12.952400000000001</v>
      </c>
      <c r="FB26" s="528">
        <v>12.9937</v>
      </c>
      <c r="FC26" s="509">
        <v>20</v>
      </c>
      <c r="FF26" s="509">
        <v>20</v>
      </c>
      <c r="FG26" s="528">
        <v>13.326700000000001</v>
      </c>
      <c r="FH26" s="528">
        <v>12.882199999999999</v>
      </c>
      <c r="FI26" s="528">
        <v>12.6591</v>
      </c>
      <c r="FJ26" s="528">
        <v>13.132199999999999</v>
      </c>
      <c r="FK26" s="528">
        <v>13.7994</v>
      </c>
      <c r="FL26" s="528">
        <v>13.9154</v>
      </c>
      <c r="FM26" s="528">
        <v>13.120100000000001</v>
      </c>
      <c r="FN26" s="528">
        <v>13.143000000000001</v>
      </c>
      <c r="FO26" s="528">
        <v>12.8192</v>
      </c>
      <c r="FP26" s="528">
        <v>12.8299</v>
      </c>
      <c r="FQ26" s="528">
        <v>13.2522</v>
      </c>
      <c r="FR26" s="528">
        <v>12.723599999999999</v>
      </c>
      <c r="FS26" s="509">
        <v>20</v>
      </c>
      <c r="FV26" s="509">
        <v>20</v>
      </c>
      <c r="FW26" s="528">
        <v>12.0261</v>
      </c>
      <c r="FX26" s="528">
        <v>12.048299999999999</v>
      </c>
      <c r="FY26" s="528">
        <v>12.092499999999999</v>
      </c>
      <c r="FZ26" s="528">
        <v>11.7783</v>
      </c>
      <c r="GA26" s="528">
        <v>11.7234</v>
      </c>
      <c r="GB26" s="528">
        <v>11.959099999999999</v>
      </c>
      <c r="GC26" s="528">
        <v>11.787699999999999</v>
      </c>
      <c r="GD26" s="528">
        <v>12.368499999999999</v>
      </c>
      <c r="GE26" s="528">
        <v>12.912699999999999</v>
      </c>
      <c r="GF26" s="528">
        <v>13.4445</v>
      </c>
      <c r="GG26" s="528">
        <v>13.637499999999999</v>
      </c>
      <c r="GH26" s="528">
        <v>13.845000000000001</v>
      </c>
      <c r="GI26" s="509">
        <v>20</v>
      </c>
      <c r="GL26" s="509">
        <v>20</v>
      </c>
      <c r="GM26" s="528">
        <v>12.666399999999999</v>
      </c>
      <c r="GN26" s="528">
        <v>12.844200000000001</v>
      </c>
      <c r="GO26" s="528">
        <v>12.472899999999999</v>
      </c>
      <c r="GP26" s="528">
        <v>12.2356</v>
      </c>
      <c r="GQ26" s="528">
        <v>12.5787</v>
      </c>
      <c r="GR26" s="528">
        <v>12.592499999999999</v>
      </c>
      <c r="GS26" s="528">
        <v>12.901300000000001</v>
      </c>
      <c r="GT26" s="528">
        <v>12.6073</v>
      </c>
      <c r="GU26" s="528">
        <v>12.8355</v>
      </c>
      <c r="GV26" s="528">
        <v>12.413500000000001</v>
      </c>
      <c r="GW26" s="528">
        <v>12.292400000000001</v>
      </c>
      <c r="GX26" s="528">
        <v>12.4505</v>
      </c>
      <c r="GY26" s="509">
        <v>20</v>
      </c>
      <c r="HB26" s="509">
        <v>20</v>
      </c>
      <c r="HC26" s="528">
        <v>13.905799999999999</v>
      </c>
      <c r="HD26" s="528">
        <v>14.672499999999999</v>
      </c>
      <c r="HE26" s="528">
        <v>14.1457</v>
      </c>
      <c r="HF26" s="528">
        <v>13.0511</v>
      </c>
      <c r="HG26" s="528">
        <v>13.1363</v>
      </c>
      <c r="HH26" s="528">
        <v>13.369400000000001</v>
      </c>
      <c r="HI26" s="528">
        <v>13.587</v>
      </c>
      <c r="HJ26" s="528">
        <v>12.955500000000001</v>
      </c>
      <c r="HK26" s="528">
        <v>13.23</v>
      </c>
      <c r="HL26" s="528">
        <v>13.105700000000001</v>
      </c>
      <c r="HM26" s="528">
        <v>12.9818</v>
      </c>
      <c r="HN26" s="528">
        <v>12.9331</v>
      </c>
      <c r="HO26" s="509">
        <v>20</v>
      </c>
      <c r="HP26" s="529"/>
      <c r="HQ26" s="529"/>
      <c r="HR26" s="509">
        <v>20</v>
      </c>
      <c r="HS26" s="528">
        <v>10.9445</v>
      </c>
      <c r="HT26" s="528">
        <v>10.734999999999999</v>
      </c>
      <c r="HU26" s="528">
        <v>10.704000000000001</v>
      </c>
      <c r="HV26" s="528">
        <v>10.482799999999999</v>
      </c>
      <c r="HW26" s="528">
        <v>10.426600000000001</v>
      </c>
      <c r="HX26" s="528">
        <v>10.2935</v>
      </c>
      <c r="HY26" s="528">
        <v>10.2311</v>
      </c>
      <c r="HZ26" s="528">
        <v>10.1395</v>
      </c>
      <c r="IA26" s="528">
        <v>10.836499999999999</v>
      </c>
      <c r="IB26" s="528">
        <v>13.0633</v>
      </c>
      <c r="IC26" s="528">
        <v>13.195</v>
      </c>
      <c r="ID26" s="528">
        <v>13.215</v>
      </c>
      <c r="IE26" s="509">
        <v>20</v>
      </c>
      <c r="IF26" s="529"/>
      <c r="IG26" s="529"/>
      <c r="IH26" s="509">
        <v>20</v>
      </c>
      <c r="II26" s="528">
        <v>10.9232</v>
      </c>
      <c r="IJ26" s="528">
        <v>10.995799999999999</v>
      </c>
      <c r="IK26" s="528">
        <v>11.1348</v>
      </c>
      <c r="IL26" s="528">
        <v>10.992000000000001</v>
      </c>
      <c r="IM26" s="528">
        <v>10.8033</v>
      </c>
      <c r="IN26" s="528">
        <v>10.776</v>
      </c>
      <c r="IO26" s="528">
        <v>10.752000000000001</v>
      </c>
      <c r="IP26" s="528">
        <v>11.2676</v>
      </c>
      <c r="IQ26" s="528">
        <v>11.0959</v>
      </c>
      <c r="IR26" s="528">
        <v>10.8133</v>
      </c>
      <c r="IS26" s="528">
        <v>10.9145</v>
      </c>
      <c r="IT26" s="528">
        <v>10.8553</v>
      </c>
      <c r="IU26" s="509">
        <v>20</v>
      </c>
      <c r="IV26" s="529"/>
      <c r="IW26" s="529"/>
      <c r="IX26" s="509">
        <v>20</v>
      </c>
      <c r="IY26" s="528">
        <v>10.5778</v>
      </c>
      <c r="IZ26" s="528">
        <v>10.5175</v>
      </c>
      <c r="JA26" s="528">
        <v>10.6212</v>
      </c>
      <c r="JB26" s="528">
        <v>11.001099999999999</v>
      </c>
      <c r="JC26" s="528">
        <v>11.2005</v>
      </c>
      <c r="JD26" s="528">
        <v>11.414</v>
      </c>
      <c r="JE26" s="528">
        <v>10.9618</v>
      </c>
      <c r="JF26" s="528">
        <v>10.747999999999999</v>
      </c>
      <c r="JG26" s="528">
        <v>10.927300000000001</v>
      </c>
      <c r="JH26" s="528">
        <v>10.825699999999999</v>
      </c>
      <c r="JI26" s="528">
        <v>10.8527</v>
      </c>
      <c r="JJ26" s="528">
        <v>10.8002</v>
      </c>
      <c r="JK26" s="509">
        <v>20</v>
      </c>
      <c r="JL26" s="529"/>
      <c r="JM26" s="529"/>
      <c r="JN26" s="509">
        <v>20</v>
      </c>
      <c r="JO26" s="528">
        <v>11.249499999999999</v>
      </c>
      <c r="JP26" s="528">
        <v>11.1389</v>
      </c>
      <c r="JQ26" s="528">
        <v>11.2193</v>
      </c>
      <c r="JR26" s="528">
        <v>11.129</v>
      </c>
      <c r="JS26" s="528">
        <v>10.966799999999999</v>
      </c>
      <c r="JT26" s="528">
        <v>10.800700000000001</v>
      </c>
      <c r="JU26" s="528">
        <v>10.595800000000001</v>
      </c>
      <c r="JV26" s="528">
        <v>10.6601</v>
      </c>
      <c r="JW26" s="528">
        <v>10.807</v>
      </c>
      <c r="JX26" s="528">
        <v>10.8307</v>
      </c>
      <c r="JY26" s="528">
        <v>10.676</v>
      </c>
      <c r="JZ26" s="528">
        <v>10.7567</v>
      </c>
      <c r="KA26" s="509">
        <v>20</v>
      </c>
      <c r="KB26" s="529"/>
      <c r="KC26" s="529"/>
      <c r="KD26" s="509">
        <v>20</v>
      </c>
      <c r="KE26" s="528">
        <v>10.8172</v>
      </c>
      <c r="KF26" s="528">
        <v>10.905799999999999</v>
      </c>
      <c r="KG26" s="528">
        <v>11.0128</v>
      </c>
      <c r="KH26" s="528">
        <v>11.2525</v>
      </c>
      <c r="KI26" s="528">
        <v>11.4933</v>
      </c>
      <c r="KJ26" s="528">
        <v>11.3523</v>
      </c>
      <c r="KK26" s="528">
        <v>11.4352</v>
      </c>
      <c r="KL26" s="528">
        <v>11.347200000000001</v>
      </c>
      <c r="KM26" s="528">
        <v>11.533300000000001</v>
      </c>
      <c r="KN26" s="528">
        <v>11.5068</v>
      </c>
      <c r="KO26" s="528">
        <v>11.333500000000001</v>
      </c>
      <c r="KP26" s="528">
        <v>11.2316</v>
      </c>
      <c r="KQ26" s="509">
        <v>20</v>
      </c>
      <c r="KR26" s="529"/>
      <c r="KS26" s="529"/>
      <c r="KT26" s="509">
        <v>20</v>
      </c>
      <c r="KU26" s="528">
        <v>10.5083</v>
      </c>
      <c r="KV26" s="528">
        <v>10.7722</v>
      </c>
      <c r="KW26" s="528">
        <v>10.8147</v>
      </c>
      <c r="KX26" s="528">
        <v>10.639799999999999</v>
      </c>
      <c r="KY26" s="528">
        <v>10.375999999999999</v>
      </c>
      <c r="KZ26" s="528">
        <v>10.5883</v>
      </c>
      <c r="LA26" s="528">
        <v>10.349</v>
      </c>
      <c r="LB26" s="528">
        <v>10.723000000000001</v>
      </c>
      <c r="LC26" s="528">
        <v>10.9163</v>
      </c>
      <c r="LD26" s="528">
        <v>11.247199999999999</v>
      </c>
      <c r="LE26" s="528">
        <v>11.164300000000001</v>
      </c>
      <c r="LF26" s="528">
        <v>11.2193</v>
      </c>
      <c r="LG26" s="509">
        <v>20</v>
      </c>
      <c r="LH26" s="529"/>
      <c r="LI26" s="529"/>
      <c r="LJ26" s="509">
        <v>20</v>
      </c>
      <c r="LK26" s="528">
        <v>9.1255000000000006</v>
      </c>
      <c r="LL26" s="528">
        <v>9.0638000000000005</v>
      </c>
      <c r="LM26" s="528">
        <v>9.0732999999999997</v>
      </c>
      <c r="LN26" s="528">
        <v>9.2345000000000006</v>
      </c>
      <c r="LO26" s="528">
        <v>9.4863</v>
      </c>
      <c r="LP26" s="528">
        <v>9.6257999999999999</v>
      </c>
      <c r="LQ26" s="528">
        <v>9.6462000000000003</v>
      </c>
      <c r="LR26" s="528">
        <v>9.8643000000000001</v>
      </c>
      <c r="LS26" s="528">
        <v>10.0116</v>
      </c>
      <c r="LT26" s="528">
        <v>9.9987999999999992</v>
      </c>
      <c r="LU26" s="528">
        <v>10.176</v>
      </c>
      <c r="LV26" s="528">
        <v>10.252599999999999</v>
      </c>
      <c r="LW26" s="509">
        <v>20</v>
      </c>
      <c r="LX26" s="529"/>
      <c r="LY26" s="529"/>
      <c r="LZ26" s="509">
        <v>20</v>
      </c>
      <c r="MA26" s="528">
        <v>9.8870000000000005</v>
      </c>
      <c r="MB26" s="528">
        <v>9.7021999999999995</v>
      </c>
      <c r="MC26" s="528">
        <v>9.6233000000000004</v>
      </c>
      <c r="MD26" s="528">
        <v>9.1966000000000001</v>
      </c>
      <c r="ME26" s="528">
        <v>8.9952000000000005</v>
      </c>
      <c r="MF26" s="528">
        <v>9.0502000000000002</v>
      </c>
      <c r="MG26" s="528">
        <v>9.1282999999999994</v>
      </c>
      <c r="MH26" s="528">
        <v>9.0832999999999995</v>
      </c>
      <c r="MI26" s="528">
        <v>9.4454999999999991</v>
      </c>
      <c r="MJ26" s="528">
        <v>9.2309999999999999</v>
      </c>
      <c r="MK26" s="528">
        <v>9.2120999999999995</v>
      </c>
      <c r="ML26" s="528">
        <v>9.1052</v>
      </c>
      <c r="MM26" s="509">
        <v>20</v>
      </c>
      <c r="MN26" s="529"/>
      <c r="MO26" s="529"/>
      <c r="MP26" s="509">
        <v>20</v>
      </c>
      <c r="MQ26" s="528">
        <v>9.4382999999999999</v>
      </c>
      <c r="MR26" s="528">
        <v>9.3904999999999994</v>
      </c>
      <c r="MS26" s="528">
        <v>9.3224</v>
      </c>
      <c r="MT26" s="528">
        <v>9.4388000000000005</v>
      </c>
      <c r="MU26" s="528">
        <v>9.5751000000000008</v>
      </c>
      <c r="MV26" s="528">
        <v>9.9243000000000006</v>
      </c>
      <c r="MW26" s="528">
        <v>9.3327000000000009</v>
      </c>
      <c r="MX26" s="528">
        <v>9.1873000000000005</v>
      </c>
      <c r="MY26" s="528">
        <v>9.4171999999999993</v>
      </c>
      <c r="MZ26" s="528">
        <v>9.5764999999999993</v>
      </c>
      <c r="NA26" s="528">
        <v>9.4827999999999992</v>
      </c>
      <c r="NB26" s="528">
        <v>9.3788</v>
      </c>
      <c r="NC26" s="509">
        <v>20</v>
      </c>
      <c r="ND26" s="529"/>
      <c r="NE26" s="529"/>
      <c r="NF26" s="509">
        <v>20</v>
      </c>
      <c r="NG26" s="528">
        <v>10.2258</v>
      </c>
      <c r="NH26" s="528">
        <v>9.8809000000000005</v>
      </c>
      <c r="NI26" s="528">
        <v>9.6462000000000003</v>
      </c>
      <c r="NJ26" s="528">
        <v>9.5236999999999998</v>
      </c>
      <c r="NK26" s="528">
        <v>9.2982999999999993</v>
      </c>
      <c r="NL26" s="528">
        <v>9.4038000000000004</v>
      </c>
      <c r="NM26" s="528">
        <v>9.3562999999999992</v>
      </c>
      <c r="NN26" s="528">
        <v>9.3217999999999996</v>
      </c>
      <c r="NO26" s="528">
        <v>9.3092000000000006</v>
      </c>
      <c r="NP26" s="528">
        <v>9.7142999999999997</v>
      </c>
      <c r="NQ26" s="528">
        <v>9.3460000000000001</v>
      </c>
      <c r="NR26" s="528">
        <v>9.3577999999999992</v>
      </c>
      <c r="NS26" s="509">
        <v>20</v>
      </c>
      <c r="NT26" s="529"/>
      <c r="NU26" s="529"/>
      <c r="NV26" s="509">
        <v>20</v>
      </c>
      <c r="NW26" s="528">
        <v>8.1978000000000009</v>
      </c>
      <c r="NX26" s="528">
        <v>8.5427</v>
      </c>
      <c r="NY26" s="528">
        <v>8.5640999999999998</v>
      </c>
      <c r="NZ26" s="528">
        <v>8.5008999999999997</v>
      </c>
      <c r="OA26" s="528">
        <v>8.5303000000000004</v>
      </c>
      <c r="OB26" s="528">
        <v>8.8966999999999992</v>
      </c>
      <c r="OC26" s="528">
        <v>8.8392999999999997</v>
      </c>
      <c r="OD26" s="528">
        <v>9.2302</v>
      </c>
      <c r="OE26" s="528">
        <v>10.315799999999999</v>
      </c>
      <c r="OF26" s="528">
        <v>10.093299999999999</v>
      </c>
      <c r="OG26" s="528">
        <v>9.9305000000000003</v>
      </c>
      <c r="OH26" s="528">
        <v>9.7863000000000007</v>
      </c>
      <c r="OI26" s="509">
        <v>20</v>
      </c>
      <c r="OJ26" s="529"/>
      <c r="OK26" s="529"/>
      <c r="OL26" s="509">
        <v>20</v>
      </c>
      <c r="OM26" s="528">
        <v>7.8221999999999996</v>
      </c>
      <c r="ON26" s="528">
        <v>7.8010000000000002</v>
      </c>
      <c r="OO26" s="528">
        <v>7.9492000000000003</v>
      </c>
      <c r="OP26" s="528">
        <v>7.8852000000000002</v>
      </c>
      <c r="OQ26" s="528">
        <v>7.8941999999999997</v>
      </c>
      <c r="OR26" s="528">
        <v>7.9097999999999997</v>
      </c>
      <c r="OS26" s="528">
        <v>7.8556999999999997</v>
      </c>
      <c r="OT26" s="528">
        <v>7.7756999999999996</v>
      </c>
      <c r="OU26" s="528">
        <v>7.7560000000000002</v>
      </c>
      <c r="OV26" s="528">
        <v>7.7336</v>
      </c>
      <c r="OW26" s="528">
        <v>8.2642000000000007</v>
      </c>
      <c r="OX26" s="528">
        <v>8.0739999999999998</v>
      </c>
      <c r="OY26" s="509">
        <v>20</v>
      </c>
      <c r="OZ26" s="529"/>
      <c r="PA26" s="529"/>
      <c r="PB26" s="509">
        <v>20</v>
      </c>
      <c r="PC26" s="528">
        <v>7.4667000000000003</v>
      </c>
      <c r="PD26" s="528">
        <v>7.5446</v>
      </c>
      <c r="PE26" s="528">
        <v>7.5560999999999998</v>
      </c>
      <c r="PF26" s="528">
        <v>7.4409999999999998</v>
      </c>
      <c r="PG26" s="528">
        <v>7.4179000000000004</v>
      </c>
      <c r="PH26" s="528">
        <v>7.5552000000000001</v>
      </c>
      <c r="PI26" s="528">
        <v>7.6452999999999998</v>
      </c>
      <c r="PJ26" s="528">
        <v>7.4789000000000003</v>
      </c>
      <c r="PK26" s="528">
        <v>7.4907000000000004</v>
      </c>
      <c r="PL26" s="528">
        <v>7.7725999999999997</v>
      </c>
      <c r="PM26" s="528">
        <v>7.9085000000000001</v>
      </c>
      <c r="PN26" s="528">
        <v>7.8810000000000002</v>
      </c>
      <c r="PO26" s="509">
        <v>20</v>
      </c>
      <c r="PP26" s="529"/>
      <c r="PQ26" s="529"/>
      <c r="PR26" s="509">
        <v>20</v>
      </c>
      <c r="PS26" s="528">
        <v>5.2824999999999998</v>
      </c>
      <c r="PT26" s="528">
        <v>6.1</v>
      </c>
      <c r="PU26" s="528">
        <v>7.2074999999999996</v>
      </c>
      <c r="PV26" s="528">
        <v>6.2450000000000001</v>
      </c>
      <c r="PW26" s="528">
        <v>5.92</v>
      </c>
      <c r="PX26" s="528">
        <v>6.1807999999999996</v>
      </c>
      <c r="PY26" s="528">
        <v>6.0412999999999997</v>
      </c>
      <c r="PZ26" s="528">
        <v>6.1849999999999996</v>
      </c>
      <c r="QA26" s="528">
        <v>6.2874999999999996</v>
      </c>
      <c r="QB26" s="528">
        <v>6.7061999999999999</v>
      </c>
      <c r="QC26" s="528">
        <v>7.8</v>
      </c>
      <c r="QD26" s="528">
        <v>7.7587999999999999</v>
      </c>
      <c r="QE26" s="509">
        <v>20</v>
      </c>
      <c r="QF26" s="529"/>
      <c r="QG26" s="529"/>
      <c r="QH26" s="509">
        <v>20</v>
      </c>
      <c r="QI26" s="528">
        <v>3.1057999999999999</v>
      </c>
      <c r="QJ26" s="528">
        <v>3.1053000000000002</v>
      </c>
      <c r="QK26" s="528">
        <v>3.3043</v>
      </c>
      <c r="QL26" s="528">
        <v>3.3681999999999999</v>
      </c>
      <c r="QM26" s="528">
        <v>3.3309000000000002</v>
      </c>
      <c r="QN26" s="528">
        <v>3.3675000000000002</v>
      </c>
      <c r="QO26" s="528">
        <v>3.3997999999999999</v>
      </c>
      <c r="QP26" s="528">
        <v>3.3769</v>
      </c>
      <c r="QQ26" s="528">
        <v>3.4144999999999999</v>
      </c>
      <c r="QR26" s="528">
        <v>3.4216000000000002</v>
      </c>
      <c r="QS26" s="528">
        <v>3.4533999999999998</v>
      </c>
      <c r="QT26" s="528">
        <v>3.4634999999999998</v>
      </c>
      <c r="QU26" s="509">
        <v>20</v>
      </c>
      <c r="QV26" s="529"/>
      <c r="QW26" s="529"/>
      <c r="QX26" s="509">
        <v>20</v>
      </c>
      <c r="QY26" s="528">
        <v>3.1095000000000002</v>
      </c>
      <c r="QZ26" s="528">
        <v>3.0943000000000001</v>
      </c>
      <c r="RA26" s="528">
        <v>3.1168999999999998</v>
      </c>
      <c r="RB26" s="528">
        <v>3.0939999999999999</v>
      </c>
      <c r="RC26" s="528">
        <v>3.1168999999999998</v>
      </c>
      <c r="RD26" s="528">
        <v>3.1171000000000002</v>
      </c>
      <c r="RE26" s="528">
        <v>3.1244000000000001</v>
      </c>
      <c r="RF26" s="528">
        <v>3.1118999999999999</v>
      </c>
      <c r="RG26" s="528">
        <v>3.1107999999999998</v>
      </c>
      <c r="RH26" s="528">
        <v>3.1122999999999998</v>
      </c>
      <c r="RI26" s="528">
        <v>3.1114000000000002</v>
      </c>
      <c r="RJ26" s="528">
        <v>3.1053000000000002</v>
      </c>
      <c r="RK26" s="509">
        <v>20</v>
      </c>
      <c r="RL26" s="529"/>
      <c r="RM26" s="529"/>
      <c r="RN26" s="509">
        <v>20</v>
      </c>
      <c r="RO26" s="528">
        <v>3.0678999999999998</v>
      </c>
      <c r="RP26" s="528">
        <v>3.0617999999999999</v>
      </c>
      <c r="RQ26" s="528">
        <v>3.0678999999999998</v>
      </c>
      <c r="RR26" s="528">
        <v>3.0649999999999999</v>
      </c>
      <c r="RS26" s="528">
        <v>3.0973999999999999</v>
      </c>
      <c r="RT26" s="528">
        <v>3.1202999999999999</v>
      </c>
      <c r="RU26" s="528">
        <v>3.1175000000000002</v>
      </c>
      <c r="RV26" s="528">
        <v>3.0876000000000001</v>
      </c>
      <c r="RW26" s="528">
        <v>3.0916000000000001</v>
      </c>
      <c r="RX26" s="528">
        <v>3.1339999999999999</v>
      </c>
      <c r="RY26" s="528">
        <v>3.1150000000000002</v>
      </c>
      <c r="RZ26" s="528">
        <v>3.1204000000000001</v>
      </c>
      <c r="SA26" s="509">
        <v>20</v>
      </c>
      <c r="SB26" s="529"/>
      <c r="SC26" s="529"/>
      <c r="SD26" s="509">
        <v>20</v>
      </c>
      <c r="SE26" s="528">
        <v>2.9533999999999998</v>
      </c>
      <c r="SF26" s="528">
        <v>2.9662000000000002</v>
      </c>
      <c r="SG26" s="528">
        <v>2.9773999999999998</v>
      </c>
      <c r="SH26" s="528">
        <v>2.9897999999999998</v>
      </c>
      <c r="SI26" s="528">
        <v>3.0009999999999999</v>
      </c>
      <c r="SJ26" s="528">
        <v>3.0142000000000002</v>
      </c>
      <c r="SK26" s="528">
        <v>3.0261999999999998</v>
      </c>
      <c r="SL26" s="528">
        <v>3.0377999999999998</v>
      </c>
      <c r="SM26" s="528">
        <v>3.0510000000000002</v>
      </c>
      <c r="SN26" s="528">
        <v>3.0642</v>
      </c>
      <c r="SO26" s="528">
        <v>3.0672600000000001</v>
      </c>
      <c r="SP26" s="528">
        <v>3.0760000000000001</v>
      </c>
      <c r="SQ26" s="509">
        <v>20</v>
      </c>
      <c r="SR26" s="529"/>
      <c r="SS26" s="529"/>
      <c r="ST26" s="509">
        <v>20</v>
      </c>
      <c r="SU26" s="528">
        <v>2.6619999999999999</v>
      </c>
      <c r="SV26" s="528">
        <v>2.6909999999999998</v>
      </c>
      <c r="SW26" s="528">
        <v>2.7189999999999999</v>
      </c>
      <c r="SX26" s="528">
        <v>2.7519999999999998</v>
      </c>
      <c r="SY26" s="528">
        <v>2.7810000000000001</v>
      </c>
      <c r="SZ26" s="528">
        <v>2.8090000000000002</v>
      </c>
      <c r="TA26" s="528">
        <v>2.8330000000000002</v>
      </c>
      <c r="TB26" s="528">
        <v>2.8561999999999999</v>
      </c>
      <c r="TC26" s="528">
        <v>2.8826000000000001</v>
      </c>
      <c r="TD26" s="528">
        <v>2.9066000000000001</v>
      </c>
      <c r="TE26" s="528">
        <v>2.9285999999999999</v>
      </c>
      <c r="TF26" s="528">
        <v>2.9413999999999998</v>
      </c>
      <c r="TG26" s="509">
        <v>20</v>
      </c>
      <c r="TH26" s="529"/>
      <c r="TI26" s="529"/>
      <c r="TJ26" s="509">
        <v>20</v>
      </c>
      <c r="TK26" s="528">
        <v>2.2970000000000002</v>
      </c>
      <c r="TL26" s="528">
        <v>2.3260000000000001</v>
      </c>
      <c r="TM26" s="528">
        <v>2.3540000000000001</v>
      </c>
      <c r="TN26" s="528">
        <v>2.387</v>
      </c>
      <c r="TO26" s="528">
        <v>2.4169999999999998</v>
      </c>
      <c r="TP26" s="528">
        <v>2.4460000000000002</v>
      </c>
      <c r="TQ26" s="528">
        <v>2.4780000000000002</v>
      </c>
      <c r="TR26" s="528">
        <v>2.508</v>
      </c>
      <c r="TS26" s="528">
        <v>2.54</v>
      </c>
      <c r="TT26" s="528">
        <v>2.57</v>
      </c>
      <c r="TU26" s="528">
        <v>2.5990000000000002</v>
      </c>
      <c r="TV26" s="528">
        <v>2.6309999999999998</v>
      </c>
      <c r="TW26" s="509">
        <v>20</v>
      </c>
    </row>
    <row r="27" spans="2:543" s="4" customFormat="1" ht="23" customHeight="1">
      <c r="B27" s="509">
        <v>21</v>
      </c>
      <c r="C27" s="541">
        <v>20.46</v>
      </c>
      <c r="D27" s="541">
        <v>20.297799999999999</v>
      </c>
      <c r="E27" s="541">
        <v>20.558499999999999</v>
      </c>
      <c r="F27" s="541">
        <v>20.044699999999999</v>
      </c>
      <c r="G27" s="541">
        <v>19.9267</v>
      </c>
      <c r="H27" s="541">
        <v>20.475999999999999</v>
      </c>
      <c r="I27" s="541">
        <v>20.4407</v>
      </c>
      <c r="J27" s="541">
        <v>20.083500000000001</v>
      </c>
      <c r="K27" s="541">
        <v>19.994299999999999</v>
      </c>
      <c r="L27" s="541">
        <v>20.127199999999998</v>
      </c>
      <c r="M27" s="541">
        <v>19.433299999999999</v>
      </c>
      <c r="N27" s="541">
        <v>19.755700000000001</v>
      </c>
      <c r="O27" s="509">
        <v>21</v>
      </c>
      <c r="R27" s="509">
        <v>21</v>
      </c>
      <c r="S27" s="541">
        <v>19.678799999999999</v>
      </c>
      <c r="T27" s="541">
        <v>20.416499999999999</v>
      </c>
      <c r="U27" s="541">
        <v>20.441500000000001</v>
      </c>
      <c r="V27" s="541">
        <v>19.814499999999999</v>
      </c>
      <c r="W27" s="541">
        <v>19.814299999999999</v>
      </c>
      <c r="X27" s="541">
        <v>20.429200000000002</v>
      </c>
      <c r="Y27" s="541">
        <v>20</v>
      </c>
      <c r="Z27" s="541">
        <v>20.1175</v>
      </c>
      <c r="AA27" s="541">
        <v>19.985299999999999</v>
      </c>
      <c r="AB27" s="541">
        <v>20.264700000000001</v>
      </c>
      <c r="AC27" s="541">
        <v>20.762799999999999</v>
      </c>
      <c r="AD27" s="541">
        <v>20.733699999999999</v>
      </c>
      <c r="AE27" s="509">
        <v>21</v>
      </c>
      <c r="AH27" s="509">
        <v>21</v>
      </c>
      <c r="AI27" s="541">
        <v>18.738800000000001</v>
      </c>
      <c r="AJ27" s="541">
        <v>18.591000000000001</v>
      </c>
      <c r="AK27" s="541">
        <v>24.0868</v>
      </c>
      <c r="AL27" s="541">
        <v>23.901199999999999</v>
      </c>
      <c r="AM27" s="541">
        <v>23.6023</v>
      </c>
      <c r="AN27" s="541">
        <v>22.608799999999999</v>
      </c>
      <c r="AO27" s="541">
        <v>22.489699999999999</v>
      </c>
      <c r="AP27" s="541">
        <v>22.052700000000002</v>
      </c>
      <c r="AQ27" s="541">
        <v>20.984999999999999</v>
      </c>
      <c r="AR27" s="541">
        <v>21.1342</v>
      </c>
      <c r="AS27" s="541">
        <v>20.1858</v>
      </c>
      <c r="AT27" s="541">
        <v>19.817299999999999</v>
      </c>
      <c r="AU27" s="509">
        <v>21</v>
      </c>
      <c r="AX27" s="509">
        <v>21</v>
      </c>
      <c r="AY27" s="528">
        <v>19.062999999999999</v>
      </c>
      <c r="AZ27" s="528">
        <v>19.177800000000001</v>
      </c>
      <c r="BA27" s="530">
        <v>19.000399999999999</v>
      </c>
      <c r="BB27" s="528">
        <v>18.951599999999999</v>
      </c>
      <c r="BC27" s="528">
        <v>19.145399999999999</v>
      </c>
      <c r="BD27" s="528">
        <v>19.1753</v>
      </c>
      <c r="BE27" s="528">
        <v>19.0108</v>
      </c>
      <c r="BF27" s="528">
        <v>19.815300000000001</v>
      </c>
      <c r="BG27" s="528">
        <v>19.398099999999999</v>
      </c>
      <c r="BH27" s="528">
        <v>19.1602</v>
      </c>
      <c r="BI27" s="528">
        <v>19.3687</v>
      </c>
      <c r="BJ27" s="528">
        <v>18.963999999999999</v>
      </c>
      <c r="BK27" s="509">
        <v>21</v>
      </c>
      <c r="BN27" s="509">
        <v>21</v>
      </c>
      <c r="BO27" s="528">
        <v>18.636099999999999</v>
      </c>
      <c r="BP27" s="528">
        <v>18.536000000000001</v>
      </c>
      <c r="BQ27" s="530">
        <v>18.721599999999999</v>
      </c>
      <c r="BR27" s="528">
        <v>18.2819</v>
      </c>
      <c r="BS27" s="528">
        <v>19.703299999999999</v>
      </c>
      <c r="BT27" s="528">
        <v>20.553100000000001</v>
      </c>
      <c r="BU27" s="528">
        <v>19.079000000000001</v>
      </c>
      <c r="BV27" s="528">
        <v>19.061499999999999</v>
      </c>
      <c r="BW27" s="528">
        <v>18.767199999999999</v>
      </c>
      <c r="BX27" s="528">
        <v>19.101800000000001</v>
      </c>
      <c r="BY27" s="528">
        <v>20.155000000000001</v>
      </c>
      <c r="BZ27" s="528">
        <v>20.029299999999999</v>
      </c>
      <c r="CA27" s="509">
        <v>21</v>
      </c>
      <c r="CD27" s="509">
        <v>21</v>
      </c>
      <c r="CE27" s="528">
        <v>21.904399999999999</v>
      </c>
      <c r="CF27" s="528">
        <v>20.4526</v>
      </c>
      <c r="CG27" s="528">
        <v>19.172999999999998</v>
      </c>
      <c r="CH27" s="528">
        <v>18.837399999999999</v>
      </c>
      <c r="CI27" s="528">
        <v>18.889800000000001</v>
      </c>
      <c r="CJ27" s="528">
        <v>17.951899999999998</v>
      </c>
      <c r="CK27" s="528">
        <v>17.4937</v>
      </c>
      <c r="CL27" s="528">
        <v>17.732399999999998</v>
      </c>
      <c r="CM27" s="528">
        <v>17.764299999999999</v>
      </c>
      <c r="CN27" s="528">
        <v>18.8248</v>
      </c>
      <c r="CO27" s="528">
        <v>19.122399999999999</v>
      </c>
      <c r="CP27" s="528">
        <v>19.191299999999998</v>
      </c>
      <c r="CQ27" s="509">
        <v>21</v>
      </c>
      <c r="CT27" s="509">
        <v>21</v>
      </c>
      <c r="CU27" s="528">
        <v>18.194700000000001</v>
      </c>
      <c r="CV27" s="528">
        <v>18.143899999999999</v>
      </c>
      <c r="CW27" s="528">
        <v>17.403400000000001</v>
      </c>
      <c r="CX27" s="528">
        <v>17.282499999999999</v>
      </c>
      <c r="CY27" s="528">
        <v>18.546500000000002</v>
      </c>
      <c r="CZ27" s="528">
        <v>18.852699999999999</v>
      </c>
      <c r="DA27" s="528">
        <v>18.571899999999999</v>
      </c>
      <c r="DB27" s="528">
        <v>18.083200000000001</v>
      </c>
      <c r="DC27" s="528">
        <v>19.6097</v>
      </c>
      <c r="DD27" s="528">
        <v>18.589400000000001</v>
      </c>
      <c r="DE27" s="528">
        <v>20.189800000000002</v>
      </c>
      <c r="DF27" s="528">
        <v>20.409800000000001</v>
      </c>
      <c r="DG27" s="509">
        <v>21</v>
      </c>
      <c r="DJ27" s="509">
        <v>21</v>
      </c>
      <c r="DK27" s="528">
        <v>14.6524</v>
      </c>
      <c r="DL27" s="528">
        <v>14.958299999999999</v>
      </c>
      <c r="DM27" s="528">
        <v>15.295999999999999</v>
      </c>
      <c r="DN27" s="528">
        <v>15.312799999999999</v>
      </c>
      <c r="DO27" s="528">
        <v>15.200799999999999</v>
      </c>
      <c r="DP27" s="528">
        <v>15.4199</v>
      </c>
      <c r="DQ27" s="528">
        <v>15.912100000000001</v>
      </c>
      <c r="DR27" s="528">
        <v>16.4908</v>
      </c>
      <c r="DS27" s="528">
        <v>16.568000000000001</v>
      </c>
      <c r="DT27" s="528">
        <v>16.489899999999999</v>
      </c>
      <c r="DU27" s="528">
        <v>16.5748</v>
      </c>
      <c r="DV27" s="528">
        <v>17.100000000000001</v>
      </c>
      <c r="DW27" s="509">
        <v>21</v>
      </c>
      <c r="DZ27" s="509">
        <v>21</v>
      </c>
      <c r="EA27" s="528">
        <v>13.2737</v>
      </c>
      <c r="EB27" s="528">
        <v>13.2714</v>
      </c>
      <c r="EC27" s="528">
        <v>13.169499999999999</v>
      </c>
      <c r="ED27" s="528">
        <v>13.098599999999999</v>
      </c>
      <c r="EE27" s="528">
        <v>12.894399999999999</v>
      </c>
      <c r="EF27" s="528">
        <v>12.9885</v>
      </c>
      <c r="EG27" s="528">
        <v>12.945399999999999</v>
      </c>
      <c r="EH27" s="528">
        <v>13.0532</v>
      </c>
      <c r="EI27" s="528">
        <v>13.2402</v>
      </c>
      <c r="EJ27" s="528">
        <v>13.523099999999999</v>
      </c>
      <c r="EK27" s="528">
        <v>13.614599999999999</v>
      </c>
      <c r="EL27" s="528">
        <v>14.5562</v>
      </c>
      <c r="EM27" s="509">
        <v>21</v>
      </c>
      <c r="EP27" s="509">
        <v>21</v>
      </c>
      <c r="EQ27" s="528">
        <v>12.5868</v>
      </c>
      <c r="ER27" s="528">
        <v>12.6873</v>
      </c>
      <c r="ES27" s="528">
        <v>12.4339</v>
      </c>
      <c r="ET27" s="528">
        <v>12.2479</v>
      </c>
      <c r="EU27" s="528">
        <v>12.3177</v>
      </c>
      <c r="EV27" s="528">
        <v>12.8695</v>
      </c>
      <c r="EW27" s="528">
        <v>12.4976</v>
      </c>
      <c r="EX27" s="528">
        <v>13.0124</v>
      </c>
      <c r="EY27" s="528">
        <v>12.7179</v>
      </c>
      <c r="EZ27" s="528">
        <v>12.771699999999999</v>
      </c>
      <c r="FA27" s="528">
        <v>12.886900000000001</v>
      </c>
      <c r="FB27" s="528">
        <v>12.973000000000001</v>
      </c>
      <c r="FC27" s="509">
        <v>21</v>
      </c>
      <c r="FF27" s="509">
        <v>21</v>
      </c>
      <c r="FG27" s="528">
        <v>13.2516</v>
      </c>
      <c r="FH27" s="528">
        <v>12.785600000000001</v>
      </c>
      <c r="FI27" s="528">
        <v>12.6645</v>
      </c>
      <c r="FJ27" s="528">
        <v>13.2288</v>
      </c>
      <c r="FK27" s="528">
        <v>13.7994</v>
      </c>
      <c r="FL27" s="528">
        <v>13.7033</v>
      </c>
      <c r="FM27" s="528">
        <v>13.1921</v>
      </c>
      <c r="FN27" s="528">
        <v>13.1745</v>
      </c>
      <c r="FO27" s="528">
        <v>12.823499999999999</v>
      </c>
      <c r="FP27" s="528">
        <v>12.8299</v>
      </c>
      <c r="FQ27" s="528">
        <v>13.206300000000001</v>
      </c>
      <c r="FR27" s="528">
        <v>12.732699999999999</v>
      </c>
      <c r="FS27" s="509">
        <v>21</v>
      </c>
      <c r="FV27" s="509">
        <v>21</v>
      </c>
      <c r="FW27" s="528">
        <v>12.074400000000001</v>
      </c>
      <c r="FX27" s="528">
        <v>12.048299999999999</v>
      </c>
      <c r="FY27" s="528">
        <v>12.092499999999999</v>
      </c>
      <c r="FZ27" s="528">
        <v>11.692500000000001</v>
      </c>
      <c r="GA27" s="528">
        <v>11.658799999999999</v>
      </c>
      <c r="GB27" s="528">
        <v>11.900600000000001</v>
      </c>
      <c r="GC27" s="528">
        <v>11.696400000000001</v>
      </c>
      <c r="GD27" s="528">
        <v>12.368499999999999</v>
      </c>
      <c r="GE27" s="528">
        <v>13.186</v>
      </c>
      <c r="GF27" s="528">
        <v>13.3733</v>
      </c>
      <c r="GG27" s="528">
        <v>13.637499999999999</v>
      </c>
      <c r="GH27" s="528">
        <v>13.854200000000001</v>
      </c>
      <c r="GI27" s="509">
        <v>21</v>
      </c>
      <c r="GL27" s="509">
        <v>21</v>
      </c>
      <c r="GM27" s="528">
        <v>12.6478</v>
      </c>
      <c r="GN27" s="528">
        <v>12.844200000000001</v>
      </c>
      <c r="GO27" s="528">
        <v>12.472899999999999</v>
      </c>
      <c r="GP27" s="528">
        <v>12.3064</v>
      </c>
      <c r="GQ27" s="528">
        <v>12.9138</v>
      </c>
      <c r="GR27" s="528">
        <v>12.592499999999999</v>
      </c>
      <c r="GS27" s="528">
        <v>12.9162</v>
      </c>
      <c r="GT27" s="528">
        <v>12.7226</v>
      </c>
      <c r="GU27" s="528">
        <v>12.779299999999999</v>
      </c>
      <c r="GV27" s="528">
        <v>12.4818</v>
      </c>
      <c r="GW27" s="528">
        <v>12.292400000000001</v>
      </c>
      <c r="GX27" s="528">
        <v>12.4345</v>
      </c>
      <c r="GY27" s="509">
        <v>21</v>
      </c>
      <c r="HB27" s="509">
        <v>21</v>
      </c>
      <c r="HC27" s="528">
        <v>13.9777</v>
      </c>
      <c r="HD27" s="528">
        <v>14.5505</v>
      </c>
      <c r="HE27" s="528">
        <v>14.08</v>
      </c>
      <c r="HF27" s="528">
        <v>13.155799999999999</v>
      </c>
      <c r="HG27" s="528">
        <v>12.968</v>
      </c>
      <c r="HH27" s="528">
        <v>13.369400000000001</v>
      </c>
      <c r="HI27" s="528">
        <v>13.3895</v>
      </c>
      <c r="HJ27" s="528">
        <v>12.915900000000001</v>
      </c>
      <c r="HK27" s="528">
        <v>13.23</v>
      </c>
      <c r="HL27" s="528">
        <v>13.084</v>
      </c>
      <c r="HM27" s="528">
        <v>13.0502</v>
      </c>
      <c r="HN27" s="528">
        <v>12.9331</v>
      </c>
      <c r="HO27" s="509">
        <v>21</v>
      </c>
      <c r="HP27" s="529"/>
      <c r="HQ27" s="529"/>
      <c r="HR27" s="509">
        <v>21</v>
      </c>
      <c r="HS27" s="528">
        <v>10.9445</v>
      </c>
      <c r="HT27" s="528">
        <v>10.748900000000001</v>
      </c>
      <c r="HU27" s="528">
        <v>10.704000000000001</v>
      </c>
      <c r="HV27" s="528">
        <v>10.482799999999999</v>
      </c>
      <c r="HW27" s="528">
        <v>10.379200000000001</v>
      </c>
      <c r="HX27" s="528">
        <v>10.3156</v>
      </c>
      <c r="HY27" s="528">
        <v>10.2311</v>
      </c>
      <c r="HZ27" s="528">
        <v>10.1867</v>
      </c>
      <c r="IA27" s="528">
        <v>10.836499999999999</v>
      </c>
      <c r="IB27" s="528">
        <v>12.8475</v>
      </c>
      <c r="IC27" s="528">
        <v>13.18</v>
      </c>
      <c r="ID27" s="528">
        <v>13.215</v>
      </c>
      <c r="IE27" s="509">
        <v>21</v>
      </c>
      <c r="IF27" s="529"/>
      <c r="IG27" s="529"/>
      <c r="IH27" s="509">
        <v>21</v>
      </c>
      <c r="II27" s="528">
        <v>10.9232</v>
      </c>
      <c r="IJ27" s="528">
        <v>10.9778</v>
      </c>
      <c r="IK27" s="528">
        <v>11.166399999999999</v>
      </c>
      <c r="IL27" s="528">
        <v>11.004799999999999</v>
      </c>
      <c r="IM27" s="528">
        <v>10.8033</v>
      </c>
      <c r="IN27" s="528">
        <v>10.7494</v>
      </c>
      <c r="IO27" s="528">
        <v>10.720700000000001</v>
      </c>
      <c r="IP27" s="528">
        <v>11.1259</v>
      </c>
      <c r="IQ27" s="528">
        <v>10.9871</v>
      </c>
      <c r="IR27" s="528">
        <v>10.8133</v>
      </c>
      <c r="IS27" s="528">
        <v>10.9353</v>
      </c>
      <c r="IT27" s="528">
        <v>10.841200000000001</v>
      </c>
      <c r="IU27" s="509">
        <v>21</v>
      </c>
      <c r="IV27" s="529"/>
      <c r="IW27" s="529"/>
      <c r="IX27" s="509">
        <v>21</v>
      </c>
      <c r="IY27" s="528">
        <v>10.5589</v>
      </c>
      <c r="IZ27" s="528">
        <v>10.4528</v>
      </c>
      <c r="JA27" s="528">
        <v>10.688499999999999</v>
      </c>
      <c r="JB27" s="528">
        <v>10.9773</v>
      </c>
      <c r="JC27" s="528">
        <v>11.2005</v>
      </c>
      <c r="JD27" s="528">
        <v>11.4459</v>
      </c>
      <c r="JE27" s="528">
        <v>10.904500000000001</v>
      </c>
      <c r="JF27" s="528">
        <v>10.747999999999999</v>
      </c>
      <c r="JG27" s="528">
        <v>10.922700000000001</v>
      </c>
      <c r="JH27" s="528">
        <v>10.805999999999999</v>
      </c>
      <c r="JI27" s="528">
        <v>10.8527</v>
      </c>
      <c r="JJ27" s="528">
        <v>10.8492</v>
      </c>
      <c r="JK27" s="509">
        <v>21</v>
      </c>
      <c r="JL27" s="529"/>
      <c r="JM27" s="529"/>
      <c r="JN27" s="509">
        <v>21</v>
      </c>
      <c r="JO27" s="528">
        <v>11.232799999999999</v>
      </c>
      <c r="JP27" s="528">
        <v>11.1389</v>
      </c>
      <c r="JQ27" s="528">
        <v>11.2193</v>
      </c>
      <c r="JR27" s="528">
        <v>11.0776</v>
      </c>
      <c r="JS27" s="528">
        <v>10.9283</v>
      </c>
      <c r="JT27" s="528">
        <v>10.7913</v>
      </c>
      <c r="JU27" s="528">
        <v>10.6227</v>
      </c>
      <c r="JV27" s="528">
        <v>10.6601</v>
      </c>
      <c r="JW27" s="528">
        <v>10.8558</v>
      </c>
      <c r="JX27" s="528">
        <v>10.8752</v>
      </c>
      <c r="JY27" s="528">
        <v>10.676</v>
      </c>
      <c r="JZ27" s="528">
        <v>10.728300000000001</v>
      </c>
      <c r="KA27" s="509">
        <v>21</v>
      </c>
      <c r="KB27" s="529"/>
      <c r="KC27" s="529"/>
      <c r="KD27" s="509">
        <v>21</v>
      </c>
      <c r="KE27" s="528">
        <v>10.8264</v>
      </c>
      <c r="KF27" s="528">
        <v>10.9688</v>
      </c>
      <c r="KG27" s="528">
        <v>11.0128</v>
      </c>
      <c r="KH27" s="528">
        <v>11.250999999999999</v>
      </c>
      <c r="KI27" s="528">
        <v>11.5448</v>
      </c>
      <c r="KJ27" s="528">
        <v>11.3523</v>
      </c>
      <c r="KK27" s="528">
        <v>11.378500000000001</v>
      </c>
      <c r="KL27" s="528">
        <v>11.355</v>
      </c>
      <c r="KM27" s="528">
        <v>11.477399999999999</v>
      </c>
      <c r="KN27" s="528">
        <v>11.450699999999999</v>
      </c>
      <c r="KO27" s="528">
        <v>11.333500000000001</v>
      </c>
      <c r="KP27" s="528">
        <v>11.2403</v>
      </c>
      <c r="KQ27" s="509">
        <v>21</v>
      </c>
      <c r="KR27" s="529"/>
      <c r="KS27" s="529"/>
      <c r="KT27" s="509">
        <v>21</v>
      </c>
      <c r="KU27" s="528">
        <v>10.59</v>
      </c>
      <c r="KV27" s="528">
        <v>10.84</v>
      </c>
      <c r="KW27" s="528">
        <v>10.863300000000001</v>
      </c>
      <c r="KX27" s="528">
        <v>10.639799999999999</v>
      </c>
      <c r="KY27" s="528">
        <v>10.3498</v>
      </c>
      <c r="KZ27" s="528">
        <v>10.485799999999999</v>
      </c>
      <c r="LA27" s="528">
        <v>10.349</v>
      </c>
      <c r="LB27" s="528">
        <v>10.800700000000001</v>
      </c>
      <c r="LC27" s="528">
        <v>10.9163</v>
      </c>
      <c r="LD27" s="528">
        <v>11.280200000000001</v>
      </c>
      <c r="LE27" s="528">
        <v>11.164300000000001</v>
      </c>
      <c r="LF27" s="528">
        <v>11.2193</v>
      </c>
      <c r="LG27" s="509">
        <v>21</v>
      </c>
      <c r="LH27" s="529"/>
      <c r="LI27" s="529"/>
      <c r="LJ27" s="509">
        <v>21</v>
      </c>
      <c r="LK27" s="528">
        <v>9.1255000000000006</v>
      </c>
      <c r="LL27" s="528">
        <v>9.0690000000000008</v>
      </c>
      <c r="LM27" s="528">
        <v>9.0741999999999994</v>
      </c>
      <c r="LN27" s="528">
        <v>9.2345000000000006</v>
      </c>
      <c r="LO27" s="528">
        <v>9.4710000000000001</v>
      </c>
      <c r="LP27" s="528">
        <v>9.6982999999999997</v>
      </c>
      <c r="LQ27" s="528">
        <v>9.6462000000000003</v>
      </c>
      <c r="LR27" s="528">
        <v>9.7746999999999993</v>
      </c>
      <c r="LS27" s="528">
        <v>10.062799999999999</v>
      </c>
      <c r="LT27" s="528">
        <v>9.9987999999999992</v>
      </c>
      <c r="LU27" s="528">
        <v>10.176</v>
      </c>
      <c r="LV27" s="528">
        <v>10.192</v>
      </c>
      <c r="LW27" s="509">
        <v>21</v>
      </c>
      <c r="LX27" s="529"/>
      <c r="LY27" s="529"/>
      <c r="LZ27" s="509">
        <v>21</v>
      </c>
      <c r="MA27" s="528">
        <v>9.8870000000000005</v>
      </c>
      <c r="MB27" s="528">
        <v>9.7043999999999997</v>
      </c>
      <c r="MC27" s="528">
        <v>9.5683000000000007</v>
      </c>
      <c r="MD27" s="528">
        <v>9.2748000000000008</v>
      </c>
      <c r="ME27" s="528">
        <v>8.9952000000000005</v>
      </c>
      <c r="MF27" s="528">
        <v>9.0792000000000002</v>
      </c>
      <c r="MG27" s="528">
        <v>9.1999999999999993</v>
      </c>
      <c r="MH27" s="528">
        <v>9.1155000000000008</v>
      </c>
      <c r="MI27" s="528">
        <v>9.4184999999999999</v>
      </c>
      <c r="MJ27" s="528">
        <v>9.2309999999999999</v>
      </c>
      <c r="MK27" s="528">
        <v>9.2120999999999995</v>
      </c>
      <c r="ML27" s="528">
        <v>9.1174999999999997</v>
      </c>
      <c r="MM27" s="509">
        <v>21</v>
      </c>
      <c r="MN27" s="529"/>
      <c r="MO27" s="529"/>
      <c r="MP27" s="509">
        <v>21</v>
      </c>
      <c r="MQ27" s="528">
        <v>9.4085999999999999</v>
      </c>
      <c r="MR27" s="528">
        <v>9.3904999999999994</v>
      </c>
      <c r="MS27" s="528">
        <v>9.3254999999999999</v>
      </c>
      <c r="MT27" s="528">
        <v>9.4388000000000005</v>
      </c>
      <c r="MU27" s="528">
        <v>9.5751000000000008</v>
      </c>
      <c r="MV27" s="528">
        <v>9.9031000000000002</v>
      </c>
      <c r="MW27" s="528">
        <v>9.4117999999999995</v>
      </c>
      <c r="MX27" s="528">
        <v>9.1873000000000005</v>
      </c>
      <c r="MY27" s="528">
        <v>9.4250000000000007</v>
      </c>
      <c r="MZ27" s="528">
        <v>9.5333000000000006</v>
      </c>
      <c r="NA27" s="528">
        <v>9.4827999999999992</v>
      </c>
      <c r="NB27" s="528">
        <v>9.3789999999999996</v>
      </c>
      <c r="NC27" s="509">
        <v>21</v>
      </c>
      <c r="ND27" s="529"/>
      <c r="NE27" s="529"/>
      <c r="NF27" s="509">
        <v>21</v>
      </c>
      <c r="NG27" s="528">
        <v>10.2783</v>
      </c>
      <c r="NH27" s="528">
        <v>9.8809000000000005</v>
      </c>
      <c r="NI27" s="528">
        <v>9.6462000000000003</v>
      </c>
      <c r="NJ27" s="528">
        <v>9.3831000000000007</v>
      </c>
      <c r="NK27" s="528">
        <v>9.3086000000000002</v>
      </c>
      <c r="NL27" s="528">
        <v>9.4038000000000004</v>
      </c>
      <c r="NM27" s="528">
        <v>9.3008000000000006</v>
      </c>
      <c r="NN27" s="528">
        <v>9.3744999999999994</v>
      </c>
      <c r="NO27" s="528">
        <v>9.3712</v>
      </c>
      <c r="NP27" s="528">
        <v>9.6713000000000005</v>
      </c>
      <c r="NQ27" s="528">
        <v>9.3460000000000001</v>
      </c>
      <c r="NR27" s="528">
        <v>9.3298000000000005</v>
      </c>
      <c r="NS27" s="509">
        <v>21</v>
      </c>
      <c r="NT27" s="529"/>
      <c r="NU27" s="529"/>
      <c r="NV27" s="509">
        <v>21</v>
      </c>
      <c r="NW27" s="528">
        <v>8.1803000000000008</v>
      </c>
      <c r="NX27" s="528">
        <v>8.5449000000000002</v>
      </c>
      <c r="NY27" s="528">
        <v>8.5638000000000005</v>
      </c>
      <c r="NZ27" s="528">
        <v>8.4945000000000004</v>
      </c>
      <c r="OA27" s="528">
        <v>8.5848999999999993</v>
      </c>
      <c r="OB27" s="528">
        <v>8.8966999999999992</v>
      </c>
      <c r="OC27" s="528">
        <v>8.8217999999999996</v>
      </c>
      <c r="OD27" s="528">
        <v>9.1873000000000005</v>
      </c>
      <c r="OE27" s="528">
        <v>10.315799999999999</v>
      </c>
      <c r="OF27" s="528">
        <v>10.0863</v>
      </c>
      <c r="OG27" s="528">
        <v>9.9305000000000003</v>
      </c>
      <c r="OH27" s="528">
        <v>9.7863000000000007</v>
      </c>
      <c r="OI27" s="509">
        <v>21</v>
      </c>
      <c r="OJ27" s="529"/>
      <c r="OK27" s="529"/>
      <c r="OL27" s="509">
        <v>21</v>
      </c>
      <c r="OM27" s="528">
        <v>7.8274999999999997</v>
      </c>
      <c r="ON27" s="528">
        <v>7.7887000000000004</v>
      </c>
      <c r="OO27" s="528">
        <v>7.9233000000000002</v>
      </c>
      <c r="OP27" s="528">
        <v>7.8852000000000002</v>
      </c>
      <c r="OQ27" s="528">
        <v>7.8933999999999997</v>
      </c>
      <c r="OR27" s="528">
        <v>7.9168000000000003</v>
      </c>
      <c r="OS27" s="528">
        <v>7.8556999999999997</v>
      </c>
      <c r="OT27" s="528">
        <v>7.7575000000000003</v>
      </c>
      <c r="OU27" s="528">
        <v>7.7560000000000002</v>
      </c>
      <c r="OV27" s="528">
        <v>7.7484000000000002</v>
      </c>
      <c r="OW27" s="528">
        <v>8.2642000000000007</v>
      </c>
      <c r="OX27" s="528">
        <v>8.0739999999999998</v>
      </c>
      <c r="OY27" s="509">
        <v>21</v>
      </c>
      <c r="OZ27" s="529"/>
      <c r="PA27" s="529"/>
      <c r="PB27" s="509">
        <v>21</v>
      </c>
      <c r="PC27" s="528">
        <v>7.4667000000000003</v>
      </c>
      <c r="PD27" s="528">
        <v>7.5457999999999998</v>
      </c>
      <c r="PE27" s="528">
        <v>7.5242000000000004</v>
      </c>
      <c r="PF27" s="528">
        <v>7.4409999999999998</v>
      </c>
      <c r="PG27" s="528">
        <v>7.4019000000000004</v>
      </c>
      <c r="PH27" s="528">
        <v>7.5267999999999997</v>
      </c>
      <c r="PI27" s="528">
        <v>7.6452999999999998</v>
      </c>
      <c r="PJ27" s="528">
        <v>7.4854000000000003</v>
      </c>
      <c r="PK27" s="528">
        <v>7.5052000000000003</v>
      </c>
      <c r="PL27" s="528">
        <v>7.7725999999999997</v>
      </c>
      <c r="PM27" s="528">
        <v>7.9085000000000001</v>
      </c>
      <c r="PN27" s="528">
        <v>7.8673999999999999</v>
      </c>
      <c r="PO27" s="509">
        <v>21</v>
      </c>
      <c r="PP27" s="529"/>
      <c r="PQ27" s="529"/>
      <c r="PR27" s="509">
        <v>21</v>
      </c>
      <c r="PS27" s="528">
        <v>5.6074999999999999</v>
      </c>
      <c r="PT27" s="528">
        <v>5.7149999999999999</v>
      </c>
      <c r="PU27" s="528">
        <v>7.0824999999999996</v>
      </c>
      <c r="PV27" s="528">
        <v>6.1391999999999998</v>
      </c>
      <c r="PW27" s="528">
        <v>5.92</v>
      </c>
      <c r="PX27" s="528">
        <v>6.2008000000000001</v>
      </c>
      <c r="PY27" s="528">
        <v>6.0792999999999999</v>
      </c>
      <c r="PZ27" s="528">
        <v>6.1849999999999996</v>
      </c>
      <c r="QA27" s="528">
        <v>6.3055000000000003</v>
      </c>
      <c r="QB27" s="528">
        <v>6.6908000000000003</v>
      </c>
      <c r="QC27" s="528">
        <v>7.8</v>
      </c>
      <c r="QD27" s="528">
        <v>7.6809000000000003</v>
      </c>
      <c r="QE27" s="509">
        <v>21</v>
      </c>
      <c r="QF27" s="529"/>
      <c r="QG27" s="529"/>
      <c r="QH27" s="509">
        <v>21</v>
      </c>
      <c r="QI27" s="528">
        <v>3.1055999999999999</v>
      </c>
      <c r="QJ27" s="528">
        <v>3.1053000000000002</v>
      </c>
      <c r="QK27" s="528">
        <v>3.3043</v>
      </c>
      <c r="QL27" s="528">
        <v>3.3685999999999998</v>
      </c>
      <c r="QM27" s="528">
        <v>3.3220000000000001</v>
      </c>
      <c r="QN27" s="528">
        <v>3.3675000000000002</v>
      </c>
      <c r="QO27" s="528">
        <v>3.4011</v>
      </c>
      <c r="QP27" s="528">
        <v>3.3769</v>
      </c>
      <c r="QQ27" s="528">
        <v>3.4077999999999999</v>
      </c>
      <c r="QR27" s="528">
        <v>3.4106000000000001</v>
      </c>
      <c r="QS27" s="528">
        <v>3.4533999999999998</v>
      </c>
      <c r="QT27" s="528">
        <v>3.4662000000000002</v>
      </c>
      <c r="QU27" s="509">
        <v>21</v>
      </c>
      <c r="QV27" s="529"/>
      <c r="QW27" s="529"/>
      <c r="QX27" s="509">
        <v>21</v>
      </c>
      <c r="QY27" s="528">
        <v>3.1082000000000001</v>
      </c>
      <c r="QZ27" s="528">
        <v>3.0943000000000001</v>
      </c>
      <c r="RA27" s="528">
        <v>3.1168999999999998</v>
      </c>
      <c r="RB27" s="528">
        <v>3.0935999999999999</v>
      </c>
      <c r="RC27" s="528">
        <v>3.1132</v>
      </c>
      <c r="RD27" s="528">
        <v>3.1171000000000002</v>
      </c>
      <c r="RE27" s="528">
        <v>3.1255000000000002</v>
      </c>
      <c r="RF27" s="528">
        <v>3.1131000000000002</v>
      </c>
      <c r="RG27" s="528">
        <v>3.1093000000000002</v>
      </c>
      <c r="RH27" s="528">
        <v>3.1124999999999998</v>
      </c>
      <c r="RI27" s="528">
        <v>3.1114000000000002</v>
      </c>
      <c r="RJ27" s="528">
        <v>3.1055000000000001</v>
      </c>
      <c r="RK27" s="509">
        <v>21</v>
      </c>
      <c r="RL27" s="529"/>
      <c r="RM27" s="529"/>
      <c r="RN27" s="509">
        <v>21</v>
      </c>
      <c r="RO27" s="528">
        <v>3.0657000000000001</v>
      </c>
      <c r="RP27" s="528">
        <v>3.0608</v>
      </c>
      <c r="RQ27" s="528">
        <v>3.0737999999999999</v>
      </c>
      <c r="RR27" s="528">
        <v>3.0670000000000002</v>
      </c>
      <c r="RS27" s="528">
        <v>3.1023999999999998</v>
      </c>
      <c r="RT27" s="528">
        <v>3.1202999999999999</v>
      </c>
      <c r="RU27" s="528">
        <v>3.1149</v>
      </c>
      <c r="RV27" s="528">
        <v>3.0853000000000002</v>
      </c>
      <c r="RW27" s="528">
        <v>3.0916000000000001</v>
      </c>
      <c r="RX27" s="528">
        <v>3.1429</v>
      </c>
      <c r="RY27" s="528">
        <v>3.1150000000000002</v>
      </c>
      <c r="RZ27" s="528">
        <v>3.1204000000000001</v>
      </c>
      <c r="SA27" s="509">
        <v>21</v>
      </c>
      <c r="SB27" s="529"/>
      <c r="SC27" s="529"/>
      <c r="SD27" s="509">
        <v>21</v>
      </c>
      <c r="SE27" s="528">
        <v>2.9533999999999998</v>
      </c>
      <c r="SF27" s="528">
        <v>2.9666000000000001</v>
      </c>
      <c r="SG27" s="528">
        <v>2.9777999999999998</v>
      </c>
      <c r="SH27" s="528">
        <v>2.9897999999999998</v>
      </c>
      <c r="SI27" s="528">
        <v>3.0013999999999998</v>
      </c>
      <c r="SJ27" s="528">
        <v>3.0146000000000002</v>
      </c>
      <c r="SK27" s="528">
        <v>3.0261999999999998</v>
      </c>
      <c r="SL27" s="528">
        <v>3.0390000000000001</v>
      </c>
      <c r="SM27" s="528">
        <v>3.0514000000000001</v>
      </c>
      <c r="SN27" s="528">
        <v>3.0642</v>
      </c>
      <c r="SO27" s="528">
        <v>3.0661299999999998</v>
      </c>
      <c r="SP27" s="528">
        <v>3.0747499999999999</v>
      </c>
      <c r="SQ27" s="509">
        <v>21</v>
      </c>
      <c r="SR27" s="529"/>
      <c r="SS27" s="529"/>
      <c r="ST27" s="509">
        <v>21</v>
      </c>
      <c r="SU27" s="528">
        <v>2.6619999999999999</v>
      </c>
      <c r="SV27" s="528">
        <v>2.694</v>
      </c>
      <c r="SW27" s="528">
        <v>2.722</v>
      </c>
      <c r="SX27" s="528">
        <v>2.7530000000000001</v>
      </c>
      <c r="SY27" s="528">
        <v>2.7810000000000001</v>
      </c>
      <c r="SZ27" s="528">
        <v>2.8098000000000001</v>
      </c>
      <c r="TA27" s="528">
        <v>2.8338000000000001</v>
      </c>
      <c r="TB27" s="528">
        <v>2.8570000000000002</v>
      </c>
      <c r="TC27" s="528">
        <v>2.8834</v>
      </c>
      <c r="TD27" s="528">
        <v>2.9066000000000001</v>
      </c>
      <c r="TE27" s="528">
        <v>2.9298000000000002</v>
      </c>
      <c r="TF27" s="528">
        <v>2.9418000000000002</v>
      </c>
      <c r="TG27" s="509">
        <v>21</v>
      </c>
      <c r="TH27" s="529"/>
      <c r="TI27" s="529"/>
      <c r="TJ27" s="509">
        <v>21</v>
      </c>
      <c r="TK27" s="528">
        <v>2.298</v>
      </c>
      <c r="TL27" s="528">
        <v>2.327</v>
      </c>
      <c r="TM27" s="528">
        <v>2.355</v>
      </c>
      <c r="TN27" s="528">
        <v>2.3879999999999999</v>
      </c>
      <c r="TO27" s="528">
        <v>2.4169999999999998</v>
      </c>
      <c r="TP27" s="528">
        <v>2.4489999999999998</v>
      </c>
      <c r="TQ27" s="528">
        <v>2.4790000000000001</v>
      </c>
      <c r="TR27" s="528">
        <v>2.508</v>
      </c>
      <c r="TS27" s="528">
        <v>2.5409999999999999</v>
      </c>
      <c r="TT27" s="528">
        <v>2.5710000000000002</v>
      </c>
      <c r="TU27" s="528">
        <v>2.6</v>
      </c>
      <c r="TV27" s="528">
        <v>2.6320000000000001</v>
      </c>
      <c r="TW27" s="509">
        <v>21</v>
      </c>
    </row>
    <row r="28" spans="2:543" s="4" customFormat="1" ht="23" customHeight="1">
      <c r="B28" s="509">
        <v>22</v>
      </c>
      <c r="C28" s="541">
        <v>20.450700000000001</v>
      </c>
      <c r="D28" s="541">
        <v>20.3063</v>
      </c>
      <c r="E28" s="541">
        <v>20.558499999999999</v>
      </c>
      <c r="F28" s="541">
        <v>20.0383</v>
      </c>
      <c r="G28" s="541">
        <v>19.9267</v>
      </c>
      <c r="H28" s="541">
        <v>20.244199999999999</v>
      </c>
      <c r="I28" s="541">
        <v>20.491299999999999</v>
      </c>
      <c r="J28" s="541">
        <v>20.083500000000001</v>
      </c>
      <c r="K28" s="541">
        <v>20</v>
      </c>
      <c r="L28" s="541">
        <v>20.044799999999999</v>
      </c>
      <c r="M28" s="541">
        <v>19.433299999999999</v>
      </c>
      <c r="N28" s="541">
        <v>19.748200000000001</v>
      </c>
      <c r="O28" s="509">
        <v>22</v>
      </c>
      <c r="R28" s="509">
        <v>22</v>
      </c>
      <c r="S28" s="541">
        <v>19.5793</v>
      </c>
      <c r="T28" s="541">
        <v>20.416499999999999</v>
      </c>
      <c r="U28" s="541">
        <v>20.441500000000001</v>
      </c>
      <c r="V28" s="541">
        <v>19.887699999999999</v>
      </c>
      <c r="W28" s="541">
        <v>19.881</v>
      </c>
      <c r="X28" s="541">
        <v>20.700199999999999</v>
      </c>
      <c r="Y28" s="541">
        <v>20.134799999999998</v>
      </c>
      <c r="Z28" s="541">
        <v>20.1175</v>
      </c>
      <c r="AA28" s="541">
        <v>20.173500000000001</v>
      </c>
      <c r="AB28" s="541">
        <v>20.184999999999999</v>
      </c>
      <c r="AC28" s="541">
        <v>20.762799999999999</v>
      </c>
      <c r="AD28" s="541">
        <v>20.7363</v>
      </c>
      <c r="AE28" s="509">
        <v>22</v>
      </c>
      <c r="AH28" s="509">
        <v>22</v>
      </c>
      <c r="AI28" s="541">
        <v>18.672499999999999</v>
      </c>
      <c r="AJ28" s="541">
        <v>18.799199999999999</v>
      </c>
      <c r="AK28" s="541">
        <v>24.0868</v>
      </c>
      <c r="AL28" s="541">
        <v>24.0077</v>
      </c>
      <c r="AM28" s="541">
        <v>23.296199999999999</v>
      </c>
      <c r="AN28" s="541">
        <v>22.608799999999999</v>
      </c>
      <c r="AO28" s="541">
        <v>22.627800000000001</v>
      </c>
      <c r="AP28" s="541">
        <v>22.175999999999998</v>
      </c>
      <c r="AQ28" s="541">
        <v>20.9697</v>
      </c>
      <c r="AR28" s="541">
        <v>21.090199999999999</v>
      </c>
      <c r="AS28" s="541">
        <v>20.1858</v>
      </c>
      <c r="AT28" s="541">
        <v>19.948699999999999</v>
      </c>
      <c r="AU28" s="509">
        <v>22</v>
      </c>
      <c r="AX28" s="509">
        <v>22</v>
      </c>
      <c r="AY28" s="528">
        <v>19.084399999999999</v>
      </c>
      <c r="AZ28" s="528">
        <v>19.183499999999999</v>
      </c>
      <c r="BA28" s="528">
        <v>18.909800000000001</v>
      </c>
      <c r="BB28" s="528">
        <v>18.951599999999999</v>
      </c>
      <c r="BC28" s="528">
        <v>19.090800000000002</v>
      </c>
      <c r="BD28" s="528">
        <v>18.980399999999999</v>
      </c>
      <c r="BE28" s="528">
        <v>19.0108</v>
      </c>
      <c r="BF28" s="528">
        <v>19.752199999999998</v>
      </c>
      <c r="BG28" s="528">
        <v>19.398099999999999</v>
      </c>
      <c r="BH28" s="528">
        <v>19.1492</v>
      </c>
      <c r="BI28" s="528">
        <v>19.48</v>
      </c>
      <c r="BJ28" s="528">
        <v>18.963999999999999</v>
      </c>
      <c r="BK28" s="509">
        <v>22</v>
      </c>
      <c r="BN28" s="509">
        <v>22</v>
      </c>
      <c r="BO28" s="528">
        <v>18.636099999999999</v>
      </c>
      <c r="BP28" s="528">
        <v>18.659400000000002</v>
      </c>
      <c r="BQ28" s="530">
        <v>18.761399999999998</v>
      </c>
      <c r="BR28" s="528">
        <v>18.2819</v>
      </c>
      <c r="BS28" s="528">
        <v>19.931899999999999</v>
      </c>
      <c r="BT28" s="528">
        <v>20.393699999999999</v>
      </c>
      <c r="BU28" s="528">
        <v>19.079000000000001</v>
      </c>
      <c r="BV28" s="528">
        <v>19.0305</v>
      </c>
      <c r="BW28" s="528">
        <v>18.829599999999999</v>
      </c>
      <c r="BX28" s="528">
        <v>19.101800000000001</v>
      </c>
      <c r="BY28" s="528">
        <v>20.412299999999998</v>
      </c>
      <c r="BZ28" s="528">
        <v>19.908200000000001</v>
      </c>
      <c r="CA28" s="509">
        <v>22</v>
      </c>
      <c r="CD28" s="509">
        <v>22</v>
      </c>
      <c r="CE28" s="528">
        <v>21.904399999999999</v>
      </c>
      <c r="CF28" s="528">
        <v>20.405899999999999</v>
      </c>
      <c r="CG28" s="528">
        <v>19.117000000000001</v>
      </c>
      <c r="CH28" s="528">
        <v>18.8187</v>
      </c>
      <c r="CI28" s="528">
        <v>18.889800000000001</v>
      </c>
      <c r="CJ28" s="528">
        <v>18.116700000000002</v>
      </c>
      <c r="CK28" s="528">
        <v>17.526</v>
      </c>
      <c r="CL28" s="528">
        <v>17.8584</v>
      </c>
      <c r="CM28" s="528">
        <v>17.700900000000001</v>
      </c>
      <c r="CN28" s="528">
        <v>18.8248</v>
      </c>
      <c r="CO28" s="528">
        <v>18.9724</v>
      </c>
      <c r="CP28" s="528">
        <v>19.229099999999999</v>
      </c>
      <c r="CQ28" s="509">
        <v>22</v>
      </c>
      <c r="CT28" s="509">
        <v>22</v>
      </c>
      <c r="CU28" s="528">
        <v>18.608000000000001</v>
      </c>
      <c r="CV28" s="528">
        <v>18.143899999999999</v>
      </c>
      <c r="CW28" s="528">
        <v>17.403400000000001</v>
      </c>
      <c r="CX28" s="528">
        <v>17.3078</v>
      </c>
      <c r="CY28" s="528">
        <v>18.546500000000002</v>
      </c>
      <c r="CZ28" s="528">
        <v>18.655899999999999</v>
      </c>
      <c r="DA28" s="528">
        <v>18.572900000000001</v>
      </c>
      <c r="DB28" s="528">
        <v>18.083200000000001</v>
      </c>
      <c r="DC28" s="528">
        <v>19.777000000000001</v>
      </c>
      <c r="DD28" s="528">
        <v>18.5945</v>
      </c>
      <c r="DE28" s="528">
        <v>20.189800000000002</v>
      </c>
      <c r="DF28" s="528">
        <v>20.43</v>
      </c>
      <c r="DG28" s="509">
        <v>22</v>
      </c>
      <c r="DJ28" s="509">
        <v>22</v>
      </c>
      <c r="DK28" s="528">
        <v>14.648400000000001</v>
      </c>
      <c r="DL28" s="528">
        <v>14.958299999999999</v>
      </c>
      <c r="DM28" s="528">
        <v>15.295999999999999</v>
      </c>
      <c r="DN28" s="528">
        <v>15.3973</v>
      </c>
      <c r="DO28" s="528">
        <v>15.212</v>
      </c>
      <c r="DP28" s="528">
        <v>15.2828</v>
      </c>
      <c r="DQ28" s="528">
        <v>15.9856</v>
      </c>
      <c r="DR28" s="528">
        <v>16.4908</v>
      </c>
      <c r="DS28" s="528">
        <v>16.539000000000001</v>
      </c>
      <c r="DT28" s="528">
        <v>16.561800000000002</v>
      </c>
      <c r="DU28" s="528">
        <v>16.5748</v>
      </c>
      <c r="DV28" s="528">
        <v>17.0139</v>
      </c>
      <c r="DW28" s="509">
        <v>22</v>
      </c>
      <c r="DZ28" s="509">
        <v>22</v>
      </c>
      <c r="EA28" s="528">
        <v>13.242000000000001</v>
      </c>
      <c r="EB28" s="528">
        <v>13.2913</v>
      </c>
      <c r="EC28" s="528">
        <v>13.270300000000001</v>
      </c>
      <c r="ED28" s="528">
        <v>13.0603</v>
      </c>
      <c r="EE28" s="528">
        <v>12.942500000000001</v>
      </c>
      <c r="EF28" s="528">
        <v>12.9885</v>
      </c>
      <c r="EG28" s="528">
        <v>12.9588</v>
      </c>
      <c r="EH28" s="528">
        <v>13.0814</v>
      </c>
      <c r="EI28" s="528">
        <v>13.2402</v>
      </c>
      <c r="EJ28" s="528">
        <v>13.5357</v>
      </c>
      <c r="EK28" s="528">
        <v>13.611499999999999</v>
      </c>
      <c r="EL28" s="528">
        <v>14.5562</v>
      </c>
      <c r="EM28" s="509">
        <v>22</v>
      </c>
      <c r="EP28" s="509">
        <v>22</v>
      </c>
      <c r="EQ28" s="528">
        <v>12.6555</v>
      </c>
      <c r="ER28" s="528">
        <v>12.6694</v>
      </c>
      <c r="ES28" s="528">
        <v>12.3909</v>
      </c>
      <c r="ET28" s="528">
        <v>12.2479</v>
      </c>
      <c r="EU28" s="528">
        <v>12.325799999999999</v>
      </c>
      <c r="EV28" s="528">
        <v>13.4015</v>
      </c>
      <c r="EW28" s="528">
        <v>12.4976</v>
      </c>
      <c r="EX28" s="528">
        <v>13.006399999999999</v>
      </c>
      <c r="EY28" s="528">
        <v>12.7179</v>
      </c>
      <c r="EZ28" s="528">
        <v>12.7988</v>
      </c>
      <c r="FA28" s="528">
        <v>12.9697</v>
      </c>
      <c r="FB28" s="528">
        <v>12.973000000000001</v>
      </c>
      <c r="FC28" s="509">
        <v>22</v>
      </c>
      <c r="FF28" s="509">
        <v>22</v>
      </c>
      <c r="FG28" s="528">
        <v>13.2516</v>
      </c>
      <c r="FH28" s="528">
        <v>12.6793</v>
      </c>
      <c r="FI28" s="528">
        <v>12.6935</v>
      </c>
      <c r="FJ28" s="528">
        <v>13.2288</v>
      </c>
      <c r="FK28" s="528">
        <v>13.780900000000001</v>
      </c>
      <c r="FL28" s="528">
        <v>13.7257</v>
      </c>
      <c r="FM28" s="528">
        <v>13.1921</v>
      </c>
      <c r="FN28" s="528">
        <v>13.126099999999999</v>
      </c>
      <c r="FO28" s="528">
        <v>12.904199999999999</v>
      </c>
      <c r="FP28" s="528">
        <v>12.8299</v>
      </c>
      <c r="FQ28" s="528">
        <v>13.0245</v>
      </c>
      <c r="FR28" s="528">
        <v>12.777699999999999</v>
      </c>
      <c r="FS28" s="509">
        <v>22</v>
      </c>
      <c r="FV28" s="509">
        <v>22</v>
      </c>
      <c r="FW28" s="528">
        <v>12.090299999999999</v>
      </c>
      <c r="FX28" s="528">
        <v>12.017200000000001</v>
      </c>
      <c r="FY28" s="528">
        <v>12.092499999999999</v>
      </c>
      <c r="FZ28" s="528">
        <v>11.692500000000001</v>
      </c>
      <c r="GA28" s="528">
        <v>11.658799999999999</v>
      </c>
      <c r="GB28" s="528">
        <v>11.8916</v>
      </c>
      <c r="GC28" s="528">
        <v>11.6638</v>
      </c>
      <c r="GD28" s="528">
        <v>12.368499999999999</v>
      </c>
      <c r="GE28" s="528">
        <v>13.1669</v>
      </c>
      <c r="GF28" s="528">
        <v>13.662800000000001</v>
      </c>
      <c r="GG28" s="528">
        <v>13.637499999999999</v>
      </c>
      <c r="GH28" s="528">
        <v>13.772</v>
      </c>
      <c r="GI28" s="509">
        <v>22</v>
      </c>
      <c r="GL28" s="509">
        <v>22</v>
      </c>
      <c r="GM28" s="528">
        <v>12.738799999999999</v>
      </c>
      <c r="GN28" s="528">
        <v>12.844200000000001</v>
      </c>
      <c r="GO28" s="528">
        <v>12.472899999999999</v>
      </c>
      <c r="GP28" s="528">
        <v>12.2188</v>
      </c>
      <c r="GQ28" s="528">
        <v>13.1412</v>
      </c>
      <c r="GR28" s="528">
        <v>12.54</v>
      </c>
      <c r="GS28" s="528">
        <v>12.854900000000001</v>
      </c>
      <c r="GT28" s="528">
        <v>12.7226</v>
      </c>
      <c r="GU28" s="528">
        <v>12.7623</v>
      </c>
      <c r="GV28" s="528">
        <v>12.4117</v>
      </c>
      <c r="GW28" s="528">
        <v>12.292400000000001</v>
      </c>
      <c r="GX28" s="528">
        <v>12.417</v>
      </c>
      <c r="GY28" s="509">
        <v>22</v>
      </c>
      <c r="HB28" s="509">
        <v>22</v>
      </c>
      <c r="HC28" s="528">
        <v>13.9382</v>
      </c>
      <c r="HD28" s="528">
        <v>14.5505</v>
      </c>
      <c r="HE28" s="528">
        <v>14.08</v>
      </c>
      <c r="HF28" s="528">
        <v>13.32</v>
      </c>
      <c r="HG28" s="528">
        <v>12.8695</v>
      </c>
      <c r="HH28" s="528">
        <v>13.369400000000001</v>
      </c>
      <c r="HI28" s="528">
        <v>13.315799999999999</v>
      </c>
      <c r="HJ28" s="528">
        <v>12.8733</v>
      </c>
      <c r="HK28" s="528">
        <v>13.241300000000001</v>
      </c>
      <c r="HL28" s="528">
        <v>12.9407</v>
      </c>
      <c r="HM28" s="528">
        <v>13.0502</v>
      </c>
      <c r="HN28" s="528">
        <v>12.8979</v>
      </c>
      <c r="HO28" s="509">
        <v>22</v>
      </c>
      <c r="HP28" s="529"/>
      <c r="HQ28" s="529"/>
      <c r="HR28" s="509">
        <v>22</v>
      </c>
      <c r="HS28" s="528">
        <v>10.923500000000001</v>
      </c>
      <c r="HT28" s="528">
        <v>10.793900000000001</v>
      </c>
      <c r="HU28" s="528">
        <v>10.704000000000001</v>
      </c>
      <c r="HV28" s="528">
        <v>10.461</v>
      </c>
      <c r="HW28" s="528">
        <v>10.4002</v>
      </c>
      <c r="HX28" s="528">
        <v>10.3156</v>
      </c>
      <c r="HY28" s="528">
        <v>10.204700000000001</v>
      </c>
      <c r="HZ28" s="528">
        <v>10.1343</v>
      </c>
      <c r="IA28" s="528">
        <v>10.836499999999999</v>
      </c>
      <c r="IB28" s="528">
        <v>12.761699999999999</v>
      </c>
      <c r="IC28" s="528">
        <v>13.575799999999999</v>
      </c>
      <c r="ID28" s="528">
        <v>13.215</v>
      </c>
      <c r="IE28" s="509">
        <v>22</v>
      </c>
      <c r="IF28" s="529"/>
      <c r="IG28" s="529"/>
      <c r="IH28" s="509">
        <v>22</v>
      </c>
      <c r="II28" s="528">
        <v>10.9232</v>
      </c>
      <c r="IJ28" s="528">
        <v>10.9755</v>
      </c>
      <c r="IK28" s="528">
        <v>11.112</v>
      </c>
      <c r="IL28" s="528">
        <v>11.004799999999999</v>
      </c>
      <c r="IM28" s="528">
        <v>10.8223</v>
      </c>
      <c r="IN28" s="528">
        <v>10.7713</v>
      </c>
      <c r="IO28" s="528">
        <v>10.720700000000001</v>
      </c>
      <c r="IP28" s="528">
        <v>11.1053</v>
      </c>
      <c r="IQ28" s="528">
        <v>10.9687</v>
      </c>
      <c r="IR28" s="528">
        <v>10.8133</v>
      </c>
      <c r="IS28" s="528">
        <v>10.9687</v>
      </c>
      <c r="IT28" s="528">
        <v>10.8363</v>
      </c>
      <c r="IU28" s="509">
        <v>22</v>
      </c>
      <c r="IV28" s="529"/>
      <c r="IW28" s="529"/>
      <c r="IX28" s="509">
        <v>22</v>
      </c>
      <c r="IY28" s="528">
        <v>10.5589</v>
      </c>
      <c r="IZ28" s="528">
        <v>10.440099999999999</v>
      </c>
      <c r="JA28" s="528">
        <v>10.688499999999999</v>
      </c>
      <c r="JB28" s="528">
        <v>11.030200000000001</v>
      </c>
      <c r="JC28" s="528">
        <v>11.2005</v>
      </c>
      <c r="JD28" s="528">
        <v>11.4809</v>
      </c>
      <c r="JE28" s="528">
        <v>10.870799999999999</v>
      </c>
      <c r="JF28" s="528">
        <v>10.8217</v>
      </c>
      <c r="JG28" s="528">
        <v>10.9346</v>
      </c>
      <c r="JH28" s="528">
        <v>10.805999999999999</v>
      </c>
      <c r="JI28" s="528">
        <v>10.952400000000001</v>
      </c>
      <c r="JJ28" s="528">
        <v>10.807499999999999</v>
      </c>
      <c r="JK28" s="509">
        <v>22</v>
      </c>
      <c r="JL28" s="529"/>
      <c r="JM28" s="529"/>
      <c r="JN28" s="509">
        <v>22</v>
      </c>
      <c r="JO28" s="528">
        <v>11.2515</v>
      </c>
      <c r="JP28" s="528">
        <v>11.0732</v>
      </c>
      <c r="JQ28" s="528">
        <v>11.2193</v>
      </c>
      <c r="JR28" s="528">
        <v>11.061400000000001</v>
      </c>
      <c r="JS28" s="528">
        <v>10.9283</v>
      </c>
      <c r="JT28" s="528">
        <v>10.834199999999999</v>
      </c>
      <c r="JU28" s="528">
        <v>10.649800000000001</v>
      </c>
      <c r="JV28" s="528">
        <v>10.6601</v>
      </c>
      <c r="JW28" s="528">
        <v>10.8232</v>
      </c>
      <c r="JX28" s="528">
        <v>10.8393</v>
      </c>
      <c r="JY28" s="528">
        <v>10.654299999999999</v>
      </c>
      <c r="JZ28" s="528">
        <v>10.6997</v>
      </c>
      <c r="KA28" s="509">
        <v>22</v>
      </c>
      <c r="KB28" s="529"/>
      <c r="KC28" s="529"/>
      <c r="KD28" s="509">
        <v>22</v>
      </c>
      <c r="KE28" s="528">
        <v>10.847</v>
      </c>
      <c r="KF28" s="528">
        <v>10.9688</v>
      </c>
      <c r="KG28" s="528">
        <v>11.0128</v>
      </c>
      <c r="KH28" s="528">
        <v>11.3065</v>
      </c>
      <c r="KI28" s="528">
        <v>11.573499999999999</v>
      </c>
      <c r="KJ28" s="528">
        <v>11.331200000000001</v>
      </c>
      <c r="KK28" s="528">
        <v>11.3954</v>
      </c>
      <c r="KL28" s="528">
        <v>11.355</v>
      </c>
      <c r="KM28" s="528">
        <v>11.4557</v>
      </c>
      <c r="KN28" s="528">
        <v>11.454800000000001</v>
      </c>
      <c r="KO28" s="528">
        <v>11.333500000000001</v>
      </c>
      <c r="KP28" s="528">
        <v>11.1555</v>
      </c>
      <c r="KQ28" s="509">
        <v>22</v>
      </c>
      <c r="KR28" s="529"/>
      <c r="KS28" s="529"/>
      <c r="KT28" s="509">
        <v>22</v>
      </c>
      <c r="KU28" s="528">
        <v>10.622199999999999</v>
      </c>
      <c r="KV28" s="528">
        <v>10.899800000000001</v>
      </c>
      <c r="KW28" s="528">
        <v>10.863300000000001</v>
      </c>
      <c r="KX28" s="528">
        <v>10.6225</v>
      </c>
      <c r="KY28" s="528">
        <v>10.266299999999999</v>
      </c>
      <c r="KZ28" s="528">
        <v>10.485799999999999</v>
      </c>
      <c r="LA28" s="528">
        <v>10.36</v>
      </c>
      <c r="LB28" s="528">
        <v>10.837899999999999</v>
      </c>
      <c r="LC28" s="528">
        <v>10.9163</v>
      </c>
      <c r="LD28" s="528">
        <v>11.174799999999999</v>
      </c>
      <c r="LE28" s="528">
        <v>11.2094</v>
      </c>
      <c r="LF28" s="528">
        <v>11.2193</v>
      </c>
      <c r="LG28" s="509">
        <v>22</v>
      </c>
      <c r="LH28" s="529"/>
      <c r="LI28" s="529"/>
      <c r="LJ28" s="509">
        <v>22</v>
      </c>
      <c r="LK28" s="528">
        <v>9.1189999999999998</v>
      </c>
      <c r="LL28" s="528">
        <v>9.0858000000000008</v>
      </c>
      <c r="LM28" s="528">
        <v>9.0741999999999994</v>
      </c>
      <c r="LN28" s="528">
        <v>9.2345000000000006</v>
      </c>
      <c r="LO28" s="528">
        <v>9.4909999999999997</v>
      </c>
      <c r="LP28" s="528">
        <v>9.7675999999999998</v>
      </c>
      <c r="LQ28" s="528">
        <v>9.6462000000000003</v>
      </c>
      <c r="LR28" s="528">
        <v>9.7713000000000001</v>
      </c>
      <c r="LS28" s="528">
        <v>10.062799999999999</v>
      </c>
      <c r="LT28" s="528">
        <v>9.9841999999999995</v>
      </c>
      <c r="LU28" s="528">
        <v>10.163500000000001</v>
      </c>
      <c r="LV28" s="528">
        <v>10.192</v>
      </c>
      <c r="LW28" s="509">
        <v>22</v>
      </c>
      <c r="LX28" s="529"/>
      <c r="LY28" s="529"/>
      <c r="LZ28" s="509">
        <v>22</v>
      </c>
      <c r="MA28" s="528">
        <v>9.8870000000000005</v>
      </c>
      <c r="MB28" s="528">
        <v>9.6797000000000004</v>
      </c>
      <c r="MC28" s="528">
        <v>9.5683000000000007</v>
      </c>
      <c r="MD28" s="528">
        <v>9.2748000000000008</v>
      </c>
      <c r="ME28" s="528">
        <v>8.9773999999999994</v>
      </c>
      <c r="MF28" s="528">
        <v>9.0798000000000005</v>
      </c>
      <c r="MG28" s="528">
        <v>9.1999999999999993</v>
      </c>
      <c r="MH28" s="528">
        <v>9.1382999999999992</v>
      </c>
      <c r="MI28" s="528">
        <v>9.4802</v>
      </c>
      <c r="MJ28" s="528">
        <v>9.2309999999999999</v>
      </c>
      <c r="MK28" s="528">
        <v>9.1967999999999996</v>
      </c>
      <c r="ML28" s="528">
        <v>9.1682000000000006</v>
      </c>
      <c r="MM28" s="509">
        <v>22</v>
      </c>
      <c r="MN28" s="529"/>
      <c r="MO28" s="529"/>
      <c r="MP28" s="509">
        <v>22</v>
      </c>
      <c r="MQ28" s="528">
        <v>9.4038000000000004</v>
      </c>
      <c r="MR28" s="528">
        <v>9.3591999999999995</v>
      </c>
      <c r="MS28" s="528">
        <v>9.3254999999999999</v>
      </c>
      <c r="MT28" s="528">
        <v>9.4388000000000005</v>
      </c>
      <c r="MU28" s="528">
        <v>9.5751000000000008</v>
      </c>
      <c r="MV28" s="528">
        <v>9.8643999999999998</v>
      </c>
      <c r="MW28" s="528">
        <v>9.3607999999999993</v>
      </c>
      <c r="MX28" s="528">
        <v>9.2293000000000003</v>
      </c>
      <c r="MY28" s="528">
        <v>9.4482999999999997</v>
      </c>
      <c r="MZ28" s="528">
        <v>9.5333000000000006</v>
      </c>
      <c r="NA28" s="528">
        <v>9.4827999999999992</v>
      </c>
      <c r="NB28" s="528">
        <v>9.4347999999999992</v>
      </c>
      <c r="NC28" s="509">
        <v>22</v>
      </c>
      <c r="ND28" s="529"/>
      <c r="NE28" s="529"/>
      <c r="NF28" s="509">
        <v>22</v>
      </c>
      <c r="NG28" s="528">
        <v>10.178000000000001</v>
      </c>
      <c r="NH28" s="528">
        <v>9.8809000000000005</v>
      </c>
      <c r="NI28" s="528">
        <v>9.6462000000000003</v>
      </c>
      <c r="NJ28" s="528">
        <v>9.4077000000000002</v>
      </c>
      <c r="NK28" s="528">
        <v>9.3241999999999994</v>
      </c>
      <c r="NL28" s="528">
        <v>9.3550000000000004</v>
      </c>
      <c r="NM28" s="528">
        <v>9.3012999999999995</v>
      </c>
      <c r="NN28" s="528">
        <v>9.3744999999999994</v>
      </c>
      <c r="NO28" s="528">
        <v>9.3223000000000003</v>
      </c>
      <c r="NP28" s="528">
        <v>9.6113999999999997</v>
      </c>
      <c r="NQ28" s="528">
        <v>9.3460000000000001</v>
      </c>
      <c r="NR28" s="528">
        <v>9.3338000000000001</v>
      </c>
      <c r="NS28" s="509">
        <v>22</v>
      </c>
      <c r="NT28" s="529"/>
      <c r="NU28" s="529"/>
      <c r="NV28" s="509">
        <v>22</v>
      </c>
      <c r="NW28" s="528">
        <v>8.2144999999999992</v>
      </c>
      <c r="NX28" s="528">
        <v>8.5449000000000002</v>
      </c>
      <c r="NY28" s="528">
        <v>8.5638000000000005</v>
      </c>
      <c r="NZ28" s="528">
        <v>8.4727999999999994</v>
      </c>
      <c r="OA28" s="528">
        <v>8.6212</v>
      </c>
      <c r="OB28" s="528">
        <v>8.8966999999999992</v>
      </c>
      <c r="OC28" s="528">
        <v>8.7896000000000001</v>
      </c>
      <c r="OD28" s="528">
        <v>9.3133999999999997</v>
      </c>
      <c r="OE28" s="528">
        <v>10.138299999999999</v>
      </c>
      <c r="OF28" s="528">
        <v>10.042</v>
      </c>
      <c r="OG28" s="528">
        <v>9.9305000000000003</v>
      </c>
      <c r="OH28" s="528">
        <v>9.7972000000000001</v>
      </c>
      <c r="OI28" s="509">
        <v>22</v>
      </c>
      <c r="OJ28" s="529"/>
      <c r="OK28" s="529"/>
      <c r="OL28" s="509">
        <v>22</v>
      </c>
      <c r="OM28" s="528">
        <v>7.8082000000000003</v>
      </c>
      <c r="ON28" s="528">
        <v>7.7460000000000004</v>
      </c>
      <c r="OO28" s="528">
        <v>7.9233000000000002</v>
      </c>
      <c r="OP28" s="528">
        <v>7.8738000000000001</v>
      </c>
      <c r="OQ28" s="528">
        <v>7.8878000000000004</v>
      </c>
      <c r="OR28" s="528">
        <v>7.9168000000000003</v>
      </c>
      <c r="OS28" s="528">
        <v>7.9097</v>
      </c>
      <c r="OT28" s="528">
        <v>7.7614999999999998</v>
      </c>
      <c r="OU28" s="528">
        <v>7.7560000000000002</v>
      </c>
      <c r="OV28" s="528">
        <v>7.7270000000000003</v>
      </c>
      <c r="OW28" s="528">
        <v>8.2882999999999996</v>
      </c>
      <c r="OX28" s="528">
        <v>8.0739999999999998</v>
      </c>
      <c r="OY28" s="509">
        <v>22</v>
      </c>
      <c r="OZ28" s="529"/>
      <c r="PA28" s="529"/>
      <c r="PB28" s="509">
        <v>22</v>
      </c>
      <c r="PC28" s="528">
        <v>7.4667000000000003</v>
      </c>
      <c r="PD28" s="528">
        <v>7.5785</v>
      </c>
      <c r="PE28" s="528">
        <v>7.5242000000000004</v>
      </c>
      <c r="PF28" s="528">
        <v>7.4409999999999998</v>
      </c>
      <c r="PG28" s="528">
        <v>7.4123999999999999</v>
      </c>
      <c r="PH28" s="528">
        <v>7.5506000000000002</v>
      </c>
      <c r="PI28" s="528">
        <v>7.6452999999999998</v>
      </c>
      <c r="PJ28" s="528">
        <v>7.4778000000000002</v>
      </c>
      <c r="PK28" s="528">
        <v>7.5052000000000003</v>
      </c>
      <c r="PL28" s="528">
        <v>7.7306999999999997</v>
      </c>
      <c r="PM28" s="528">
        <v>7.8975</v>
      </c>
      <c r="PN28" s="528">
        <v>7.8673999999999999</v>
      </c>
      <c r="PO28" s="509">
        <v>22</v>
      </c>
      <c r="PP28" s="529"/>
      <c r="PQ28" s="529"/>
      <c r="PR28" s="509">
        <v>22</v>
      </c>
      <c r="PS28" s="528">
        <v>5.6074999999999999</v>
      </c>
      <c r="PT28" s="528">
        <v>5.5225</v>
      </c>
      <c r="PU28" s="528">
        <v>7.0824999999999996</v>
      </c>
      <c r="PV28" s="528">
        <v>6.0483000000000002</v>
      </c>
      <c r="PW28" s="528">
        <v>5.92</v>
      </c>
      <c r="PX28" s="528">
        <v>6.2516999999999996</v>
      </c>
      <c r="PY28" s="528">
        <v>6.1582999999999997</v>
      </c>
      <c r="PZ28" s="528">
        <v>6.2651000000000003</v>
      </c>
      <c r="QA28" s="528">
        <v>6.3296999999999999</v>
      </c>
      <c r="QB28" s="528">
        <v>6.6908000000000003</v>
      </c>
      <c r="QC28" s="528">
        <v>7.7507999999999999</v>
      </c>
      <c r="QD28" s="528">
        <v>7.55</v>
      </c>
      <c r="QE28" s="509">
        <v>22</v>
      </c>
      <c r="QF28" s="529"/>
      <c r="QG28" s="529"/>
      <c r="QH28" s="509">
        <v>22</v>
      </c>
      <c r="QI28" s="528">
        <v>3.1059999999999999</v>
      </c>
      <c r="QJ28" s="528">
        <v>3.1057000000000001</v>
      </c>
      <c r="QK28" s="528">
        <v>3.3043</v>
      </c>
      <c r="QL28" s="528">
        <v>3.3690000000000002</v>
      </c>
      <c r="QM28" s="528">
        <v>3.3220000000000001</v>
      </c>
      <c r="QN28" s="528">
        <v>3.3702999999999999</v>
      </c>
      <c r="QO28" s="528">
        <v>3.4051999999999998</v>
      </c>
      <c r="QP28" s="528">
        <v>3.3769</v>
      </c>
      <c r="QQ28" s="528">
        <v>3.4068000000000001</v>
      </c>
      <c r="QR28" s="528">
        <v>3.4173</v>
      </c>
      <c r="QS28" s="528">
        <v>3.4538000000000002</v>
      </c>
      <c r="QT28" s="528">
        <v>3.9413</v>
      </c>
      <c r="QU28" s="509">
        <v>22</v>
      </c>
      <c r="QV28" s="529"/>
      <c r="QW28" s="529"/>
      <c r="QX28" s="509">
        <v>22</v>
      </c>
      <c r="QY28" s="528">
        <v>3.1051000000000002</v>
      </c>
      <c r="QZ28" s="528">
        <v>3.0943000000000001</v>
      </c>
      <c r="RA28" s="528">
        <v>3.1168999999999998</v>
      </c>
      <c r="RB28" s="528">
        <v>3.0935000000000001</v>
      </c>
      <c r="RC28" s="528">
        <v>3.1109</v>
      </c>
      <c r="RD28" s="528">
        <v>3.1168999999999998</v>
      </c>
      <c r="RE28" s="528">
        <v>3.1240999999999999</v>
      </c>
      <c r="RF28" s="528">
        <v>3.1131000000000002</v>
      </c>
      <c r="RG28" s="528">
        <v>3.1073</v>
      </c>
      <c r="RH28" s="528">
        <v>3.1114999999999999</v>
      </c>
      <c r="RI28" s="528">
        <v>3.1114000000000002</v>
      </c>
      <c r="RJ28" s="528">
        <v>3.1114000000000002</v>
      </c>
      <c r="RK28" s="509">
        <v>22</v>
      </c>
      <c r="RL28" s="529"/>
      <c r="RM28" s="529"/>
      <c r="RN28" s="509">
        <v>22</v>
      </c>
      <c r="RO28" s="528">
        <v>3.0630999999999999</v>
      </c>
      <c r="RP28" s="528">
        <v>3.0621</v>
      </c>
      <c r="RQ28" s="528">
        <v>3.0737999999999999</v>
      </c>
      <c r="RR28" s="528">
        <v>3.0636000000000001</v>
      </c>
      <c r="RS28" s="528">
        <v>3.105</v>
      </c>
      <c r="RT28" s="528">
        <v>3.1202999999999999</v>
      </c>
      <c r="RU28" s="528">
        <v>3.1166</v>
      </c>
      <c r="RV28" s="528">
        <v>3.0813999999999999</v>
      </c>
      <c r="RW28" s="528">
        <v>3.0863999999999998</v>
      </c>
      <c r="RX28" s="528">
        <v>3.1355</v>
      </c>
      <c r="RY28" s="528">
        <v>3.1150000000000002</v>
      </c>
      <c r="RZ28" s="528">
        <v>3.1204999999999998</v>
      </c>
      <c r="SA28" s="509">
        <v>22</v>
      </c>
      <c r="SB28" s="529"/>
      <c r="SC28" s="529"/>
      <c r="SD28" s="509">
        <v>22</v>
      </c>
      <c r="SE28" s="528">
        <v>2.9538000000000002</v>
      </c>
      <c r="SF28" s="528">
        <v>2.9670000000000001</v>
      </c>
      <c r="SG28" s="528">
        <v>2.9782000000000002</v>
      </c>
      <c r="SH28" s="528">
        <v>2.9897999999999998</v>
      </c>
      <c r="SI28" s="528">
        <v>3.0026000000000002</v>
      </c>
      <c r="SJ28" s="528">
        <v>3.0150000000000001</v>
      </c>
      <c r="SK28" s="528">
        <v>3.0261999999999998</v>
      </c>
      <c r="SL28" s="528">
        <v>3.0394000000000001</v>
      </c>
      <c r="SM28" s="528">
        <v>3.0514000000000001</v>
      </c>
      <c r="SN28" s="528">
        <v>3.0646</v>
      </c>
      <c r="SO28" s="528">
        <v>3.0661299999999998</v>
      </c>
      <c r="SP28" s="528">
        <v>3.0747499999999999</v>
      </c>
      <c r="SQ28" s="509">
        <v>22</v>
      </c>
      <c r="SR28" s="529"/>
      <c r="SS28" s="529"/>
      <c r="ST28" s="509">
        <v>22</v>
      </c>
      <c r="SU28" s="528">
        <v>2.6619999999999999</v>
      </c>
      <c r="SV28" s="528">
        <v>2.6949999999999998</v>
      </c>
      <c r="SW28" s="528">
        <v>2.7229999999999999</v>
      </c>
      <c r="SX28" s="528">
        <v>2.7530000000000001</v>
      </c>
      <c r="SY28" s="528">
        <v>2.782</v>
      </c>
      <c r="SZ28" s="528">
        <v>2.8106</v>
      </c>
      <c r="TA28" s="528">
        <v>2.8338000000000001</v>
      </c>
      <c r="TB28" s="528">
        <v>2.8593999999999999</v>
      </c>
      <c r="TC28" s="528">
        <v>2.8841999999999999</v>
      </c>
      <c r="TD28" s="528">
        <v>2.9066000000000001</v>
      </c>
      <c r="TE28" s="528">
        <v>2.9302000000000001</v>
      </c>
      <c r="TF28" s="528">
        <v>2.9422000000000001</v>
      </c>
      <c r="TG28" s="509">
        <v>22</v>
      </c>
      <c r="TH28" s="529"/>
      <c r="TI28" s="529"/>
      <c r="TJ28" s="509">
        <v>22</v>
      </c>
      <c r="TK28" s="528">
        <v>2.298</v>
      </c>
      <c r="TL28" s="528">
        <v>2.33</v>
      </c>
      <c r="TM28" s="528">
        <v>2.3580000000000001</v>
      </c>
      <c r="TN28" s="528">
        <v>2.3889999999999998</v>
      </c>
      <c r="TO28" s="528">
        <v>2.4169999999999998</v>
      </c>
      <c r="TP28" s="528">
        <v>2.4500000000000002</v>
      </c>
      <c r="TQ28" s="528">
        <v>2.48</v>
      </c>
      <c r="TR28" s="528">
        <v>2.5089999999999999</v>
      </c>
      <c r="TS28" s="528">
        <v>2.5419999999999998</v>
      </c>
      <c r="TT28" s="528">
        <v>2.5710000000000002</v>
      </c>
      <c r="TU28" s="528">
        <v>2.6030000000000002</v>
      </c>
      <c r="TV28" s="528">
        <v>2.633</v>
      </c>
      <c r="TW28" s="509">
        <v>22</v>
      </c>
    </row>
    <row r="29" spans="2:543" s="4" customFormat="1" ht="23" customHeight="1">
      <c r="B29" s="509">
        <v>23</v>
      </c>
      <c r="C29" s="541">
        <v>20.450700000000001</v>
      </c>
      <c r="D29" s="541">
        <v>20.282499999999999</v>
      </c>
      <c r="E29" s="541">
        <v>20.4145</v>
      </c>
      <c r="F29" s="541">
        <v>20.180199999999999</v>
      </c>
      <c r="G29" s="541">
        <v>19.9267</v>
      </c>
      <c r="H29" s="541">
        <v>20.196300000000001</v>
      </c>
      <c r="I29" s="541">
        <v>20.656199999999998</v>
      </c>
      <c r="J29" s="541">
        <v>20.195699999999999</v>
      </c>
      <c r="K29" s="541">
        <v>20.002700000000001</v>
      </c>
      <c r="L29" s="541">
        <v>20.044799999999999</v>
      </c>
      <c r="M29" s="541">
        <v>19.492999999999999</v>
      </c>
      <c r="N29" s="541">
        <v>19.693200000000001</v>
      </c>
      <c r="O29" s="509">
        <v>23</v>
      </c>
      <c r="R29" s="509">
        <v>23</v>
      </c>
      <c r="S29" s="541">
        <v>19.7393</v>
      </c>
      <c r="T29" s="541">
        <v>20.4222</v>
      </c>
      <c r="U29" s="541">
        <v>20.482299999999999</v>
      </c>
      <c r="V29" s="541">
        <v>19.873999999999999</v>
      </c>
      <c r="W29" s="541">
        <v>19.881</v>
      </c>
      <c r="X29" s="541">
        <v>20.6</v>
      </c>
      <c r="Y29" s="541">
        <v>20.1907</v>
      </c>
      <c r="Z29" s="541">
        <v>20.1175</v>
      </c>
      <c r="AA29" s="541">
        <v>20.143799999999999</v>
      </c>
      <c r="AB29" s="541">
        <v>20.264299999999999</v>
      </c>
      <c r="AC29" s="541">
        <v>20.828299999999999</v>
      </c>
      <c r="AD29" s="541">
        <v>20.782299999999999</v>
      </c>
      <c r="AE29" s="509">
        <v>23</v>
      </c>
      <c r="AH29" s="509">
        <v>23</v>
      </c>
      <c r="AI29" s="541">
        <v>18.700700000000001</v>
      </c>
      <c r="AJ29" s="541">
        <v>18.799199999999999</v>
      </c>
      <c r="AK29" s="541">
        <v>24.0868</v>
      </c>
      <c r="AL29" s="541">
        <v>24.424800000000001</v>
      </c>
      <c r="AM29" s="541">
        <v>22.96</v>
      </c>
      <c r="AN29" s="541">
        <v>22.63</v>
      </c>
      <c r="AO29" s="541">
        <v>22.3597</v>
      </c>
      <c r="AP29" s="541">
        <v>22.175999999999998</v>
      </c>
      <c r="AQ29" s="541">
        <v>21.504999999999999</v>
      </c>
      <c r="AR29" s="541">
        <v>21.064</v>
      </c>
      <c r="AS29" s="541">
        <v>20.1858</v>
      </c>
      <c r="AT29" s="541">
        <v>20.090499999999999</v>
      </c>
      <c r="AU29" s="509">
        <v>23</v>
      </c>
      <c r="AX29" s="509">
        <v>23</v>
      </c>
      <c r="AY29" s="528">
        <v>19.190200000000001</v>
      </c>
      <c r="AZ29" s="528">
        <v>19.2652</v>
      </c>
      <c r="BA29" s="528">
        <v>18.869399999999999</v>
      </c>
      <c r="BB29" s="528">
        <v>18.847999999999999</v>
      </c>
      <c r="BC29" s="528">
        <v>19.030899999999999</v>
      </c>
      <c r="BD29" s="528">
        <v>18.980399999999999</v>
      </c>
      <c r="BE29" s="528">
        <v>19.0123</v>
      </c>
      <c r="BF29" s="528">
        <v>19.6798</v>
      </c>
      <c r="BG29" s="528">
        <v>19.398099999999999</v>
      </c>
      <c r="BH29" s="528">
        <v>19.142199999999999</v>
      </c>
      <c r="BI29" s="528">
        <v>19.413799999999998</v>
      </c>
      <c r="BJ29" s="528">
        <v>18.963999999999999</v>
      </c>
      <c r="BK29" s="509">
        <v>23</v>
      </c>
      <c r="BN29" s="509">
        <v>23</v>
      </c>
      <c r="BO29" s="528">
        <v>18.581299999999999</v>
      </c>
      <c r="BP29" s="528">
        <v>18.651800000000001</v>
      </c>
      <c r="BQ29" s="530">
        <v>18.600100000000001</v>
      </c>
      <c r="BR29" s="528">
        <v>18.2819</v>
      </c>
      <c r="BS29" s="528">
        <v>19.9054</v>
      </c>
      <c r="BT29" s="528">
        <v>20.3689</v>
      </c>
      <c r="BU29" s="528">
        <v>19.079000000000001</v>
      </c>
      <c r="BV29" s="528">
        <v>18.878399999999999</v>
      </c>
      <c r="BW29" s="528">
        <v>18.829599999999999</v>
      </c>
      <c r="BX29" s="528">
        <v>19.218299999999999</v>
      </c>
      <c r="BY29" s="528">
        <v>20.202300000000001</v>
      </c>
      <c r="BZ29" s="528">
        <v>19.908200000000001</v>
      </c>
      <c r="CA29" s="509">
        <v>23</v>
      </c>
      <c r="CD29" s="509">
        <v>23</v>
      </c>
      <c r="CE29" s="528">
        <v>21.904399999999999</v>
      </c>
      <c r="CF29" s="528">
        <v>20.448899999999998</v>
      </c>
      <c r="CG29" s="528">
        <v>19.106999999999999</v>
      </c>
      <c r="CH29" s="528">
        <v>18.8187</v>
      </c>
      <c r="CI29" s="528">
        <v>18.6859</v>
      </c>
      <c r="CJ29" s="528">
        <v>18.157</v>
      </c>
      <c r="CK29" s="528">
        <v>17.526</v>
      </c>
      <c r="CL29" s="528">
        <v>17.650099999999998</v>
      </c>
      <c r="CM29" s="528">
        <v>17.854500000000002</v>
      </c>
      <c r="CN29" s="528">
        <v>18.8248</v>
      </c>
      <c r="CO29" s="528">
        <v>18.824200000000001</v>
      </c>
      <c r="CP29" s="528">
        <v>19.3962</v>
      </c>
      <c r="CQ29" s="509">
        <v>23</v>
      </c>
      <c r="CT29" s="509">
        <v>23</v>
      </c>
      <c r="CU29" s="528">
        <v>18.508400000000002</v>
      </c>
      <c r="CV29" s="528">
        <v>18.276199999999999</v>
      </c>
      <c r="CW29" s="528">
        <v>17.299499999999998</v>
      </c>
      <c r="CX29" s="528">
        <v>17.420200000000001</v>
      </c>
      <c r="CY29" s="528">
        <v>18.546500000000002</v>
      </c>
      <c r="CZ29" s="528">
        <v>18.644400000000001</v>
      </c>
      <c r="DA29" s="528">
        <v>18.6022</v>
      </c>
      <c r="DB29" s="528">
        <v>18.267399999999999</v>
      </c>
      <c r="DC29" s="528">
        <v>19.839400000000001</v>
      </c>
      <c r="DD29" s="528">
        <v>18.5945</v>
      </c>
      <c r="DE29" s="528">
        <v>20.4193</v>
      </c>
      <c r="DF29" s="528">
        <v>20.492100000000001</v>
      </c>
      <c r="DG29" s="509">
        <v>23</v>
      </c>
      <c r="DJ29" s="509">
        <v>23</v>
      </c>
      <c r="DK29" s="528">
        <v>14.6983</v>
      </c>
      <c r="DL29" s="528">
        <v>14.958299999999999</v>
      </c>
      <c r="DM29" s="528">
        <v>15.295999999999999</v>
      </c>
      <c r="DN29" s="528">
        <v>15.383699999999999</v>
      </c>
      <c r="DO29" s="528">
        <v>15.2326</v>
      </c>
      <c r="DP29" s="528">
        <v>15.327400000000001</v>
      </c>
      <c r="DQ29" s="528">
        <v>15.972799999999999</v>
      </c>
      <c r="DR29" s="528">
        <v>16.4908</v>
      </c>
      <c r="DS29" s="528">
        <v>16.686499999999999</v>
      </c>
      <c r="DT29" s="528">
        <v>16.66</v>
      </c>
      <c r="DU29" s="528">
        <v>16.5748</v>
      </c>
      <c r="DV29" s="528">
        <v>17.103400000000001</v>
      </c>
      <c r="DW29" s="509">
        <v>23</v>
      </c>
      <c r="DZ29" s="509">
        <v>23</v>
      </c>
      <c r="EA29" s="528">
        <v>13.298400000000001</v>
      </c>
      <c r="EB29" s="528">
        <v>13.2913</v>
      </c>
      <c r="EC29" s="528">
        <v>13.270300000000001</v>
      </c>
      <c r="ED29" s="528">
        <v>13.0413</v>
      </c>
      <c r="EE29" s="528">
        <v>12.9132</v>
      </c>
      <c r="EF29" s="528">
        <v>12.9885</v>
      </c>
      <c r="EG29" s="528">
        <v>12.975099999999999</v>
      </c>
      <c r="EH29" s="528">
        <v>13.096299999999999</v>
      </c>
      <c r="EI29" s="528">
        <v>13.2369</v>
      </c>
      <c r="EJ29" s="528">
        <v>13.498900000000001</v>
      </c>
      <c r="EK29" s="528">
        <v>13.611499999999999</v>
      </c>
      <c r="EL29" s="528">
        <v>14.6378</v>
      </c>
      <c r="EM29" s="509">
        <v>23</v>
      </c>
      <c r="EP29" s="509">
        <v>23</v>
      </c>
      <c r="EQ29" s="528">
        <v>12.7098</v>
      </c>
      <c r="ER29" s="528">
        <v>12.7699</v>
      </c>
      <c r="ES29" s="528">
        <v>12.3841</v>
      </c>
      <c r="ET29" s="528">
        <v>12.2254</v>
      </c>
      <c r="EU29" s="528">
        <v>12.3414</v>
      </c>
      <c r="EV29" s="528">
        <v>13.4015</v>
      </c>
      <c r="EW29" s="528">
        <v>12.549899999999999</v>
      </c>
      <c r="EX29" s="528">
        <v>13.1424</v>
      </c>
      <c r="EY29" s="528">
        <v>12.7179</v>
      </c>
      <c r="EZ29" s="528">
        <v>12.9314</v>
      </c>
      <c r="FA29" s="528">
        <v>13.0617</v>
      </c>
      <c r="FB29" s="528">
        <v>12.973000000000001</v>
      </c>
      <c r="FC29" s="509">
        <v>23</v>
      </c>
      <c r="FF29" s="509">
        <v>23</v>
      </c>
      <c r="FG29" s="528">
        <v>13.2516</v>
      </c>
      <c r="FH29" s="528">
        <v>12.7408</v>
      </c>
      <c r="FI29" s="528">
        <v>12.683299999999999</v>
      </c>
      <c r="FJ29" s="528">
        <v>13.2288</v>
      </c>
      <c r="FK29" s="528">
        <v>13.7935</v>
      </c>
      <c r="FL29" s="528">
        <v>13.7668</v>
      </c>
      <c r="FM29" s="528">
        <v>13.1921</v>
      </c>
      <c r="FN29" s="528">
        <v>13.0854</v>
      </c>
      <c r="FO29" s="528">
        <v>12.904199999999999</v>
      </c>
      <c r="FP29" s="528">
        <v>12.8551</v>
      </c>
      <c r="FQ29" s="528">
        <v>13.0395</v>
      </c>
      <c r="FR29" s="528">
        <v>12.777699999999999</v>
      </c>
      <c r="FS29" s="509">
        <v>23</v>
      </c>
      <c r="FV29" s="509">
        <v>23</v>
      </c>
      <c r="FW29" s="528">
        <v>12.090299999999999</v>
      </c>
      <c r="FX29" s="528">
        <v>12.0558</v>
      </c>
      <c r="FY29" s="528">
        <v>12.061500000000001</v>
      </c>
      <c r="FZ29" s="528">
        <v>11.692500000000001</v>
      </c>
      <c r="GA29" s="528">
        <v>11.658799999999999</v>
      </c>
      <c r="GB29" s="528">
        <v>11.813000000000001</v>
      </c>
      <c r="GC29" s="528">
        <v>11.6174</v>
      </c>
      <c r="GD29" s="528">
        <v>12.2386</v>
      </c>
      <c r="GE29" s="528">
        <v>13.404500000000001</v>
      </c>
      <c r="GF29" s="528">
        <v>13.662800000000001</v>
      </c>
      <c r="GG29" s="528">
        <v>13.7033</v>
      </c>
      <c r="GH29" s="528">
        <v>13.852600000000001</v>
      </c>
      <c r="GI29" s="509">
        <v>23</v>
      </c>
      <c r="GL29" s="509">
        <v>23</v>
      </c>
      <c r="GM29" s="528">
        <v>12.772</v>
      </c>
      <c r="GN29" s="528">
        <v>12.8337</v>
      </c>
      <c r="GO29" s="528">
        <v>12.579599999999999</v>
      </c>
      <c r="GP29" s="528">
        <v>12.1896</v>
      </c>
      <c r="GQ29" s="528">
        <v>13.1412</v>
      </c>
      <c r="GR29" s="528">
        <v>12.4604</v>
      </c>
      <c r="GS29" s="528">
        <v>12.7798</v>
      </c>
      <c r="GT29" s="528">
        <v>12.7226</v>
      </c>
      <c r="GU29" s="528">
        <v>12.759399999999999</v>
      </c>
      <c r="GV29" s="528">
        <v>12.3613</v>
      </c>
      <c r="GW29" s="528">
        <v>12.2996</v>
      </c>
      <c r="GX29" s="528">
        <v>12.372</v>
      </c>
      <c r="GY29" s="509">
        <v>23</v>
      </c>
      <c r="HB29" s="509">
        <v>23</v>
      </c>
      <c r="HC29" s="528">
        <v>13.9145</v>
      </c>
      <c r="HD29" s="528">
        <v>14.5505</v>
      </c>
      <c r="HE29" s="528">
        <v>14.08</v>
      </c>
      <c r="HF29" s="528">
        <v>13.175000000000001</v>
      </c>
      <c r="HG29" s="528">
        <v>13.103</v>
      </c>
      <c r="HH29" s="528">
        <v>13.3248</v>
      </c>
      <c r="HI29" s="528">
        <v>13.2879</v>
      </c>
      <c r="HJ29" s="528">
        <v>12.8733</v>
      </c>
      <c r="HK29" s="528">
        <v>13.353</v>
      </c>
      <c r="HL29" s="528">
        <v>12.919600000000001</v>
      </c>
      <c r="HM29" s="528">
        <v>13.0502</v>
      </c>
      <c r="HN29" s="528">
        <v>12.812099999999999</v>
      </c>
      <c r="HO29" s="509">
        <v>23</v>
      </c>
      <c r="HP29" s="529"/>
      <c r="HQ29" s="529"/>
      <c r="HR29" s="509">
        <v>23</v>
      </c>
      <c r="HS29" s="528">
        <v>10.981299999999999</v>
      </c>
      <c r="HT29" s="528">
        <v>10.798</v>
      </c>
      <c r="HU29" s="528">
        <v>10.704000000000001</v>
      </c>
      <c r="HV29" s="528">
        <v>10.5223</v>
      </c>
      <c r="HW29" s="528">
        <v>10.3644</v>
      </c>
      <c r="HX29" s="528">
        <v>10.3156</v>
      </c>
      <c r="HY29" s="528">
        <v>10.1708</v>
      </c>
      <c r="HZ29" s="528">
        <v>10.1106</v>
      </c>
      <c r="IA29" s="528">
        <v>10.613300000000001</v>
      </c>
      <c r="IB29" s="528">
        <v>13.1233</v>
      </c>
      <c r="IC29" s="528">
        <v>13.575799999999999</v>
      </c>
      <c r="ID29" s="528">
        <v>13.1197</v>
      </c>
      <c r="IE29" s="509">
        <v>23</v>
      </c>
      <c r="IF29" s="529"/>
      <c r="IG29" s="529"/>
      <c r="IH29" s="509">
        <v>23</v>
      </c>
      <c r="II29" s="528">
        <v>10.882400000000001</v>
      </c>
      <c r="IJ29" s="528">
        <v>11.0023</v>
      </c>
      <c r="IK29" s="528">
        <v>11.079599999999999</v>
      </c>
      <c r="IL29" s="528">
        <v>11.004799999999999</v>
      </c>
      <c r="IM29" s="528">
        <v>10.7963</v>
      </c>
      <c r="IN29" s="528">
        <v>10.826599999999999</v>
      </c>
      <c r="IO29" s="528">
        <v>10.720700000000001</v>
      </c>
      <c r="IP29" s="528">
        <v>11.1213</v>
      </c>
      <c r="IQ29" s="528">
        <v>10.9687</v>
      </c>
      <c r="IR29" s="528">
        <v>10.797599999999999</v>
      </c>
      <c r="IS29" s="528">
        <v>11.0037</v>
      </c>
      <c r="IT29" s="528">
        <v>10.8363</v>
      </c>
      <c r="IU29" s="509">
        <v>23</v>
      </c>
      <c r="IV29" s="529"/>
      <c r="IW29" s="529"/>
      <c r="IX29" s="509">
        <v>23</v>
      </c>
      <c r="IY29" s="528">
        <v>10.5589</v>
      </c>
      <c r="IZ29" s="528">
        <v>10.438800000000001</v>
      </c>
      <c r="JA29" s="528">
        <v>10.7568</v>
      </c>
      <c r="JB29" s="528">
        <v>11.030200000000001</v>
      </c>
      <c r="JC29" s="528">
        <v>11.1915</v>
      </c>
      <c r="JD29" s="528">
        <v>11.444100000000001</v>
      </c>
      <c r="JE29" s="528">
        <v>10.870799999999999</v>
      </c>
      <c r="JF29" s="528">
        <v>10.803800000000001</v>
      </c>
      <c r="JG29" s="528">
        <v>10.9953</v>
      </c>
      <c r="JH29" s="528">
        <v>10.805999999999999</v>
      </c>
      <c r="JI29" s="528">
        <v>11.0021</v>
      </c>
      <c r="JJ29" s="528">
        <v>10.841100000000001</v>
      </c>
      <c r="JK29" s="509">
        <v>23</v>
      </c>
      <c r="JL29" s="529"/>
      <c r="JM29" s="529"/>
      <c r="JN29" s="509">
        <v>23</v>
      </c>
      <c r="JO29" s="528">
        <v>11.2515</v>
      </c>
      <c r="JP29" s="528">
        <v>11.068</v>
      </c>
      <c r="JQ29" s="528">
        <v>11.1759</v>
      </c>
      <c r="JR29" s="528">
        <v>11.041</v>
      </c>
      <c r="JS29" s="528">
        <v>10.9283</v>
      </c>
      <c r="JT29" s="528">
        <v>10.7982</v>
      </c>
      <c r="JU29" s="528">
        <v>10.594200000000001</v>
      </c>
      <c r="JV29" s="528">
        <v>10.7753</v>
      </c>
      <c r="JW29" s="528">
        <v>10.7798</v>
      </c>
      <c r="JX29" s="528">
        <v>10.8393</v>
      </c>
      <c r="JY29" s="528">
        <v>10.6425</v>
      </c>
      <c r="JZ29" s="528">
        <v>10.6457</v>
      </c>
      <c r="KA29" s="509">
        <v>23</v>
      </c>
      <c r="KB29" s="529"/>
      <c r="KC29" s="529"/>
      <c r="KD29" s="509">
        <v>23</v>
      </c>
      <c r="KE29" s="528">
        <v>10.9521</v>
      </c>
      <c r="KF29" s="528">
        <v>10.9688</v>
      </c>
      <c r="KG29" s="528">
        <v>10.9863</v>
      </c>
      <c r="KH29" s="528">
        <v>11.3119</v>
      </c>
      <c r="KI29" s="528">
        <v>11.573499999999999</v>
      </c>
      <c r="KJ29" s="528">
        <v>11.314299999999999</v>
      </c>
      <c r="KK29" s="528">
        <v>11.46</v>
      </c>
      <c r="KL29" s="528">
        <v>11.355</v>
      </c>
      <c r="KM29" s="528">
        <v>11.429399999999999</v>
      </c>
      <c r="KN29" s="528">
        <v>11.472200000000001</v>
      </c>
      <c r="KO29" s="528">
        <v>11.3637</v>
      </c>
      <c r="KP29" s="528">
        <v>11.1873</v>
      </c>
      <c r="KQ29" s="509">
        <v>23</v>
      </c>
      <c r="KR29" s="529"/>
      <c r="KS29" s="529"/>
      <c r="KT29" s="509">
        <v>23</v>
      </c>
      <c r="KU29" s="528">
        <v>10.6866</v>
      </c>
      <c r="KV29" s="528">
        <v>10.899800000000001</v>
      </c>
      <c r="KW29" s="528">
        <v>10.863300000000001</v>
      </c>
      <c r="KX29" s="528">
        <v>10.554500000000001</v>
      </c>
      <c r="KY29" s="528">
        <v>10.253</v>
      </c>
      <c r="KZ29" s="528">
        <v>10.485799999999999</v>
      </c>
      <c r="LA29" s="528">
        <v>10.410500000000001</v>
      </c>
      <c r="LB29" s="528">
        <v>10.8507</v>
      </c>
      <c r="LC29" s="528">
        <v>10.8955</v>
      </c>
      <c r="LD29" s="528">
        <v>11.139699999999999</v>
      </c>
      <c r="LE29" s="528">
        <v>11.2094</v>
      </c>
      <c r="LF29" s="528">
        <v>11.2295</v>
      </c>
      <c r="LG29" s="509">
        <v>23</v>
      </c>
      <c r="LH29" s="529"/>
      <c r="LI29" s="529"/>
      <c r="LJ29" s="509">
        <v>23</v>
      </c>
      <c r="LK29" s="528">
        <v>9.1219000000000001</v>
      </c>
      <c r="LL29" s="528">
        <v>9.0756999999999994</v>
      </c>
      <c r="LM29" s="528">
        <v>9.0707000000000004</v>
      </c>
      <c r="LN29" s="528">
        <v>9.2247000000000003</v>
      </c>
      <c r="LO29" s="528">
        <v>9.5132999999999992</v>
      </c>
      <c r="LP29" s="528">
        <v>9.7675999999999998</v>
      </c>
      <c r="LQ29" s="528">
        <v>9.7052999999999994</v>
      </c>
      <c r="LR29" s="528">
        <v>9.7853999999999992</v>
      </c>
      <c r="LS29" s="528">
        <v>10.062799999999999</v>
      </c>
      <c r="LT29" s="528">
        <v>9.9382999999999999</v>
      </c>
      <c r="LU29" s="528">
        <v>10.087400000000001</v>
      </c>
      <c r="LV29" s="528">
        <v>10.192</v>
      </c>
      <c r="LW29" s="509">
        <v>23</v>
      </c>
      <c r="LX29" s="529"/>
      <c r="LY29" s="529"/>
      <c r="LZ29" s="509">
        <v>23</v>
      </c>
      <c r="MA29" s="528">
        <v>9.7952999999999992</v>
      </c>
      <c r="MB29" s="528">
        <v>9.7089999999999996</v>
      </c>
      <c r="MC29" s="528">
        <v>9.5188000000000006</v>
      </c>
      <c r="MD29" s="528">
        <v>9.2748000000000008</v>
      </c>
      <c r="ME29" s="528">
        <v>8.9428000000000001</v>
      </c>
      <c r="MF29" s="528">
        <v>9.0570000000000004</v>
      </c>
      <c r="MG29" s="528">
        <v>9.1999999999999993</v>
      </c>
      <c r="MH29" s="528">
        <v>9.1227</v>
      </c>
      <c r="MI29" s="528">
        <v>9.4802</v>
      </c>
      <c r="MJ29" s="528">
        <v>9.1971000000000007</v>
      </c>
      <c r="MK29" s="528">
        <v>9.1409000000000002</v>
      </c>
      <c r="ML29" s="528">
        <v>9.1682000000000006</v>
      </c>
      <c r="MM29" s="509">
        <v>23</v>
      </c>
      <c r="MN29" s="529"/>
      <c r="MO29" s="529"/>
      <c r="MP29" s="509">
        <v>23</v>
      </c>
      <c r="MQ29" s="528">
        <v>9.4038000000000004</v>
      </c>
      <c r="MR29" s="528">
        <v>9.4108000000000001</v>
      </c>
      <c r="MS29" s="528">
        <v>9.3185000000000002</v>
      </c>
      <c r="MT29" s="528">
        <v>9.4388000000000005</v>
      </c>
      <c r="MU29" s="528">
        <v>9.6150000000000002</v>
      </c>
      <c r="MV29" s="528">
        <v>9.8567999999999998</v>
      </c>
      <c r="MW29" s="528">
        <v>9.3607999999999993</v>
      </c>
      <c r="MX29" s="528">
        <v>9.2562999999999995</v>
      </c>
      <c r="MY29" s="528">
        <v>9.4346999999999994</v>
      </c>
      <c r="MZ29" s="528">
        <v>9.5333000000000006</v>
      </c>
      <c r="NA29" s="528">
        <v>9.4098000000000006</v>
      </c>
      <c r="NB29" s="528">
        <v>9.5726999999999993</v>
      </c>
      <c r="NC29" s="509">
        <v>23</v>
      </c>
      <c r="ND29" s="529"/>
      <c r="NE29" s="529"/>
      <c r="NF29" s="509">
        <v>23</v>
      </c>
      <c r="NG29" s="528">
        <v>10.2874</v>
      </c>
      <c r="NH29" s="528">
        <v>9.9332999999999991</v>
      </c>
      <c r="NI29" s="528">
        <v>9.6675000000000004</v>
      </c>
      <c r="NJ29" s="528">
        <v>9.3643000000000001</v>
      </c>
      <c r="NK29" s="528">
        <v>9.3241999999999994</v>
      </c>
      <c r="NL29" s="528">
        <v>9.3780999999999999</v>
      </c>
      <c r="NM29" s="528">
        <v>9.3347999999999995</v>
      </c>
      <c r="NN29" s="528">
        <v>9.3744999999999994</v>
      </c>
      <c r="NO29" s="528">
        <v>9.3043999999999993</v>
      </c>
      <c r="NP29" s="528">
        <v>9.6481999999999992</v>
      </c>
      <c r="NQ29" s="528">
        <v>9.3287999999999993</v>
      </c>
      <c r="NR29" s="528">
        <v>9.3141999999999996</v>
      </c>
      <c r="NS29" s="509">
        <v>23</v>
      </c>
      <c r="NT29" s="529"/>
      <c r="NU29" s="529"/>
      <c r="NV29" s="509">
        <v>23</v>
      </c>
      <c r="NW29" s="528">
        <v>8.2682000000000002</v>
      </c>
      <c r="NX29" s="528">
        <v>8.5449000000000002</v>
      </c>
      <c r="NY29" s="528">
        <v>8.5638000000000005</v>
      </c>
      <c r="NZ29" s="528">
        <v>8.4550000000000001</v>
      </c>
      <c r="OA29" s="528">
        <v>8.6222999999999992</v>
      </c>
      <c r="OB29" s="528">
        <v>8.8928999999999991</v>
      </c>
      <c r="OC29" s="528">
        <v>8.8033000000000001</v>
      </c>
      <c r="OD29" s="528">
        <v>9.3133999999999997</v>
      </c>
      <c r="OE29" s="528">
        <v>10.305</v>
      </c>
      <c r="OF29" s="528">
        <v>10.033799999999999</v>
      </c>
      <c r="OG29" s="528">
        <v>9.9305000000000003</v>
      </c>
      <c r="OH29" s="528">
        <v>9.7568000000000001</v>
      </c>
      <c r="OI29" s="509">
        <v>23</v>
      </c>
      <c r="OJ29" s="529"/>
      <c r="OK29" s="529"/>
      <c r="OL29" s="509">
        <v>23</v>
      </c>
      <c r="OM29" s="528">
        <v>7.8033000000000001</v>
      </c>
      <c r="ON29" s="528">
        <v>7.7460000000000004</v>
      </c>
      <c r="OO29" s="528">
        <v>7.9233000000000002</v>
      </c>
      <c r="OP29" s="528">
        <v>7.8773</v>
      </c>
      <c r="OQ29" s="528">
        <v>7.8654999999999999</v>
      </c>
      <c r="OR29" s="528">
        <v>7.9168000000000003</v>
      </c>
      <c r="OS29" s="528">
        <v>7.8868</v>
      </c>
      <c r="OT29" s="528">
        <v>7.7596999999999996</v>
      </c>
      <c r="OU29" s="528">
        <v>7.7557999999999998</v>
      </c>
      <c r="OV29" s="528">
        <v>7.7195999999999998</v>
      </c>
      <c r="OW29" s="528">
        <v>8.2882999999999996</v>
      </c>
      <c r="OX29" s="528">
        <v>8.1318000000000001</v>
      </c>
      <c r="OY29" s="509">
        <v>23</v>
      </c>
      <c r="OZ29" s="529"/>
      <c r="PA29" s="529"/>
      <c r="PB29" s="509">
        <v>23</v>
      </c>
      <c r="PC29" s="528">
        <v>7.4295999999999998</v>
      </c>
      <c r="PD29" s="528">
        <v>7.5381</v>
      </c>
      <c r="PE29" s="528">
        <v>7.5431999999999997</v>
      </c>
      <c r="PF29" s="528">
        <v>7.4053000000000004</v>
      </c>
      <c r="PG29" s="528">
        <v>7.3940000000000001</v>
      </c>
      <c r="PH29" s="528">
        <v>7.5506000000000002</v>
      </c>
      <c r="PI29" s="528">
        <v>7.6167999999999996</v>
      </c>
      <c r="PJ29" s="528">
        <v>7.4858000000000002</v>
      </c>
      <c r="PK29" s="528">
        <v>7.5052000000000003</v>
      </c>
      <c r="PL29" s="528">
        <v>7.7381000000000002</v>
      </c>
      <c r="PM29" s="528">
        <v>7.8959999999999999</v>
      </c>
      <c r="PN29" s="528">
        <v>7.8673999999999999</v>
      </c>
      <c r="PO29" s="509">
        <v>23</v>
      </c>
      <c r="PP29" s="529"/>
      <c r="PQ29" s="529"/>
      <c r="PR29" s="509">
        <v>23</v>
      </c>
      <c r="PS29" s="528">
        <v>5.6074999999999999</v>
      </c>
      <c r="PT29" s="528">
        <v>5.47</v>
      </c>
      <c r="PU29" s="528">
        <v>7.0875000000000004</v>
      </c>
      <c r="PV29" s="528">
        <v>6.0483000000000002</v>
      </c>
      <c r="PW29" s="528">
        <v>5.9175000000000004</v>
      </c>
      <c r="PX29" s="528">
        <v>6.2866999999999997</v>
      </c>
      <c r="PY29" s="528">
        <v>6.1582999999999997</v>
      </c>
      <c r="PZ29" s="528">
        <v>6.2278000000000002</v>
      </c>
      <c r="QA29" s="528">
        <v>6.3128000000000002</v>
      </c>
      <c r="QB29" s="528">
        <v>6.6908000000000003</v>
      </c>
      <c r="QC29" s="528">
        <v>7.7066999999999997</v>
      </c>
      <c r="QD29" s="528">
        <v>7.5857999999999999</v>
      </c>
      <c r="QE29" s="509">
        <v>23</v>
      </c>
      <c r="QF29" s="529"/>
      <c r="QG29" s="529"/>
      <c r="QH29" s="509">
        <v>23</v>
      </c>
      <c r="QI29" s="528">
        <v>3.1059999999999999</v>
      </c>
      <c r="QJ29" s="528">
        <v>3.1061000000000001</v>
      </c>
      <c r="QK29" s="528">
        <v>3.3248000000000002</v>
      </c>
      <c r="QL29" s="528">
        <v>3.3694000000000002</v>
      </c>
      <c r="QM29" s="528">
        <v>3.3220000000000001</v>
      </c>
      <c r="QN29" s="528">
        <v>3.3742999999999999</v>
      </c>
      <c r="QO29" s="528">
        <v>3.4056000000000002</v>
      </c>
      <c r="QP29" s="528">
        <v>3.3593000000000002</v>
      </c>
      <c r="QQ29" s="528">
        <v>3.403</v>
      </c>
      <c r="QR29" s="528">
        <v>3.4173</v>
      </c>
      <c r="QS29" s="528">
        <v>3.4455</v>
      </c>
      <c r="QT29" s="528">
        <v>3.9969999999999999</v>
      </c>
      <c r="QU29" s="509">
        <v>23</v>
      </c>
      <c r="QV29" s="529"/>
      <c r="QW29" s="529"/>
      <c r="QX29" s="509">
        <v>23</v>
      </c>
      <c r="QY29" s="528">
        <v>3.1051000000000002</v>
      </c>
      <c r="QZ29" s="528">
        <v>3.0950000000000002</v>
      </c>
      <c r="RA29" s="528">
        <v>3.1124000000000001</v>
      </c>
      <c r="RB29" s="528">
        <v>3.0933999999999999</v>
      </c>
      <c r="RC29" s="528">
        <v>3.1109</v>
      </c>
      <c r="RD29" s="528">
        <v>3.1139000000000001</v>
      </c>
      <c r="RE29" s="528">
        <v>3.1230000000000002</v>
      </c>
      <c r="RF29" s="528">
        <v>3.1131000000000002</v>
      </c>
      <c r="RG29" s="528">
        <v>3.11</v>
      </c>
      <c r="RH29" s="528">
        <v>3.1120000000000001</v>
      </c>
      <c r="RI29" s="528">
        <v>3.1147999999999998</v>
      </c>
      <c r="RJ29" s="528">
        <v>3.1111</v>
      </c>
      <c r="RK29" s="509">
        <v>23</v>
      </c>
      <c r="RL29" s="529"/>
      <c r="RM29" s="529"/>
      <c r="RN29" s="509">
        <v>23</v>
      </c>
      <c r="RO29" s="528">
        <v>3.0625</v>
      </c>
      <c r="RP29" s="528">
        <v>3.0621</v>
      </c>
      <c r="RQ29" s="528">
        <v>3.0737999999999999</v>
      </c>
      <c r="RR29" s="528">
        <v>3.0670999999999999</v>
      </c>
      <c r="RS29" s="528">
        <v>3.1055999999999999</v>
      </c>
      <c r="RT29" s="528">
        <v>3.1168</v>
      </c>
      <c r="RU29" s="528">
        <v>3.1156000000000001</v>
      </c>
      <c r="RV29" s="528">
        <v>3.0813999999999999</v>
      </c>
      <c r="RW29" s="528">
        <v>3.0884</v>
      </c>
      <c r="RX29" s="528">
        <v>3.1284999999999998</v>
      </c>
      <c r="RY29" s="528">
        <v>3.1150000000000002</v>
      </c>
      <c r="RZ29" s="528">
        <v>3.1179000000000001</v>
      </c>
      <c r="SA29" s="509">
        <v>23</v>
      </c>
      <c r="SB29" s="529"/>
      <c r="SC29" s="529"/>
      <c r="SD29" s="509">
        <v>23</v>
      </c>
      <c r="SE29" s="528">
        <v>2.9550000000000001</v>
      </c>
      <c r="SF29" s="528">
        <v>2.9674</v>
      </c>
      <c r="SG29" s="528">
        <v>2.9786000000000001</v>
      </c>
      <c r="SH29" s="528">
        <v>2.9902000000000002</v>
      </c>
      <c r="SI29" s="528">
        <v>3.0030000000000001</v>
      </c>
      <c r="SJ29" s="528">
        <v>3.0150000000000001</v>
      </c>
      <c r="SK29" s="528">
        <v>3.0266000000000002</v>
      </c>
      <c r="SL29" s="528">
        <v>3.0398000000000001</v>
      </c>
      <c r="SM29" s="528">
        <v>3.0514000000000001</v>
      </c>
      <c r="SN29" s="528">
        <v>3.0649999999999999</v>
      </c>
      <c r="SO29" s="528">
        <v>3.0631900000000001</v>
      </c>
      <c r="SP29" s="528">
        <v>3.0747499999999999</v>
      </c>
      <c r="SQ29" s="509">
        <v>23</v>
      </c>
      <c r="SR29" s="529"/>
      <c r="SS29" s="529"/>
      <c r="ST29" s="509">
        <v>23</v>
      </c>
      <c r="SU29" s="528">
        <v>2.6629999999999998</v>
      </c>
      <c r="SV29" s="528">
        <v>2.6960000000000002</v>
      </c>
      <c r="SW29" s="528">
        <v>2.7240000000000002</v>
      </c>
      <c r="SX29" s="528">
        <v>2.7530000000000001</v>
      </c>
      <c r="SY29" s="528">
        <v>2.7850000000000001</v>
      </c>
      <c r="SZ29" s="528">
        <v>2.8113999999999999</v>
      </c>
      <c r="TA29" s="528">
        <v>2.8338000000000001</v>
      </c>
      <c r="TB29" s="528">
        <v>2.8601999999999999</v>
      </c>
      <c r="TC29" s="528">
        <v>2.8841999999999999</v>
      </c>
      <c r="TD29" s="528">
        <v>2.9074</v>
      </c>
      <c r="TE29" s="528">
        <v>2.9306000000000001</v>
      </c>
      <c r="TF29" s="528">
        <v>2.9422000000000001</v>
      </c>
      <c r="TG29" s="509">
        <v>23</v>
      </c>
      <c r="TH29" s="529"/>
      <c r="TI29" s="529"/>
      <c r="TJ29" s="509">
        <v>23</v>
      </c>
      <c r="TK29" s="528">
        <v>2.298</v>
      </c>
      <c r="TL29" s="528">
        <v>2.331</v>
      </c>
      <c r="TM29" s="528">
        <v>2.359</v>
      </c>
      <c r="TN29" s="528">
        <v>2.3889999999999998</v>
      </c>
      <c r="TO29" s="528">
        <v>2.4180000000000001</v>
      </c>
      <c r="TP29" s="528">
        <v>2.4510000000000001</v>
      </c>
      <c r="TQ29" s="528">
        <v>2.48</v>
      </c>
      <c r="TR29" s="528">
        <v>2.512</v>
      </c>
      <c r="TS29" s="528">
        <v>2.5430000000000001</v>
      </c>
      <c r="TT29" s="528">
        <v>2.5710000000000002</v>
      </c>
      <c r="TU29" s="528">
        <v>2.6040000000000001</v>
      </c>
      <c r="TV29" s="528">
        <v>2.6339999999999999</v>
      </c>
      <c r="TW29" s="509">
        <v>23</v>
      </c>
    </row>
    <row r="30" spans="2:543" s="4" customFormat="1" ht="23" customHeight="1">
      <c r="B30" s="509">
        <v>24</v>
      </c>
      <c r="C30" s="541">
        <v>20.450700000000001</v>
      </c>
      <c r="D30" s="541">
        <v>20.297699999999999</v>
      </c>
      <c r="E30" s="541">
        <v>20.278199999999998</v>
      </c>
      <c r="F30" s="541">
        <v>20.180199999999999</v>
      </c>
      <c r="G30" s="541">
        <v>19.8657</v>
      </c>
      <c r="H30" s="541">
        <v>20.046500000000002</v>
      </c>
      <c r="I30" s="541">
        <v>20.656199999999998</v>
      </c>
      <c r="J30" s="541">
        <v>20.159800000000001</v>
      </c>
      <c r="K30" s="541">
        <v>19.960799999999999</v>
      </c>
      <c r="L30" s="541">
        <v>20.044799999999999</v>
      </c>
      <c r="M30" s="541">
        <v>19.466699999999999</v>
      </c>
      <c r="N30" s="541">
        <v>19.574000000000002</v>
      </c>
      <c r="O30" s="509">
        <v>24</v>
      </c>
      <c r="R30" s="509">
        <v>24</v>
      </c>
      <c r="S30" s="541">
        <v>19.7393</v>
      </c>
      <c r="T30" s="541">
        <v>20.6783</v>
      </c>
      <c r="U30" s="541">
        <v>20.578800000000001</v>
      </c>
      <c r="V30" s="541">
        <v>19.886500000000002</v>
      </c>
      <c r="W30" s="541">
        <v>19.881</v>
      </c>
      <c r="X30" s="541">
        <v>20.571200000000001</v>
      </c>
      <c r="Y30" s="541">
        <v>20.1812</v>
      </c>
      <c r="Z30" s="541">
        <v>20.402000000000001</v>
      </c>
      <c r="AA30" s="541">
        <v>20.032800000000002</v>
      </c>
      <c r="AB30" s="541">
        <v>20.264299999999999</v>
      </c>
      <c r="AC30" s="541">
        <v>20.963200000000001</v>
      </c>
      <c r="AD30" s="541">
        <v>20.752700000000001</v>
      </c>
      <c r="AE30" s="509">
        <v>24</v>
      </c>
      <c r="AH30" s="509">
        <v>24</v>
      </c>
      <c r="AI30" s="541">
        <v>18.688300000000002</v>
      </c>
      <c r="AJ30" s="541">
        <v>18.799199999999999</v>
      </c>
      <c r="AK30" s="541">
        <v>24.1113</v>
      </c>
      <c r="AL30" s="541">
        <v>24.5883</v>
      </c>
      <c r="AM30" s="541">
        <v>22.96</v>
      </c>
      <c r="AN30" s="541">
        <v>22.441299999999998</v>
      </c>
      <c r="AO30" s="541">
        <v>22.251000000000001</v>
      </c>
      <c r="AP30" s="541">
        <v>22.175999999999998</v>
      </c>
      <c r="AQ30" s="541">
        <v>21.568200000000001</v>
      </c>
      <c r="AR30" s="541">
        <v>21.03</v>
      </c>
      <c r="AS30" s="541">
        <v>20.1172</v>
      </c>
      <c r="AT30" s="541">
        <v>20.0562</v>
      </c>
      <c r="AU30" s="509">
        <v>24</v>
      </c>
      <c r="AX30" s="509">
        <v>24</v>
      </c>
      <c r="AY30" s="528">
        <v>19.1297</v>
      </c>
      <c r="AZ30" s="528">
        <v>19.2652</v>
      </c>
      <c r="BA30" s="528">
        <v>18.869399999999999</v>
      </c>
      <c r="BB30" s="528">
        <v>18.835899999999999</v>
      </c>
      <c r="BC30" s="528">
        <v>18.9755</v>
      </c>
      <c r="BD30" s="528">
        <v>18.980399999999999</v>
      </c>
      <c r="BE30" s="528">
        <v>19.065899999999999</v>
      </c>
      <c r="BF30" s="528">
        <v>19.746700000000001</v>
      </c>
      <c r="BG30" s="528">
        <v>19.447800000000001</v>
      </c>
      <c r="BH30" s="528">
        <v>19.105</v>
      </c>
      <c r="BI30" s="528">
        <v>19.413799999999998</v>
      </c>
      <c r="BJ30" s="528">
        <v>18.9133</v>
      </c>
      <c r="BK30" s="509">
        <v>24</v>
      </c>
      <c r="BN30" s="509">
        <v>24</v>
      </c>
      <c r="BO30" s="530">
        <v>18.7118</v>
      </c>
      <c r="BP30" s="530">
        <v>18.657399999999999</v>
      </c>
      <c r="BQ30" s="528">
        <v>18.5078</v>
      </c>
      <c r="BR30" s="528">
        <v>18.620999999999999</v>
      </c>
      <c r="BS30" s="528">
        <v>19.752800000000001</v>
      </c>
      <c r="BT30" s="528">
        <v>20.3689</v>
      </c>
      <c r="BU30" s="528">
        <v>19.069400000000002</v>
      </c>
      <c r="BV30" s="528">
        <v>18.817599999999999</v>
      </c>
      <c r="BW30" s="528">
        <v>18.829599999999999</v>
      </c>
      <c r="BX30" s="528">
        <v>19.366900000000001</v>
      </c>
      <c r="BY30" s="528">
        <v>20.298400000000001</v>
      </c>
      <c r="BZ30" s="528">
        <v>19.908200000000001</v>
      </c>
      <c r="CA30" s="509">
        <v>24</v>
      </c>
      <c r="CD30" s="509">
        <v>24</v>
      </c>
      <c r="CE30" s="528">
        <v>21.700199999999999</v>
      </c>
      <c r="CF30" s="528">
        <v>19.912700000000001</v>
      </c>
      <c r="CG30" s="528">
        <v>19.0837</v>
      </c>
      <c r="CH30" s="528">
        <v>18.8187</v>
      </c>
      <c r="CI30" s="528">
        <v>18.6633</v>
      </c>
      <c r="CJ30" s="528">
        <v>18.126999999999999</v>
      </c>
      <c r="CK30" s="528">
        <v>17.526</v>
      </c>
      <c r="CL30" s="528">
        <v>17.645800000000001</v>
      </c>
      <c r="CM30" s="528">
        <v>17.854500000000002</v>
      </c>
      <c r="CN30" s="528">
        <v>19.007999999999999</v>
      </c>
      <c r="CO30" s="528">
        <v>18.739999999999998</v>
      </c>
      <c r="CP30" s="528">
        <v>19.3962</v>
      </c>
      <c r="CQ30" s="509">
        <v>24</v>
      </c>
      <c r="CT30" s="509">
        <v>24</v>
      </c>
      <c r="CU30" s="528">
        <v>18.508400000000002</v>
      </c>
      <c r="CV30" s="528">
        <v>18.056799999999999</v>
      </c>
      <c r="CW30" s="528">
        <v>17.336099999999998</v>
      </c>
      <c r="CX30" s="528">
        <v>17.420200000000001</v>
      </c>
      <c r="CY30" s="528">
        <v>18.3826</v>
      </c>
      <c r="CZ30" s="528">
        <v>18.532499999999999</v>
      </c>
      <c r="DA30" s="528">
        <v>18.6022</v>
      </c>
      <c r="DB30" s="528">
        <v>18.302299999999999</v>
      </c>
      <c r="DC30" s="528">
        <v>19.596499999999999</v>
      </c>
      <c r="DD30" s="528">
        <v>18.5945</v>
      </c>
      <c r="DE30" s="528">
        <v>20.520499999999998</v>
      </c>
      <c r="DF30" s="528">
        <v>20.7179</v>
      </c>
      <c r="DG30" s="509">
        <v>24</v>
      </c>
      <c r="DJ30" s="509">
        <v>24</v>
      </c>
      <c r="DK30" s="528">
        <v>14.612</v>
      </c>
      <c r="DL30" s="528">
        <v>15.075699999999999</v>
      </c>
      <c r="DM30" s="528">
        <v>15.031700000000001</v>
      </c>
      <c r="DN30" s="528">
        <v>15.4518</v>
      </c>
      <c r="DO30" s="528">
        <v>15.2326</v>
      </c>
      <c r="DP30" s="528">
        <v>15.3072</v>
      </c>
      <c r="DQ30" s="528">
        <v>16.094999999999999</v>
      </c>
      <c r="DR30" s="528">
        <v>16.7182</v>
      </c>
      <c r="DS30" s="528">
        <v>16.871300000000002</v>
      </c>
      <c r="DT30" s="528">
        <v>16.528400000000001</v>
      </c>
      <c r="DU30" s="528">
        <v>16.512</v>
      </c>
      <c r="DV30" s="528">
        <v>17.184699999999999</v>
      </c>
      <c r="DW30" s="509">
        <v>24</v>
      </c>
      <c r="DZ30" s="509">
        <v>24</v>
      </c>
      <c r="EA30" s="528">
        <v>13.3194</v>
      </c>
      <c r="EB30" s="528">
        <v>13.2913</v>
      </c>
      <c r="EC30" s="528">
        <v>13.270300000000001</v>
      </c>
      <c r="ED30" s="528">
        <v>13.0448</v>
      </c>
      <c r="EE30" s="528">
        <v>12.880100000000001</v>
      </c>
      <c r="EF30" s="528">
        <v>13.0124</v>
      </c>
      <c r="EG30" s="528">
        <v>12.939299999999999</v>
      </c>
      <c r="EH30" s="528">
        <v>13.096299999999999</v>
      </c>
      <c r="EI30" s="528">
        <v>13.256600000000001</v>
      </c>
      <c r="EJ30" s="528">
        <v>13.555899999999999</v>
      </c>
      <c r="EK30" s="528">
        <v>13.611499999999999</v>
      </c>
      <c r="EL30" s="528">
        <v>14.635899999999999</v>
      </c>
      <c r="EM30" s="509">
        <v>24</v>
      </c>
      <c r="EP30" s="509">
        <v>24</v>
      </c>
      <c r="EQ30" s="528">
        <v>12.681699999999999</v>
      </c>
      <c r="ER30" s="528">
        <v>12.7699</v>
      </c>
      <c r="ES30" s="528">
        <v>12.3841</v>
      </c>
      <c r="ET30" s="528">
        <v>12.322699999999999</v>
      </c>
      <c r="EU30" s="528">
        <v>12.311299999999999</v>
      </c>
      <c r="EV30" s="528">
        <v>13.4015</v>
      </c>
      <c r="EW30" s="528">
        <v>12.5054</v>
      </c>
      <c r="EX30" s="528">
        <v>13.1486</v>
      </c>
      <c r="EY30" s="528">
        <v>12.7685</v>
      </c>
      <c r="EZ30" s="528">
        <v>12.8713</v>
      </c>
      <c r="FA30" s="528">
        <v>13.0617</v>
      </c>
      <c r="FB30" s="528">
        <v>12.9574</v>
      </c>
      <c r="FC30" s="509">
        <v>24</v>
      </c>
      <c r="FF30" s="509">
        <v>24</v>
      </c>
      <c r="FG30" s="528">
        <v>13.224</v>
      </c>
      <c r="FH30" s="528">
        <v>12.829599999999999</v>
      </c>
      <c r="FI30" s="528">
        <v>12.833</v>
      </c>
      <c r="FJ30" s="528">
        <v>13.117100000000001</v>
      </c>
      <c r="FK30" s="528">
        <v>13.7203</v>
      </c>
      <c r="FL30" s="528">
        <v>13.7668</v>
      </c>
      <c r="FM30" s="528">
        <v>13.2928</v>
      </c>
      <c r="FN30" s="528">
        <v>13.1762</v>
      </c>
      <c r="FO30" s="528">
        <v>12.904199999999999</v>
      </c>
      <c r="FP30" s="528">
        <v>12.857100000000001</v>
      </c>
      <c r="FQ30" s="528">
        <v>13.018800000000001</v>
      </c>
      <c r="FR30" s="528">
        <v>12.777699999999999</v>
      </c>
      <c r="FS30" s="509">
        <v>24</v>
      </c>
      <c r="FV30" s="509">
        <v>24</v>
      </c>
      <c r="FW30" s="528">
        <v>12.090299999999999</v>
      </c>
      <c r="FX30" s="528">
        <v>12.091699999999999</v>
      </c>
      <c r="FY30" s="528">
        <v>11.9885</v>
      </c>
      <c r="FZ30" s="528">
        <v>11.692500000000001</v>
      </c>
      <c r="GA30" s="528">
        <v>11.646699999999999</v>
      </c>
      <c r="GB30" s="528">
        <v>11.7789</v>
      </c>
      <c r="GC30" s="528">
        <v>11.6174</v>
      </c>
      <c r="GD30" s="528">
        <v>12.2948</v>
      </c>
      <c r="GE30" s="528">
        <v>13.8917</v>
      </c>
      <c r="GF30" s="528">
        <v>13.662800000000001</v>
      </c>
      <c r="GG30" s="528">
        <v>13.981199999999999</v>
      </c>
      <c r="GH30" s="528">
        <v>13.8169</v>
      </c>
      <c r="GI30" s="509">
        <v>24</v>
      </c>
      <c r="GL30" s="509">
        <v>24</v>
      </c>
      <c r="GM30" s="528">
        <v>12.772</v>
      </c>
      <c r="GN30" s="528">
        <v>12.8017</v>
      </c>
      <c r="GO30" s="528">
        <v>12.6052</v>
      </c>
      <c r="GP30" s="528">
        <v>12.240500000000001</v>
      </c>
      <c r="GQ30" s="528">
        <v>13.1412</v>
      </c>
      <c r="GR30" s="528">
        <v>12.5246</v>
      </c>
      <c r="GS30" s="528">
        <v>12.756</v>
      </c>
      <c r="GT30" s="528">
        <v>12.7683</v>
      </c>
      <c r="GU30" s="528">
        <v>12.688599999999999</v>
      </c>
      <c r="GV30" s="528">
        <v>12.3613</v>
      </c>
      <c r="GW30" s="528">
        <v>12.308999999999999</v>
      </c>
      <c r="GX30" s="528">
        <v>12.337899999999999</v>
      </c>
      <c r="GY30" s="509">
        <v>24</v>
      </c>
      <c r="HB30" s="509">
        <v>24</v>
      </c>
      <c r="HC30" s="528">
        <v>13.932499999999999</v>
      </c>
      <c r="HD30" s="528">
        <v>14.8163</v>
      </c>
      <c r="HE30" s="528">
        <v>14.148</v>
      </c>
      <c r="HF30" s="528">
        <v>13.1457</v>
      </c>
      <c r="HG30" s="528">
        <v>13.103</v>
      </c>
      <c r="HH30" s="528">
        <v>13.3782</v>
      </c>
      <c r="HI30" s="528">
        <v>13.231199999999999</v>
      </c>
      <c r="HJ30" s="528">
        <v>12.8733</v>
      </c>
      <c r="HK30" s="528">
        <v>13.3186</v>
      </c>
      <c r="HL30" s="528">
        <v>12.9495</v>
      </c>
      <c r="HM30" s="528">
        <v>13.089499999999999</v>
      </c>
      <c r="HN30" s="528">
        <v>12.944900000000001</v>
      </c>
      <c r="HO30" s="509">
        <v>24</v>
      </c>
      <c r="HP30" s="529"/>
      <c r="HQ30" s="529"/>
      <c r="HR30" s="509">
        <v>24</v>
      </c>
      <c r="HS30" s="528">
        <v>10.9232</v>
      </c>
      <c r="HT30" s="528">
        <v>10.798</v>
      </c>
      <c r="HU30" s="528">
        <v>10.704000000000001</v>
      </c>
      <c r="HV30" s="528">
        <v>10.5181</v>
      </c>
      <c r="HW30" s="528">
        <v>10.381</v>
      </c>
      <c r="HX30" s="528">
        <v>10.2753</v>
      </c>
      <c r="HY30" s="528">
        <v>10.117800000000001</v>
      </c>
      <c r="HZ30" s="528">
        <v>10.1106</v>
      </c>
      <c r="IA30" s="528">
        <v>10.587899999999999</v>
      </c>
      <c r="IB30" s="528">
        <v>13.559200000000001</v>
      </c>
      <c r="IC30" s="528">
        <v>13.575799999999999</v>
      </c>
      <c r="ID30" s="528">
        <v>13.174200000000001</v>
      </c>
      <c r="IE30" s="509">
        <v>24</v>
      </c>
      <c r="IF30" s="529"/>
      <c r="IG30" s="529"/>
      <c r="IH30" s="509">
        <v>24</v>
      </c>
      <c r="II30" s="528">
        <v>10.8918</v>
      </c>
      <c r="IJ30" s="528">
        <v>10.968299999999999</v>
      </c>
      <c r="IK30" s="528">
        <v>11.022</v>
      </c>
      <c r="IL30" s="528">
        <v>10.978999999999999</v>
      </c>
      <c r="IM30" s="528">
        <v>10.7598</v>
      </c>
      <c r="IN30" s="528">
        <v>10.826599999999999</v>
      </c>
      <c r="IO30" s="528">
        <v>10.7843</v>
      </c>
      <c r="IP30" s="528">
        <v>11.073600000000001</v>
      </c>
      <c r="IQ30" s="528">
        <v>10.9687</v>
      </c>
      <c r="IR30" s="528">
        <v>10.840400000000001</v>
      </c>
      <c r="IS30" s="528">
        <v>10.978999999999999</v>
      </c>
      <c r="IT30" s="528">
        <v>10.8363</v>
      </c>
      <c r="IU30" s="509">
        <v>24</v>
      </c>
      <c r="IV30" s="529"/>
      <c r="IW30" s="529"/>
      <c r="IX30" s="509">
        <v>24</v>
      </c>
      <c r="IY30" s="528">
        <v>10.5078</v>
      </c>
      <c r="IZ30" s="528">
        <v>10.499000000000001</v>
      </c>
      <c r="JA30" s="528">
        <v>10.8628</v>
      </c>
      <c r="JB30" s="528">
        <v>11.030200000000001</v>
      </c>
      <c r="JC30" s="528">
        <v>11.2799</v>
      </c>
      <c r="JD30" s="528">
        <v>11.4405</v>
      </c>
      <c r="JE30" s="528">
        <v>10.870799999999999</v>
      </c>
      <c r="JF30" s="528">
        <v>10.804</v>
      </c>
      <c r="JG30" s="528">
        <v>10.9953</v>
      </c>
      <c r="JH30" s="528">
        <v>10.8169</v>
      </c>
      <c r="JI30" s="528">
        <v>10.9756</v>
      </c>
      <c r="JJ30" s="528">
        <v>10.841100000000001</v>
      </c>
      <c r="JK30" s="509">
        <v>24</v>
      </c>
      <c r="JL30" s="529"/>
      <c r="JM30" s="529"/>
      <c r="JN30" s="509">
        <v>24</v>
      </c>
      <c r="JO30" s="528">
        <v>11.2515</v>
      </c>
      <c r="JP30" s="528">
        <v>11.0487</v>
      </c>
      <c r="JQ30" s="528">
        <v>11.1898</v>
      </c>
      <c r="JR30" s="528">
        <v>11.041</v>
      </c>
      <c r="JS30" s="528">
        <v>10.971500000000001</v>
      </c>
      <c r="JT30" s="528">
        <v>10.760999999999999</v>
      </c>
      <c r="JU30" s="528">
        <v>10.594200000000001</v>
      </c>
      <c r="JV30" s="528">
        <v>10.7356</v>
      </c>
      <c r="JW30" s="528">
        <v>10.834099999999999</v>
      </c>
      <c r="JX30" s="528">
        <v>10.8393</v>
      </c>
      <c r="JY30" s="528">
        <v>10.6678</v>
      </c>
      <c r="JZ30" s="528">
        <v>10.6532</v>
      </c>
      <c r="KA30" s="509">
        <v>24</v>
      </c>
      <c r="KB30" s="529"/>
      <c r="KC30" s="529"/>
      <c r="KD30" s="509">
        <v>24</v>
      </c>
      <c r="KE30" s="528">
        <v>11.001200000000001</v>
      </c>
      <c r="KF30" s="528">
        <v>10.942299999999999</v>
      </c>
      <c r="KG30" s="528">
        <v>10.973699999999999</v>
      </c>
      <c r="KH30" s="528">
        <v>11.3256</v>
      </c>
      <c r="KI30" s="528">
        <v>11.573499999999999</v>
      </c>
      <c r="KJ30" s="528">
        <v>11.307700000000001</v>
      </c>
      <c r="KK30" s="528">
        <v>11.446300000000001</v>
      </c>
      <c r="KL30" s="528">
        <v>11.3453</v>
      </c>
      <c r="KM30" s="528">
        <v>11.401199999999999</v>
      </c>
      <c r="KN30" s="528">
        <v>11.472200000000001</v>
      </c>
      <c r="KO30" s="528">
        <v>11.3949</v>
      </c>
      <c r="KP30" s="528">
        <v>11.1814</v>
      </c>
      <c r="KQ30" s="509">
        <v>24</v>
      </c>
      <c r="KR30" s="529"/>
      <c r="KS30" s="529"/>
      <c r="KT30" s="509">
        <v>24</v>
      </c>
      <c r="KU30" s="528">
        <v>10.8263</v>
      </c>
      <c r="KV30" s="528">
        <v>10.899800000000001</v>
      </c>
      <c r="KW30" s="528">
        <v>10.863300000000001</v>
      </c>
      <c r="KX30" s="528">
        <v>10.5525</v>
      </c>
      <c r="KY30" s="528">
        <v>10.238300000000001</v>
      </c>
      <c r="KZ30" s="528">
        <v>10.466900000000001</v>
      </c>
      <c r="LA30" s="528">
        <v>10.436199999999999</v>
      </c>
      <c r="LB30" s="528">
        <v>10.8507</v>
      </c>
      <c r="LC30" s="528">
        <v>10.827500000000001</v>
      </c>
      <c r="LD30" s="528">
        <v>11.2178</v>
      </c>
      <c r="LE30" s="528">
        <v>11.2094</v>
      </c>
      <c r="LF30" s="528">
        <v>11.285500000000001</v>
      </c>
      <c r="LG30" s="509">
        <v>24</v>
      </c>
      <c r="LH30" s="529"/>
      <c r="LI30" s="529"/>
      <c r="LJ30" s="509">
        <v>24</v>
      </c>
      <c r="LK30" s="528">
        <v>9.1521000000000008</v>
      </c>
      <c r="LL30" s="528">
        <v>9.0756999999999994</v>
      </c>
      <c r="LM30" s="528">
        <v>9.0707000000000004</v>
      </c>
      <c r="LN30" s="528">
        <v>9.2662999999999993</v>
      </c>
      <c r="LO30" s="528">
        <v>9.5244999999999997</v>
      </c>
      <c r="LP30" s="528">
        <v>9.7675999999999998</v>
      </c>
      <c r="LQ30" s="528">
        <v>9.6285000000000007</v>
      </c>
      <c r="LR30" s="528">
        <v>9.8388000000000009</v>
      </c>
      <c r="LS30" s="528">
        <v>10.2265</v>
      </c>
      <c r="LT30" s="528">
        <v>9.9723000000000006</v>
      </c>
      <c r="LU30" s="528">
        <v>10.087400000000001</v>
      </c>
      <c r="LV30" s="528">
        <v>10.1836</v>
      </c>
      <c r="LW30" s="509">
        <v>24</v>
      </c>
      <c r="LX30" s="529"/>
      <c r="LY30" s="529"/>
      <c r="LZ30" s="509">
        <v>24</v>
      </c>
      <c r="MA30" s="528">
        <v>9.7863000000000007</v>
      </c>
      <c r="MB30" s="528">
        <v>9.7278000000000002</v>
      </c>
      <c r="MC30" s="528">
        <v>9.5722000000000005</v>
      </c>
      <c r="MD30" s="528">
        <v>9.3524999999999991</v>
      </c>
      <c r="ME30" s="528">
        <v>8.9659999999999993</v>
      </c>
      <c r="MF30" s="528">
        <v>9.0570000000000004</v>
      </c>
      <c r="MG30" s="528">
        <v>9.1796000000000006</v>
      </c>
      <c r="MH30" s="528">
        <v>9.1158000000000001</v>
      </c>
      <c r="MI30" s="528">
        <v>9.4802</v>
      </c>
      <c r="MJ30" s="528">
        <v>9.1976999999999993</v>
      </c>
      <c r="MK30" s="528">
        <v>9.1547000000000001</v>
      </c>
      <c r="ML30" s="528">
        <v>9.1682000000000006</v>
      </c>
      <c r="MM30" s="509">
        <v>24</v>
      </c>
      <c r="MN30" s="529"/>
      <c r="MO30" s="529"/>
      <c r="MP30" s="509">
        <v>24</v>
      </c>
      <c r="MQ30" s="528">
        <v>9.4038000000000004</v>
      </c>
      <c r="MR30" s="528">
        <v>9.4395000000000007</v>
      </c>
      <c r="MS30" s="528">
        <v>9.2765000000000004</v>
      </c>
      <c r="MT30" s="528">
        <v>9.4388000000000005</v>
      </c>
      <c r="MU30" s="528">
        <v>9.5777999999999999</v>
      </c>
      <c r="MV30" s="528">
        <v>9.8706999999999994</v>
      </c>
      <c r="MW30" s="528">
        <v>9.3607999999999993</v>
      </c>
      <c r="MX30" s="528">
        <v>9.2322000000000006</v>
      </c>
      <c r="MY30" s="528">
        <v>9.4346999999999994</v>
      </c>
      <c r="MZ30" s="528">
        <v>9.5604999999999993</v>
      </c>
      <c r="NA30" s="528">
        <v>9.3789999999999996</v>
      </c>
      <c r="NB30" s="528">
        <v>9.5726999999999993</v>
      </c>
      <c r="NC30" s="509">
        <v>24</v>
      </c>
      <c r="ND30" s="529"/>
      <c r="NE30" s="529"/>
      <c r="NF30" s="509">
        <v>24</v>
      </c>
      <c r="NG30" s="528">
        <v>10.2874</v>
      </c>
      <c r="NH30" s="528">
        <v>9.9314999999999998</v>
      </c>
      <c r="NI30" s="528">
        <v>9.7116000000000007</v>
      </c>
      <c r="NJ30" s="528">
        <v>9.3316999999999997</v>
      </c>
      <c r="NK30" s="528">
        <v>9.3241999999999994</v>
      </c>
      <c r="NL30" s="528">
        <v>9.3717000000000006</v>
      </c>
      <c r="NM30" s="528">
        <v>9.3745999999999992</v>
      </c>
      <c r="NN30" s="528">
        <v>9.3867999999999991</v>
      </c>
      <c r="NO30" s="528">
        <v>9.2858000000000001</v>
      </c>
      <c r="NP30" s="528">
        <v>9.6481999999999992</v>
      </c>
      <c r="NQ30" s="528">
        <v>9.3190000000000008</v>
      </c>
      <c r="NR30" s="528">
        <v>9.3094999999999999</v>
      </c>
      <c r="NS30" s="509">
        <v>24</v>
      </c>
      <c r="NT30" s="529"/>
      <c r="NU30" s="529"/>
      <c r="NV30" s="509">
        <v>24</v>
      </c>
      <c r="NW30" s="528">
        <v>8.3320000000000007</v>
      </c>
      <c r="NX30" s="528">
        <v>8.5891999999999999</v>
      </c>
      <c r="NY30" s="528">
        <v>8.5784000000000002</v>
      </c>
      <c r="NZ30" s="528">
        <v>8.4616000000000007</v>
      </c>
      <c r="OA30" s="528">
        <v>8.6222999999999992</v>
      </c>
      <c r="OB30" s="528">
        <v>8.9123000000000001</v>
      </c>
      <c r="OC30" s="528">
        <v>8.8720999999999997</v>
      </c>
      <c r="OD30" s="528">
        <v>9.3133999999999997</v>
      </c>
      <c r="OE30" s="528">
        <v>10.0962</v>
      </c>
      <c r="OF30" s="528">
        <v>9.9930000000000003</v>
      </c>
      <c r="OG30" s="528">
        <v>9.9202999999999992</v>
      </c>
      <c r="OH30" s="528">
        <v>9.8027999999999995</v>
      </c>
      <c r="OI30" s="509">
        <v>24</v>
      </c>
      <c r="OJ30" s="529"/>
      <c r="OK30" s="529"/>
      <c r="OL30" s="509">
        <v>24</v>
      </c>
      <c r="OM30" s="528">
        <v>7.7946</v>
      </c>
      <c r="ON30" s="528">
        <v>7.7460000000000004</v>
      </c>
      <c r="OO30" s="528">
        <v>7.9233000000000002</v>
      </c>
      <c r="OP30" s="528">
        <v>7.8703000000000003</v>
      </c>
      <c r="OQ30" s="528">
        <v>7.8689</v>
      </c>
      <c r="OR30" s="528">
        <v>7.9581999999999997</v>
      </c>
      <c r="OS30" s="528">
        <v>7.8571</v>
      </c>
      <c r="OT30" s="528">
        <v>7.7596999999999996</v>
      </c>
      <c r="OU30" s="528">
        <v>7.7244999999999999</v>
      </c>
      <c r="OV30" s="528">
        <v>7.7229000000000001</v>
      </c>
      <c r="OW30" s="528">
        <v>8.2882999999999996</v>
      </c>
      <c r="OX30" s="528">
        <v>8.1156000000000006</v>
      </c>
      <c r="OY30" s="509">
        <v>24</v>
      </c>
      <c r="OZ30" s="529"/>
      <c r="PA30" s="529"/>
      <c r="PB30" s="509">
        <v>24</v>
      </c>
      <c r="PC30" s="528">
        <v>7.3122999999999996</v>
      </c>
      <c r="PD30" s="528">
        <v>7.5476999999999999</v>
      </c>
      <c r="PE30" s="528">
        <v>7.5431999999999997</v>
      </c>
      <c r="PF30" s="528">
        <v>7.3776000000000002</v>
      </c>
      <c r="PG30" s="528">
        <v>7.3860999999999999</v>
      </c>
      <c r="PH30" s="528">
        <v>7.5506000000000002</v>
      </c>
      <c r="PI30" s="528">
        <v>7.6292999999999997</v>
      </c>
      <c r="PJ30" s="528">
        <v>7.4756999999999998</v>
      </c>
      <c r="PK30" s="528">
        <v>7.5378999999999996</v>
      </c>
      <c r="PL30" s="528">
        <v>7.7625000000000002</v>
      </c>
      <c r="PM30" s="528">
        <v>7.8959999999999999</v>
      </c>
      <c r="PN30" s="528">
        <v>7.8426999999999998</v>
      </c>
      <c r="PO30" s="509">
        <v>24</v>
      </c>
      <c r="PP30" s="529"/>
      <c r="PQ30" s="529"/>
      <c r="PR30" s="509">
        <v>24</v>
      </c>
      <c r="PS30" s="528">
        <v>5.7050000000000001</v>
      </c>
      <c r="PT30" s="528">
        <v>5.95</v>
      </c>
      <c r="PU30" s="528">
        <v>7.28</v>
      </c>
      <c r="PV30" s="528">
        <v>6.0483000000000002</v>
      </c>
      <c r="PW30" s="528">
        <v>5.9192</v>
      </c>
      <c r="PX30" s="528">
        <v>6.2424999999999997</v>
      </c>
      <c r="PY30" s="528">
        <v>6.1582999999999997</v>
      </c>
      <c r="PZ30" s="528">
        <v>6.2149999999999999</v>
      </c>
      <c r="QA30" s="528">
        <v>6.3128000000000002</v>
      </c>
      <c r="QB30" s="528">
        <v>6.6695000000000002</v>
      </c>
      <c r="QC30" s="528">
        <v>7.7241999999999997</v>
      </c>
      <c r="QD30" s="528">
        <v>7.5857999999999999</v>
      </c>
      <c r="QE30" s="509">
        <v>24</v>
      </c>
      <c r="QF30" s="529"/>
      <c r="QG30" s="529"/>
      <c r="QH30" s="509">
        <v>24</v>
      </c>
      <c r="QI30" s="528">
        <v>3.1059999999999999</v>
      </c>
      <c r="QJ30" s="528">
        <v>3.1110000000000002</v>
      </c>
      <c r="QK30" s="528">
        <v>3.3325999999999998</v>
      </c>
      <c r="QL30" s="528">
        <v>3.3694000000000002</v>
      </c>
      <c r="QM30" s="528">
        <v>3.302</v>
      </c>
      <c r="QN30" s="528">
        <v>3.379</v>
      </c>
      <c r="QO30" s="528">
        <v>3.4056000000000002</v>
      </c>
      <c r="QP30" s="528">
        <v>3.3357999999999999</v>
      </c>
      <c r="QQ30" s="528">
        <v>3.4087999999999998</v>
      </c>
      <c r="QR30" s="528">
        <v>3.4173</v>
      </c>
      <c r="QS30" s="528">
        <v>3.4472999999999998</v>
      </c>
      <c r="QT30" s="528">
        <v>4.8875000000000002</v>
      </c>
      <c r="QU30" s="509">
        <v>24</v>
      </c>
      <c r="QV30" s="529"/>
      <c r="QW30" s="529"/>
      <c r="QX30" s="509">
        <v>24</v>
      </c>
      <c r="QY30" s="528">
        <v>3.1051000000000002</v>
      </c>
      <c r="QZ30" s="528">
        <v>3.0939999999999999</v>
      </c>
      <c r="RA30" s="528">
        <v>3.1172</v>
      </c>
      <c r="RB30" s="528">
        <v>3.0937000000000001</v>
      </c>
      <c r="RC30" s="528">
        <v>3.1109</v>
      </c>
      <c r="RD30" s="528">
        <v>3.1166</v>
      </c>
      <c r="RE30" s="528">
        <v>3.1229</v>
      </c>
      <c r="RF30" s="528">
        <v>3.1124000000000001</v>
      </c>
      <c r="RG30" s="528">
        <v>3.1162999999999998</v>
      </c>
      <c r="RH30" s="528">
        <v>3.1120000000000001</v>
      </c>
      <c r="RI30" s="528">
        <v>3.101</v>
      </c>
      <c r="RJ30" s="528">
        <v>3.1154999999999999</v>
      </c>
      <c r="RK30" s="509">
        <v>24</v>
      </c>
      <c r="RL30" s="529"/>
      <c r="RM30" s="529"/>
      <c r="RN30" s="509">
        <v>24</v>
      </c>
      <c r="RO30" s="528">
        <v>3.0617000000000001</v>
      </c>
      <c r="RP30" s="528">
        <v>3.0621</v>
      </c>
      <c r="RQ30" s="528">
        <v>3.0688</v>
      </c>
      <c r="RR30" s="528">
        <v>3.0828000000000002</v>
      </c>
      <c r="RS30" s="528">
        <v>3.1055999999999999</v>
      </c>
      <c r="RT30" s="528">
        <v>3.1215999999999999</v>
      </c>
      <c r="RU30" s="528">
        <v>3.1124999999999998</v>
      </c>
      <c r="RV30" s="528">
        <v>3.0813999999999999</v>
      </c>
      <c r="RW30" s="528">
        <v>3.1111</v>
      </c>
      <c r="RX30" s="528">
        <v>3.1252</v>
      </c>
      <c r="RY30" s="528">
        <v>3.1143000000000001</v>
      </c>
      <c r="RZ30" s="528">
        <v>3.1244999999999998</v>
      </c>
      <c r="SA30" s="509">
        <v>24</v>
      </c>
      <c r="SB30" s="529"/>
      <c r="SC30" s="529"/>
      <c r="SD30" s="509">
        <v>24</v>
      </c>
      <c r="SE30" s="528">
        <v>2.9554</v>
      </c>
      <c r="SF30" s="528">
        <v>2.9674</v>
      </c>
      <c r="SG30" s="528">
        <v>2.9786000000000001</v>
      </c>
      <c r="SH30" s="528">
        <v>2.9914000000000001</v>
      </c>
      <c r="SI30" s="528">
        <v>3.0034000000000001</v>
      </c>
      <c r="SJ30" s="528">
        <v>3.0150000000000001</v>
      </c>
      <c r="SK30" s="528">
        <v>3.0278</v>
      </c>
      <c r="SL30" s="528">
        <v>3.0402</v>
      </c>
      <c r="SM30" s="528">
        <v>3.0518000000000001</v>
      </c>
      <c r="SN30" s="528">
        <v>3.0653999999999999</v>
      </c>
      <c r="SO30" s="528">
        <v>3.0631900000000001</v>
      </c>
      <c r="SP30" s="528">
        <v>3.0773799999999998</v>
      </c>
      <c r="SQ30" s="509">
        <v>24</v>
      </c>
      <c r="SR30" s="529"/>
      <c r="SS30" s="529"/>
      <c r="ST30" s="509">
        <v>24</v>
      </c>
      <c r="SU30" s="528">
        <v>2.6659999999999999</v>
      </c>
      <c r="SV30" s="528">
        <v>2.6970000000000001</v>
      </c>
      <c r="SW30" s="528">
        <v>2.7250000000000001</v>
      </c>
      <c r="SX30" s="528">
        <v>2.754</v>
      </c>
      <c r="SY30" s="528">
        <v>2.786</v>
      </c>
      <c r="SZ30" s="528">
        <v>2.8113999999999999</v>
      </c>
      <c r="TA30" s="528">
        <v>2.8346</v>
      </c>
      <c r="TB30" s="528">
        <v>2.8610000000000002</v>
      </c>
      <c r="TC30" s="528">
        <v>2.8841999999999999</v>
      </c>
      <c r="TD30" s="528">
        <v>2.9098000000000002</v>
      </c>
      <c r="TE30" s="528">
        <v>2.931</v>
      </c>
      <c r="TF30" s="528">
        <v>2.9422000000000001</v>
      </c>
      <c r="TG30" s="509">
        <v>24</v>
      </c>
      <c r="TH30" s="529"/>
      <c r="TI30" s="529"/>
      <c r="TJ30" s="509">
        <v>24</v>
      </c>
      <c r="TK30" s="528">
        <v>2.2989999999999999</v>
      </c>
      <c r="TL30" s="528">
        <v>2.3319999999999999</v>
      </c>
      <c r="TM30" s="528">
        <v>2.36</v>
      </c>
      <c r="TN30" s="528">
        <v>2.3889999999999998</v>
      </c>
      <c r="TO30" s="528">
        <v>2.4209999999999998</v>
      </c>
      <c r="TP30" s="528">
        <v>2.452</v>
      </c>
      <c r="TQ30" s="528">
        <v>2.48</v>
      </c>
      <c r="TR30" s="528">
        <v>2.5129999999999999</v>
      </c>
      <c r="TS30" s="528">
        <v>2.5430000000000001</v>
      </c>
      <c r="TT30" s="528">
        <v>2.5720000000000001</v>
      </c>
      <c r="TU30" s="528">
        <v>2.605</v>
      </c>
      <c r="TV30" s="528">
        <v>2.6339999999999999</v>
      </c>
      <c r="TW30" s="509">
        <v>24</v>
      </c>
    </row>
    <row r="31" spans="2:543" s="4" customFormat="1" ht="23" customHeight="1">
      <c r="B31" s="509">
        <v>25</v>
      </c>
      <c r="C31" s="541">
        <v>20.459800000000001</v>
      </c>
      <c r="D31" s="541">
        <v>20.243500000000001</v>
      </c>
      <c r="E31" s="541">
        <v>20.18</v>
      </c>
      <c r="F31" s="541">
        <v>20.180199999999999</v>
      </c>
      <c r="G31" s="541">
        <v>19.828199999999999</v>
      </c>
      <c r="H31" s="541">
        <v>20.0365</v>
      </c>
      <c r="I31" s="541">
        <v>20.656199999999998</v>
      </c>
      <c r="J31" s="541">
        <v>19.998200000000001</v>
      </c>
      <c r="K31" s="541">
        <v>19.960799999999999</v>
      </c>
      <c r="L31" s="541">
        <v>19.964700000000001</v>
      </c>
      <c r="M31" s="541">
        <v>19.368300000000001</v>
      </c>
      <c r="N31" s="541">
        <v>19.574000000000002</v>
      </c>
      <c r="O31" s="509">
        <v>25</v>
      </c>
      <c r="R31" s="509">
        <v>25</v>
      </c>
      <c r="S31" s="541">
        <v>19.7393</v>
      </c>
      <c r="T31" s="541">
        <v>20.583300000000001</v>
      </c>
      <c r="U31" s="541">
        <v>20.640799999999999</v>
      </c>
      <c r="V31" s="541">
        <v>19.886500000000002</v>
      </c>
      <c r="W31" s="541">
        <v>19.951000000000001</v>
      </c>
      <c r="X31" s="541">
        <v>20.250499999999999</v>
      </c>
      <c r="Y31" s="541">
        <v>20.1812</v>
      </c>
      <c r="Z31" s="541">
        <v>20.390699999999999</v>
      </c>
      <c r="AA31" s="541">
        <v>20.027999999999999</v>
      </c>
      <c r="AB31" s="541">
        <v>20.264299999999999</v>
      </c>
      <c r="AC31" s="541">
        <v>21.210699999999999</v>
      </c>
      <c r="AD31" s="541">
        <v>20.658200000000001</v>
      </c>
      <c r="AE31" s="509">
        <v>25</v>
      </c>
      <c r="AH31" s="509">
        <v>25</v>
      </c>
      <c r="AI31" s="541">
        <v>18.8018</v>
      </c>
      <c r="AJ31" s="541">
        <v>18.913799999999998</v>
      </c>
      <c r="AK31" s="541">
        <v>25.078199999999999</v>
      </c>
      <c r="AL31" s="541">
        <v>24.623000000000001</v>
      </c>
      <c r="AM31" s="541">
        <v>22.96</v>
      </c>
      <c r="AN31" s="541">
        <v>22.413</v>
      </c>
      <c r="AO31" s="541">
        <v>22.3627</v>
      </c>
      <c r="AP31" s="541">
        <v>22.036200000000001</v>
      </c>
      <c r="AQ31" s="541">
        <v>22.089700000000001</v>
      </c>
      <c r="AR31" s="541">
        <v>21.03</v>
      </c>
      <c r="AS31" s="541">
        <v>20.101199999999999</v>
      </c>
      <c r="AT31" s="541">
        <v>20.1175</v>
      </c>
      <c r="AU31" s="509">
        <v>25</v>
      </c>
      <c r="AX31" s="509">
        <v>25</v>
      </c>
      <c r="AY31" s="528">
        <v>19.077100000000002</v>
      </c>
      <c r="AZ31" s="528">
        <v>19.2652</v>
      </c>
      <c r="BA31" s="528">
        <v>18.869399999999999</v>
      </c>
      <c r="BB31" s="528">
        <v>18.957799999999999</v>
      </c>
      <c r="BC31" s="528">
        <v>19.0122</v>
      </c>
      <c r="BD31" s="528">
        <v>19.066099999999999</v>
      </c>
      <c r="BE31" s="528">
        <v>19.131499999999999</v>
      </c>
      <c r="BF31" s="528">
        <v>19.746700000000001</v>
      </c>
      <c r="BG31" s="528">
        <v>19.445900000000002</v>
      </c>
      <c r="BH31" s="528">
        <v>19.125800000000002</v>
      </c>
      <c r="BI31" s="528">
        <v>19.413799999999998</v>
      </c>
      <c r="BJ31" s="528">
        <v>18.938500000000001</v>
      </c>
      <c r="BK31" s="509">
        <v>25</v>
      </c>
      <c r="BN31" s="509">
        <v>25</v>
      </c>
      <c r="BO31" s="528">
        <v>18.797999999999998</v>
      </c>
      <c r="BP31" s="528">
        <v>18.657399999999999</v>
      </c>
      <c r="BQ31" s="528">
        <v>18.5078</v>
      </c>
      <c r="BR31" s="528">
        <v>18.8628</v>
      </c>
      <c r="BS31" s="528">
        <v>19.766100000000002</v>
      </c>
      <c r="BT31" s="528">
        <v>20.3689</v>
      </c>
      <c r="BU31" s="528">
        <v>19.0761</v>
      </c>
      <c r="BV31" s="528">
        <v>18.8672</v>
      </c>
      <c r="BW31" s="528">
        <v>18.853899999999999</v>
      </c>
      <c r="BX31" s="528">
        <v>19.416899999999998</v>
      </c>
      <c r="BY31" s="528">
        <v>20.298400000000001</v>
      </c>
      <c r="BZ31" s="528">
        <v>19.927499999999998</v>
      </c>
      <c r="CA31" s="509">
        <v>25</v>
      </c>
      <c r="CD31" s="509">
        <v>25</v>
      </c>
      <c r="CE31" s="528">
        <v>21.4512</v>
      </c>
      <c r="CF31" s="528">
        <v>19.7011</v>
      </c>
      <c r="CG31" s="528">
        <v>18.9877</v>
      </c>
      <c r="CH31" s="528">
        <v>18.8413</v>
      </c>
      <c r="CI31" s="528">
        <v>18.614999999999998</v>
      </c>
      <c r="CJ31" s="528">
        <v>18.126999999999999</v>
      </c>
      <c r="CK31" s="528">
        <v>17.561800000000002</v>
      </c>
      <c r="CL31" s="528">
        <v>17.711300000000001</v>
      </c>
      <c r="CM31" s="528">
        <v>17.854500000000002</v>
      </c>
      <c r="CN31" s="528">
        <v>19.0489</v>
      </c>
      <c r="CO31" s="528">
        <v>18.604099999999999</v>
      </c>
      <c r="CP31" s="528">
        <v>19.3962</v>
      </c>
      <c r="CQ31" s="509">
        <v>25</v>
      </c>
      <c r="CT31" s="509">
        <v>25</v>
      </c>
      <c r="CU31" s="528">
        <v>18.508400000000002</v>
      </c>
      <c r="CV31" s="528">
        <v>18.194800000000001</v>
      </c>
      <c r="CW31" s="528">
        <v>17.336099999999998</v>
      </c>
      <c r="CX31" s="528">
        <v>17.420200000000001</v>
      </c>
      <c r="CY31" s="528">
        <v>18.444400000000002</v>
      </c>
      <c r="CZ31" s="528">
        <v>18.320699999999999</v>
      </c>
      <c r="DA31" s="528">
        <v>18.6022</v>
      </c>
      <c r="DB31" s="528">
        <v>18.3202</v>
      </c>
      <c r="DC31" s="528">
        <v>19.596499999999999</v>
      </c>
      <c r="DD31" s="528">
        <v>18.648099999999999</v>
      </c>
      <c r="DE31" s="528">
        <v>20.690100000000001</v>
      </c>
      <c r="DF31" s="528">
        <v>20.7179</v>
      </c>
      <c r="DG31" s="509">
        <v>25</v>
      </c>
      <c r="DJ31" s="509">
        <v>25</v>
      </c>
      <c r="DK31" s="528">
        <v>14.612</v>
      </c>
      <c r="DL31" s="528">
        <v>15.0832</v>
      </c>
      <c r="DM31" s="528">
        <v>14.964399999999999</v>
      </c>
      <c r="DN31" s="528">
        <v>15.353899999999999</v>
      </c>
      <c r="DO31" s="528">
        <v>15.2326</v>
      </c>
      <c r="DP31" s="528">
        <v>15.408799999999999</v>
      </c>
      <c r="DQ31" s="528">
        <v>16.094999999999999</v>
      </c>
      <c r="DR31" s="528">
        <v>16.917100000000001</v>
      </c>
      <c r="DS31" s="528">
        <v>17.045300000000001</v>
      </c>
      <c r="DT31" s="528">
        <v>16.528400000000001</v>
      </c>
      <c r="DU31" s="528">
        <v>16.5306</v>
      </c>
      <c r="DV31" s="528">
        <v>17.1953</v>
      </c>
      <c r="DW31" s="509">
        <v>25</v>
      </c>
      <c r="DZ31" s="509">
        <v>25</v>
      </c>
      <c r="EA31" s="528">
        <v>13.372199999999999</v>
      </c>
      <c r="EB31" s="528">
        <v>13.2704</v>
      </c>
      <c r="EC31" s="528">
        <v>13.22</v>
      </c>
      <c r="ED31" s="528">
        <v>13.0908</v>
      </c>
      <c r="EE31" s="528">
        <v>12.880100000000001</v>
      </c>
      <c r="EF31" s="528">
        <v>13.005599999999999</v>
      </c>
      <c r="EG31" s="528">
        <v>12.928599999999999</v>
      </c>
      <c r="EH31" s="528">
        <v>13.096299999999999</v>
      </c>
      <c r="EI31" s="528">
        <v>13.2768</v>
      </c>
      <c r="EJ31" s="528">
        <v>13.5288</v>
      </c>
      <c r="EK31" s="528">
        <v>13.6152</v>
      </c>
      <c r="EL31" s="528">
        <v>14.700799999999999</v>
      </c>
      <c r="EM31" s="509">
        <v>25</v>
      </c>
      <c r="EP31" s="509">
        <v>25</v>
      </c>
      <c r="EQ31" s="528">
        <v>12.6616</v>
      </c>
      <c r="ER31" s="528">
        <v>12.7699</v>
      </c>
      <c r="ES31" s="528">
        <v>12.3841</v>
      </c>
      <c r="ET31" s="528">
        <v>12.2492</v>
      </c>
      <c r="EU31" s="528">
        <v>12.4764</v>
      </c>
      <c r="EV31" s="528">
        <v>13.4041</v>
      </c>
      <c r="EW31" s="528">
        <v>12.5093</v>
      </c>
      <c r="EX31" s="528">
        <v>13.1486</v>
      </c>
      <c r="EY31" s="528">
        <v>12.784599999999999</v>
      </c>
      <c r="EZ31" s="528">
        <v>12.943300000000001</v>
      </c>
      <c r="FA31" s="528">
        <v>13.0617</v>
      </c>
      <c r="FB31" s="528">
        <v>12.961</v>
      </c>
      <c r="FC31" s="509">
        <v>25</v>
      </c>
      <c r="FF31" s="509">
        <v>25</v>
      </c>
      <c r="FG31" s="528">
        <v>13.138299999999999</v>
      </c>
      <c r="FH31" s="528">
        <v>12.8294</v>
      </c>
      <c r="FI31" s="528">
        <v>12.833</v>
      </c>
      <c r="FJ31" s="528">
        <v>13.2087</v>
      </c>
      <c r="FK31" s="528">
        <v>14.0335</v>
      </c>
      <c r="FL31" s="528">
        <v>13.7668</v>
      </c>
      <c r="FM31" s="528">
        <v>13.521800000000001</v>
      </c>
      <c r="FN31" s="528">
        <v>13.128399999999999</v>
      </c>
      <c r="FO31" s="528">
        <v>12.8376</v>
      </c>
      <c r="FP31" s="528">
        <v>12.975899999999999</v>
      </c>
      <c r="FQ31" s="528">
        <v>13.018800000000001</v>
      </c>
      <c r="FR31" s="528">
        <v>12.899100000000001</v>
      </c>
      <c r="FS31" s="509">
        <v>25</v>
      </c>
      <c r="FV31" s="509">
        <v>25</v>
      </c>
      <c r="FW31" s="528">
        <v>12.0482</v>
      </c>
      <c r="FX31" s="528">
        <v>12.19</v>
      </c>
      <c r="FY31" s="528">
        <v>12.000400000000001</v>
      </c>
      <c r="FZ31" s="528">
        <v>11.692500000000001</v>
      </c>
      <c r="GA31" s="528">
        <v>11.729200000000001</v>
      </c>
      <c r="GB31" s="528">
        <v>11.881600000000001</v>
      </c>
      <c r="GC31" s="528">
        <v>11.6174</v>
      </c>
      <c r="GD31" s="528">
        <v>12.335699999999999</v>
      </c>
      <c r="GE31" s="528">
        <v>13.8917</v>
      </c>
      <c r="GF31" s="528">
        <v>13.599600000000001</v>
      </c>
      <c r="GG31" s="528">
        <v>14.129099999999999</v>
      </c>
      <c r="GH31" s="528">
        <v>13.8169</v>
      </c>
      <c r="GI31" s="509">
        <v>25</v>
      </c>
      <c r="GL31" s="509">
        <v>25</v>
      </c>
      <c r="GM31" s="528">
        <v>12.772</v>
      </c>
      <c r="GN31" s="528">
        <v>12.8584</v>
      </c>
      <c r="GO31" s="528">
        <v>12.5284</v>
      </c>
      <c r="GP31" s="528">
        <v>12.240500000000001</v>
      </c>
      <c r="GQ31" s="528">
        <v>13.033799999999999</v>
      </c>
      <c r="GR31" s="528">
        <v>12.698399999999999</v>
      </c>
      <c r="GS31" s="528">
        <v>12.756</v>
      </c>
      <c r="GT31" s="528">
        <v>12.8492</v>
      </c>
      <c r="GU31" s="528">
        <v>12.642200000000001</v>
      </c>
      <c r="GV31" s="528">
        <v>12.3613</v>
      </c>
      <c r="GW31" s="528">
        <v>12.457700000000001</v>
      </c>
      <c r="GX31" s="528">
        <v>12.3332</v>
      </c>
      <c r="GY31" s="509">
        <v>25</v>
      </c>
      <c r="HB31" s="509">
        <v>25</v>
      </c>
      <c r="HC31" s="528">
        <v>13.932499999999999</v>
      </c>
      <c r="HD31" s="528">
        <v>14.8528</v>
      </c>
      <c r="HE31" s="528">
        <v>14.320399999999999</v>
      </c>
      <c r="HF31" s="528">
        <v>13.309900000000001</v>
      </c>
      <c r="HG31" s="528">
        <v>13.103</v>
      </c>
      <c r="HH31" s="528">
        <v>13.3187</v>
      </c>
      <c r="HI31" s="528">
        <v>13.1915</v>
      </c>
      <c r="HJ31" s="528">
        <v>12.822699999999999</v>
      </c>
      <c r="HK31" s="528">
        <v>13.3733</v>
      </c>
      <c r="HL31" s="528">
        <v>12.9495</v>
      </c>
      <c r="HM31" s="528">
        <v>13.0151</v>
      </c>
      <c r="HN31" s="528">
        <v>12.8896</v>
      </c>
      <c r="HO31" s="509">
        <v>25</v>
      </c>
      <c r="HP31" s="529"/>
      <c r="HQ31" s="529"/>
      <c r="HR31" s="509">
        <v>25</v>
      </c>
      <c r="HS31" s="528">
        <v>10.952199999999999</v>
      </c>
      <c r="HT31" s="528">
        <v>10.798</v>
      </c>
      <c r="HU31" s="528">
        <v>10.6944</v>
      </c>
      <c r="HV31" s="528">
        <v>10.486800000000001</v>
      </c>
      <c r="HW31" s="528">
        <v>10.381</v>
      </c>
      <c r="HX31" s="528">
        <v>10.3032</v>
      </c>
      <c r="HY31" s="528">
        <v>10.055199999999999</v>
      </c>
      <c r="HZ31" s="528">
        <v>10.1106</v>
      </c>
      <c r="IA31" s="528">
        <v>10.7264</v>
      </c>
      <c r="IB31" s="528">
        <v>13.5025</v>
      </c>
      <c r="IC31" s="528">
        <v>13.9183</v>
      </c>
      <c r="ID31" s="528">
        <v>13.217499999999999</v>
      </c>
      <c r="IE31" s="509">
        <v>25</v>
      </c>
      <c r="IF31" s="529"/>
      <c r="IG31" s="529"/>
      <c r="IH31" s="509">
        <v>25</v>
      </c>
      <c r="II31" s="528">
        <v>10.964499999999999</v>
      </c>
      <c r="IJ31" s="528">
        <v>10.968299999999999</v>
      </c>
      <c r="IK31" s="528">
        <v>11.022</v>
      </c>
      <c r="IL31" s="528">
        <v>10.963699999999999</v>
      </c>
      <c r="IM31" s="528">
        <v>10.768800000000001</v>
      </c>
      <c r="IN31" s="528">
        <v>10.826599999999999</v>
      </c>
      <c r="IO31" s="528">
        <v>10.763999999999999</v>
      </c>
      <c r="IP31" s="528">
        <v>11.0489</v>
      </c>
      <c r="IQ31" s="528">
        <v>10.951700000000001</v>
      </c>
      <c r="IR31" s="528">
        <v>10.824</v>
      </c>
      <c r="IS31" s="528">
        <v>10.978999999999999</v>
      </c>
      <c r="IT31" s="528">
        <v>10.8203</v>
      </c>
      <c r="IU31" s="509">
        <v>25</v>
      </c>
      <c r="IV31" s="529"/>
      <c r="IW31" s="529"/>
      <c r="IX31" s="509">
        <v>25</v>
      </c>
      <c r="IY31" s="528">
        <v>10.520799999999999</v>
      </c>
      <c r="IZ31" s="528">
        <v>10.4885</v>
      </c>
      <c r="JA31" s="528">
        <v>10.8612</v>
      </c>
      <c r="JB31" s="528">
        <v>11.066700000000001</v>
      </c>
      <c r="JC31" s="528">
        <v>11.1935</v>
      </c>
      <c r="JD31" s="528">
        <v>11.4405</v>
      </c>
      <c r="JE31" s="528">
        <v>10.8954</v>
      </c>
      <c r="JF31" s="528">
        <v>10.8428</v>
      </c>
      <c r="JG31" s="528">
        <v>10.9953</v>
      </c>
      <c r="JH31" s="528">
        <v>10.8489</v>
      </c>
      <c r="JI31" s="528">
        <v>10.9682</v>
      </c>
      <c r="JJ31" s="528">
        <v>10.841100000000001</v>
      </c>
      <c r="JK31" s="509">
        <v>25</v>
      </c>
      <c r="JL31" s="529"/>
      <c r="JM31" s="529"/>
      <c r="JN31" s="509">
        <v>25</v>
      </c>
      <c r="JO31" s="528">
        <v>11.250500000000001</v>
      </c>
      <c r="JP31" s="528">
        <v>11.0807</v>
      </c>
      <c r="JQ31" s="528">
        <v>11.1898</v>
      </c>
      <c r="JR31" s="528">
        <v>11.041</v>
      </c>
      <c r="JS31" s="528">
        <v>10.9533</v>
      </c>
      <c r="JT31" s="528">
        <v>10.7897</v>
      </c>
      <c r="JU31" s="528">
        <v>10.594200000000001</v>
      </c>
      <c r="JV31" s="528">
        <v>10.7742</v>
      </c>
      <c r="JW31" s="528">
        <v>10.834099999999999</v>
      </c>
      <c r="JX31" s="528">
        <v>10.8948</v>
      </c>
      <c r="JY31" s="528">
        <v>10.618</v>
      </c>
      <c r="JZ31" s="528">
        <v>10.6532</v>
      </c>
      <c r="KA31" s="509">
        <v>25</v>
      </c>
      <c r="KB31" s="529"/>
      <c r="KC31" s="529"/>
      <c r="KD31" s="509">
        <v>25</v>
      </c>
      <c r="KE31" s="528">
        <v>11.001200000000001</v>
      </c>
      <c r="KF31" s="528">
        <v>10.9437</v>
      </c>
      <c r="KG31" s="528">
        <v>10.9695</v>
      </c>
      <c r="KH31" s="528">
        <v>11.3256</v>
      </c>
      <c r="KI31" s="528">
        <v>11.567299999999999</v>
      </c>
      <c r="KJ31" s="528">
        <v>11.342499999999999</v>
      </c>
      <c r="KK31" s="528">
        <v>11.446300000000001</v>
      </c>
      <c r="KL31" s="528">
        <v>11.3764</v>
      </c>
      <c r="KM31" s="528">
        <v>11.417999999999999</v>
      </c>
      <c r="KN31" s="528">
        <v>11.472200000000001</v>
      </c>
      <c r="KO31" s="528">
        <v>11.3447</v>
      </c>
      <c r="KP31" s="528">
        <v>11.1363</v>
      </c>
      <c r="KQ31" s="509">
        <v>25</v>
      </c>
      <c r="KR31" s="529"/>
      <c r="KS31" s="529"/>
      <c r="KT31" s="509">
        <v>25</v>
      </c>
      <c r="KU31" s="528">
        <v>10.770799999999999</v>
      </c>
      <c r="KV31" s="528">
        <v>10.979799999999999</v>
      </c>
      <c r="KW31" s="528">
        <v>10.8734</v>
      </c>
      <c r="KX31" s="528">
        <v>10.514699999999999</v>
      </c>
      <c r="KY31" s="528">
        <v>10.238300000000001</v>
      </c>
      <c r="KZ31" s="528">
        <v>10.4796</v>
      </c>
      <c r="LA31" s="528">
        <v>10.516</v>
      </c>
      <c r="LB31" s="528">
        <v>10.8507</v>
      </c>
      <c r="LC31" s="528">
        <v>10.774100000000001</v>
      </c>
      <c r="LD31" s="528">
        <v>11.180999999999999</v>
      </c>
      <c r="LE31" s="528">
        <v>11.2058</v>
      </c>
      <c r="LF31" s="528">
        <v>11.269600000000001</v>
      </c>
      <c r="LG31" s="509">
        <v>25</v>
      </c>
      <c r="LH31" s="529"/>
      <c r="LI31" s="529"/>
      <c r="LJ31" s="509">
        <v>25</v>
      </c>
      <c r="LK31" s="528">
        <v>9.1479999999999997</v>
      </c>
      <c r="LL31" s="528">
        <v>9.0756999999999994</v>
      </c>
      <c r="LM31" s="528">
        <v>9.0707000000000004</v>
      </c>
      <c r="LN31" s="528">
        <v>9.2698</v>
      </c>
      <c r="LO31" s="528">
        <v>9.5165000000000006</v>
      </c>
      <c r="LP31" s="528">
        <v>9.9473000000000003</v>
      </c>
      <c r="LQ31" s="528">
        <v>9.6129999999999995</v>
      </c>
      <c r="LR31" s="528">
        <v>9.8388000000000009</v>
      </c>
      <c r="LS31" s="528">
        <v>10.357799999999999</v>
      </c>
      <c r="LT31" s="528">
        <v>10.007899999999999</v>
      </c>
      <c r="LU31" s="528">
        <v>10.087400000000001</v>
      </c>
      <c r="LV31" s="528">
        <v>10.1907</v>
      </c>
      <c r="LW31" s="509">
        <v>25</v>
      </c>
      <c r="LX31" s="529"/>
      <c r="LY31" s="529"/>
      <c r="LZ31" s="509">
        <v>25</v>
      </c>
      <c r="MA31" s="528">
        <v>9.7683</v>
      </c>
      <c r="MB31" s="528">
        <v>9.7278000000000002</v>
      </c>
      <c r="MC31" s="528">
        <v>9.5722000000000005</v>
      </c>
      <c r="MD31" s="528">
        <v>9.3699999999999992</v>
      </c>
      <c r="ME31" s="528">
        <v>9.0397999999999996</v>
      </c>
      <c r="MF31" s="528">
        <v>9.0570000000000004</v>
      </c>
      <c r="MG31" s="528">
        <v>9.1106999999999996</v>
      </c>
      <c r="MH31" s="528">
        <v>9.1204999999999998</v>
      </c>
      <c r="MI31" s="528">
        <v>9.4847999999999999</v>
      </c>
      <c r="MJ31" s="528">
        <v>9.2242999999999995</v>
      </c>
      <c r="MK31" s="528">
        <v>9.1547000000000001</v>
      </c>
      <c r="ML31" s="528">
        <v>9.1234999999999999</v>
      </c>
      <c r="MM31" s="509">
        <v>25</v>
      </c>
      <c r="MN31" s="529"/>
      <c r="MO31" s="529"/>
      <c r="MP31" s="509">
        <v>25</v>
      </c>
      <c r="MQ31" s="528">
        <v>9.4463000000000008</v>
      </c>
      <c r="MR31" s="528">
        <v>9.4067000000000007</v>
      </c>
      <c r="MS31" s="528">
        <v>9.2398000000000007</v>
      </c>
      <c r="MT31" s="528">
        <v>9.3939000000000004</v>
      </c>
      <c r="MU31" s="528">
        <v>9.5090000000000003</v>
      </c>
      <c r="MV31" s="528">
        <v>9.8706999999999994</v>
      </c>
      <c r="MW31" s="528">
        <v>9.3484999999999996</v>
      </c>
      <c r="MX31" s="528">
        <v>9.2773000000000003</v>
      </c>
      <c r="MY31" s="528">
        <v>9.4346999999999994</v>
      </c>
      <c r="MZ31" s="528">
        <v>9.5736000000000008</v>
      </c>
      <c r="NA31" s="528">
        <v>9.4056999999999995</v>
      </c>
      <c r="NB31" s="528">
        <v>9.5726999999999993</v>
      </c>
      <c r="NC31" s="509">
        <v>25</v>
      </c>
      <c r="ND31" s="529"/>
      <c r="NE31" s="529"/>
      <c r="NF31" s="509">
        <v>25</v>
      </c>
      <c r="NG31" s="528">
        <v>10.2874</v>
      </c>
      <c r="NH31" s="528">
        <v>9.9565000000000001</v>
      </c>
      <c r="NI31" s="528">
        <v>9.6722999999999999</v>
      </c>
      <c r="NJ31" s="528">
        <v>9.3316999999999997</v>
      </c>
      <c r="NK31" s="528">
        <v>9.3589000000000002</v>
      </c>
      <c r="NL31" s="528">
        <v>9.4038000000000004</v>
      </c>
      <c r="NM31" s="528">
        <v>9.3745999999999992</v>
      </c>
      <c r="NN31" s="528">
        <v>9.3435000000000006</v>
      </c>
      <c r="NO31" s="528">
        <v>9.3055000000000003</v>
      </c>
      <c r="NP31" s="528">
        <v>9.6481999999999992</v>
      </c>
      <c r="NQ31" s="528">
        <v>9.3323999999999998</v>
      </c>
      <c r="NR31" s="528">
        <v>9.3695000000000004</v>
      </c>
      <c r="NS31" s="509">
        <v>25</v>
      </c>
      <c r="NT31" s="529"/>
      <c r="NU31" s="529"/>
      <c r="NV31" s="509">
        <v>25</v>
      </c>
      <c r="NW31" s="528">
        <v>8.3320000000000007</v>
      </c>
      <c r="NX31" s="528">
        <v>8.6379000000000001</v>
      </c>
      <c r="NY31" s="528">
        <v>8.5367999999999995</v>
      </c>
      <c r="NZ31" s="528">
        <v>8.4702999999999999</v>
      </c>
      <c r="OA31" s="528">
        <v>8.6222999999999992</v>
      </c>
      <c r="OB31" s="528">
        <v>8.8926999999999996</v>
      </c>
      <c r="OC31" s="528">
        <v>8.8646999999999991</v>
      </c>
      <c r="OD31" s="528">
        <v>9.69</v>
      </c>
      <c r="OE31" s="528">
        <v>10.1159</v>
      </c>
      <c r="OF31" s="528">
        <v>9.9930000000000003</v>
      </c>
      <c r="OG31" s="528">
        <v>9.8772000000000002</v>
      </c>
      <c r="OH31" s="528">
        <v>9.8103999999999996</v>
      </c>
      <c r="OI31" s="509">
        <v>25</v>
      </c>
      <c r="OJ31" s="529"/>
      <c r="OK31" s="529"/>
      <c r="OL31" s="509">
        <v>25</v>
      </c>
      <c r="OM31" s="528">
        <v>7.7912999999999997</v>
      </c>
      <c r="ON31" s="528">
        <v>7.7617000000000003</v>
      </c>
      <c r="OO31" s="528">
        <v>7.9406999999999996</v>
      </c>
      <c r="OP31" s="528">
        <v>7.8783000000000003</v>
      </c>
      <c r="OQ31" s="528">
        <v>7.8689</v>
      </c>
      <c r="OR31" s="528">
        <v>7.9770000000000003</v>
      </c>
      <c r="OS31" s="528">
        <v>7.8372999999999999</v>
      </c>
      <c r="OT31" s="528">
        <v>7.7596999999999996</v>
      </c>
      <c r="OU31" s="528">
        <v>7.7680999999999996</v>
      </c>
      <c r="OV31" s="528">
        <v>7.7629999999999999</v>
      </c>
      <c r="OW31" s="528">
        <v>8.1773000000000007</v>
      </c>
      <c r="OX31" s="528">
        <v>8.1267999999999994</v>
      </c>
      <c r="OY31" s="509">
        <v>25</v>
      </c>
      <c r="OZ31" s="529"/>
      <c r="PA31" s="529"/>
      <c r="PB31" s="509">
        <v>25</v>
      </c>
      <c r="PC31" s="528">
        <v>7.3608000000000002</v>
      </c>
      <c r="PD31" s="528">
        <v>7.5476999999999999</v>
      </c>
      <c r="PE31" s="528">
        <v>7.5431999999999997</v>
      </c>
      <c r="PF31" s="528">
        <v>7.4175000000000004</v>
      </c>
      <c r="PG31" s="528">
        <v>7.3822999999999999</v>
      </c>
      <c r="PH31" s="528">
        <v>7.5743</v>
      </c>
      <c r="PI31" s="528">
        <v>7.6078000000000001</v>
      </c>
      <c r="PJ31" s="528">
        <v>7.4756999999999998</v>
      </c>
      <c r="PK31" s="528">
        <v>7.5827999999999998</v>
      </c>
      <c r="PL31" s="528">
        <v>7.8502000000000001</v>
      </c>
      <c r="PM31" s="528">
        <v>7.8959999999999999</v>
      </c>
      <c r="PN31" s="528">
        <v>7.8343999999999996</v>
      </c>
      <c r="PO31" s="509">
        <v>25</v>
      </c>
      <c r="PP31" s="529"/>
      <c r="PQ31" s="529"/>
      <c r="PR31" s="509">
        <v>25</v>
      </c>
      <c r="PS31" s="528">
        <v>5.7725</v>
      </c>
      <c r="PT31" s="528">
        <v>5.6749999999999998</v>
      </c>
      <c r="PU31" s="528">
        <v>7.0425000000000004</v>
      </c>
      <c r="PV31" s="528">
        <v>6.0191999999999997</v>
      </c>
      <c r="PW31" s="528">
        <v>5.9950000000000001</v>
      </c>
      <c r="PX31" s="528">
        <v>6.2424999999999997</v>
      </c>
      <c r="PY31" s="528">
        <v>6.0983000000000001</v>
      </c>
      <c r="PZ31" s="528">
        <v>6.3049999999999997</v>
      </c>
      <c r="QA31" s="528">
        <v>6.3128000000000002</v>
      </c>
      <c r="QB31" s="528">
        <v>6.7034000000000002</v>
      </c>
      <c r="QC31" s="528">
        <v>7.6349999999999998</v>
      </c>
      <c r="QD31" s="528">
        <v>7.5857999999999999</v>
      </c>
      <c r="QE31" s="509">
        <v>25</v>
      </c>
      <c r="QF31" s="529"/>
      <c r="QG31" s="529"/>
      <c r="QH31" s="509">
        <v>25</v>
      </c>
      <c r="QI31" s="528">
        <v>3.1055000000000001</v>
      </c>
      <c r="QJ31" s="528">
        <v>3.1179000000000001</v>
      </c>
      <c r="QK31" s="528">
        <v>3.3325999999999998</v>
      </c>
      <c r="QL31" s="528">
        <v>3.3694000000000002</v>
      </c>
      <c r="QM31" s="528">
        <v>3.3025000000000002</v>
      </c>
      <c r="QN31" s="528">
        <v>3.3855</v>
      </c>
      <c r="QO31" s="528">
        <v>3.4056000000000002</v>
      </c>
      <c r="QP31" s="528">
        <v>3.3428</v>
      </c>
      <c r="QQ31" s="528">
        <v>3.4087999999999998</v>
      </c>
      <c r="QR31" s="528">
        <v>3.4175</v>
      </c>
      <c r="QS31" s="528">
        <v>3.4439000000000002</v>
      </c>
      <c r="QT31" s="528">
        <v>4.8875000000000002</v>
      </c>
      <c r="QU31" s="509">
        <v>25</v>
      </c>
      <c r="QV31" s="529"/>
      <c r="QW31" s="529"/>
      <c r="QX31" s="509">
        <v>25</v>
      </c>
      <c r="QY31" s="528">
        <v>3.1051000000000002</v>
      </c>
      <c r="QZ31" s="528">
        <v>3.0939000000000001</v>
      </c>
      <c r="RA31" s="528">
        <v>3.1149</v>
      </c>
      <c r="RB31" s="528">
        <v>3.0937000000000001</v>
      </c>
      <c r="RC31" s="528">
        <v>3.1097000000000001</v>
      </c>
      <c r="RD31" s="528">
        <v>3.1156999999999999</v>
      </c>
      <c r="RE31" s="528">
        <v>3.1229</v>
      </c>
      <c r="RF31" s="528">
        <v>3.1112000000000002</v>
      </c>
      <c r="RG31" s="528">
        <v>3.1124000000000001</v>
      </c>
      <c r="RH31" s="528">
        <v>3.1120000000000001</v>
      </c>
      <c r="RI31" s="528">
        <v>3.1002999999999998</v>
      </c>
      <c r="RJ31" s="528">
        <v>3.1110000000000002</v>
      </c>
      <c r="RK31" s="509">
        <v>25</v>
      </c>
      <c r="RL31" s="529"/>
      <c r="RM31" s="529"/>
      <c r="RN31" s="509">
        <v>25</v>
      </c>
      <c r="RO31" s="528">
        <v>3.0735999999999999</v>
      </c>
      <c r="RP31" s="528">
        <v>3.0609999999999999</v>
      </c>
      <c r="RQ31" s="528">
        <v>3.0693000000000001</v>
      </c>
      <c r="RR31" s="528">
        <v>3.0855999999999999</v>
      </c>
      <c r="RS31" s="528">
        <v>3.1055999999999999</v>
      </c>
      <c r="RT31" s="528">
        <v>3.1221999999999999</v>
      </c>
      <c r="RU31" s="528">
        <v>3.1113</v>
      </c>
      <c r="RV31" s="528">
        <v>3.0836000000000001</v>
      </c>
      <c r="RW31" s="528">
        <v>3.1208</v>
      </c>
      <c r="RX31" s="528">
        <v>3.1252</v>
      </c>
      <c r="RY31" s="528">
        <v>3.1194000000000002</v>
      </c>
      <c r="RZ31" s="528">
        <v>3.1194999999999999</v>
      </c>
      <c r="SA31" s="509">
        <v>25</v>
      </c>
      <c r="SB31" s="529"/>
      <c r="SC31" s="529"/>
      <c r="SD31" s="509">
        <v>25</v>
      </c>
      <c r="SE31" s="528">
        <v>2.9558</v>
      </c>
      <c r="SF31" s="528">
        <v>2.9674</v>
      </c>
      <c r="SG31" s="528">
        <v>2.9786000000000001</v>
      </c>
      <c r="SH31" s="528">
        <v>2.9918</v>
      </c>
      <c r="SI31" s="528">
        <v>3.0038</v>
      </c>
      <c r="SJ31" s="528">
        <v>3.0154000000000001</v>
      </c>
      <c r="SK31" s="528">
        <v>3.0282</v>
      </c>
      <c r="SL31" s="528">
        <v>3.0402</v>
      </c>
      <c r="SM31" s="528">
        <v>3.0529999999999999</v>
      </c>
      <c r="SN31" s="528">
        <v>3.0657999999999999</v>
      </c>
      <c r="SO31" s="528">
        <v>3.0631900000000001</v>
      </c>
      <c r="SP31" s="528">
        <v>3.0836899999999998</v>
      </c>
      <c r="SQ31" s="509">
        <v>25</v>
      </c>
      <c r="SR31" s="529"/>
      <c r="SS31" s="529"/>
      <c r="ST31" s="509">
        <v>25</v>
      </c>
      <c r="SU31" s="528">
        <v>2.6669999999999998</v>
      </c>
      <c r="SV31" s="528">
        <v>2.6970000000000001</v>
      </c>
      <c r="SW31" s="528">
        <v>2.7250000000000001</v>
      </c>
      <c r="SX31" s="528">
        <v>2.7570000000000001</v>
      </c>
      <c r="SY31" s="528">
        <v>2.7869999999999999</v>
      </c>
      <c r="SZ31" s="528">
        <v>2.8113999999999999</v>
      </c>
      <c r="TA31" s="528">
        <v>2.8370000000000002</v>
      </c>
      <c r="TB31" s="528">
        <v>2.8618000000000001</v>
      </c>
      <c r="TC31" s="528">
        <v>2.8849999999999998</v>
      </c>
      <c r="TD31" s="528">
        <v>2.9106000000000001</v>
      </c>
      <c r="TE31" s="528">
        <v>2.931</v>
      </c>
      <c r="TF31" s="528">
        <v>2.9426000000000001</v>
      </c>
      <c r="TG31" s="509">
        <v>25</v>
      </c>
      <c r="TH31" s="529"/>
      <c r="TI31" s="529"/>
      <c r="TJ31" s="509">
        <v>25</v>
      </c>
      <c r="TK31" s="528">
        <v>2.302</v>
      </c>
      <c r="TL31" s="528">
        <v>2.3330000000000002</v>
      </c>
      <c r="TM31" s="528">
        <v>2.3610000000000002</v>
      </c>
      <c r="TN31" s="528">
        <v>2.39</v>
      </c>
      <c r="TO31" s="528">
        <v>2.4220000000000002</v>
      </c>
      <c r="TP31" s="528">
        <v>2.452</v>
      </c>
      <c r="TQ31" s="528">
        <v>2.4809999999999999</v>
      </c>
      <c r="TR31" s="528">
        <v>2.5139999999999998</v>
      </c>
      <c r="TS31" s="528">
        <v>2.5430000000000001</v>
      </c>
      <c r="TT31" s="528">
        <v>2.5750000000000002</v>
      </c>
      <c r="TU31" s="528">
        <v>2.6059999999999999</v>
      </c>
      <c r="TV31" s="528">
        <v>2.6339999999999999</v>
      </c>
      <c r="TW31" s="509">
        <v>25</v>
      </c>
    </row>
    <row r="32" spans="2:543" s="4" customFormat="1" ht="23" customHeight="1">
      <c r="B32" s="509">
        <v>26</v>
      </c>
      <c r="C32" s="541">
        <v>20.630800000000001</v>
      </c>
      <c r="D32" s="541">
        <v>20.6525</v>
      </c>
      <c r="E32" s="541">
        <v>20.1313</v>
      </c>
      <c r="F32" s="541">
        <v>20.318300000000001</v>
      </c>
      <c r="G32" s="541">
        <v>19.887</v>
      </c>
      <c r="H32" s="541">
        <v>20.0365</v>
      </c>
      <c r="I32" s="541">
        <v>20.515000000000001</v>
      </c>
      <c r="J32" s="541">
        <v>19.919799999999999</v>
      </c>
      <c r="K32" s="541">
        <v>19.960799999999999</v>
      </c>
      <c r="L32" s="541">
        <v>19.953499999999998</v>
      </c>
      <c r="M32" s="541">
        <v>19.369199999999999</v>
      </c>
      <c r="N32" s="541">
        <v>19.574000000000002</v>
      </c>
      <c r="O32" s="509">
        <v>26</v>
      </c>
      <c r="R32" s="509">
        <v>26</v>
      </c>
      <c r="S32" s="541">
        <v>19.9833</v>
      </c>
      <c r="T32" s="541">
        <v>20.475200000000001</v>
      </c>
      <c r="U32" s="541">
        <v>20.7882</v>
      </c>
      <c r="V32" s="541">
        <v>19.886500000000002</v>
      </c>
      <c r="W32" s="541">
        <v>19.872</v>
      </c>
      <c r="X32" s="541">
        <v>20.048300000000001</v>
      </c>
      <c r="Y32" s="541">
        <v>20.1812</v>
      </c>
      <c r="Z32" s="541">
        <v>20.296700000000001</v>
      </c>
      <c r="AA32" s="541">
        <v>20.027999999999999</v>
      </c>
      <c r="AB32" s="541">
        <v>20.183700000000002</v>
      </c>
      <c r="AC32" s="541">
        <v>21.435700000000001</v>
      </c>
      <c r="AD32" s="541">
        <v>20.658200000000001</v>
      </c>
      <c r="AE32" s="509">
        <v>26</v>
      </c>
      <c r="AH32" s="509">
        <v>26</v>
      </c>
      <c r="AI32" s="541">
        <v>18.8018</v>
      </c>
      <c r="AJ32" s="541">
        <v>19.119700000000002</v>
      </c>
      <c r="AK32" s="541">
        <v>25.118500000000001</v>
      </c>
      <c r="AL32" s="541">
        <v>24.623000000000001</v>
      </c>
      <c r="AM32" s="541">
        <v>22.7928</v>
      </c>
      <c r="AN32" s="541">
        <v>22.6662</v>
      </c>
      <c r="AO32" s="541">
        <v>22.3627</v>
      </c>
      <c r="AP32" s="541">
        <v>21.984000000000002</v>
      </c>
      <c r="AQ32" s="541">
        <v>22.367799999999999</v>
      </c>
      <c r="AR32" s="541">
        <v>21.03</v>
      </c>
      <c r="AS32" s="541">
        <v>20.057700000000001</v>
      </c>
      <c r="AT32" s="541">
        <v>20.1175</v>
      </c>
      <c r="AU32" s="509">
        <v>26</v>
      </c>
      <c r="AX32" s="509">
        <v>26</v>
      </c>
      <c r="AY32" s="528">
        <v>18.985900000000001</v>
      </c>
      <c r="AZ32" s="528">
        <v>19.139399999999998</v>
      </c>
      <c r="BA32" s="528">
        <v>19.136900000000001</v>
      </c>
      <c r="BB32" s="528">
        <v>19.0046</v>
      </c>
      <c r="BC32" s="528">
        <v>19.0122</v>
      </c>
      <c r="BD32" s="528">
        <v>19.183299999999999</v>
      </c>
      <c r="BE32" s="528">
        <v>19.089400000000001</v>
      </c>
      <c r="BF32" s="528">
        <v>19.746700000000001</v>
      </c>
      <c r="BG32" s="528">
        <v>19.4587</v>
      </c>
      <c r="BH32" s="528">
        <v>19.087800000000001</v>
      </c>
      <c r="BI32" s="528">
        <v>19.398700000000002</v>
      </c>
      <c r="BJ32" s="528">
        <v>18.938500000000001</v>
      </c>
      <c r="BK32" s="509">
        <v>26</v>
      </c>
      <c r="BN32" s="509">
        <v>26</v>
      </c>
      <c r="BO32" s="528">
        <v>18.517800000000001</v>
      </c>
      <c r="BP32" s="528">
        <v>18.657399999999999</v>
      </c>
      <c r="BQ32" s="528">
        <v>18.5078</v>
      </c>
      <c r="BR32" s="528">
        <v>18.8139</v>
      </c>
      <c r="BS32" s="528">
        <v>19.704799999999999</v>
      </c>
      <c r="BT32" s="528">
        <v>20.1264</v>
      </c>
      <c r="BU32" s="528">
        <v>18.8506</v>
      </c>
      <c r="BV32" s="528">
        <v>18.8672</v>
      </c>
      <c r="BW32" s="528">
        <v>18.851600000000001</v>
      </c>
      <c r="BX32" s="528">
        <v>19.462299999999999</v>
      </c>
      <c r="BY32" s="528">
        <v>20.298400000000001</v>
      </c>
      <c r="BZ32" s="528">
        <v>19.927499999999998</v>
      </c>
      <c r="CA32" s="509">
        <v>26</v>
      </c>
      <c r="CD32" s="509">
        <v>26</v>
      </c>
      <c r="CE32" s="528">
        <v>21.369199999999999</v>
      </c>
      <c r="CF32" s="528">
        <v>19.7011</v>
      </c>
      <c r="CG32" s="528">
        <v>18.9877</v>
      </c>
      <c r="CH32" s="528">
        <v>18.652100000000001</v>
      </c>
      <c r="CI32" s="528">
        <v>18.568899999999999</v>
      </c>
      <c r="CJ32" s="528">
        <v>18.126999999999999</v>
      </c>
      <c r="CK32" s="528">
        <v>17.689299999999999</v>
      </c>
      <c r="CL32" s="528">
        <v>17.697700000000001</v>
      </c>
      <c r="CM32" s="528">
        <v>17.748699999999999</v>
      </c>
      <c r="CN32" s="528">
        <v>19.200900000000001</v>
      </c>
      <c r="CO32" s="528">
        <v>18.604099999999999</v>
      </c>
      <c r="CP32" s="528">
        <v>19.3962</v>
      </c>
      <c r="CQ32" s="509">
        <v>26</v>
      </c>
      <c r="CT32" s="509">
        <v>26</v>
      </c>
      <c r="CU32" s="528">
        <v>18.428000000000001</v>
      </c>
      <c r="CV32" s="528">
        <v>18.289300000000001</v>
      </c>
      <c r="CW32" s="528">
        <v>17.336099999999998</v>
      </c>
      <c r="CX32" s="528">
        <v>17.4359</v>
      </c>
      <c r="CY32" s="528">
        <v>18.4694</v>
      </c>
      <c r="CZ32" s="528">
        <v>18.320699999999999</v>
      </c>
      <c r="DA32" s="528">
        <v>18.608899999999998</v>
      </c>
      <c r="DB32" s="528">
        <v>18.4971</v>
      </c>
      <c r="DC32" s="528">
        <v>19.596499999999999</v>
      </c>
      <c r="DD32" s="528">
        <v>18.565799999999999</v>
      </c>
      <c r="DE32" s="528">
        <v>20.705100000000002</v>
      </c>
      <c r="DF32" s="528">
        <v>20.7179</v>
      </c>
      <c r="DG32" s="509">
        <v>26</v>
      </c>
      <c r="DJ32" s="509">
        <v>26</v>
      </c>
      <c r="DK32" s="528">
        <v>14.612</v>
      </c>
      <c r="DL32" s="528">
        <v>14.9712</v>
      </c>
      <c r="DM32" s="528">
        <v>14.934699999999999</v>
      </c>
      <c r="DN32" s="528">
        <v>15.353899999999999</v>
      </c>
      <c r="DO32" s="528">
        <v>15.2918</v>
      </c>
      <c r="DP32" s="528">
        <v>15.455500000000001</v>
      </c>
      <c r="DQ32" s="528">
        <v>16.094999999999999</v>
      </c>
      <c r="DR32" s="528">
        <v>17.0975</v>
      </c>
      <c r="DS32" s="528">
        <v>17.045300000000001</v>
      </c>
      <c r="DT32" s="528">
        <v>16.528400000000001</v>
      </c>
      <c r="DU32" s="528">
        <v>16.470500000000001</v>
      </c>
      <c r="DV32" s="528">
        <v>17.1953</v>
      </c>
      <c r="DW32" s="509">
        <v>26</v>
      </c>
      <c r="DZ32" s="509">
        <v>26</v>
      </c>
      <c r="EA32" s="528">
        <v>13.372199999999999</v>
      </c>
      <c r="EB32" s="528">
        <v>13.209</v>
      </c>
      <c r="EC32" s="528">
        <v>13.2019</v>
      </c>
      <c r="ED32" s="528">
        <v>13.101000000000001</v>
      </c>
      <c r="EE32" s="528">
        <v>12.880100000000001</v>
      </c>
      <c r="EF32" s="528">
        <v>13.021800000000001</v>
      </c>
      <c r="EG32" s="528">
        <v>12.9572</v>
      </c>
      <c r="EH32" s="528">
        <v>13.1328</v>
      </c>
      <c r="EI32" s="528">
        <v>13.301500000000001</v>
      </c>
      <c r="EJ32" s="528">
        <v>13.5288</v>
      </c>
      <c r="EK32" s="528">
        <v>13.6374</v>
      </c>
      <c r="EL32" s="528">
        <v>14.700799999999999</v>
      </c>
      <c r="EM32" s="509">
        <v>26</v>
      </c>
      <c r="EP32" s="509">
        <v>26</v>
      </c>
      <c r="EQ32" s="528">
        <v>12.6286</v>
      </c>
      <c r="ER32" s="528">
        <v>12.7517</v>
      </c>
      <c r="ES32" s="528">
        <v>12.372400000000001</v>
      </c>
      <c r="ET32" s="528">
        <v>12.2768</v>
      </c>
      <c r="EU32" s="528">
        <v>12.4764</v>
      </c>
      <c r="EV32" s="528">
        <v>13.396599999999999</v>
      </c>
      <c r="EW32" s="528">
        <v>12.632999999999999</v>
      </c>
      <c r="EX32" s="528">
        <v>13.1486</v>
      </c>
      <c r="EY32" s="528">
        <v>12.875400000000001</v>
      </c>
      <c r="EZ32" s="528">
        <v>12.9916</v>
      </c>
      <c r="FA32" s="528">
        <v>13.0223</v>
      </c>
      <c r="FB32" s="528">
        <v>12.961</v>
      </c>
      <c r="FC32" s="509">
        <v>26</v>
      </c>
      <c r="FF32" s="531">
        <v>26</v>
      </c>
      <c r="FG32" s="532">
        <v>13.171200000000001</v>
      </c>
      <c r="FH32" s="532">
        <v>12.8294</v>
      </c>
      <c r="FI32" s="532">
        <v>12.833</v>
      </c>
      <c r="FJ32" s="532">
        <v>13.139200000000001</v>
      </c>
      <c r="FK32" s="532">
        <v>14.004</v>
      </c>
      <c r="FL32" s="532">
        <v>13.849</v>
      </c>
      <c r="FM32" s="532">
        <v>13.679600000000001</v>
      </c>
      <c r="FN32" s="532">
        <v>13.128399999999999</v>
      </c>
      <c r="FO32" s="532">
        <v>12.9123</v>
      </c>
      <c r="FP32" s="532">
        <v>12.9839</v>
      </c>
      <c r="FQ32" s="532">
        <v>13.018800000000001</v>
      </c>
      <c r="FR32" s="532">
        <v>12.899100000000001</v>
      </c>
      <c r="FS32" s="531">
        <v>26</v>
      </c>
      <c r="FV32" s="509">
        <v>26</v>
      </c>
      <c r="FW32" s="528">
        <v>12.051600000000001</v>
      </c>
      <c r="FX32" s="528">
        <v>12.173</v>
      </c>
      <c r="FY32" s="528">
        <v>11.955500000000001</v>
      </c>
      <c r="FZ32" s="528">
        <v>11.6252</v>
      </c>
      <c r="GA32" s="528">
        <v>11.703200000000001</v>
      </c>
      <c r="GB32" s="528">
        <v>11.881600000000001</v>
      </c>
      <c r="GC32" s="528">
        <v>11.6393</v>
      </c>
      <c r="GD32" s="528">
        <v>12.395200000000001</v>
      </c>
      <c r="GE32" s="528">
        <v>13.8917</v>
      </c>
      <c r="GF32" s="528">
        <v>13.488899999999999</v>
      </c>
      <c r="GG32" s="528">
        <v>14.1778</v>
      </c>
      <c r="GH32" s="528">
        <v>13.8169</v>
      </c>
      <c r="GI32" s="509">
        <v>26</v>
      </c>
      <c r="GL32" s="509">
        <v>26</v>
      </c>
      <c r="GM32" s="528">
        <v>12.9412</v>
      </c>
      <c r="GN32" s="528">
        <v>12.853899999999999</v>
      </c>
      <c r="GO32" s="528">
        <v>12.5381</v>
      </c>
      <c r="GP32" s="528">
        <v>12.240500000000001</v>
      </c>
      <c r="GQ32" s="528">
        <v>12.9588</v>
      </c>
      <c r="GR32" s="528">
        <v>12.7141</v>
      </c>
      <c r="GS32" s="528">
        <v>12.756</v>
      </c>
      <c r="GT32" s="528">
        <v>12.936</v>
      </c>
      <c r="GU32" s="528">
        <v>12.642200000000001</v>
      </c>
      <c r="GV32" s="528">
        <v>12.387700000000001</v>
      </c>
      <c r="GW32" s="528">
        <v>12.3912</v>
      </c>
      <c r="GX32" s="528">
        <v>12.3332</v>
      </c>
      <c r="GY32" s="509">
        <v>26</v>
      </c>
      <c r="HB32" s="509">
        <v>26</v>
      </c>
      <c r="HC32" s="528">
        <v>13.932499999999999</v>
      </c>
      <c r="HD32" s="528">
        <v>14.832700000000001</v>
      </c>
      <c r="HE32" s="528">
        <v>14.2683</v>
      </c>
      <c r="HF32" s="528">
        <v>13.309900000000001</v>
      </c>
      <c r="HG32" s="528">
        <v>13.172800000000001</v>
      </c>
      <c r="HH32" s="528">
        <v>13.305099999999999</v>
      </c>
      <c r="HI32" s="528">
        <v>13.1915</v>
      </c>
      <c r="HJ32" s="528">
        <v>12.827400000000001</v>
      </c>
      <c r="HK32" s="528">
        <v>13.4549</v>
      </c>
      <c r="HL32" s="528">
        <v>12.9495</v>
      </c>
      <c r="HM32" s="528">
        <v>12.9305</v>
      </c>
      <c r="HN32" s="528">
        <v>12.8896</v>
      </c>
      <c r="HO32" s="509">
        <v>26</v>
      </c>
      <c r="HP32" s="529"/>
      <c r="HQ32" s="529"/>
      <c r="HR32" s="509">
        <v>26</v>
      </c>
      <c r="HS32" s="528">
        <v>10.8934</v>
      </c>
      <c r="HT32" s="528">
        <v>10.7818</v>
      </c>
      <c r="HU32" s="528">
        <v>10.674799999999999</v>
      </c>
      <c r="HV32" s="528">
        <v>10.462</v>
      </c>
      <c r="HW32" s="528">
        <v>10.381</v>
      </c>
      <c r="HX32" s="528">
        <v>10.318</v>
      </c>
      <c r="HY32" s="528">
        <v>10.026400000000001</v>
      </c>
      <c r="HZ32" s="528">
        <v>10.0991</v>
      </c>
      <c r="IA32" s="528">
        <v>10.7879</v>
      </c>
      <c r="IB32" s="528">
        <v>13.5025</v>
      </c>
      <c r="IC32" s="528">
        <v>13.495799999999999</v>
      </c>
      <c r="ID32" s="528">
        <v>13.217499999999999</v>
      </c>
      <c r="IE32" s="509">
        <v>26</v>
      </c>
      <c r="IF32" s="529"/>
      <c r="IG32" s="529"/>
      <c r="IH32" s="509">
        <v>26</v>
      </c>
      <c r="II32" s="528">
        <v>10.948600000000001</v>
      </c>
      <c r="IJ32" s="528">
        <v>10.968299999999999</v>
      </c>
      <c r="IK32" s="528">
        <v>11.022</v>
      </c>
      <c r="IL32" s="528">
        <v>11.0053</v>
      </c>
      <c r="IM32" s="528">
        <v>10.8354</v>
      </c>
      <c r="IN32" s="528">
        <v>10.808</v>
      </c>
      <c r="IO32" s="528">
        <v>10.784599999999999</v>
      </c>
      <c r="IP32" s="528">
        <v>11.0489</v>
      </c>
      <c r="IQ32" s="528">
        <v>10.9391</v>
      </c>
      <c r="IR32" s="528">
        <v>10.8348</v>
      </c>
      <c r="IS32" s="528">
        <v>10.978999999999999</v>
      </c>
      <c r="IT32" s="528">
        <v>10.8203</v>
      </c>
      <c r="IU32" s="509">
        <v>26</v>
      </c>
      <c r="IV32" s="529"/>
      <c r="IW32" s="529"/>
      <c r="IX32" s="509">
        <v>26</v>
      </c>
      <c r="IY32" s="528">
        <v>10.5063</v>
      </c>
      <c r="IZ32" s="528">
        <v>10.4885</v>
      </c>
      <c r="JA32" s="528">
        <v>10.8612</v>
      </c>
      <c r="JB32" s="528">
        <v>11.0656</v>
      </c>
      <c r="JC32" s="528">
        <v>11.285399999999999</v>
      </c>
      <c r="JD32" s="528">
        <v>11.4405</v>
      </c>
      <c r="JE32" s="528">
        <v>10.930300000000001</v>
      </c>
      <c r="JF32" s="528">
        <v>10.922000000000001</v>
      </c>
      <c r="JG32" s="528">
        <v>11.0877</v>
      </c>
      <c r="JH32" s="528">
        <v>10.828900000000001</v>
      </c>
      <c r="JI32" s="528">
        <v>10.9682</v>
      </c>
      <c r="JJ32" s="528">
        <v>10.841100000000001</v>
      </c>
      <c r="JK32" s="509">
        <v>26</v>
      </c>
      <c r="JL32" s="529"/>
      <c r="JM32" s="529"/>
      <c r="JN32" s="509">
        <v>26</v>
      </c>
      <c r="JO32" s="528">
        <v>11.235300000000001</v>
      </c>
      <c r="JP32" s="528">
        <v>11.095499999999999</v>
      </c>
      <c r="JQ32" s="528">
        <v>11.1898</v>
      </c>
      <c r="JR32" s="528">
        <v>11.036099999999999</v>
      </c>
      <c r="JS32" s="528">
        <v>10.9801</v>
      </c>
      <c r="JT32" s="528">
        <v>10.7897</v>
      </c>
      <c r="JU32" s="528">
        <v>10.630699999999999</v>
      </c>
      <c r="JV32" s="528">
        <v>10.882199999999999</v>
      </c>
      <c r="JW32" s="528">
        <v>10.834099999999999</v>
      </c>
      <c r="JX32" s="528">
        <v>10.856</v>
      </c>
      <c r="JY32" s="528">
        <v>10.6083</v>
      </c>
      <c r="JZ32" s="528">
        <v>10.6532</v>
      </c>
      <c r="KA32" s="509">
        <v>26</v>
      </c>
      <c r="KB32" s="529"/>
      <c r="KC32" s="529"/>
      <c r="KD32" s="509">
        <v>26</v>
      </c>
      <c r="KE32" s="528">
        <v>11.001200000000001</v>
      </c>
      <c r="KF32" s="528">
        <v>11.0558</v>
      </c>
      <c r="KG32" s="528">
        <v>10.9915</v>
      </c>
      <c r="KH32" s="528">
        <v>11.3256</v>
      </c>
      <c r="KI32" s="528">
        <v>11.5608</v>
      </c>
      <c r="KJ32" s="528">
        <v>11.3004</v>
      </c>
      <c r="KK32" s="528">
        <v>11.446300000000001</v>
      </c>
      <c r="KL32" s="528">
        <v>11.385899999999999</v>
      </c>
      <c r="KM32" s="528">
        <v>11.417999999999999</v>
      </c>
      <c r="KN32" s="528">
        <v>11.442399999999999</v>
      </c>
      <c r="KO32" s="528">
        <v>11.2797</v>
      </c>
      <c r="KP32" s="528">
        <v>11.1363</v>
      </c>
      <c r="KQ32" s="509">
        <v>26</v>
      </c>
      <c r="KR32" s="529"/>
      <c r="KS32" s="529"/>
      <c r="KT32" s="509">
        <v>26</v>
      </c>
      <c r="KU32" s="528">
        <v>10.770799999999999</v>
      </c>
      <c r="KV32" s="528">
        <v>10.9815</v>
      </c>
      <c r="KW32" s="528">
        <v>10.800800000000001</v>
      </c>
      <c r="KX32" s="528">
        <v>10.434799999999999</v>
      </c>
      <c r="KY32" s="528">
        <v>10.238300000000001</v>
      </c>
      <c r="KZ32" s="528">
        <v>10.518800000000001</v>
      </c>
      <c r="LA32" s="528">
        <v>10.520300000000001</v>
      </c>
      <c r="LB32" s="528">
        <v>10.861499999999999</v>
      </c>
      <c r="LC32" s="528">
        <v>10.797499999999999</v>
      </c>
      <c r="LD32" s="528">
        <v>11.180999999999999</v>
      </c>
      <c r="LE32" s="528">
        <v>11.2879</v>
      </c>
      <c r="LF32" s="528">
        <v>11.269600000000001</v>
      </c>
      <c r="LG32" s="509">
        <v>26</v>
      </c>
      <c r="LH32" s="529"/>
      <c r="LI32" s="529"/>
      <c r="LJ32" s="509">
        <v>26</v>
      </c>
      <c r="LK32" s="528">
        <v>9.1227</v>
      </c>
      <c r="LL32" s="528">
        <v>9.1060999999999996</v>
      </c>
      <c r="LM32" s="528">
        <v>9.0403000000000002</v>
      </c>
      <c r="LN32" s="528">
        <v>9.2908000000000008</v>
      </c>
      <c r="LO32" s="528">
        <v>9.5165000000000006</v>
      </c>
      <c r="LP32" s="528">
        <v>9.9359999999999999</v>
      </c>
      <c r="LQ32" s="528">
        <v>9.7018000000000004</v>
      </c>
      <c r="LR32" s="528">
        <v>9.8388000000000009</v>
      </c>
      <c r="LS32" s="528">
        <v>10.2425</v>
      </c>
      <c r="LT32" s="528">
        <v>9.9467999999999996</v>
      </c>
      <c r="LU32" s="528">
        <v>10.1333</v>
      </c>
      <c r="LV32" s="528">
        <v>10.1907</v>
      </c>
      <c r="LW32" s="509">
        <v>26</v>
      </c>
      <c r="LX32" s="529"/>
      <c r="LY32" s="529"/>
      <c r="LZ32" s="509">
        <v>26</v>
      </c>
      <c r="MA32" s="528">
        <v>9.6922999999999995</v>
      </c>
      <c r="MB32" s="528">
        <v>9.7278000000000002</v>
      </c>
      <c r="MC32" s="528">
        <v>9.5722000000000005</v>
      </c>
      <c r="MD32" s="528">
        <v>9.2767999999999997</v>
      </c>
      <c r="ME32" s="528">
        <v>9.0805000000000007</v>
      </c>
      <c r="MF32" s="528">
        <v>9.0730000000000004</v>
      </c>
      <c r="MG32" s="528">
        <v>9.1087000000000007</v>
      </c>
      <c r="MH32" s="528">
        <v>9.1204999999999998</v>
      </c>
      <c r="MI32" s="528">
        <v>9.4314999999999998</v>
      </c>
      <c r="MJ32" s="528">
        <v>9.2172999999999998</v>
      </c>
      <c r="MK32" s="528">
        <v>9.1547000000000001</v>
      </c>
      <c r="ML32" s="528">
        <v>9.1234999999999999</v>
      </c>
      <c r="MM32" s="509">
        <v>26</v>
      </c>
      <c r="MN32" s="529"/>
      <c r="MO32" s="529"/>
      <c r="MP32" s="509">
        <v>26</v>
      </c>
      <c r="MQ32" s="528">
        <v>9.4838000000000005</v>
      </c>
      <c r="MR32" s="528">
        <v>9.3797999999999995</v>
      </c>
      <c r="MS32" s="528">
        <v>9.2398000000000007</v>
      </c>
      <c r="MT32" s="528">
        <v>9.4443000000000001</v>
      </c>
      <c r="MU32" s="528">
        <v>9.5327999999999999</v>
      </c>
      <c r="MV32" s="528">
        <v>9.8706999999999994</v>
      </c>
      <c r="MW32" s="528">
        <v>9.3337000000000003</v>
      </c>
      <c r="MX32" s="528">
        <v>9.2268000000000008</v>
      </c>
      <c r="MY32" s="528">
        <v>9.4789999999999992</v>
      </c>
      <c r="MZ32" s="528">
        <v>9.5756999999999994</v>
      </c>
      <c r="NA32" s="528">
        <v>9.4056999999999995</v>
      </c>
      <c r="NB32" s="528">
        <v>9.5726999999999993</v>
      </c>
      <c r="NC32" s="509">
        <v>26</v>
      </c>
      <c r="ND32" s="529"/>
      <c r="NE32" s="529"/>
      <c r="NF32" s="509">
        <v>26</v>
      </c>
      <c r="NG32" s="528">
        <v>10.201700000000001</v>
      </c>
      <c r="NH32" s="528">
        <v>9.9357000000000006</v>
      </c>
      <c r="NI32" s="528">
        <v>9.6917000000000009</v>
      </c>
      <c r="NJ32" s="528">
        <v>9.3316999999999997</v>
      </c>
      <c r="NK32" s="528">
        <v>9.3844999999999992</v>
      </c>
      <c r="NL32" s="528">
        <v>9.4589999999999996</v>
      </c>
      <c r="NM32" s="528">
        <v>9.3745999999999992</v>
      </c>
      <c r="NN32" s="528">
        <v>9.3309999999999995</v>
      </c>
      <c r="NO32" s="528">
        <v>9.3055000000000003</v>
      </c>
      <c r="NP32" s="528">
        <v>9.6029999999999998</v>
      </c>
      <c r="NQ32" s="528">
        <v>9.3194999999999997</v>
      </c>
      <c r="NR32" s="528">
        <v>9.3695000000000004</v>
      </c>
      <c r="NS32" s="509">
        <v>26</v>
      </c>
      <c r="NT32" s="529"/>
      <c r="NU32" s="529"/>
      <c r="NV32" s="509">
        <v>26</v>
      </c>
      <c r="NW32" s="528">
        <v>8.3320000000000007</v>
      </c>
      <c r="NX32" s="528">
        <v>8.6140000000000008</v>
      </c>
      <c r="NY32" s="528">
        <v>8.5410000000000004</v>
      </c>
      <c r="NZ32" s="528">
        <v>8.4702999999999999</v>
      </c>
      <c r="OA32" s="528">
        <v>8.6402000000000001</v>
      </c>
      <c r="OB32" s="528">
        <v>8.9252000000000002</v>
      </c>
      <c r="OC32" s="528">
        <v>8.8646999999999991</v>
      </c>
      <c r="OD32" s="528">
        <v>9.6457999999999995</v>
      </c>
      <c r="OE32" s="528">
        <v>10.111700000000001</v>
      </c>
      <c r="OF32" s="528">
        <v>9.9930000000000003</v>
      </c>
      <c r="OG32" s="528">
        <v>9.9145000000000003</v>
      </c>
      <c r="OH32" s="528">
        <v>9.8103999999999996</v>
      </c>
      <c r="OI32" s="509">
        <v>26</v>
      </c>
      <c r="OJ32" s="529"/>
      <c r="OK32" s="529"/>
      <c r="OL32" s="509">
        <v>26</v>
      </c>
      <c r="OM32" s="528">
        <v>7.7912999999999997</v>
      </c>
      <c r="ON32" s="528">
        <v>7.7502000000000004</v>
      </c>
      <c r="OO32" s="528">
        <v>7.8958000000000004</v>
      </c>
      <c r="OP32" s="528">
        <v>7.8544999999999998</v>
      </c>
      <c r="OQ32" s="528">
        <v>7.8689</v>
      </c>
      <c r="OR32" s="528">
        <v>7.9413</v>
      </c>
      <c r="OS32" s="528">
        <v>7.8312999999999997</v>
      </c>
      <c r="OT32" s="528">
        <v>7.7904999999999998</v>
      </c>
      <c r="OU32" s="528">
        <v>7.8243</v>
      </c>
      <c r="OV32" s="528">
        <v>7.7629999999999999</v>
      </c>
      <c r="OW32" s="528">
        <v>8.2352000000000007</v>
      </c>
      <c r="OX32" s="528">
        <v>8.1267999999999994</v>
      </c>
      <c r="OY32" s="509">
        <v>26</v>
      </c>
      <c r="OZ32" s="529"/>
      <c r="PA32" s="529"/>
      <c r="PB32" s="509">
        <v>26</v>
      </c>
      <c r="PC32" s="528">
        <v>7.4215</v>
      </c>
      <c r="PD32" s="528">
        <v>7.5476999999999999</v>
      </c>
      <c r="PE32" s="528">
        <v>7.56</v>
      </c>
      <c r="PF32" s="528">
        <v>7.4329999999999998</v>
      </c>
      <c r="PG32" s="528">
        <v>7.3822999999999999</v>
      </c>
      <c r="PH32" s="528">
        <v>7.6352000000000002</v>
      </c>
      <c r="PI32" s="528">
        <v>7.6116999999999999</v>
      </c>
      <c r="PJ32" s="528">
        <v>7.4756999999999998</v>
      </c>
      <c r="PK32" s="528">
        <v>7.5364000000000004</v>
      </c>
      <c r="PL32" s="528">
        <v>7.8296999999999999</v>
      </c>
      <c r="PM32" s="528">
        <v>7.87</v>
      </c>
      <c r="PN32" s="528">
        <v>7.8343999999999996</v>
      </c>
      <c r="PO32" s="509">
        <v>26</v>
      </c>
      <c r="PP32" s="529"/>
      <c r="PQ32" s="529"/>
      <c r="PR32" s="509">
        <v>26</v>
      </c>
      <c r="PS32" s="528">
        <v>5.8075000000000001</v>
      </c>
      <c r="PT32" s="528">
        <v>5.6749999999999998</v>
      </c>
      <c r="PU32" s="528">
        <v>7.0425000000000004</v>
      </c>
      <c r="PV32" s="528">
        <v>5.9349999999999996</v>
      </c>
      <c r="PW32" s="528">
        <v>6.0350000000000001</v>
      </c>
      <c r="PX32" s="528">
        <v>6.2424999999999997</v>
      </c>
      <c r="PY32" s="528">
        <v>6.1054000000000004</v>
      </c>
      <c r="PZ32" s="528">
        <v>6.3167</v>
      </c>
      <c r="QA32" s="528">
        <v>6.3685</v>
      </c>
      <c r="QB32" s="528">
        <v>6.7607999999999997</v>
      </c>
      <c r="QC32" s="528">
        <v>7.6349999999999998</v>
      </c>
      <c r="QD32" s="528">
        <v>7.5857999999999999</v>
      </c>
      <c r="QE32" s="509">
        <v>26</v>
      </c>
      <c r="QF32" s="529"/>
      <c r="QG32" s="529"/>
      <c r="QH32" s="509">
        <v>26</v>
      </c>
      <c r="QI32" s="528">
        <v>3.1055999999999999</v>
      </c>
      <c r="QJ32" s="528">
        <v>3.2075</v>
      </c>
      <c r="QK32" s="528">
        <v>3.3353000000000002</v>
      </c>
      <c r="QL32" s="528">
        <v>3.3679000000000001</v>
      </c>
      <c r="QM32" s="528">
        <v>3.2919</v>
      </c>
      <c r="QN32" s="528">
        <v>3.3855</v>
      </c>
      <c r="QO32" s="528">
        <v>3.4060000000000001</v>
      </c>
      <c r="QP32" s="528">
        <v>3.3555000000000001</v>
      </c>
      <c r="QQ32" s="528">
        <v>3.4087999999999998</v>
      </c>
      <c r="QR32" s="528">
        <v>3.4199000000000002</v>
      </c>
      <c r="QS32" s="528">
        <v>3.448</v>
      </c>
      <c r="QT32" s="528">
        <v>4.8875000000000002</v>
      </c>
      <c r="QU32" s="509">
        <v>26</v>
      </c>
      <c r="QV32" s="529"/>
      <c r="QW32" s="529"/>
      <c r="QX32" s="509">
        <v>26</v>
      </c>
      <c r="QY32" s="528">
        <v>3.1044</v>
      </c>
      <c r="QZ32" s="528">
        <v>3.0937999999999999</v>
      </c>
      <c r="RA32" s="528">
        <v>3.1118999999999999</v>
      </c>
      <c r="RB32" s="528">
        <v>3.0937000000000001</v>
      </c>
      <c r="RC32" s="528">
        <v>3.1172</v>
      </c>
      <c r="RD32" s="528">
        <v>3.1160000000000001</v>
      </c>
      <c r="RE32" s="528">
        <v>3.1229</v>
      </c>
      <c r="RF32" s="528">
        <v>3.1109</v>
      </c>
      <c r="RG32" s="528">
        <v>3.1124000000000001</v>
      </c>
      <c r="RH32" s="528">
        <v>3.1124999999999998</v>
      </c>
      <c r="RI32" s="528">
        <v>3.1021000000000001</v>
      </c>
      <c r="RJ32" s="528">
        <v>3.1110000000000002</v>
      </c>
      <c r="RK32" s="509">
        <v>26</v>
      </c>
      <c r="RL32" s="529"/>
      <c r="RM32" s="529"/>
      <c r="RN32" s="509">
        <v>26</v>
      </c>
      <c r="RO32" s="528">
        <v>3.0735999999999999</v>
      </c>
      <c r="RP32" s="528">
        <v>3.0621</v>
      </c>
      <c r="RQ32" s="528">
        <v>3.0706000000000002</v>
      </c>
      <c r="RR32" s="528">
        <v>3.0855999999999999</v>
      </c>
      <c r="RS32" s="528">
        <v>3.1030000000000002</v>
      </c>
      <c r="RT32" s="528">
        <v>3.1225000000000001</v>
      </c>
      <c r="RU32" s="528">
        <v>3.1113</v>
      </c>
      <c r="RV32" s="528">
        <v>3.0855000000000001</v>
      </c>
      <c r="RW32" s="528">
        <v>3.1040000000000001</v>
      </c>
      <c r="RX32" s="528">
        <v>3.1252</v>
      </c>
      <c r="RY32" s="528">
        <v>3.1193</v>
      </c>
      <c r="RZ32" s="528">
        <v>3.1194999999999999</v>
      </c>
      <c r="SA32" s="509">
        <v>26</v>
      </c>
      <c r="SB32" s="529"/>
      <c r="SC32" s="529"/>
      <c r="SD32" s="509">
        <v>26</v>
      </c>
      <c r="SE32" s="528">
        <v>2.9561999999999999</v>
      </c>
      <c r="SF32" s="528">
        <v>2.9678</v>
      </c>
      <c r="SG32" s="528">
        <v>2.9790000000000001</v>
      </c>
      <c r="SH32" s="528">
        <v>2.9922</v>
      </c>
      <c r="SI32" s="528">
        <v>3.0038</v>
      </c>
      <c r="SJ32" s="528">
        <v>3.0165999999999999</v>
      </c>
      <c r="SK32" s="528">
        <v>3.0286</v>
      </c>
      <c r="SL32" s="528">
        <v>3.0402</v>
      </c>
      <c r="SM32" s="528">
        <v>3.0541999999999998</v>
      </c>
      <c r="SN32" s="528">
        <v>3.0670000000000002</v>
      </c>
      <c r="SO32" s="528">
        <v>3.06115</v>
      </c>
      <c r="SP32" s="528">
        <v>3.08413</v>
      </c>
      <c r="SQ32" s="509">
        <v>26</v>
      </c>
      <c r="SR32" s="529"/>
      <c r="SS32" s="529"/>
      <c r="ST32" s="509">
        <v>26</v>
      </c>
      <c r="SU32" s="528">
        <v>2.6680000000000001</v>
      </c>
      <c r="SV32" s="528">
        <v>2.6970000000000001</v>
      </c>
      <c r="SW32" s="528">
        <v>2.7250000000000001</v>
      </c>
      <c r="SX32" s="528">
        <v>2.758</v>
      </c>
      <c r="SY32" s="528">
        <v>2.7879999999999998</v>
      </c>
      <c r="SZ32" s="528">
        <v>2.8121999999999998</v>
      </c>
      <c r="TA32" s="528">
        <v>2.8378000000000001</v>
      </c>
      <c r="TB32" s="528">
        <v>2.8618000000000001</v>
      </c>
      <c r="TC32" s="528">
        <v>2.8874</v>
      </c>
      <c r="TD32" s="528">
        <v>2.9114</v>
      </c>
      <c r="TE32" s="528">
        <v>2.931</v>
      </c>
      <c r="TF32" s="528">
        <v>2.9438</v>
      </c>
      <c r="TG32" s="509">
        <v>26</v>
      </c>
      <c r="TH32" s="529"/>
      <c r="TI32" s="529"/>
      <c r="TJ32" s="509">
        <v>26</v>
      </c>
      <c r="TK32" s="528">
        <v>2.3029999999999999</v>
      </c>
      <c r="TL32" s="528">
        <v>2.3330000000000002</v>
      </c>
      <c r="TM32" s="528">
        <v>2.3610000000000002</v>
      </c>
      <c r="TN32" s="528">
        <v>2.3929999999999998</v>
      </c>
      <c r="TO32" s="528">
        <v>2.423</v>
      </c>
      <c r="TP32" s="528">
        <v>2.452</v>
      </c>
      <c r="TQ32" s="528">
        <v>2.484</v>
      </c>
      <c r="TR32" s="528">
        <v>2.5150000000000001</v>
      </c>
      <c r="TS32" s="528">
        <v>2.544</v>
      </c>
      <c r="TT32" s="528">
        <v>2.5760000000000001</v>
      </c>
      <c r="TU32" s="528">
        <v>2.6059999999999999</v>
      </c>
      <c r="TV32" s="528">
        <v>2.6349999999999998</v>
      </c>
      <c r="TW32" s="509">
        <v>26</v>
      </c>
    </row>
    <row r="33" spans="2:543" s="4" customFormat="1" ht="23" customHeight="1">
      <c r="B33" s="509">
        <v>27</v>
      </c>
      <c r="C33" s="541">
        <v>20.668299999999999</v>
      </c>
      <c r="D33" s="541">
        <v>20.6525</v>
      </c>
      <c r="E33" s="541">
        <v>20.1313</v>
      </c>
      <c r="F33" s="541">
        <v>20.299199999999999</v>
      </c>
      <c r="G33" s="541">
        <v>19.837700000000002</v>
      </c>
      <c r="H33" s="541">
        <v>20.0365</v>
      </c>
      <c r="I33" s="541">
        <v>20.465199999999999</v>
      </c>
      <c r="J33" s="541">
        <v>19.9437</v>
      </c>
      <c r="K33" s="541">
        <v>20.162700000000001</v>
      </c>
      <c r="L33" s="541">
        <v>19.871200000000002</v>
      </c>
      <c r="M33" s="541">
        <v>19.369199999999999</v>
      </c>
      <c r="N33" s="541">
        <v>19.428699999999999</v>
      </c>
      <c r="O33" s="509">
        <v>27</v>
      </c>
      <c r="R33" s="509">
        <v>27</v>
      </c>
      <c r="S33" s="541">
        <v>20.159800000000001</v>
      </c>
      <c r="T33" s="541">
        <v>20.8523</v>
      </c>
      <c r="U33" s="541">
        <v>20.766200000000001</v>
      </c>
      <c r="V33" s="541">
        <v>19.869499999999999</v>
      </c>
      <c r="W33" s="541">
        <v>19.8903</v>
      </c>
      <c r="X33" s="541">
        <v>20.048300000000001</v>
      </c>
      <c r="Y33" s="541">
        <v>20.023800000000001</v>
      </c>
      <c r="Z33" s="541">
        <v>20.293299999999999</v>
      </c>
      <c r="AA33" s="541">
        <v>20.027999999999999</v>
      </c>
      <c r="AB33" s="541">
        <v>20.189699999999998</v>
      </c>
      <c r="AC33" s="541">
        <v>21.546199999999999</v>
      </c>
      <c r="AD33" s="541">
        <v>20.658200000000001</v>
      </c>
      <c r="AE33" s="509">
        <v>27</v>
      </c>
      <c r="AH33" s="509">
        <v>27</v>
      </c>
      <c r="AI33" s="541">
        <v>18.8018</v>
      </c>
      <c r="AJ33" s="541">
        <v>19.087800000000001</v>
      </c>
      <c r="AK33" s="541">
        <v>24.294799999999999</v>
      </c>
      <c r="AL33" s="541">
        <v>24.623000000000001</v>
      </c>
      <c r="AM33" s="541">
        <v>22.562999999999999</v>
      </c>
      <c r="AN33" s="541">
        <v>22.796299999999999</v>
      </c>
      <c r="AO33" s="541">
        <v>22.3627</v>
      </c>
      <c r="AP33" s="541">
        <v>21.972300000000001</v>
      </c>
      <c r="AQ33" s="541">
        <v>22.367799999999999</v>
      </c>
      <c r="AR33" s="541">
        <v>20.920500000000001</v>
      </c>
      <c r="AS33" s="541">
        <v>20.046500000000002</v>
      </c>
      <c r="AT33" s="541">
        <v>20.1175</v>
      </c>
      <c r="AU33" s="509">
        <v>27</v>
      </c>
      <c r="AX33" s="509">
        <v>27</v>
      </c>
      <c r="AY33" s="528">
        <v>18.985900000000001</v>
      </c>
      <c r="AZ33" s="528">
        <v>19.118500000000001</v>
      </c>
      <c r="BA33" s="528">
        <v>19.0151</v>
      </c>
      <c r="BB33" s="528">
        <v>19.094200000000001</v>
      </c>
      <c r="BC33" s="528">
        <v>19.0122</v>
      </c>
      <c r="BD33" s="528">
        <v>19.2271</v>
      </c>
      <c r="BE33" s="528">
        <v>19.0623</v>
      </c>
      <c r="BF33" s="528">
        <v>19.840199999999999</v>
      </c>
      <c r="BG33" s="528">
        <v>19.577500000000001</v>
      </c>
      <c r="BH33" s="528">
        <v>19.087800000000001</v>
      </c>
      <c r="BI33" s="528">
        <v>19.4468</v>
      </c>
      <c r="BJ33" s="528">
        <v>18.964300000000001</v>
      </c>
      <c r="BK33" s="509">
        <v>27</v>
      </c>
      <c r="BN33" s="509">
        <v>27</v>
      </c>
      <c r="BO33" s="528">
        <v>18.478000000000002</v>
      </c>
      <c r="BP33" s="528">
        <v>18.565899999999999</v>
      </c>
      <c r="BQ33" s="528">
        <v>18.5364</v>
      </c>
      <c r="BR33" s="528">
        <v>19.053000000000001</v>
      </c>
      <c r="BS33" s="528">
        <v>19.704799999999999</v>
      </c>
      <c r="BT33" s="528">
        <v>20.090800000000002</v>
      </c>
      <c r="BU33" s="528">
        <v>18.770900000000001</v>
      </c>
      <c r="BV33" s="528">
        <v>18.8672</v>
      </c>
      <c r="BW33" s="528">
        <v>18.986999999999998</v>
      </c>
      <c r="BX33" s="528">
        <v>19.438300000000002</v>
      </c>
      <c r="BY33" s="528">
        <v>20.3935</v>
      </c>
      <c r="BZ33" s="528">
        <v>19.847300000000001</v>
      </c>
      <c r="CA33" s="509">
        <v>27</v>
      </c>
      <c r="CD33" s="509">
        <v>27</v>
      </c>
      <c r="CE33" s="528">
        <v>21.343900000000001</v>
      </c>
      <c r="CF33" s="528">
        <v>19.7011</v>
      </c>
      <c r="CG33" s="528">
        <v>18.9877</v>
      </c>
      <c r="CH33" s="528">
        <v>18.922499999999999</v>
      </c>
      <c r="CI33" s="528">
        <v>18.418500000000002</v>
      </c>
      <c r="CJ33" s="528">
        <v>17.989999999999998</v>
      </c>
      <c r="CK33" s="528">
        <v>17.749199999999998</v>
      </c>
      <c r="CL33" s="528">
        <v>17.697700000000001</v>
      </c>
      <c r="CM33" s="528">
        <v>17.883099999999999</v>
      </c>
      <c r="CN33" s="528">
        <v>19.077000000000002</v>
      </c>
      <c r="CO33" s="528">
        <v>18.604099999999999</v>
      </c>
      <c r="CP33" s="528">
        <v>19.584800000000001</v>
      </c>
      <c r="CQ33" s="509">
        <v>27</v>
      </c>
      <c r="CT33" s="509">
        <v>27</v>
      </c>
      <c r="CU33" s="528">
        <v>18.5352</v>
      </c>
      <c r="CV33" s="528">
        <v>18.167999999999999</v>
      </c>
      <c r="CW33" s="528">
        <v>17.336099999999998</v>
      </c>
      <c r="CX33" s="528">
        <v>17.586600000000001</v>
      </c>
      <c r="CY33" s="528">
        <v>18.452000000000002</v>
      </c>
      <c r="CZ33" s="528">
        <v>18.320699999999999</v>
      </c>
      <c r="DA33" s="528">
        <v>18.756900000000002</v>
      </c>
      <c r="DB33" s="528">
        <v>18.446000000000002</v>
      </c>
      <c r="DC33" s="528">
        <v>19.7211</v>
      </c>
      <c r="DD33" s="528">
        <v>18.514700000000001</v>
      </c>
      <c r="DE33" s="528">
        <v>20.705100000000002</v>
      </c>
      <c r="DF33" s="528">
        <v>20.627099999999999</v>
      </c>
      <c r="DG33" s="509">
        <v>27</v>
      </c>
      <c r="DJ33" s="509">
        <v>27</v>
      </c>
      <c r="DK33" s="528">
        <v>14.649900000000001</v>
      </c>
      <c r="DL33" s="528">
        <v>14.922800000000001</v>
      </c>
      <c r="DM33" s="528">
        <v>14.952400000000001</v>
      </c>
      <c r="DN33" s="528">
        <v>15.353899999999999</v>
      </c>
      <c r="DO33" s="528">
        <v>15.263500000000001</v>
      </c>
      <c r="DP33" s="528">
        <v>15.455500000000001</v>
      </c>
      <c r="DQ33" s="528">
        <v>16.098800000000001</v>
      </c>
      <c r="DR33" s="528">
        <v>16.985900000000001</v>
      </c>
      <c r="DS33" s="528">
        <v>17.045300000000001</v>
      </c>
      <c r="DT33" s="528">
        <v>16.5138</v>
      </c>
      <c r="DU33" s="528">
        <v>16.5548</v>
      </c>
      <c r="DV33" s="528">
        <v>17.1953</v>
      </c>
      <c r="DW33" s="509">
        <v>27</v>
      </c>
      <c r="DZ33" s="509">
        <v>27</v>
      </c>
      <c r="EA33" s="528">
        <v>13.372199999999999</v>
      </c>
      <c r="EB33" s="528">
        <v>13.2248</v>
      </c>
      <c r="EC33" s="528">
        <v>13.1349</v>
      </c>
      <c r="ED33" s="528">
        <v>13.101000000000001</v>
      </c>
      <c r="EE33" s="528">
        <v>12.865600000000001</v>
      </c>
      <c r="EF33" s="528">
        <v>13.0174</v>
      </c>
      <c r="EG33" s="528">
        <v>12.9572</v>
      </c>
      <c r="EH33" s="528">
        <v>13.138299999999999</v>
      </c>
      <c r="EI33" s="528">
        <v>13.3848</v>
      </c>
      <c r="EJ33" s="528">
        <v>13.5288</v>
      </c>
      <c r="EK33" s="528">
        <v>13.641999999999999</v>
      </c>
      <c r="EL33" s="528">
        <v>14.742900000000001</v>
      </c>
      <c r="EM33" s="509">
        <v>27</v>
      </c>
      <c r="EP33" s="509">
        <v>27</v>
      </c>
      <c r="EQ33" s="528">
        <v>12.6286</v>
      </c>
      <c r="ER33" s="528">
        <v>12.7028</v>
      </c>
      <c r="ES33" s="528">
        <v>12.357900000000001</v>
      </c>
      <c r="ET33" s="528">
        <v>12.123100000000001</v>
      </c>
      <c r="EU33" s="528">
        <v>12.4764</v>
      </c>
      <c r="EV33" s="528">
        <v>13.2424</v>
      </c>
      <c r="EW33" s="528">
        <v>12.646800000000001</v>
      </c>
      <c r="EX33" s="528">
        <v>12.9979</v>
      </c>
      <c r="EY33" s="528">
        <v>12.952999999999999</v>
      </c>
      <c r="EZ33" s="528">
        <v>12.9916</v>
      </c>
      <c r="FA33" s="528">
        <v>13.0267</v>
      </c>
      <c r="FB33" s="528">
        <v>13.02</v>
      </c>
      <c r="FC33" s="509">
        <v>27</v>
      </c>
      <c r="FF33" s="509">
        <v>27</v>
      </c>
      <c r="FG33" s="528">
        <v>13.1319</v>
      </c>
      <c r="FH33" s="528">
        <v>12.8294</v>
      </c>
      <c r="FI33" s="528">
        <v>12.8035</v>
      </c>
      <c r="FJ33" s="528">
        <v>13.166700000000001</v>
      </c>
      <c r="FK33" s="528">
        <v>14.004</v>
      </c>
      <c r="FL33" s="528">
        <v>13.9542</v>
      </c>
      <c r="FM33" s="528">
        <v>13.6541</v>
      </c>
      <c r="FN33" s="528">
        <v>13.128399999999999</v>
      </c>
      <c r="FO33" s="528">
        <v>12.8233</v>
      </c>
      <c r="FP33" s="528">
        <v>12.966900000000001</v>
      </c>
      <c r="FQ33" s="528">
        <v>12.979900000000001</v>
      </c>
      <c r="FR33" s="528">
        <v>12.9764</v>
      </c>
      <c r="FS33" s="509">
        <v>27</v>
      </c>
      <c r="FV33" s="509">
        <v>27</v>
      </c>
      <c r="FW33" s="528">
        <v>12.085599999999999</v>
      </c>
      <c r="FX33" s="528">
        <v>12.173</v>
      </c>
      <c r="FY33" s="528">
        <v>11.955500000000001</v>
      </c>
      <c r="FZ33" s="528">
        <v>11.6294</v>
      </c>
      <c r="GA33" s="528">
        <v>11.694800000000001</v>
      </c>
      <c r="GB33" s="528">
        <v>11.881600000000001</v>
      </c>
      <c r="GC33" s="528">
        <v>11.664099999999999</v>
      </c>
      <c r="GD33" s="528">
        <v>12.4259</v>
      </c>
      <c r="GE33" s="528">
        <v>13.7788</v>
      </c>
      <c r="GF33" s="528">
        <v>13.4459</v>
      </c>
      <c r="GG33" s="528">
        <v>14.1778</v>
      </c>
      <c r="GH33" s="528">
        <v>13.8163</v>
      </c>
      <c r="GI33" s="509">
        <v>27</v>
      </c>
      <c r="GL33" s="509">
        <v>27</v>
      </c>
      <c r="GM33" s="528">
        <v>12.9018</v>
      </c>
      <c r="GN33" s="528">
        <v>12.850300000000001</v>
      </c>
      <c r="GO33" s="528">
        <v>12.5009</v>
      </c>
      <c r="GP33" s="528">
        <v>12.1973</v>
      </c>
      <c r="GQ33" s="528">
        <v>13.181900000000001</v>
      </c>
      <c r="GR33" s="528">
        <v>12.7141</v>
      </c>
      <c r="GS33" s="528">
        <v>12.774900000000001</v>
      </c>
      <c r="GT33" s="528">
        <v>13.045299999999999</v>
      </c>
      <c r="GU33" s="528">
        <v>12.642200000000001</v>
      </c>
      <c r="GV33" s="528">
        <v>12.320499999999999</v>
      </c>
      <c r="GW33" s="528">
        <v>12.366899999999999</v>
      </c>
      <c r="GX33" s="528">
        <v>12.3332</v>
      </c>
      <c r="GY33" s="509">
        <v>27</v>
      </c>
      <c r="HB33" s="509">
        <v>27</v>
      </c>
      <c r="HC33" s="528">
        <v>14.095000000000001</v>
      </c>
      <c r="HD33" s="528">
        <v>14.9275</v>
      </c>
      <c r="HE33" s="528">
        <v>14.235799999999999</v>
      </c>
      <c r="HF33" s="528">
        <v>13.309900000000001</v>
      </c>
      <c r="HG33" s="528">
        <v>13.137499999999999</v>
      </c>
      <c r="HH33" s="528">
        <v>13.277799999999999</v>
      </c>
      <c r="HI33" s="528">
        <v>13.1915</v>
      </c>
      <c r="HJ33" s="528">
        <v>12.897500000000001</v>
      </c>
      <c r="HK33" s="528">
        <v>13.4549</v>
      </c>
      <c r="HL33" s="528">
        <v>12.979799999999999</v>
      </c>
      <c r="HM33" s="528">
        <v>12.866</v>
      </c>
      <c r="HN33" s="528">
        <v>12.8896</v>
      </c>
      <c r="HO33" s="509">
        <v>27</v>
      </c>
      <c r="HP33" s="529"/>
      <c r="HQ33" s="529"/>
      <c r="HR33" s="509">
        <v>27</v>
      </c>
      <c r="HS33" s="528">
        <v>10.8934</v>
      </c>
      <c r="HT33" s="528">
        <v>10.785500000000001</v>
      </c>
      <c r="HU33" s="528">
        <v>10.6793</v>
      </c>
      <c r="HV33" s="528">
        <v>10.462</v>
      </c>
      <c r="HW33" s="528">
        <v>10.4</v>
      </c>
      <c r="HX33" s="528">
        <v>10.293799999999999</v>
      </c>
      <c r="HY33" s="528">
        <v>10.026400000000001</v>
      </c>
      <c r="HZ33" s="528">
        <v>10.1183</v>
      </c>
      <c r="IA33" s="528">
        <v>10.7653</v>
      </c>
      <c r="IB33" s="528">
        <v>13.5025</v>
      </c>
      <c r="IC33" s="528">
        <v>13.3142</v>
      </c>
      <c r="ID33" s="528">
        <v>13.311400000000001</v>
      </c>
      <c r="IE33" s="509">
        <v>27</v>
      </c>
      <c r="IF33" s="529"/>
      <c r="IG33" s="529"/>
      <c r="IH33" s="509">
        <v>27</v>
      </c>
      <c r="II33" s="528">
        <v>10.975300000000001</v>
      </c>
      <c r="IJ33" s="528">
        <v>11.0397</v>
      </c>
      <c r="IK33" s="528">
        <v>11.0166</v>
      </c>
      <c r="IL33" s="528">
        <v>10.9369</v>
      </c>
      <c r="IM33" s="528">
        <v>10.8354</v>
      </c>
      <c r="IN33" s="528">
        <v>10.818899999999999</v>
      </c>
      <c r="IO33" s="528">
        <v>10.8712</v>
      </c>
      <c r="IP33" s="528">
        <v>11.0489</v>
      </c>
      <c r="IQ33" s="528">
        <v>10.9438</v>
      </c>
      <c r="IR33" s="528">
        <v>10.8291</v>
      </c>
      <c r="IS33" s="528">
        <v>10.9733</v>
      </c>
      <c r="IT33" s="528">
        <v>10.8132</v>
      </c>
      <c r="IU33" s="509">
        <v>27</v>
      </c>
      <c r="IV33" s="529"/>
      <c r="IW33" s="529"/>
      <c r="IX33" s="509">
        <v>27</v>
      </c>
      <c r="IY33" s="528">
        <v>10.500400000000001</v>
      </c>
      <c r="IZ33" s="528">
        <v>10.4885</v>
      </c>
      <c r="JA33" s="528">
        <v>10.8612</v>
      </c>
      <c r="JB33" s="528">
        <v>11.084199999999999</v>
      </c>
      <c r="JC33" s="528">
        <v>11.2097</v>
      </c>
      <c r="JD33" s="528">
        <v>11.4382</v>
      </c>
      <c r="JE33" s="528">
        <v>10.9148</v>
      </c>
      <c r="JF33" s="528">
        <v>10.922000000000001</v>
      </c>
      <c r="JG33" s="528">
        <v>11.105</v>
      </c>
      <c r="JH33" s="528">
        <v>10.7918</v>
      </c>
      <c r="JI33" s="528">
        <v>10.9682</v>
      </c>
      <c r="JJ33" s="528">
        <v>10.8597</v>
      </c>
      <c r="JK33" s="509">
        <v>27</v>
      </c>
      <c r="JL33" s="529"/>
      <c r="JM33" s="529"/>
      <c r="JN33" s="509">
        <v>27</v>
      </c>
      <c r="JO33" s="528">
        <v>11.289</v>
      </c>
      <c r="JP33" s="528">
        <v>11.095499999999999</v>
      </c>
      <c r="JQ33" s="528">
        <v>11.1898</v>
      </c>
      <c r="JR33" s="528">
        <v>11.0571</v>
      </c>
      <c r="JS33" s="528">
        <v>10.937200000000001</v>
      </c>
      <c r="JT33" s="528">
        <v>10.7897</v>
      </c>
      <c r="JU33" s="528">
        <v>10.6683</v>
      </c>
      <c r="JV33" s="528">
        <v>10.815300000000001</v>
      </c>
      <c r="JW33" s="528">
        <v>10.8475</v>
      </c>
      <c r="JX33" s="528">
        <v>10.841699999999999</v>
      </c>
      <c r="JY33" s="528">
        <v>10.6083</v>
      </c>
      <c r="JZ33" s="528">
        <v>10.6845</v>
      </c>
      <c r="KA33" s="509">
        <v>27</v>
      </c>
      <c r="KB33" s="529"/>
      <c r="KC33" s="529"/>
      <c r="KD33" s="509">
        <v>27</v>
      </c>
      <c r="KE33" s="528">
        <v>10.962</v>
      </c>
      <c r="KF33" s="528">
        <v>11.0932</v>
      </c>
      <c r="KG33" s="528">
        <v>11.013</v>
      </c>
      <c r="KH33" s="528">
        <v>11.343299999999999</v>
      </c>
      <c r="KI33" s="528">
        <v>11.476000000000001</v>
      </c>
      <c r="KJ33" s="528">
        <v>11.3004</v>
      </c>
      <c r="KK33" s="528">
        <v>11.433999999999999</v>
      </c>
      <c r="KL33" s="528">
        <v>11.3712</v>
      </c>
      <c r="KM33" s="528">
        <v>11.417999999999999</v>
      </c>
      <c r="KN33" s="528">
        <v>11.515000000000001</v>
      </c>
      <c r="KO33" s="528">
        <v>11.2713</v>
      </c>
      <c r="KP33" s="528">
        <v>11.1363</v>
      </c>
      <c r="KQ33" s="509">
        <v>27</v>
      </c>
      <c r="KR33" s="529"/>
      <c r="KS33" s="529"/>
      <c r="KT33" s="509">
        <v>27</v>
      </c>
      <c r="KU33" s="528">
        <v>10.770799999999999</v>
      </c>
      <c r="KV33" s="528">
        <v>11.058400000000001</v>
      </c>
      <c r="KW33" s="528">
        <v>10.72</v>
      </c>
      <c r="KX33" s="528">
        <v>10.434799999999999</v>
      </c>
      <c r="KY33" s="528">
        <v>10.247299999999999</v>
      </c>
      <c r="KZ33" s="528">
        <v>10.4734</v>
      </c>
      <c r="LA33" s="528">
        <v>10.520300000000001</v>
      </c>
      <c r="LB33" s="528">
        <v>10.875299999999999</v>
      </c>
      <c r="LC33" s="528">
        <v>10.811500000000001</v>
      </c>
      <c r="LD33" s="528">
        <v>11.180999999999999</v>
      </c>
      <c r="LE33" s="528">
        <v>11.3398</v>
      </c>
      <c r="LF33" s="528">
        <v>11.2744</v>
      </c>
      <c r="LG33" s="509">
        <v>27</v>
      </c>
      <c r="LH33" s="529"/>
      <c r="LI33" s="529"/>
      <c r="LJ33" s="509">
        <v>27</v>
      </c>
      <c r="LK33" s="528">
        <v>9.1227</v>
      </c>
      <c r="LL33" s="528">
        <v>9.0831</v>
      </c>
      <c r="LM33" s="528">
        <v>9.0297999999999998</v>
      </c>
      <c r="LN33" s="528">
        <v>9.3528000000000002</v>
      </c>
      <c r="LO33" s="528">
        <v>9.5165000000000006</v>
      </c>
      <c r="LP33" s="528">
        <v>9.8202999999999996</v>
      </c>
      <c r="LQ33" s="528">
        <v>9.7157999999999998</v>
      </c>
      <c r="LR33" s="528">
        <v>9.8488000000000007</v>
      </c>
      <c r="LS33" s="528">
        <v>10.256500000000001</v>
      </c>
      <c r="LT33" s="528">
        <v>9.9467999999999996</v>
      </c>
      <c r="LU33" s="528">
        <v>10.1065</v>
      </c>
      <c r="LV33" s="528">
        <v>10.2014</v>
      </c>
      <c r="LW33" s="509">
        <v>27</v>
      </c>
      <c r="LX33" s="529"/>
      <c r="LY33" s="529"/>
      <c r="LZ33" s="509">
        <v>27</v>
      </c>
      <c r="MA33" s="528">
        <v>9.6829999999999998</v>
      </c>
      <c r="MB33" s="528">
        <v>9.7182999999999993</v>
      </c>
      <c r="MC33" s="528">
        <v>9.6539999999999999</v>
      </c>
      <c r="MD33" s="528">
        <v>9.3123000000000005</v>
      </c>
      <c r="ME33" s="528">
        <v>9.0805000000000007</v>
      </c>
      <c r="MF33" s="528">
        <v>9.0594999999999999</v>
      </c>
      <c r="MG33" s="528">
        <v>9.1599000000000004</v>
      </c>
      <c r="MH33" s="528">
        <v>9.1204999999999998</v>
      </c>
      <c r="MI33" s="528">
        <v>9.4841999999999995</v>
      </c>
      <c r="MJ33" s="528">
        <v>9.2469000000000001</v>
      </c>
      <c r="MK33" s="528">
        <v>9.1476000000000006</v>
      </c>
      <c r="ML33" s="528">
        <v>9.0922999999999998</v>
      </c>
      <c r="MM33" s="509">
        <v>27</v>
      </c>
      <c r="MN33" s="529"/>
      <c r="MO33" s="529"/>
      <c r="MP33" s="509">
        <v>27</v>
      </c>
      <c r="MQ33" s="528">
        <v>9.5288000000000004</v>
      </c>
      <c r="MR33" s="528">
        <v>9.3797999999999995</v>
      </c>
      <c r="MS33" s="528">
        <v>9.2398000000000007</v>
      </c>
      <c r="MT33" s="528">
        <v>9.4077999999999999</v>
      </c>
      <c r="MU33" s="528">
        <v>9.4939999999999998</v>
      </c>
      <c r="MV33" s="528">
        <v>9.9804999999999993</v>
      </c>
      <c r="MW33" s="528">
        <v>9.3657000000000004</v>
      </c>
      <c r="MX33" s="528">
        <v>9.2268000000000008</v>
      </c>
      <c r="MY33" s="528">
        <v>9.4217999999999993</v>
      </c>
      <c r="MZ33" s="528">
        <v>9.6242000000000001</v>
      </c>
      <c r="NA33" s="528">
        <v>9.4056999999999995</v>
      </c>
      <c r="NB33" s="528">
        <v>9.5980000000000008</v>
      </c>
      <c r="NC33" s="509">
        <v>27</v>
      </c>
      <c r="ND33" s="529"/>
      <c r="NE33" s="529"/>
      <c r="NF33" s="509">
        <v>27</v>
      </c>
      <c r="NG33" s="528">
        <v>10.2242</v>
      </c>
      <c r="NH33" s="528">
        <v>9.9835999999999991</v>
      </c>
      <c r="NI33" s="528">
        <v>9.6454000000000004</v>
      </c>
      <c r="NJ33" s="528">
        <v>9.3004999999999995</v>
      </c>
      <c r="NK33" s="528">
        <v>9.5467999999999993</v>
      </c>
      <c r="NL33" s="528">
        <v>9.4589999999999996</v>
      </c>
      <c r="NM33" s="528">
        <v>9.3856000000000002</v>
      </c>
      <c r="NN33" s="528">
        <v>9.3080999999999996</v>
      </c>
      <c r="NO33" s="528">
        <v>9.3055000000000003</v>
      </c>
      <c r="NP33" s="528">
        <v>9.6373999999999995</v>
      </c>
      <c r="NQ33" s="528">
        <v>9.2944999999999993</v>
      </c>
      <c r="NR33" s="528">
        <v>9.3695000000000004</v>
      </c>
      <c r="NS33" s="509">
        <v>27</v>
      </c>
      <c r="NT33" s="529"/>
      <c r="NU33" s="529"/>
      <c r="NV33" s="509">
        <v>27</v>
      </c>
      <c r="NW33" s="528">
        <v>8.2939000000000007</v>
      </c>
      <c r="NX33" s="528">
        <v>8.5831999999999997</v>
      </c>
      <c r="NY33" s="528">
        <v>8.5282</v>
      </c>
      <c r="NZ33" s="528">
        <v>8.4702999999999999</v>
      </c>
      <c r="OA33" s="528">
        <v>8.6378000000000004</v>
      </c>
      <c r="OB33" s="528">
        <v>8.9536999999999995</v>
      </c>
      <c r="OC33" s="528">
        <v>8.8646999999999991</v>
      </c>
      <c r="OD33" s="528">
        <v>9.6000999999999994</v>
      </c>
      <c r="OE33" s="528">
        <v>10.111700000000001</v>
      </c>
      <c r="OF33" s="528">
        <v>10.035299999999999</v>
      </c>
      <c r="OG33" s="528">
        <v>9.9107000000000003</v>
      </c>
      <c r="OH33" s="528">
        <v>9.8103999999999996</v>
      </c>
      <c r="OI33" s="509">
        <v>27</v>
      </c>
      <c r="OJ33" s="529"/>
      <c r="OK33" s="529"/>
      <c r="OL33" s="509">
        <v>27</v>
      </c>
      <c r="OM33" s="528">
        <v>7.7912999999999997</v>
      </c>
      <c r="ON33" s="528">
        <v>7.7556000000000003</v>
      </c>
      <c r="OO33" s="528">
        <v>7.8905000000000003</v>
      </c>
      <c r="OP33" s="528">
        <v>7.8544999999999998</v>
      </c>
      <c r="OQ33" s="528">
        <v>7.8731</v>
      </c>
      <c r="OR33" s="528">
        <v>7.9482999999999997</v>
      </c>
      <c r="OS33" s="528">
        <v>7.8312999999999997</v>
      </c>
      <c r="OT33" s="528">
        <v>7.7583000000000002</v>
      </c>
      <c r="OU33" s="528">
        <v>7.8071999999999999</v>
      </c>
      <c r="OV33" s="528">
        <v>7.7629999999999999</v>
      </c>
      <c r="OW33" s="528">
        <v>8.2357999999999993</v>
      </c>
      <c r="OX33" s="528">
        <v>8.1647999999999996</v>
      </c>
      <c r="OY33" s="509">
        <v>27</v>
      </c>
      <c r="OZ33" s="529"/>
      <c r="PA33" s="529"/>
      <c r="PB33" s="509">
        <v>27</v>
      </c>
      <c r="PC33" s="528">
        <v>7.3867000000000003</v>
      </c>
      <c r="PD33" s="528">
        <v>7.5331000000000001</v>
      </c>
      <c r="PE33" s="528">
        <v>7.5484</v>
      </c>
      <c r="PF33" s="528">
        <v>7.3794000000000004</v>
      </c>
      <c r="PG33" s="528">
        <v>7.3822999999999999</v>
      </c>
      <c r="PH33" s="528">
        <v>7.6077000000000004</v>
      </c>
      <c r="PI33" s="528">
        <v>7.5903</v>
      </c>
      <c r="PJ33" s="528">
        <v>7.4829999999999997</v>
      </c>
      <c r="PK33" s="528">
        <v>7.5316999999999998</v>
      </c>
      <c r="PL33" s="528">
        <v>7.8296999999999999</v>
      </c>
      <c r="PM33" s="528">
        <v>7.9095000000000004</v>
      </c>
      <c r="PN33" s="528">
        <v>7.8324999999999996</v>
      </c>
      <c r="PO33" s="509">
        <v>27</v>
      </c>
      <c r="PP33" s="529"/>
      <c r="PQ33" s="529"/>
      <c r="PR33" s="509">
        <v>27</v>
      </c>
      <c r="PS33" s="528">
        <v>5.7</v>
      </c>
      <c r="PT33" s="528">
        <v>5.6749999999999998</v>
      </c>
      <c r="PU33" s="528">
        <v>7.0425000000000004</v>
      </c>
      <c r="PV33" s="528">
        <v>5.8883000000000001</v>
      </c>
      <c r="PW33" s="528">
        <v>6.0549999999999997</v>
      </c>
      <c r="PX33" s="528">
        <v>6.25</v>
      </c>
      <c r="PY33" s="528">
        <v>6.15</v>
      </c>
      <c r="PZ33" s="528">
        <v>6.3167</v>
      </c>
      <c r="QA33" s="528">
        <v>6.3917999999999999</v>
      </c>
      <c r="QB33" s="528">
        <v>6.8007999999999997</v>
      </c>
      <c r="QC33" s="528">
        <v>7.6349999999999998</v>
      </c>
      <c r="QD33" s="528">
        <v>7.5708000000000002</v>
      </c>
      <c r="QE33" s="509">
        <v>27</v>
      </c>
      <c r="QF33" s="529"/>
      <c r="QG33" s="529"/>
      <c r="QH33" s="509">
        <v>27</v>
      </c>
      <c r="QI33" s="528">
        <v>3.1057999999999999</v>
      </c>
      <c r="QJ33" s="528">
        <v>3.2075</v>
      </c>
      <c r="QK33" s="528">
        <v>3.3353000000000002</v>
      </c>
      <c r="QL33" s="528">
        <v>3.3073000000000001</v>
      </c>
      <c r="QM33" s="528">
        <v>3.3092999999999999</v>
      </c>
      <c r="QN33" s="528">
        <v>3.3855</v>
      </c>
      <c r="QO33" s="528">
        <v>3.4072</v>
      </c>
      <c r="QP33" s="528">
        <v>3.3671000000000002</v>
      </c>
      <c r="QQ33" s="528">
        <v>3.3904999999999998</v>
      </c>
      <c r="QR33" s="528">
        <v>3.4285999999999999</v>
      </c>
      <c r="QS33" s="528">
        <v>3.448</v>
      </c>
      <c r="QT33" s="528">
        <v>4.7374999999999998</v>
      </c>
      <c r="QU33" s="509">
        <v>27</v>
      </c>
      <c r="QV33" s="529"/>
      <c r="QW33" s="529"/>
      <c r="QX33" s="509">
        <v>27</v>
      </c>
      <c r="QY33" s="528">
        <v>3.1044</v>
      </c>
      <c r="QZ33" s="528">
        <v>3.0973999999999999</v>
      </c>
      <c r="RA33" s="528">
        <v>3.1114000000000002</v>
      </c>
      <c r="RB33" s="528">
        <v>3.0945999999999998</v>
      </c>
      <c r="RC33" s="528">
        <v>3.1242000000000001</v>
      </c>
      <c r="RD33" s="528">
        <v>3.1160000000000001</v>
      </c>
      <c r="RE33" s="528">
        <v>3.1251000000000002</v>
      </c>
      <c r="RF33" s="528">
        <v>3.1103999999999998</v>
      </c>
      <c r="RG33" s="528">
        <v>3.1124000000000001</v>
      </c>
      <c r="RH33" s="528">
        <v>3.1135000000000002</v>
      </c>
      <c r="RI33" s="528">
        <v>3.1168</v>
      </c>
      <c r="RJ33" s="528">
        <v>3.1110000000000002</v>
      </c>
      <c r="RK33" s="509">
        <v>27</v>
      </c>
      <c r="RL33" s="529"/>
      <c r="RM33" s="529"/>
      <c r="RN33" s="509">
        <v>27</v>
      </c>
      <c r="RO33" s="528">
        <v>3.0735999999999999</v>
      </c>
      <c r="RP33" s="528">
        <v>3.0609000000000002</v>
      </c>
      <c r="RQ33" s="528">
        <v>3.0794999999999999</v>
      </c>
      <c r="RR33" s="528">
        <v>3.0855999999999999</v>
      </c>
      <c r="RS33" s="528">
        <v>3.1025999999999998</v>
      </c>
      <c r="RT33" s="528">
        <v>3.1225000000000001</v>
      </c>
      <c r="RU33" s="528">
        <v>3.1113</v>
      </c>
      <c r="RV33" s="528">
        <v>3.081</v>
      </c>
      <c r="RW33" s="528">
        <v>3.1040000000000001</v>
      </c>
      <c r="RX33" s="528">
        <v>3.1190000000000002</v>
      </c>
      <c r="RY33" s="528">
        <v>3.1137999999999999</v>
      </c>
      <c r="RZ33" s="528">
        <v>3.1194999999999999</v>
      </c>
      <c r="SA33" s="509">
        <v>27</v>
      </c>
      <c r="SB33" s="529"/>
      <c r="SC33" s="529"/>
      <c r="SD33" s="509">
        <v>27</v>
      </c>
      <c r="SE33" s="528">
        <v>2.9561999999999999</v>
      </c>
      <c r="SF33" s="528">
        <v>2.9689999999999999</v>
      </c>
      <c r="SG33" s="528">
        <v>2.9802</v>
      </c>
      <c r="SH33" s="528">
        <v>2.9925999999999999</v>
      </c>
      <c r="SI33" s="528">
        <v>3.0038</v>
      </c>
      <c r="SJ33" s="528">
        <v>3.0169999999999999</v>
      </c>
      <c r="SK33" s="528">
        <v>3.0289999999999999</v>
      </c>
      <c r="SL33" s="528">
        <v>3.0406</v>
      </c>
      <c r="SM33" s="528">
        <v>3.0546000000000002</v>
      </c>
      <c r="SN33" s="528">
        <v>3.0670000000000002</v>
      </c>
      <c r="SO33" s="528">
        <v>3.06216</v>
      </c>
      <c r="SP33" s="528">
        <v>3.08413</v>
      </c>
      <c r="SQ33" s="509">
        <v>27</v>
      </c>
      <c r="SR33" s="529"/>
      <c r="SS33" s="529"/>
      <c r="ST33" s="509">
        <v>27</v>
      </c>
      <c r="SU33" s="528">
        <v>2.669</v>
      </c>
      <c r="SV33" s="528">
        <v>2.698</v>
      </c>
      <c r="SW33" s="528">
        <v>2.726</v>
      </c>
      <c r="SX33" s="528">
        <v>2.7589999999999999</v>
      </c>
      <c r="SY33" s="528">
        <v>2.7879999999999998</v>
      </c>
      <c r="SZ33" s="528">
        <v>2.8146</v>
      </c>
      <c r="TA33" s="528">
        <v>2.8386</v>
      </c>
      <c r="TB33" s="528">
        <v>2.8618000000000001</v>
      </c>
      <c r="TC33" s="528">
        <v>2.8881999999999999</v>
      </c>
      <c r="TD33" s="528">
        <v>2.9121999999999999</v>
      </c>
      <c r="TE33" s="528">
        <v>2.9314</v>
      </c>
      <c r="TF33" s="528">
        <v>2.9441999999999999</v>
      </c>
      <c r="TG33" s="509">
        <v>27</v>
      </c>
      <c r="TH33" s="529"/>
      <c r="TI33" s="529"/>
      <c r="TJ33" s="509">
        <v>27</v>
      </c>
      <c r="TK33" s="528">
        <v>2.3039999999999998</v>
      </c>
      <c r="TL33" s="528">
        <v>2.3330000000000002</v>
      </c>
      <c r="TM33" s="528">
        <v>2.3610000000000002</v>
      </c>
      <c r="TN33" s="528">
        <v>2.3940000000000001</v>
      </c>
      <c r="TO33" s="528">
        <v>2.4239999999999999</v>
      </c>
      <c r="TP33" s="528">
        <v>2.4529999999999998</v>
      </c>
      <c r="TQ33" s="528">
        <v>2.4849999999999999</v>
      </c>
      <c r="TR33" s="528">
        <v>2.5150000000000001</v>
      </c>
      <c r="TS33" s="528">
        <v>2.5470000000000002</v>
      </c>
      <c r="TT33" s="528">
        <v>2.577</v>
      </c>
      <c r="TU33" s="528">
        <v>2.6059999999999999</v>
      </c>
      <c r="TV33" s="528">
        <v>2.6379999999999999</v>
      </c>
      <c r="TW33" s="509">
        <v>27</v>
      </c>
    </row>
    <row r="34" spans="2:543" s="4" customFormat="1" ht="23" customHeight="1">
      <c r="B34" s="509">
        <v>28</v>
      </c>
      <c r="C34" s="541">
        <v>20.641500000000001</v>
      </c>
      <c r="D34" s="541">
        <v>20.6525</v>
      </c>
      <c r="E34" s="541">
        <v>20.1313</v>
      </c>
      <c r="F34" s="541">
        <v>20.356000000000002</v>
      </c>
      <c r="G34" s="541">
        <v>19.793299999999999</v>
      </c>
      <c r="H34" s="541">
        <v>19.870699999999999</v>
      </c>
      <c r="I34" s="541">
        <v>20.433</v>
      </c>
      <c r="J34" s="541">
        <v>19.9437</v>
      </c>
      <c r="K34" s="541">
        <v>20.351700000000001</v>
      </c>
      <c r="L34" s="541">
        <v>19.8553</v>
      </c>
      <c r="M34" s="541">
        <v>19.369199999999999</v>
      </c>
      <c r="N34" s="541">
        <v>19.398299999999999</v>
      </c>
      <c r="O34" s="509">
        <v>28</v>
      </c>
      <c r="R34" s="509">
        <v>28</v>
      </c>
      <c r="S34" s="541">
        <v>20.0152</v>
      </c>
      <c r="T34" s="541">
        <v>20.8523</v>
      </c>
      <c r="U34" s="541">
        <v>20.766200000000001</v>
      </c>
      <c r="V34" s="541">
        <v>19.836200000000002</v>
      </c>
      <c r="W34" s="541">
        <v>19.878299999999999</v>
      </c>
      <c r="X34" s="541">
        <v>20.048300000000001</v>
      </c>
      <c r="Y34" s="541">
        <v>20.0245</v>
      </c>
      <c r="Z34" s="541">
        <v>20.3522</v>
      </c>
      <c r="AA34" s="541">
        <v>20.111799999999999</v>
      </c>
      <c r="AB34" s="541">
        <v>20.188800000000001</v>
      </c>
      <c r="AC34" s="541">
        <v>21.546199999999999</v>
      </c>
      <c r="AD34" s="541">
        <v>20.6112</v>
      </c>
      <c r="AE34" s="509">
        <v>28</v>
      </c>
      <c r="AH34" s="509">
        <v>28</v>
      </c>
      <c r="AI34" s="541">
        <v>18.831299999999999</v>
      </c>
      <c r="AJ34" s="541">
        <v>19.1585</v>
      </c>
      <c r="AK34" s="541">
        <v>23.097000000000001</v>
      </c>
      <c r="AL34" s="541">
        <v>24.8583</v>
      </c>
      <c r="AM34" s="541">
        <v>22.293199999999999</v>
      </c>
      <c r="AN34" s="541">
        <v>22.796299999999999</v>
      </c>
      <c r="AO34" s="541">
        <v>22.3842</v>
      </c>
      <c r="AP34" s="541">
        <v>21.920200000000001</v>
      </c>
      <c r="AQ34" s="541">
        <v>22.367799999999999</v>
      </c>
      <c r="AR34" s="541">
        <v>20.9818</v>
      </c>
      <c r="AS34" s="541">
        <v>20.046700000000001</v>
      </c>
      <c r="AT34" s="541">
        <v>20.1175</v>
      </c>
      <c r="AU34" s="509">
        <v>28</v>
      </c>
      <c r="AX34" s="509">
        <v>28</v>
      </c>
      <c r="AY34" s="528">
        <v>18.985900000000001</v>
      </c>
      <c r="AZ34" s="528">
        <v>19.163</v>
      </c>
      <c r="BA34" s="528">
        <v>19.0989</v>
      </c>
      <c r="BB34" s="528">
        <v>19.094200000000001</v>
      </c>
      <c r="BC34" s="528">
        <v>19.065799999999999</v>
      </c>
      <c r="BD34" s="528">
        <v>19.144200000000001</v>
      </c>
      <c r="BE34" s="528">
        <v>19.0623</v>
      </c>
      <c r="BF34" s="528">
        <v>19.9086</v>
      </c>
      <c r="BG34" s="528">
        <v>19.636299999999999</v>
      </c>
      <c r="BH34" s="528">
        <v>19.087800000000001</v>
      </c>
      <c r="BI34" s="528">
        <v>19.5185</v>
      </c>
      <c r="BJ34" s="528">
        <v>18.944500000000001</v>
      </c>
      <c r="BK34" s="509">
        <v>28</v>
      </c>
      <c r="BN34" s="509">
        <v>28</v>
      </c>
      <c r="BO34" s="530">
        <v>18.478000000000002</v>
      </c>
      <c r="BP34" s="528">
        <v>18.645600000000002</v>
      </c>
      <c r="BQ34" s="528">
        <v>18.326799999999999</v>
      </c>
      <c r="BR34" s="528">
        <v>18.8644</v>
      </c>
      <c r="BS34" s="528">
        <v>19.704799999999999</v>
      </c>
      <c r="BT34" s="528">
        <v>19.875399999999999</v>
      </c>
      <c r="BU34" s="528">
        <v>18.6234</v>
      </c>
      <c r="BV34" s="528">
        <v>18.8339</v>
      </c>
      <c r="BW34" s="528">
        <v>18.898599999999998</v>
      </c>
      <c r="BX34" s="528">
        <v>19.438300000000002</v>
      </c>
      <c r="BY34" s="528">
        <v>20.5304</v>
      </c>
      <c r="BZ34" s="528">
        <v>19.882300000000001</v>
      </c>
      <c r="CA34" s="509">
        <v>28</v>
      </c>
      <c r="CD34" s="509">
        <v>28</v>
      </c>
      <c r="CE34" s="528">
        <v>21.202400000000001</v>
      </c>
      <c r="CF34" s="528">
        <v>19.833500000000001</v>
      </c>
      <c r="CG34" s="528">
        <v>18.852799999999998</v>
      </c>
      <c r="CH34" s="528">
        <v>19.111899999999999</v>
      </c>
      <c r="CI34" s="528">
        <v>18.418500000000002</v>
      </c>
      <c r="CJ34" s="528">
        <v>17.877500000000001</v>
      </c>
      <c r="CK34" s="528">
        <v>17.7561</v>
      </c>
      <c r="CL34" s="528">
        <v>17.697700000000001</v>
      </c>
      <c r="CM34" s="528">
        <v>17.993300000000001</v>
      </c>
      <c r="CN34" s="528">
        <v>19.096</v>
      </c>
      <c r="CO34" s="528">
        <v>18.5379</v>
      </c>
      <c r="CP34" s="528">
        <v>19.722300000000001</v>
      </c>
      <c r="CQ34" s="509">
        <v>28</v>
      </c>
      <c r="CT34" s="509">
        <v>28</v>
      </c>
      <c r="CU34" s="528">
        <v>18.471499999999999</v>
      </c>
      <c r="CV34" s="528">
        <v>18.167999999999999</v>
      </c>
      <c r="CW34" s="528">
        <v>17.336099999999998</v>
      </c>
      <c r="CX34" s="528">
        <v>17.4298</v>
      </c>
      <c r="CY34" s="528">
        <v>18.4572</v>
      </c>
      <c r="CZ34" s="528">
        <v>18.871600000000001</v>
      </c>
      <c r="DA34" s="528">
        <v>18.811399999999999</v>
      </c>
      <c r="DB34" s="528">
        <v>18.446000000000002</v>
      </c>
      <c r="DC34" s="528">
        <v>19.8322</v>
      </c>
      <c r="DD34" s="528">
        <v>18.648499999999999</v>
      </c>
      <c r="DE34" s="528">
        <v>20.705100000000002</v>
      </c>
      <c r="DF34" s="528">
        <v>20.644500000000001</v>
      </c>
      <c r="DG34" s="509">
        <v>28</v>
      </c>
      <c r="DJ34" s="509">
        <v>28</v>
      </c>
      <c r="DK34" s="528">
        <v>14.588699999999999</v>
      </c>
      <c r="DL34" s="528">
        <v>14.962400000000001</v>
      </c>
      <c r="DM34" s="528">
        <v>15.105600000000001</v>
      </c>
      <c r="DN34" s="528">
        <v>15.3834</v>
      </c>
      <c r="DO34" s="528">
        <v>15.323499999999999</v>
      </c>
      <c r="DP34" s="528">
        <v>15.455500000000001</v>
      </c>
      <c r="DQ34" s="528">
        <v>16.2364</v>
      </c>
      <c r="DR34" s="528">
        <v>17.1065</v>
      </c>
      <c r="DS34" s="528">
        <v>17.114899999999999</v>
      </c>
      <c r="DT34" s="528">
        <v>16.4998</v>
      </c>
      <c r="DU34" s="528">
        <v>16.549199999999999</v>
      </c>
      <c r="DV34" s="528">
        <v>17.1953</v>
      </c>
      <c r="DW34" s="509">
        <v>28</v>
      </c>
      <c r="DZ34" s="509">
        <v>28</v>
      </c>
      <c r="EA34" s="528">
        <v>13.493</v>
      </c>
      <c r="EB34" s="528">
        <v>13.299200000000001</v>
      </c>
      <c r="EC34" s="528">
        <v>13.1273</v>
      </c>
      <c r="ED34" s="528">
        <v>13.101000000000001</v>
      </c>
      <c r="EE34" s="528">
        <v>12.861599999999999</v>
      </c>
      <c r="EF34" s="528">
        <v>13.032299999999999</v>
      </c>
      <c r="EG34" s="528">
        <v>12.9572</v>
      </c>
      <c r="EH34" s="528">
        <v>13.1059</v>
      </c>
      <c r="EI34" s="528">
        <v>13.3848</v>
      </c>
      <c r="EJ34" s="528">
        <v>13.526300000000001</v>
      </c>
      <c r="EK34" s="528">
        <v>13.7219</v>
      </c>
      <c r="EL34" s="528">
        <v>14.742900000000001</v>
      </c>
      <c r="EM34" s="509">
        <v>28</v>
      </c>
      <c r="EP34" s="509">
        <v>28</v>
      </c>
      <c r="EQ34" s="528">
        <v>12.6286</v>
      </c>
      <c r="ER34" s="528">
        <v>12.868</v>
      </c>
      <c r="ES34" s="528">
        <v>12.3546</v>
      </c>
      <c r="ET34" s="528">
        <v>12.123100000000001</v>
      </c>
      <c r="EU34" s="528">
        <v>12.5219</v>
      </c>
      <c r="EV34" s="528">
        <v>13.1884</v>
      </c>
      <c r="EW34" s="528">
        <v>12.646800000000001</v>
      </c>
      <c r="EX34" s="528">
        <v>13.109</v>
      </c>
      <c r="EY34" s="528">
        <v>13.011900000000001</v>
      </c>
      <c r="EZ34" s="528">
        <v>12.9916</v>
      </c>
      <c r="FA34" s="528">
        <v>13.0745</v>
      </c>
      <c r="FB34" s="528">
        <v>13.0547</v>
      </c>
      <c r="FC34" s="509">
        <v>28</v>
      </c>
      <c r="FF34" s="509">
        <v>28</v>
      </c>
      <c r="FG34" s="528">
        <v>12.932499999999999</v>
      </c>
      <c r="FH34" s="528">
        <v>12.8675</v>
      </c>
      <c r="FI34" s="528">
        <v>12.679500000000001</v>
      </c>
      <c r="FJ34" s="528">
        <v>13.209300000000001</v>
      </c>
      <c r="FK34" s="528">
        <v>14.004</v>
      </c>
      <c r="FL34" s="528">
        <v>13.861599999999999</v>
      </c>
      <c r="FM34" s="528">
        <v>13.442500000000001</v>
      </c>
      <c r="FN34" s="528">
        <v>13.176</v>
      </c>
      <c r="FO34" s="528">
        <v>12.917</v>
      </c>
      <c r="FP34" s="528">
        <v>12.966900000000001</v>
      </c>
      <c r="FQ34" s="528">
        <v>12.9984</v>
      </c>
      <c r="FR34" s="528">
        <v>13.005800000000001</v>
      </c>
      <c r="FS34" s="509">
        <v>28</v>
      </c>
      <c r="FV34" s="509">
        <v>28</v>
      </c>
      <c r="FW34" s="528">
        <v>12.040800000000001</v>
      </c>
      <c r="FX34" s="528">
        <v>12.173</v>
      </c>
      <c r="FY34" s="528">
        <v>11.955500000000001</v>
      </c>
      <c r="FZ34" s="528">
        <v>11.5824</v>
      </c>
      <c r="GA34" s="528">
        <v>11.695600000000001</v>
      </c>
      <c r="GB34" s="528">
        <v>11.882199999999999</v>
      </c>
      <c r="GC34" s="528">
        <v>11.6172</v>
      </c>
      <c r="GD34" s="528">
        <v>12.4259</v>
      </c>
      <c r="GE34" s="528">
        <v>13.6677</v>
      </c>
      <c r="GF34" s="528">
        <v>13.491400000000001</v>
      </c>
      <c r="GG34" s="528">
        <v>14.1778</v>
      </c>
      <c r="GH34" s="528">
        <v>13.8483</v>
      </c>
      <c r="GI34" s="509">
        <v>28</v>
      </c>
      <c r="GL34" s="509">
        <v>28</v>
      </c>
      <c r="GM34" s="528">
        <v>12.854900000000001</v>
      </c>
      <c r="GN34" s="528">
        <v>12.850300000000001</v>
      </c>
      <c r="GO34" s="528">
        <v>12.5009</v>
      </c>
      <c r="GP34" s="528">
        <v>12.157500000000001</v>
      </c>
      <c r="GQ34" s="528">
        <v>12.9955</v>
      </c>
      <c r="GR34" s="528">
        <v>12.7141</v>
      </c>
      <c r="GS34" s="528">
        <v>12.6975</v>
      </c>
      <c r="GT34" s="528">
        <v>12.984</v>
      </c>
      <c r="GU34" s="528">
        <v>12.549099999999999</v>
      </c>
      <c r="GV34" s="528">
        <v>12.385899999999999</v>
      </c>
      <c r="GW34" s="528">
        <v>12.366899999999999</v>
      </c>
      <c r="GX34" s="528">
        <v>12.3459</v>
      </c>
      <c r="GY34" s="509">
        <v>28</v>
      </c>
      <c r="HB34" s="509">
        <v>28</v>
      </c>
      <c r="HC34" s="528">
        <v>13.934200000000001</v>
      </c>
      <c r="HD34" s="528">
        <v>14.9322</v>
      </c>
      <c r="HE34" s="528">
        <v>14.2163</v>
      </c>
      <c r="HF34" s="528">
        <v>13.2318</v>
      </c>
      <c r="HG34" s="528">
        <v>13.133800000000001</v>
      </c>
      <c r="HH34" s="528">
        <v>13.277799999999999</v>
      </c>
      <c r="HI34" s="528">
        <v>13.2247</v>
      </c>
      <c r="HJ34" s="528">
        <v>13.1378</v>
      </c>
      <c r="HK34" s="528">
        <v>13.4549</v>
      </c>
      <c r="HL34" s="528">
        <v>13.148999999999999</v>
      </c>
      <c r="HM34" s="528">
        <v>12.9475</v>
      </c>
      <c r="HN34" s="528">
        <v>12.8896</v>
      </c>
      <c r="HO34" s="509">
        <v>28</v>
      </c>
      <c r="HP34" s="529"/>
      <c r="HQ34" s="529"/>
      <c r="HR34" s="509">
        <v>28</v>
      </c>
      <c r="HS34" s="528">
        <v>10.8934</v>
      </c>
      <c r="HT34" s="528">
        <v>10.743</v>
      </c>
      <c r="HU34" s="528">
        <v>10.6957</v>
      </c>
      <c r="HV34" s="528">
        <v>10.462</v>
      </c>
      <c r="HW34" s="528">
        <v>10.3848</v>
      </c>
      <c r="HX34" s="528">
        <v>10.2841</v>
      </c>
      <c r="HY34" s="528">
        <v>10.026400000000001</v>
      </c>
      <c r="HZ34" s="528">
        <v>10.173</v>
      </c>
      <c r="IA34" s="528">
        <v>10.7653</v>
      </c>
      <c r="IB34" s="528">
        <v>13.4</v>
      </c>
      <c r="IC34" s="528">
        <v>13.2117</v>
      </c>
      <c r="ID34" s="528">
        <v>13.311400000000001</v>
      </c>
      <c r="IE34" s="509">
        <v>28</v>
      </c>
      <c r="IF34" s="529"/>
      <c r="IG34" s="529"/>
      <c r="IH34" s="509">
        <v>28</v>
      </c>
      <c r="II34" s="528">
        <v>10.975300000000001</v>
      </c>
      <c r="IJ34" s="528">
        <v>11.079000000000001</v>
      </c>
      <c r="IK34" s="528">
        <v>11.0253</v>
      </c>
      <c r="IL34" s="528">
        <v>10.9312</v>
      </c>
      <c r="IM34" s="528">
        <v>10.8354</v>
      </c>
      <c r="IN34" s="528">
        <v>10.8398</v>
      </c>
      <c r="IO34" s="528">
        <v>10.9436</v>
      </c>
      <c r="IP34" s="528">
        <v>11.0413</v>
      </c>
      <c r="IQ34" s="528">
        <v>10.924300000000001</v>
      </c>
      <c r="IR34" s="528">
        <v>10.8291</v>
      </c>
      <c r="IS34" s="528">
        <v>10.981</v>
      </c>
      <c r="IT34" s="528">
        <v>10.810499999999999</v>
      </c>
      <c r="IU34" s="509">
        <v>28</v>
      </c>
      <c r="IV34" s="529"/>
      <c r="IW34" s="529"/>
      <c r="IX34" s="509">
        <v>28</v>
      </c>
      <c r="IY34" s="528">
        <v>10.5039</v>
      </c>
      <c r="IZ34" s="528">
        <v>10.476100000000001</v>
      </c>
      <c r="JA34" s="528">
        <v>10.8568</v>
      </c>
      <c r="JB34" s="528">
        <v>11.1578</v>
      </c>
      <c r="JC34" s="528">
        <v>11.2097</v>
      </c>
      <c r="JD34" s="528">
        <v>11.409000000000001</v>
      </c>
      <c r="JE34" s="528">
        <v>10.9337</v>
      </c>
      <c r="JF34" s="528">
        <v>10.922000000000001</v>
      </c>
      <c r="JG34" s="528">
        <v>11.0418</v>
      </c>
      <c r="JH34" s="528">
        <v>10.731299999999999</v>
      </c>
      <c r="JI34" s="528">
        <v>11.0242</v>
      </c>
      <c r="JJ34" s="528">
        <v>10.874700000000001</v>
      </c>
      <c r="JK34" s="509">
        <v>28</v>
      </c>
      <c r="JL34" s="529"/>
      <c r="JM34" s="529"/>
      <c r="JN34" s="509">
        <v>28</v>
      </c>
      <c r="JO34" s="528">
        <v>11.263199999999999</v>
      </c>
      <c r="JP34" s="528">
        <v>11.095499999999999</v>
      </c>
      <c r="JQ34" s="528">
        <v>11.1898</v>
      </c>
      <c r="JR34" s="528">
        <v>11.0595</v>
      </c>
      <c r="JS34" s="528">
        <v>10.964499999999999</v>
      </c>
      <c r="JT34" s="528">
        <v>10.764200000000001</v>
      </c>
      <c r="JU34" s="528">
        <v>10.7165</v>
      </c>
      <c r="JV34" s="528">
        <v>10.815300000000001</v>
      </c>
      <c r="JW34" s="528">
        <v>10.875999999999999</v>
      </c>
      <c r="JX34" s="528">
        <v>10.891</v>
      </c>
      <c r="JY34" s="528">
        <v>10.6083</v>
      </c>
      <c r="JZ34" s="528">
        <v>10.693199999999999</v>
      </c>
      <c r="KA34" s="509">
        <v>28</v>
      </c>
      <c r="KB34" s="529"/>
      <c r="KC34" s="529"/>
      <c r="KD34" s="509">
        <v>28</v>
      </c>
      <c r="KE34" s="528">
        <v>10.9178</v>
      </c>
      <c r="KF34" s="528">
        <v>11.0715</v>
      </c>
      <c r="KG34" s="528">
        <v>11.013</v>
      </c>
      <c r="KH34" s="528">
        <v>11.2881</v>
      </c>
      <c r="KI34" s="528">
        <v>11.4556</v>
      </c>
      <c r="KJ34" s="528">
        <v>11.3004</v>
      </c>
      <c r="KK34" s="528">
        <v>11.4582</v>
      </c>
      <c r="KL34" s="528">
        <v>11.366</v>
      </c>
      <c r="KM34" s="528">
        <v>11.4107</v>
      </c>
      <c r="KN34" s="528">
        <v>11.517799999999999</v>
      </c>
      <c r="KO34" s="528">
        <v>11.2713</v>
      </c>
      <c r="KP34" s="528">
        <v>11.15</v>
      </c>
      <c r="KQ34" s="509">
        <v>28</v>
      </c>
      <c r="KR34" s="529"/>
      <c r="KS34" s="529"/>
      <c r="KT34" s="509">
        <v>28</v>
      </c>
      <c r="KU34" s="528">
        <v>10.826700000000001</v>
      </c>
      <c r="KV34" s="528">
        <v>11.0329</v>
      </c>
      <c r="KW34" s="528">
        <v>10.7498</v>
      </c>
      <c r="KX34" s="528">
        <v>10.434799999999999</v>
      </c>
      <c r="KY34" s="528">
        <v>10.251899999999999</v>
      </c>
      <c r="KZ34" s="528">
        <v>10.4808</v>
      </c>
      <c r="LA34" s="528">
        <v>10.520300000000001</v>
      </c>
      <c r="LB34" s="528">
        <v>10.911799999999999</v>
      </c>
      <c r="LC34" s="528">
        <v>10.811500000000001</v>
      </c>
      <c r="LD34" s="528">
        <v>11.1784</v>
      </c>
      <c r="LE34" s="528">
        <v>11.3522</v>
      </c>
      <c r="LF34" s="528">
        <v>11.2744</v>
      </c>
      <c r="LG34" s="509">
        <v>28</v>
      </c>
      <c r="LH34" s="529"/>
      <c r="LI34" s="529"/>
      <c r="LJ34" s="509">
        <v>28</v>
      </c>
      <c r="LK34" s="528">
        <v>9.1227</v>
      </c>
      <c r="LL34" s="528">
        <v>9.0815000000000001</v>
      </c>
      <c r="LM34" s="528">
        <v>9.0243000000000002</v>
      </c>
      <c r="LN34" s="528">
        <v>9.3528000000000002</v>
      </c>
      <c r="LO34" s="528">
        <v>9.5585000000000004</v>
      </c>
      <c r="LP34" s="528">
        <v>9.9998000000000005</v>
      </c>
      <c r="LQ34" s="528">
        <v>9.7157999999999998</v>
      </c>
      <c r="LR34" s="528">
        <v>9.8267000000000007</v>
      </c>
      <c r="LS34" s="528">
        <v>10.166700000000001</v>
      </c>
      <c r="LT34" s="528">
        <v>9.9467999999999996</v>
      </c>
      <c r="LU34" s="528">
        <v>10.153499999999999</v>
      </c>
      <c r="LV34" s="528">
        <v>10.2479</v>
      </c>
      <c r="LW34" s="509">
        <v>28</v>
      </c>
      <c r="LX34" s="529"/>
      <c r="LY34" s="529"/>
      <c r="LZ34" s="509">
        <v>28</v>
      </c>
      <c r="MA34" s="528">
        <v>9.6829999999999998</v>
      </c>
      <c r="MB34" s="528">
        <v>9.6617999999999995</v>
      </c>
      <c r="MC34" s="528">
        <v>9.5314999999999994</v>
      </c>
      <c r="MD34" s="528">
        <v>9.2670999999999992</v>
      </c>
      <c r="ME34" s="528">
        <v>9.0805000000000007</v>
      </c>
      <c r="MF34" s="528">
        <v>9.0606000000000009</v>
      </c>
      <c r="MG34" s="528">
        <v>9.157</v>
      </c>
      <c r="MH34" s="528">
        <v>9.1443999999999992</v>
      </c>
      <c r="MI34" s="528">
        <v>9.5258000000000003</v>
      </c>
      <c r="MJ34" s="528">
        <v>9.2469000000000001</v>
      </c>
      <c r="MK34" s="528">
        <v>9.1646999999999998</v>
      </c>
      <c r="ML34" s="528">
        <v>9.0957000000000008</v>
      </c>
      <c r="MM34" s="509">
        <v>28</v>
      </c>
      <c r="MN34" s="529"/>
      <c r="MO34" s="529"/>
      <c r="MP34" s="509">
        <v>28</v>
      </c>
      <c r="MQ34" s="528">
        <v>9.5103000000000009</v>
      </c>
      <c r="MR34" s="528">
        <v>9.3797999999999995</v>
      </c>
      <c r="MS34" s="528">
        <v>9.1712000000000007</v>
      </c>
      <c r="MT34" s="528">
        <v>9.4072999999999993</v>
      </c>
      <c r="MU34" s="528">
        <v>9.4939999999999998</v>
      </c>
      <c r="MV34" s="528">
        <v>10.0197</v>
      </c>
      <c r="MW34" s="528">
        <v>9.3627000000000002</v>
      </c>
      <c r="MX34" s="528">
        <v>9.2268000000000008</v>
      </c>
      <c r="MY34" s="528">
        <v>9.4032</v>
      </c>
      <c r="MZ34" s="528">
        <v>9.6776999999999997</v>
      </c>
      <c r="NA34" s="528">
        <v>9.3930000000000007</v>
      </c>
      <c r="NB34" s="528">
        <v>9.5200999999999993</v>
      </c>
      <c r="NC34" s="509">
        <v>28</v>
      </c>
      <c r="ND34" s="529"/>
      <c r="NE34" s="529"/>
      <c r="NF34" s="509">
        <v>28</v>
      </c>
      <c r="NG34" s="528">
        <v>10.225199999999999</v>
      </c>
      <c r="NH34" s="528">
        <v>9.9835999999999991</v>
      </c>
      <c r="NI34" s="528">
        <v>9.6454000000000004</v>
      </c>
      <c r="NJ34" s="528">
        <v>9.3084000000000007</v>
      </c>
      <c r="NK34" s="528">
        <v>9.6715</v>
      </c>
      <c r="NL34" s="528">
        <v>9.4589999999999996</v>
      </c>
      <c r="NM34" s="528">
        <v>9.4235000000000007</v>
      </c>
      <c r="NN34" s="528">
        <v>9.3393999999999995</v>
      </c>
      <c r="NO34" s="528">
        <v>9.3565000000000005</v>
      </c>
      <c r="NP34" s="528">
        <v>9.6298999999999992</v>
      </c>
      <c r="NQ34" s="528">
        <v>9.2944999999999993</v>
      </c>
      <c r="NR34" s="528">
        <v>9.4187999999999992</v>
      </c>
      <c r="NS34" s="509">
        <v>28</v>
      </c>
      <c r="NT34" s="529"/>
      <c r="NU34" s="529"/>
      <c r="NV34" s="509">
        <v>28</v>
      </c>
      <c r="NW34" s="528">
        <v>8.2810000000000006</v>
      </c>
      <c r="NX34" s="528">
        <v>8.5582999999999991</v>
      </c>
      <c r="NY34" s="528">
        <v>8.5251999999999999</v>
      </c>
      <c r="NZ34" s="528">
        <v>8.4747000000000003</v>
      </c>
      <c r="OA34" s="528">
        <v>8.7081</v>
      </c>
      <c r="OB34" s="528">
        <v>8.9536999999999995</v>
      </c>
      <c r="OC34" s="528">
        <v>8.8670000000000009</v>
      </c>
      <c r="OD34" s="528">
        <v>9.8149999999999995</v>
      </c>
      <c r="OE34" s="528">
        <v>10.111700000000001</v>
      </c>
      <c r="OF34" s="528">
        <v>10.029299999999999</v>
      </c>
      <c r="OG34" s="528">
        <v>9.9404000000000003</v>
      </c>
      <c r="OH34" s="528">
        <v>9.8103999999999996</v>
      </c>
      <c r="OI34" s="509">
        <v>28</v>
      </c>
      <c r="OJ34" s="529"/>
      <c r="OK34" s="529"/>
      <c r="OL34" s="509">
        <v>28</v>
      </c>
      <c r="OM34" s="528">
        <v>7.8205</v>
      </c>
      <c r="ON34" s="528">
        <v>7.7843999999999998</v>
      </c>
      <c r="OO34" s="528">
        <v>7.8905000000000003</v>
      </c>
      <c r="OP34" s="528">
        <v>7.8544999999999998</v>
      </c>
      <c r="OQ34" s="528">
        <v>7.9058999999999999</v>
      </c>
      <c r="OR34" s="528">
        <v>7.9577</v>
      </c>
      <c r="OS34" s="528">
        <v>7.8312999999999997</v>
      </c>
      <c r="OT34" s="528">
        <v>7.7637</v>
      </c>
      <c r="OU34" s="528">
        <v>7.8071999999999999</v>
      </c>
      <c r="OV34" s="528">
        <v>7.8272000000000004</v>
      </c>
      <c r="OW34" s="528">
        <v>8.1999999999999993</v>
      </c>
      <c r="OX34" s="528">
        <v>8.1647999999999996</v>
      </c>
      <c r="OY34" s="509">
        <v>28</v>
      </c>
      <c r="OZ34" s="529"/>
      <c r="PA34" s="529"/>
      <c r="PB34" s="509">
        <v>28</v>
      </c>
      <c r="PC34" s="528">
        <v>7.3867000000000003</v>
      </c>
      <c r="PD34" s="528">
        <v>7.5571000000000002</v>
      </c>
      <c r="PE34" s="528">
        <v>7.5437000000000003</v>
      </c>
      <c r="PF34" s="528">
        <v>7.3794000000000004</v>
      </c>
      <c r="PG34" s="528">
        <v>7.3987999999999996</v>
      </c>
      <c r="PH34" s="528">
        <v>7.6108000000000002</v>
      </c>
      <c r="PI34" s="528">
        <v>7.5903</v>
      </c>
      <c r="PJ34" s="528">
        <v>7.5019999999999998</v>
      </c>
      <c r="PK34" s="528">
        <v>7.5373999999999999</v>
      </c>
      <c r="PL34" s="528">
        <v>7.8296999999999999</v>
      </c>
      <c r="PM34" s="528">
        <v>7.875</v>
      </c>
      <c r="PN34" s="528">
        <v>7.8441999999999998</v>
      </c>
      <c r="PO34" s="509">
        <v>28</v>
      </c>
      <c r="PP34" s="529"/>
      <c r="PQ34" s="529"/>
      <c r="PR34" s="509">
        <v>28</v>
      </c>
      <c r="PS34" s="528">
        <v>5.69</v>
      </c>
      <c r="PT34" s="528">
        <v>5.8375000000000004</v>
      </c>
      <c r="PU34" s="528">
        <v>6.875</v>
      </c>
      <c r="PV34" s="528">
        <v>5.7850000000000001</v>
      </c>
      <c r="PW34" s="528">
        <v>6.0549999999999997</v>
      </c>
      <c r="PX34" s="528">
        <v>6.2549999999999999</v>
      </c>
      <c r="PY34" s="528">
        <v>6.12</v>
      </c>
      <c r="PZ34" s="528">
        <v>6.3167</v>
      </c>
      <c r="QA34" s="528">
        <v>6.3878000000000004</v>
      </c>
      <c r="QB34" s="528">
        <v>7.1666999999999996</v>
      </c>
      <c r="QC34" s="528">
        <v>7.6966999999999999</v>
      </c>
      <c r="QD34" s="528">
        <v>7.5533000000000001</v>
      </c>
      <c r="QE34" s="509">
        <v>28</v>
      </c>
      <c r="QF34" s="529"/>
      <c r="QG34" s="529"/>
      <c r="QH34" s="509">
        <v>28</v>
      </c>
      <c r="QI34" s="528">
        <v>3.1063999999999998</v>
      </c>
      <c r="QJ34" s="528">
        <v>3.2075</v>
      </c>
      <c r="QK34" s="528">
        <v>3.3353000000000002</v>
      </c>
      <c r="QL34" s="528">
        <v>3.298</v>
      </c>
      <c r="QM34" s="528">
        <v>3.3148</v>
      </c>
      <c r="QN34" s="528">
        <v>3.3902999999999999</v>
      </c>
      <c r="QO34" s="528">
        <v>3.4077999999999999</v>
      </c>
      <c r="QP34" s="528">
        <v>3.3671000000000002</v>
      </c>
      <c r="QQ34" s="528">
        <v>3.3733</v>
      </c>
      <c r="QR34" s="528">
        <v>3.4256000000000002</v>
      </c>
      <c r="QS34" s="528">
        <v>3.448</v>
      </c>
      <c r="QT34" s="528">
        <v>5.0999999999999996</v>
      </c>
      <c r="QU34" s="509">
        <v>28</v>
      </c>
      <c r="QV34" s="529"/>
      <c r="QW34" s="529"/>
      <c r="QX34" s="509">
        <v>28</v>
      </c>
      <c r="QY34" s="528">
        <v>3.0989</v>
      </c>
      <c r="QZ34" s="528">
        <v>3.0973999999999999</v>
      </c>
      <c r="RA34" s="528">
        <v>3.1114000000000002</v>
      </c>
      <c r="RB34" s="528">
        <v>3.0975999999999999</v>
      </c>
      <c r="RC34" s="528">
        <v>3.1294</v>
      </c>
      <c r="RD34" s="528">
        <v>3.1160000000000001</v>
      </c>
      <c r="RE34" s="528">
        <v>3.121</v>
      </c>
      <c r="RF34" s="528">
        <v>3.1116999999999999</v>
      </c>
      <c r="RG34" s="528">
        <v>3.1114000000000002</v>
      </c>
      <c r="RH34" s="528">
        <v>3.1135000000000002</v>
      </c>
      <c r="RI34" s="528">
        <v>3.1168</v>
      </c>
      <c r="RJ34" s="528">
        <v>3.1059000000000001</v>
      </c>
      <c r="RK34" s="509">
        <v>28</v>
      </c>
      <c r="RL34" s="529"/>
      <c r="RM34" s="529"/>
      <c r="RN34" s="509">
        <v>28</v>
      </c>
      <c r="RO34" s="528">
        <v>3.0790999999999999</v>
      </c>
      <c r="RP34" s="528">
        <v>3.0608</v>
      </c>
      <c r="RQ34" s="528">
        <v>3.0901999999999998</v>
      </c>
      <c r="RR34" s="528">
        <v>3.0758000000000001</v>
      </c>
      <c r="RS34" s="528">
        <v>3.1078999999999999</v>
      </c>
      <c r="RT34" s="528">
        <v>3.1225000000000001</v>
      </c>
      <c r="RU34" s="528">
        <v>3.11</v>
      </c>
      <c r="RV34" s="528">
        <v>3.0789</v>
      </c>
      <c r="RW34" s="528">
        <v>3.1040000000000001</v>
      </c>
      <c r="RX34" s="528">
        <v>3.1181000000000001</v>
      </c>
      <c r="RY34" s="528">
        <v>3.1158999999999999</v>
      </c>
      <c r="RZ34" s="528">
        <v>3.1194999999999999</v>
      </c>
      <c r="SA34" s="509">
        <v>28</v>
      </c>
      <c r="SB34" s="529"/>
      <c r="SC34" s="529"/>
      <c r="SD34" s="509">
        <v>28</v>
      </c>
      <c r="SE34" s="528">
        <v>2.9561999999999999</v>
      </c>
      <c r="SF34" s="528">
        <v>2.9693999999999998</v>
      </c>
      <c r="SG34" s="528">
        <v>2.9805999999999999</v>
      </c>
      <c r="SH34" s="528">
        <v>2.9925999999999999</v>
      </c>
      <c r="SI34" s="528">
        <v>3.0042</v>
      </c>
      <c r="SJ34" s="528">
        <v>3.0173999999999999</v>
      </c>
      <c r="SK34" s="528">
        <v>3.0289999999999999</v>
      </c>
      <c r="SL34" s="528">
        <v>3.0417999999999998</v>
      </c>
      <c r="SM34" s="528">
        <v>3.0558000000000001</v>
      </c>
      <c r="SN34" s="528">
        <v>3.0670000000000002</v>
      </c>
      <c r="SO34" s="528">
        <v>3.0760399999999999</v>
      </c>
      <c r="SP34" s="528">
        <v>3.0710000000000002</v>
      </c>
      <c r="SQ34" s="509">
        <v>28</v>
      </c>
      <c r="SR34" s="529"/>
      <c r="SS34" s="529"/>
      <c r="ST34" s="509">
        <v>28</v>
      </c>
      <c r="SU34" s="528">
        <v>2.669</v>
      </c>
      <c r="SV34" s="528">
        <v>2.7010000000000001</v>
      </c>
      <c r="SW34" s="528">
        <v>2.7290000000000001</v>
      </c>
      <c r="SX34" s="528">
        <v>2.76</v>
      </c>
      <c r="SY34" s="528">
        <v>2.7879999999999998</v>
      </c>
      <c r="SZ34" s="528">
        <v>2.8153999999999999</v>
      </c>
      <c r="TA34" s="528">
        <v>2.8393999999999999</v>
      </c>
      <c r="TB34" s="528">
        <v>2.8626</v>
      </c>
      <c r="TC34" s="528">
        <v>2.8889999999999998</v>
      </c>
      <c r="TD34" s="528">
        <v>2.9121999999999999</v>
      </c>
      <c r="TE34" s="528">
        <v>2.9325999999999999</v>
      </c>
      <c r="TF34" s="528">
        <v>2.9445999999999999</v>
      </c>
      <c r="TG34" s="509">
        <v>28</v>
      </c>
      <c r="TH34" s="529"/>
      <c r="TI34" s="529"/>
      <c r="TJ34" s="509">
        <v>28</v>
      </c>
      <c r="TK34" s="528">
        <v>2.3050000000000002</v>
      </c>
      <c r="TL34" s="528">
        <v>2.3340000000000001</v>
      </c>
      <c r="TM34" s="528">
        <v>2.3620000000000001</v>
      </c>
      <c r="TN34" s="528">
        <v>2.395</v>
      </c>
      <c r="TO34" s="528">
        <v>2.4239999999999999</v>
      </c>
      <c r="TP34" s="528">
        <v>2.456</v>
      </c>
      <c r="TQ34" s="528">
        <v>2.4860000000000002</v>
      </c>
      <c r="TR34" s="528">
        <v>2.5150000000000001</v>
      </c>
      <c r="TS34" s="528">
        <v>2.548</v>
      </c>
      <c r="TT34" s="528">
        <v>2.5779999999999998</v>
      </c>
      <c r="TU34" s="528">
        <v>2.6070000000000002</v>
      </c>
      <c r="TV34" s="528">
        <v>2.6389999999999998</v>
      </c>
      <c r="TW34" s="509">
        <v>28</v>
      </c>
    </row>
    <row r="35" spans="2:543" s="4" customFormat="1" ht="23" customHeight="1">
      <c r="B35" s="509">
        <v>29</v>
      </c>
      <c r="C35" s="541">
        <v>20.738299999999999</v>
      </c>
      <c r="D35" s="542"/>
      <c r="E35" s="541">
        <v>19.957699999999999</v>
      </c>
      <c r="F35" s="541">
        <v>20.470700000000001</v>
      </c>
      <c r="G35" s="541">
        <v>19.793299999999999</v>
      </c>
      <c r="H35" s="541">
        <v>19.8797</v>
      </c>
      <c r="I35" s="541">
        <v>20.512</v>
      </c>
      <c r="J35" s="541">
        <v>19.9437</v>
      </c>
      <c r="K35" s="541">
        <v>20.356999999999999</v>
      </c>
      <c r="L35" s="541">
        <v>19.836500000000001</v>
      </c>
      <c r="M35" s="541">
        <v>19.339300000000001</v>
      </c>
      <c r="N35" s="541">
        <v>19.4407</v>
      </c>
      <c r="O35" s="509">
        <v>29</v>
      </c>
      <c r="R35" s="509">
        <v>29</v>
      </c>
      <c r="S35" s="541">
        <v>20.216799999999999</v>
      </c>
      <c r="T35" s="542"/>
      <c r="U35" s="541">
        <v>20.766200000000001</v>
      </c>
      <c r="V35" s="541">
        <v>19.9785</v>
      </c>
      <c r="W35" s="541">
        <v>19.948699999999999</v>
      </c>
      <c r="X35" s="541">
        <v>19.792999999999999</v>
      </c>
      <c r="Y35" s="541">
        <v>19.977</v>
      </c>
      <c r="Z35" s="541">
        <v>20.3522</v>
      </c>
      <c r="AA35" s="541">
        <v>20.1052</v>
      </c>
      <c r="AB35" s="541">
        <v>20.193000000000001</v>
      </c>
      <c r="AC35" s="541">
        <v>21.546199999999999</v>
      </c>
      <c r="AD35" s="541">
        <v>20.6828</v>
      </c>
      <c r="AE35" s="509">
        <v>29</v>
      </c>
      <c r="AH35" s="509">
        <v>29</v>
      </c>
      <c r="AI35" s="541">
        <v>18.9407</v>
      </c>
      <c r="AJ35" s="541">
        <v>19.397300000000001</v>
      </c>
      <c r="AK35" s="541">
        <v>23.097000000000001</v>
      </c>
      <c r="AL35" s="541">
        <v>24.8492</v>
      </c>
      <c r="AM35" s="541">
        <v>22.363299999999999</v>
      </c>
      <c r="AN35" s="541">
        <v>22.796299999999999</v>
      </c>
      <c r="AO35" s="541">
        <v>22.0275</v>
      </c>
      <c r="AP35" s="541">
        <v>22.116800000000001</v>
      </c>
      <c r="AQ35" s="541">
        <v>22.440200000000001</v>
      </c>
      <c r="AR35" s="541">
        <v>20.879799999999999</v>
      </c>
      <c r="AS35" s="541">
        <v>20.046700000000001</v>
      </c>
      <c r="AT35" s="541">
        <v>19.851700000000001</v>
      </c>
      <c r="AU35" s="509">
        <v>29</v>
      </c>
      <c r="AX35" s="509">
        <v>29</v>
      </c>
      <c r="AY35" s="528">
        <v>18.928000000000001</v>
      </c>
      <c r="AZ35" s="533"/>
      <c r="BA35" s="528">
        <v>19.3201</v>
      </c>
      <c r="BB35" s="528">
        <v>19.094200000000001</v>
      </c>
      <c r="BC35" s="528">
        <v>19.052099999999999</v>
      </c>
      <c r="BD35" s="528">
        <v>19.168500000000002</v>
      </c>
      <c r="BE35" s="528">
        <v>19.0623</v>
      </c>
      <c r="BF35" s="528">
        <v>19.993400000000001</v>
      </c>
      <c r="BG35" s="528">
        <v>19.636299999999999</v>
      </c>
      <c r="BH35" s="528">
        <v>19.082000000000001</v>
      </c>
      <c r="BI35" s="528">
        <v>19.560700000000001</v>
      </c>
      <c r="BJ35" s="528">
        <v>18.944500000000001</v>
      </c>
      <c r="BK35" s="509">
        <v>29</v>
      </c>
      <c r="BN35" s="509">
        <v>29</v>
      </c>
      <c r="BO35" s="530">
        <v>18.478000000000002</v>
      </c>
      <c r="BP35" s="533"/>
      <c r="BQ35" s="528">
        <v>18.3445</v>
      </c>
      <c r="BR35" s="528">
        <v>18.8644</v>
      </c>
      <c r="BS35" s="528">
        <v>19.5608</v>
      </c>
      <c r="BT35" s="528">
        <v>20.055299999999999</v>
      </c>
      <c r="BU35" s="528">
        <v>18.6234</v>
      </c>
      <c r="BV35" s="528">
        <v>18.669699999999999</v>
      </c>
      <c r="BW35" s="528">
        <v>18.812000000000001</v>
      </c>
      <c r="BX35" s="528">
        <v>19.438300000000002</v>
      </c>
      <c r="BY35" s="528">
        <v>20.497699999999998</v>
      </c>
      <c r="BZ35" s="528">
        <v>19.6829</v>
      </c>
      <c r="CA35" s="509">
        <v>29</v>
      </c>
      <c r="CD35" s="509">
        <v>29</v>
      </c>
      <c r="CE35" s="530">
        <v>21.202400000000001</v>
      </c>
      <c r="CF35" s="533"/>
      <c r="CG35" s="528">
        <v>18.866099999999999</v>
      </c>
      <c r="CH35" s="528">
        <v>19.067</v>
      </c>
      <c r="CI35" s="528">
        <v>18.418500000000002</v>
      </c>
      <c r="CJ35" s="528">
        <v>17.9862</v>
      </c>
      <c r="CK35" s="528">
        <v>17.688600000000001</v>
      </c>
      <c r="CL35" s="528">
        <v>17.6205</v>
      </c>
      <c r="CM35" s="528">
        <v>18.13</v>
      </c>
      <c r="CN35" s="528">
        <v>19.096</v>
      </c>
      <c r="CO35" s="528">
        <v>18.52</v>
      </c>
      <c r="CP35" s="528">
        <v>19.7867</v>
      </c>
      <c r="CQ35" s="509">
        <v>29</v>
      </c>
      <c r="CT35" s="509">
        <v>29</v>
      </c>
      <c r="CU35" s="530">
        <v>18.452999999999999</v>
      </c>
      <c r="CV35" s="533">
        <v>18.167999999999999</v>
      </c>
      <c r="CW35" s="528">
        <v>17.5273</v>
      </c>
      <c r="CX35" s="528">
        <v>17.3993</v>
      </c>
      <c r="CY35" s="528">
        <v>18.4572</v>
      </c>
      <c r="CZ35" s="528">
        <v>19.128299999999999</v>
      </c>
      <c r="DA35" s="528">
        <v>18.860199999999999</v>
      </c>
      <c r="DB35" s="528">
        <v>18.446000000000002</v>
      </c>
      <c r="DC35" s="528">
        <v>19.5044</v>
      </c>
      <c r="DD35" s="528">
        <v>18.8443</v>
      </c>
      <c r="DE35" s="528">
        <v>20.647500000000001</v>
      </c>
      <c r="DF35" s="528">
        <v>20.705200000000001</v>
      </c>
      <c r="DG35" s="509">
        <v>29</v>
      </c>
      <c r="DJ35" s="509">
        <v>29</v>
      </c>
      <c r="DK35" s="530">
        <v>14.587199999999999</v>
      </c>
      <c r="DL35" s="533"/>
      <c r="DM35" s="528">
        <v>15.105600000000001</v>
      </c>
      <c r="DN35" s="528">
        <v>15.321300000000001</v>
      </c>
      <c r="DO35" s="528">
        <v>15.3581</v>
      </c>
      <c r="DP35" s="528">
        <v>15.4816</v>
      </c>
      <c r="DQ35" s="528">
        <v>16.2681</v>
      </c>
      <c r="DR35" s="528">
        <v>17.1065</v>
      </c>
      <c r="DS35" s="528">
        <v>16.959499999999998</v>
      </c>
      <c r="DT35" s="528">
        <v>16.554500000000001</v>
      </c>
      <c r="DU35" s="528">
        <v>16.549199999999999</v>
      </c>
      <c r="DV35" s="528">
        <v>17.276</v>
      </c>
      <c r="DW35" s="509">
        <v>29</v>
      </c>
      <c r="DZ35" s="509">
        <v>29</v>
      </c>
      <c r="EA35" s="530">
        <v>13.440799999999999</v>
      </c>
      <c r="EB35" s="533"/>
      <c r="EC35" s="528">
        <v>13.0837</v>
      </c>
      <c r="ED35" s="528">
        <v>13.1371</v>
      </c>
      <c r="EE35" s="528">
        <v>12.8772</v>
      </c>
      <c r="EF35" s="528">
        <v>13.032299999999999</v>
      </c>
      <c r="EG35" s="528">
        <v>12.9445</v>
      </c>
      <c r="EH35" s="528">
        <v>13.081099999999999</v>
      </c>
      <c r="EI35" s="528">
        <v>13.3848</v>
      </c>
      <c r="EJ35" s="528">
        <v>13.5701</v>
      </c>
      <c r="EK35" s="528">
        <v>13.7667</v>
      </c>
      <c r="EL35" s="528">
        <v>14.742900000000001</v>
      </c>
      <c r="EM35" s="509">
        <v>29</v>
      </c>
      <c r="EP35" s="509">
        <v>29</v>
      </c>
      <c r="EQ35" s="530">
        <v>12.699299999999999</v>
      </c>
      <c r="ER35" s="533"/>
      <c r="ES35" s="528">
        <v>12.3546</v>
      </c>
      <c r="ET35" s="528">
        <v>12.123100000000001</v>
      </c>
      <c r="EU35" s="528">
        <v>12.4831</v>
      </c>
      <c r="EV35" s="528">
        <v>13.0235</v>
      </c>
      <c r="EW35" s="528">
        <v>12.646800000000001</v>
      </c>
      <c r="EX35" s="528">
        <v>13.336600000000001</v>
      </c>
      <c r="EY35" s="528">
        <v>13.011900000000001</v>
      </c>
      <c r="EZ35" s="528">
        <v>12.869300000000001</v>
      </c>
      <c r="FA35" s="528">
        <v>13.092499999999999</v>
      </c>
      <c r="FB35" s="528">
        <v>13.0547</v>
      </c>
      <c r="FC35" s="509">
        <v>29</v>
      </c>
      <c r="FF35" s="509">
        <v>29</v>
      </c>
      <c r="FG35" s="528">
        <v>12.932499999999999</v>
      </c>
      <c r="FH35" s="528">
        <v>12.8779</v>
      </c>
      <c r="FI35" s="528">
        <v>12.6706</v>
      </c>
      <c r="FJ35" s="528">
        <v>13.209300000000001</v>
      </c>
      <c r="FK35" s="528">
        <v>14.015599999999999</v>
      </c>
      <c r="FL35" s="528">
        <v>13.6652</v>
      </c>
      <c r="FM35" s="528">
        <v>13.442500000000001</v>
      </c>
      <c r="FN35" s="528">
        <v>13.170299999999999</v>
      </c>
      <c r="FO35" s="528">
        <v>12.8521</v>
      </c>
      <c r="FP35" s="528">
        <v>12.966900000000001</v>
      </c>
      <c r="FQ35" s="528">
        <v>12.9861</v>
      </c>
      <c r="FR35" s="528">
        <v>13.0101</v>
      </c>
      <c r="FS35" s="509">
        <v>29</v>
      </c>
      <c r="FV35" s="509">
        <v>29</v>
      </c>
      <c r="FW35" s="530">
        <v>12.023899999999999</v>
      </c>
      <c r="FX35" s="533"/>
      <c r="FY35" s="528">
        <v>11.9505</v>
      </c>
      <c r="FZ35" s="528">
        <v>11.5868</v>
      </c>
      <c r="GA35" s="528">
        <v>11.695600000000001</v>
      </c>
      <c r="GB35" s="528">
        <v>11.893800000000001</v>
      </c>
      <c r="GC35" s="528">
        <v>11.652699999999999</v>
      </c>
      <c r="GD35" s="528">
        <v>12.4259</v>
      </c>
      <c r="GE35" s="528">
        <v>13.3414</v>
      </c>
      <c r="GF35" s="528">
        <v>13.1973</v>
      </c>
      <c r="GG35" s="528">
        <v>14.244300000000001</v>
      </c>
      <c r="GH35" s="528">
        <v>13.9658</v>
      </c>
      <c r="GI35" s="509">
        <v>29</v>
      </c>
      <c r="GL35" s="509">
        <v>29</v>
      </c>
      <c r="GM35" s="530">
        <v>12.929500000000001</v>
      </c>
      <c r="GN35" s="533"/>
      <c r="GO35" s="528">
        <v>12.5009</v>
      </c>
      <c r="GP35" s="528">
        <v>12.2278</v>
      </c>
      <c r="GQ35" s="528">
        <v>12.884600000000001</v>
      </c>
      <c r="GR35" s="528">
        <v>12.7042</v>
      </c>
      <c r="GS35" s="528">
        <v>12.6469</v>
      </c>
      <c r="GT35" s="528">
        <v>12.984</v>
      </c>
      <c r="GU35" s="528">
        <v>12.5168</v>
      </c>
      <c r="GV35" s="528">
        <v>12.477600000000001</v>
      </c>
      <c r="GW35" s="528">
        <v>12.366899999999999</v>
      </c>
      <c r="GX35" s="528">
        <v>12.3653</v>
      </c>
      <c r="GY35" s="509">
        <v>29</v>
      </c>
      <c r="HB35" s="509">
        <v>29</v>
      </c>
      <c r="HC35" s="530">
        <v>14.1675</v>
      </c>
      <c r="HD35" s="533"/>
      <c r="HE35" s="528">
        <v>14.2163</v>
      </c>
      <c r="HF35" s="528">
        <v>13.755000000000001</v>
      </c>
      <c r="HG35" s="528">
        <v>13.159000000000001</v>
      </c>
      <c r="HH35" s="528">
        <v>13.277799999999999</v>
      </c>
      <c r="HI35" s="528">
        <v>13.216699999999999</v>
      </c>
      <c r="HJ35" s="528">
        <v>13.2462</v>
      </c>
      <c r="HK35" s="528">
        <v>13.5243</v>
      </c>
      <c r="HL35" s="528">
        <v>13.2662</v>
      </c>
      <c r="HM35" s="528">
        <v>12.9475</v>
      </c>
      <c r="HN35" s="528">
        <v>12.879300000000001</v>
      </c>
      <c r="HO35" s="509">
        <v>29</v>
      </c>
      <c r="HP35" s="529"/>
      <c r="HQ35" s="529"/>
      <c r="HR35" s="509">
        <v>29</v>
      </c>
      <c r="HS35" s="530">
        <v>10.8698</v>
      </c>
      <c r="HT35" s="533">
        <v>10.734400000000001</v>
      </c>
      <c r="HU35" s="528">
        <v>10.696199999999999</v>
      </c>
      <c r="HV35" s="528">
        <v>10.4702</v>
      </c>
      <c r="HW35" s="528">
        <v>10.3925</v>
      </c>
      <c r="HX35" s="528">
        <v>10.2841</v>
      </c>
      <c r="HY35" s="528">
        <v>10.019</v>
      </c>
      <c r="HZ35" s="528">
        <v>10.142099999999999</v>
      </c>
      <c r="IA35" s="528">
        <v>10.7653</v>
      </c>
      <c r="IB35" s="528">
        <v>13.308299999999999</v>
      </c>
      <c r="IC35" s="528">
        <v>13.2325</v>
      </c>
      <c r="ID35" s="528">
        <v>13.311400000000001</v>
      </c>
      <c r="IE35" s="509">
        <v>29</v>
      </c>
      <c r="IF35" s="529"/>
      <c r="IG35" s="529"/>
      <c r="IH35" s="509">
        <v>29</v>
      </c>
      <c r="II35" s="530">
        <v>10.975300000000001</v>
      </c>
      <c r="IJ35" s="533"/>
      <c r="IK35" s="528">
        <v>11.047000000000001</v>
      </c>
      <c r="IL35" s="528">
        <v>10.9312</v>
      </c>
      <c r="IM35" s="528">
        <v>10.7803</v>
      </c>
      <c r="IN35" s="528">
        <v>10.866099999999999</v>
      </c>
      <c r="IO35" s="528">
        <v>10.9436</v>
      </c>
      <c r="IP35" s="528">
        <v>11.0382</v>
      </c>
      <c r="IQ35" s="528">
        <v>10.920299999999999</v>
      </c>
      <c r="IR35" s="528">
        <v>10.8291</v>
      </c>
      <c r="IS35" s="528">
        <v>10.9695</v>
      </c>
      <c r="IT35" s="528">
        <v>10.866199999999999</v>
      </c>
      <c r="IU35" s="509">
        <v>29</v>
      </c>
      <c r="IV35" s="529"/>
      <c r="IW35" s="529"/>
      <c r="IX35" s="509">
        <v>29</v>
      </c>
      <c r="IY35" s="530">
        <v>10.5039</v>
      </c>
      <c r="IZ35" s="533"/>
      <c r="JA35" s="528">
        <v>10.9329</v>
      </c>
      <c r="JB35" s="528">
        <v>11.1135</v>
      </c>
      <c r="JC35" s="528">
        <v>11.2097</v>
      </c>
      <c r="JD35" s="528">
        <v>11.430199999999999</v>
      </c>
      <c r="JE35" s="528">
        <v>10.896800000000001</v>
      </c>
      <c r="JF35" s="528">
        <v>10.9528</v>
      </c>
      <c r="JG35" s="528">
        <v>11.0152</v>
      </c>
      <c r="JH35" s="528">
        <v>10.731299999999999</v>
      </c>
      <c r="JI35" s="528">
        <v>11.052</v>
      </c>
      <c r="JJ35" s="528">
        <v>10.881</v>
      </c>
      <c r="JK35" s="509">
        <v>29</v>
      </c>
      <c r="JL35" s="529"/>
      <c r="JM35" s="529"/>
      <c r="JN35" s="509">
        <v>29</v>
      </c>
      <c r="JO35" s="530">
        <v>11.299099999999999</v>
      </c>
      <c r="JP35" s="533"/>
      <c r="JQ35" s="528">
        <v>11.250500000000001</v>
      </c>
      <c r="JR35" s="528">
        <v>11.103300000000001</v>
      </c>
      <c r="JS35" s="528">
        <v>10.964499999999999</v>
      </c>
      <c r="JT35" s="528">
        <v>10.8127</v>
      </c>
      <c r="JU35" s="528">
        <v>10.643000000000001</v>
      </c>
      <c r="JV35" s="528">
        <v>10.815300000000001</v>
      </c>
      <c r="JW35" s="528">
        <v>10.885999999999999</v>
      </c>
      <c r="JX35" s="528">
        <v>10.9092</v>
      </c>
      <c r="JY35" s="528">
        <v>10.606999999999999</v>
      </c>
      <c r="JZ35" s="528">
        <v>10.7362</v>
      </c>
      <c r="KA35" s="509">
        <v>29</v>
      </c>
      <c r="KB35" s="529"/>
      <c r="KC35" s="529"/>
      <c r="KD35" s="509">
        <v>29</v>
      </c>
      <c r="KE35" s="530">
        <v>10.8789</v>
      </c>
      <c r="KF35" s="533">
        <v>11.0715</v>
      </c>
      <c r="KG35" s="528">
        <v>11.013</v>
      </c>
      <c r="KH35" s="528">
        <v>11.3109</v>
      </c>
      <c r="KI35" s="528">
        <v>11.451499999999999</v>
      </c>
      <c r="KJ35" s="528">
        <v>11.317500000000001</v>
      </c>
      <c r="KK35" s="528">
        <v>11.511100000000001</v>
      </c>
      <c r="KL35" s="528">
        <v>11.366</v>
      </c>
      <c r="KM35" s="528">
        <v>11.434799999999999</v>
      </c>
      <c r="KN35" s="528">
        <v>11.511799999999999</v>
      </c>
      <c r="KO35" s="528">
        <v>11.2713</v>
      </c>
      <c r="KP35" s="528">
        <v>11.1348</v>
      </c>
      <c r="KQ35" s="509">
        <v>29</v>
      </c>
      <c r="KR35" s="529"/>
      <c r="KS35" s="529"/>
      <c r="KT35" s="509">
        <v>29</v>
      </c>
      <c r="KU35" s="530">
        <v>10.887499999999999</v>
      </c>
      <c r="KV35" s="533"/>
      <c r="KW35" s="528">
        <v>10.767099999999999</v>
      </c>
      <c r="KX35" s="528">
        <v>10.431800000000001</v>
      </c>
      <c r="KY35" s="528">
        <v>10.316599999999999</v>
      </c>
      <c r="KZ35" s="528">
        <v>10.4808</v>
      </c>
      <c r="LA35" s="528">
        <v>10.509499999999999</v>
      </c>
      <c r="LB35" s="528">
        <v>10.9337</v>
      </c>
      <c r="LC35" s="528">
        <v>10.811500000000001</v>
      </c>
      <c r="LD35" s="528">
        <v>11.1068</v>
      </c>
      <c r="LE35" s="528">
        <v>11.3385</v>
      </c>
      <c r="LF35" s="528">
        <v>11.2744</v>
      </c>
      <c r="LG35" s="509">
        <v>29</v>
      </c>
      <c r="LH35" s="529"/>
      <c r="LI35" s="529"/>
      <c r="LJ35" s="509">
        <v>29</v>
      </c>
      <c r="LK35" s="530">
        <v>9.1295000000000002</v>
      </c>
      <c r="LL35" s="533"/>
      <c r="LM35" s="528">
        <v>9.0243000000000002</v>
      </c>
      <c r="LN35" s="528">
        <v>9.3528000000000002</v>
      </c>
      <c r="LO35" s="528">
        <v>9.57</v>
      </c>
      <c r="LP35" s="528">
        <v>9.9614999999999991</v>
      </c>
      <c r="LQ35" s="528">
        <v>9.7157999999999998</v>
      </c>
      <c r="LR35" s="528">
        <v>9.8543000000000003</v>
      </c>
      <c r="LS35" s="528">
        <v>10.166700000000001</v>
      </c>
      <c r="LT35" s="528">
        <v>9.9816000000000003</v>
      </c>
      <c r="LU35" s="528">
        <v>10.1496</v>
      </c>
      <c r="LV35" s="528">
        <v>10.2479</v>
      </c>
      <c r="LW35" s="509">
        <v>29</v>
      </c>
      <c r="LX35" s="529"/>
      <c r="LY35" s="529"/>
      <c r="LZ35" s="509">
        <v>29</v>
      </c>
      <c r="MA35" s="530">
        <v>9.6829999999999998</v>
      </c>
      <c r="MB35" s="533"/>
      <c r="MC35" s="528">
        <v>9.5138999999999996</v>
      </c>
      <c r="MD35" s="528">
        <v>9.2670999999999992</v>
      </c>
      <c r="ME35" s="528">
        <v>9.0945</v>
      </c>
      <c r="MF35" s="528">
        <v>9.0608000000000004</v>
      </c>
      <c r="MG35" s="528">
        <v>9.157</v>
      </c>
      <c r="MH35" s="528">
        <v>9.1122999999999994</v>
      </c>
      <c r="MI35" s="528">
        <v>9.5541999999999998</v>
      </c>
      <c r="MJ35" s="528">
        <v>9.2469000000000001</v>
      </c>
      <c r="MK35" s="528">
        <v>9.2371999999999996</v>
      </c>
      <c r="ML35" s="528">
        <v>9.1423000000000005</v>
      </c>
      <c r="MM35" s="509">
        <v>29</v>
      </c>
      <c r="MN35" s="529"/>
      <c r="MO35" s="529"/>
      <c r="MP35" s="509">
        <v>29</v>
      </c>
      <c r="MQ35" s="530">
        <v>9.5122999999999998</v>
      </c>
      <c r="MR35" s="533">
        <v>9.3748000000000005</v>
      </c>
      <c r="MS35" s="528">
        <v>9.1775000000000002</v>
      </c>
      <c r="MT35" s="528">
        <v>9.4520999999999997</v>
      </c>
      <c r="MU35" s="528">
        <v>9.4939999999999998</v>
      </c>
      <c r="MV35" s="528">
        <v>10.0787</v>
      </c>
      <c r="MW35" s="528">
        <v>9.3610000000000007</v>
      </c>
      <c r="MX35" s="528">
        <v>9.2341999999999995</v>
      </c>
      <c r="MY35" s="528">
        <v>9.4087999999999994</v>
      </c>
      <c r="MZ35" s="528">
        <v>9.6776999999999997</v>
      </c>
      <c r="NA35" s="528">
        <v>9.3691999999999993</v>
      </c>
      <c r="NB35" s="528">
        <v>9.5722000000000005</v>
      </c>
      <c r="NC35" s="509">
        <v>29</v>
      </c>
      <c r="ND35" s="529"/>
      <c r="NE35" s="529"/>
      <c r="NF35" s="509">
        <v>29</v>
      </c>
      <c r="NG35" s="530">
        <v>10.1745</v>
      </c>
      <c r="NH35" s="533"/>
      <c r="NI35" s="528">
        <v>9.6454000000000004</v>
      </c>
      <c r="NJ35" s="528">
        <v>9.3285</v>
      </c>
      <c r="NK35" s="528">
        <v>9.7498000000000005</v>
      </c>
      <c r="NL35" s="528">
        <v>9.4717000000000002</v>
      </c>
      <c r="NM35" s="528">
        <v>9.3680000000000003</v>
      </c>
      <c r="NN35" s="528">
        <v>9.3393999999999995</v>
      </c>
      <c r="NO35" s="528">
        <v>9.3157999999999994</v>
      </c>
      <c r="NP35" s="528">
        <v>9.6503999999999994</v>
      </c>
      <c r="NQ35" s="528">
        <v>9.2944999999999993</v>
      </c>
      <c r="NR35" s="528">
        <v>9.4632000000000005</v>
      </c>
      <c r="NS35" s="509">
        <v>29</v>
      </c>
      <c r="NT35" s="529"/>
      <c r="NU35" s="529"/>
      <c r="NV35" s="509">
        <v>29</v>
      </c>
      <c r="NW35" s="530">
        <v>8.2661999999999995</v>
      </c>
      <c r="NX35" s="533"/>
      <c r="NY35" s="528">
        <v>8.5251999999999999</v>
      </c>
      <c r="NZ35" s="528">
        <v>8.5190000000000001</v>
      </c>
      <c r="OA35" s="528">
        <v>8.8802000000000003</v>
      </c>
      <c r="OB35" s="528">
        <v>8.9536999999999995</v>
      </c>
      <c r="OC35" s="528">
        <v>8.8930000000000007</v>
      </c>
      <c r="OD35" s="528">
        <v>9.9600000000000009</v>
      </c>
      <c r="OE35" s="528">
        <v>10.2438</v>
      </c>
      <c r="OF35" s="528">
        <v>10.148999999999999</v>
      </c>
      <c r="OG35" s="528">
        <v>9.9404000000000003</v>
      </c>
      <c r="OH35" s="528">
        <v>9.8821999999999992</v>
      </c>
      <c r="OI35" s="509">
        <v>29</v>
      </c>
      <c r="OJ35" s="529"/>
      <c r="OK35" s="529"/>
      <c r="OL35" s="509">
        <v>29</v>
      </c>
      <c r="OM35" s="530">
        <v>7.8311999999999999</v>
      </c>
      <c r="ON35" s="533"/>
      <c r="OO35" s="528">
        <v>7.8905000000000003</v>
      </c>
      <c r="OP35" s="528">
        <v>7.8917000000000002</v>
      </c>
      <c r="OQ35" s="528">
        <v>7.9263000000000003</v>
      </c>
      <c r="OR35" s="528">
        <v>7.9577</v>
      </c>
      <c r="OS35" s="528">
        <v>7.7717000000000001</v>
      </c>
      <c r="OT35" s="528">
        <v>7.7548000000000004</v>
      </c>
      <c r="OU35" s="528">
        <v>7.8071999999999999</v>
      </c>
      <c r="OV35" s="528">
        <v>8.14</v>
      </c>
      <c r="OW35" s="528">
        <v>8.2164999999999999</v>
      </c>
      <c r="OX35" s="528">
        <v>8.1647999999999996</v>
      </c>
      <c r="OY35" s="509">
        <v>29</v>
      </c>
      <c r="OZ35" s="529"/>
      <c r="PA35" s="529"/>
      <c r="PB35" s="509">
        <v>29</v>
      </c>
      <c r="PC35" s="530">
        <v>7.3867000000000003</v>
      </c>
      <c r="PD35" s="533">
        <v>7.5389999999999997</v>
      </c>
      <c r="PE35" s="528">
        <v>7.5479000000000003</v>
      </c>
      <c r="PF35" s="528">
        <v>7.3794000000000004</v>
      </c>
      <c r="PG35" s="528">
        <v>7.3840000000000003</v>
      </c>
      <c r="PH35" s="528">
        <v>7.6322999999999999</v>
      </c>
      <c r="PI35" s="528">
        <v>7.5903</v>
      </c>
      <c r="PJ35" s="528">
        <v>7.5163000000000002</v>
      </c>
      <c r="PK35" s="528">
        <v>7.5373999999999999</v>
      </c>
      <c r="PL35" s="528">
        <v>7.9550000000000001</v>
      </c>
      <c r="PM35" s="528">
        <v>7.87</v>
      </c>
      <c r="PN35" s="528">
        <v>7.8441999999999998</v>
      </c>
      <c r="PO35" s="509">
        <v>29</v>
      </c>
      <c r="PP35" s="529"/>
      <c r="PQ35" s="529"/>
      <c r="PR35" s="509">
        <v>29</v>
      </c>
      <c r="PS35" s="530">
        <v>5.69</v>
      </c>
      <c r="PT35" s="533"/>
      <c r="PU35" s="528">
        <v>6.7275</v>
      </c>
      <c r="PV35" s="528">
        <v>5.8982999999999999</v>
      </c>
      <c r="PW35" s="528">
        <v>6.0549999999999997</v>
      </c>
      <c r="PX35" s="528">
        <v>6.2717000000000001</v>
      </c>
      <c r="PY35" s="528">
        <v>6.0881999999999996</v>
      </c>
      <c r="PZ35" s="528">
        <v>6.3342000000000001</v>
      </c>
      <c r="QA35" s="528">
        <v>6.4195000000000002</v>
      </c>
      <c r="QB35" s="528">
        <v>7.1666999999999996</v>
      </c>
      <c r="QC35" s="528">
        <v>7.6783000000000001</v>
      </c>
      <c r="QD35" s="528">
        <v>7.6425000000000001</v>
      </c>
      <c r="QE35" s="509">
        <v>29</v>
      </c>
      <c r="QF35" s="529"/>
      <c r="QG35" s="529"/>
      <c r="QH35" s="509">
        <v>29</v>
      </c>
      <c r="QI35" s="530">
        <v>3.1063000000000001</v>
      </c>
      <c r="QJ35" s="533"/>
      <c r="QK35" s="528">
        <v>3.3586</v>
      </c>
      <c r="QL35" s="528">
        <v>3.2673000000000001</v>
      </c>
      <c r="QM35" s="528">
        <v>3.3148</v>
      </c>
      <c r="QN35" s="528">
        <v>3.3917999999999999</v>
      </c>
      <c r="QO35" s="528">
        <v>3.4018999999999999</v>
      </c>
      <c r="QP35" s="528">
        <v>3.3671000000000002</v>
      </c>
      <c r="QQ35" s="528">
        <v>3.3908</v>
      </c>
      <c r="QR35" s="528">
        <v>3.43</v>
      </c>
      <c r="QS35" s="528">
        <v>3.4481000000000002</v>
      </c>
      <c r="QT35" s="528">
        <v>5.7625000000000002</v>
      </c>
      <c r="QU35" s="509">
        <v>29</v>
      </c>
      <c r="QV35" s="529"/>
      <c r="QW35" s="529"/>
      <c r="QX35" s="509">
        <v>29</v>
      </c>
      <c r="QY35" s="530">
        <v>3.0939000000000001</v>
      </c>
      <c r="QZ35" s="533"/>
      <c r="RA35" s="528">
        <v>3.1114000000000002</v>
      </c>
      <c r="RB35" s="528">
        <v>3.0960999999999999</v>
      </c>
      <c r="RC35" s="528">
        <v>3.1227</v>
      </c>
      <c r="RD35" s="528">
        <v>3.1194999999999999</v>
      </c>
      <c r="RE35" s="528">
        <v>3.1208999999999998</v>
      </c>
      <c r="RF35" s="528">
        <v>3.1116999999999999</v>
      </c>
      <c r="RG35" s="528">
        <v>3.1198999999999999</v>
      </c>
      <c r="RH35" s="528">
        <v>3.1175999999999999</v>
      </c>
      <c r="RI35" s="528">
        <v>3.1168</v>
      </c>
      <c r="RJ35" s="528">
        <v>3.1055999999999999</v>
      </c>
      <c r="RK35" s="509">
        <v>29</v>
      </c>
      <c r="RL35" s="529"/>
      <c r="RM35" s="529"/>
      <c r="RN35" s="509">
        <v>29</v>
      </c>
      <c r="RO35" s="530">
        <v>3.0687000000000002</v>
      </c>
      <c r="RP35" s="533">
        <v>3.0608</v>
      </c>
      <c r="RQ35" s="528">
        <v>3.0901999999999998</v>
      </c>
      <c r="RR35" s="528">
        <v>3.0764999999999998</v>
      </c>
      <c r="RS35" s="528">
        <v>3.1133999999999999</v>
      </c>
      <c r="RT35" s="528">
        <v>3.1225000000000001</v>
      </c>
      <c r="RU35" s="528">
        <v>3.1139000000000001</v>
      </c>
      <c r="RV35" s="528">
        <v>3.081</v>
      </c>
      <c r="RW35" s="528">
        <v>3.1071</v>
      </c>
      <c r="RX35" s="528">
        <v>3.1364000000000001</v>
      </c>
      <c r="RY35" s="528">
        <v>3.1158999999999999</v>
      </c>
      <c r="RZ35" s="528">
        <v>3.1133999999999999</v>
      </c>
      <c r="SA35" s="509">
        <v>29</v>
      </c>
      <c r="SB35" s="529"/>
      <c r="SC35" s="529"/>
      <c r="SD35" s="509">
        <v>29</v>
      </c>
      <c r="SE35" s="530">
        <v>2.9565999999999999</v>
      </c>
      <c r="SF35" s="533"/>
      <c r="SG35" s="528">
        <v>2.9809999999999999</v>
      </c>
      <c r="SH35" s="528">
        <v>2.9925999999999999</v>
      </c>
      <c r="SI35" s="528">
        <v>3.0053999999999998</v>
      </c>
      <c r="SJ35" s="528">
        <v>3.0177999999999998</v>
      </c>
      <c r="SK35" s="528">
        <v>3.0289999999999999</v>
      </c>
      <c r="SL35" s="528">
        <v>3.0421999999999998</v>
      </c>
      <c r="SM35" s="528">
        <v>3.0558000000000001</v>
      </c>
      <c r="SN35" s="528">
        <v>3.0674000000000001</v>
      </c>
      <c r="SO35" s="528">
        <v>3.0730599999999999</v>
      </c>
      <c r="SP35" s="528">
        <v>3.0710000000000002</v>
      </c>
      <c r="SQ35" s="509">
        <v>29</v>
      </c>
      <c r="SR35" s="529"/>
      <c r="SS35" s="529"/>
      <c r="ST35" s="509">
        <v>29</v>
      </c>
      <c r="SU35" s="530">
        <v>2.669</v>
      </c>
      <c r="SV35" s="533"/>
      <c r="SW35" s="528">
        <v>2.73</v>
      </c>
      <c r="SX35" s="528">
        <v>2.76</v>
      </c>
      <c r="SY35" s="528">
        <v>2.7890000000000001</v>
      </c>
      <c r="SZ35" s="528">
        <v>2.8161999999999998</v>
      </c>
      <c r="TA35" s="528">
        <v>2.8393999999999999</v>
      </c>
      <c r="TB35" s="528">
        <v>2.8650000000000002</v>
      </c>
      <c r="TC35" s="528">
        <v>2.8898000000000001</v>
      </c>
      <c r="TD35" s="528">
        <v>2.9121999999999999</v>
      </c>
      <c r="TE35" s="528">
        <v>2.9329999999999998</v>
      </c>
      <c r="TF35" s="528">
        <v>2.9449999999999998</v>
      </c>
      <c r="TG35" s="509">
        <v>29</v>
      </c>
      <c r="TH35" s="529"/>
      <c r="TI35" s="529"/>
      <c r="TJ35" s="509">
        <v>29</v>
      </c>
      <c r="TK35" s="530">
        <v>2.3050000000000002</v>
      </c>
      <c r="TL35" s="533"/>
      <c r="TM35" s="528">
        <v>2.3650000000000002</v>
      </c>
      <c r="TN35" s="528">
        <v>2.3959999999999999</v>
      </c>
      <c r="TO35" s="528">
        <v>2.4239999999999999</v>
      </c>
      <c r="TP35" s="528">
        <v>2.4569999999999999</v>
      </c>
      <c r="TQ35" s="528">
        <v>2.4870000000000001</v>
      </c>
      <c r="TR35" s="528">
        <v>2.516</v>
      </c>
      <c r="TS35" s="528">
        <v>2.5489999999999999</v>
      </c>
      <c r="TT35" s="528">
        <v>2.5779999999999998</v>
      </c>
      <c r="TU35" s="528">
        <v>2.61</v>
      </c>
      <c r="TV35" s="528">
        <v>2.64</v>
      </c>
      <c r="TW35" s="509">
        <v>29</v>
      </c>
    </row>
    <row r="36" spans="2:543" s="4" customFormat="1" ht="23" customHeight="1">
      <c r="B36" s="509">
        <v>30</v>
      </c>
      <c r="C36" s="541">
        <v>20.738299999999999</v>
      </c>
      <c r="D36" s="542"/>
      <c r="E36" s="541">
        <v>20.119499999999999</v>
      </c>
      <c r="F36" s="541">
        <v>20.567</v>
      </c>
      <c r="G36" s="541">
        <v>19.793299999999999</v>
      </c>
      <c r="H36" s="541">
        <v>19.9847</v>
      </c>
      <c r="I36" s="541">
        <v>20.377800000000001</v>
      </c>
      <c r="J36" s="541">
        <v>19.9268</v>
      </c>
      <c r="K36" s="541">
        <v>20.305800000000001</v>
      </c>
      <c r="L36" s="541">
        <v>19.836500000000001</v>
      </c>
      <c r="M36" s="541">
        <v>19.324999999999999</v>
      </c>
      <c r="N36" s="541">
        <v>19.414300000000001</v>
      </c>
      <c r="O36" s="509">
        <v>30</v>
      </c>
      <c r="R36" s="509">
        <v>30</v>
      </c>
      <c r="S36" s="541">
        <v>20.2697</v>
      </c>
      <c r="T36" s="542"/>
      <c r="U36" s="541">
        <v>20.567699999999999</v>
      </c>
      <c r="V36" s="541">
        <v>19.9712</v>
      </c>
      <c r="W36" s="541">
        <v>19.948699999999999</v>
      </c>
      <c r="X36" s="541">
        <v>19.802700000000002</v>
      </c>
      <c r="Y36" s="541">
        <v>19.953499999999998</v>
      </c>
      <c r="Z36" s="541">
        <v>20.3522</v>
      </c>
      <c r="AA36" s="541">
        <v>20.306000000000001</v>
      </c>
      <c r="AB36" s="541">
        <v>20.325500000000002</v>
      </c>
      <c r="AC36" s="541">
        <v>21.8185</v>
      </c>
      <c r="AD36" s="541">
        <v>20.577000000000002</v>
      </c>
      <c r="AE36" s="509">
        <v>30</v>
      </c>
      <c r="AH36" s="509">
        <v>30</v>
      </c>
      <c r="AI36" s="541">
        <v>18.802199999999999</v>
      </c>
      <c r="AJ36" s="542"/>
      <c r="AK36" s="541">
        <v>23.097000000000001</v>
      </c>
      <c r="AL36" s="541">
        <v>24.388200000000001</v>
      </c>
      <c r="AM36" s="541">
        <v>22.204000000000001</v>
      </c>
      <c r="AN36" s="541">
        <v>22.971499999999999</v>
      </c>
      <c r="AO36" s="541">
        <v>21.961500000000001</v>
      </c>
      <c r="AP36" s="541">
        <v>22.116800000000001</v>
      </c>
      <c r="AQ36" s="541">
        <v>22.4573</v>
      </c>
      <c r="AR36" s="541">
        <v>21.1648</v>
      </c>
      <c r="AS36" s="541">
        <v>20.046700000000001</v>
      </c>
      <c r="AT36" s="541">
        <v>20.047699999999999</v>
      </c>
      <c r="AU36" s="509">
        <v>30</v>
      </c>
      <c r="AX36" s="509">
        <v>30</v>
      </c>
      <c r="AY36" s="528">
        <v>19.0381</v>
      </c>
      <c r="AZ36" s="533"/>
      <c r="BA36" s="528">
        <v>19.379300000000001</v>
      </c>
      <c r="BB36" s="528">
        <v>18.941400000000002</v>
      </c>
      <c r="BC36" s="528">
        <v>19.165199999999999</v>
      </c>
      <c r="BD36" s="528">
        <v>19.168500000000002</v>
      </c>
      <c r="BE36" s="528">
        <v>19.069900000000001</v>
      </c>
      <c r="BF36" s="528">
        <v>20.031400000000001</v>
      </c>
      <c r="BG36" s="528">
        <v>19.636299999999999</v>
      </c>
      <c r="BH36" s="528">
        <v>19.054300000000001</v>
      </c>
      <c r="BI36" s="528">
        <v>19.6113</v>
      </c>
      <c r="BJ36" s="528">
        <v>18.944500000000001</v>
      </c>
      <c r="BK36" s="509">
        <v>30</v>
      </c>
      <c r="BN36" s="509">
        <v>30</v>
      </c>
      <c r="BO36" s="530">
        <v>18.467199999999998</v>
      </c>
      <c r="BP36" s="533"/>
      <c r="BQ36" s="528">
        <v>18.3445</v>
      </c>
      <c r="BR36" s="528">
        <v>18.8644</v>
      </c>
      <c r="BS36" s="528">
        <v>19.5915</v>
      </c>
      <c r="BT36" s="528">
        <v>19.863299999999999</v>
      </c>
      <c r="BU36" s="528">
        <v>18.6234</v>
      </c>
      <c r="BV36" s="528">
        <v>18.935400000000001</v>
      </c>
      <c r="BW36" s="528">
        <v>18.812000000000001</v>
      </c>
      <c r="BX36" s="528">
        <v>19.478999999999999</v>
      </c>
      <c r="BY36" s="528">
        <v>20.410799999999998</v>
      </c>
      <c r="BZ36" s="528">
        <v>19.6829</v>
      </c>
      <c r="CA36" s="509">
        <v>30</v>
      </c>
      <c r="CD36" s="509">
        <v>30</v>
      </c>
      <c r="CE36" s="530">
        <v>21.202400000000001</v>
      </c>
      <c r="CF36" s="533"/>
      <c r="CG36" s="528">
        <v>18.885300000000001</v>
      </c>
      <c r="CH36" s="528">
        <v>19.067</v>
      </c>
      <c r="CI36" s="528">
        <v>18.4849</v>
      </c>
      <c r="CJ36" s="528">
        <v>17.897300000000001</v>
      </c>
      <c r="CK36" s="528">
        <v>17.688600000000001</v>
      </c>
      <c r="CL36" s="528">
        <v>17.8049</v>
      </c>
      <c r="CM36" s="528">
        <v>18.197900000000001</v>
      </c>
      <c r="CN36" s="528">
        <v>19.096</v>
      </c>
      <c r="CO36" s="528">
        <v>18.584800000000001</v>
      </c>
      <c r="CP36" s="528">
        <v>19.735399999999998</v>
      </c>
      <c r="CQ36" s="509">
        <v>30</v>
      </c>
      <c r="CT36" s="509">
        <v>30</v>
      </c>
      <c r="CU36" s="530">
        <v>18.290600000000001</v>
      </c>
      <c r="CV36" s="533"/>
      <c r="CW36" s="528">
        <v>17.460999999999999</v>
      </c>
      <c r="CX36" s="528">
        <v>17.212499999999999</v>
      </c>
      <c r="CY36" s="528">
        <v>18.4572</v>
      </c>
      <c r="CZ36" s="528">
        <v>18.911300000000001</v>
      </c>
      <c r="DA36" s="528">
        <v>18.8979</v>
      </c>
      <c r="DB36" s="528">
        <v>18.283000000000001</v>
      </c>
      <c r="DC36" s="528">
        <v>19.5002</v>
      </c>
      <c r="DD36" s="528">
        <v>18.8443</v>
      </c>
      <c r="DE36" s="528">
        <v>20.552099999999999</v>
      </c>
      <c r="DF36" s="528">
        <v>20.731400000000001</v>
      </c>
      <c r="DG36" s="509">
        <v>30</v>
      </c>
      <c r="DJ36" s="509">
        <v>30</v>
      </c>
      <c r="DK36" s="530">
        <v>14.687799999999999</v>
      </c>
      <c r="DL36" s="533"/>
      <c r="DM36" s="528">
        <v>15.105600000000001</v>
      </c>
      <c r="DN36" s="528">
        <v>15.2225</v>
      </c>
      <c r="DO36" s="528">
        <v>15.373699999999999</v>
      </c>
      <c r="DP36" s="528">
        <v>15.567600000000001</v>
      </c>
      <c r="DQ36" s="528">
        <v>16.2638</v>
      </c>
      <c r="DR36" s="528">
        <v>17.1065</v>
      </c>
      <c r="DS36" s="528">
        <v>17.007300000000001</v>
      </c>
      <c r="DT36" s="528">
        <v>16.450299999999999</v>
      </c>
      <c r="DU36" s="528">
        <v>16.549199999999999</v>
      </c>
      <c r="DV36" s="528">
        <v>17.271000000000001</v>
      </c>
      <c r="DW36" s="509">
        <v>30</v>
      </c>
      <c r="DZ36" s="509">
        <v>30</v>
      </c>
      <c r="EA36" s="530">
        <v>13.3104</v>
      </c>
      <c r="EB36" s="533"/>
      <c r="EC36" s="528">
        <v>13.0837</v>
      </c>
      <c r="ED36" s="528">
        <v>13.1356</v>
      </c>
      <c r="EE36" s="528">
        <v>12.866</v>
      </c>
      <c r="EF36" s="528">
        <v>13.032299999999999</v>
      </c>
      <c r="EG36" s="528">
        <v>12.9878</v>
      </c>
      <c r="EH36" s="528">
        <v>13.110900000000001</v>
      </c>
      <c r="EI36" s="528">
        <v>13.4541</v>
      </c>
      <c r="EJ36" s="528">
        <v>13.484299999999999</v>
      </c>
      <c r="EK36" s="528">
        <v>13.7667</v>
      </c>
      <c r="EL36" s="528">
        <v>14.695499999999999</v>
      </c>
      <c r="EM36" s="509">
        <v>30</v>
      </c>
      <c r="EP36" s="509">
        <v>30</v>
      </c>
      <c r="EQ36" s="530">
        <v>12.780200000000001</v>
      </c>
      <c r="ER36" s="533"/>
      <c r="ES36" s="528">
        <v>12.3546</v>
      </c>
      <c r="ET36" s="528">
        <v>12.154999999999999</v>
      </c>
      <c r="EU36" s="528">
        <v>12.5275</v>
      </c>
      <c r="EV36" s="528">
        <v>13.0235</v>
      </c>
      <c r="EW36" s="528">
        <v>12.709099999999999</v>
      </c>
      <c r="EX36" s="528">
        <v>13.2539</v>
      </c>
      <c r="EY36" s="528">
        <v>13.011900000000001</v>
      </c>
      <c r="EZ36" s="528">
        <v>12.8948</v>
      </c>
      <c r="FA36" s="528">
        <v>13.083600000000001</v>
      </c>
      <c r="FB36" s="528">
        <v>13.0547</v>
      </c>
      <c r="FC36" s="509">
        <v>30</v>
      </c>
      <c r="FF36" s="534">
        <v>30</v>
      </c>
      <c r="FG36" s="535">
        <v>12.932499999999999</v>
      </c>
      <c r="FH36" s="536"/>
      <c r="FI36" s="537">
        <v>12.803900000000001</v>
      </c>
      <c r="FJ36" s="537">
        <v>13.209300000000001</v>
      </c>
      <c r="FK36" s="537">
        <v>13.943899999999999</v>
      </c>
      <c r="FL36" s="537">
        <v>13.653</v>
      </c>
      <c r="FM36" s="537">
        <v>13.442500000000001</v>
      </c>
      <c r="FN36" s="537">
        <v>13.184699999999999</v>
      </c>
      <c r="FO36" s="537">
        <v>12.8521</v>
      </c>
      <c r="FP36" s="537">
        <v>13.011200000000001</v>
      </c>
      <c r="FQ36" s="537">
        <v>13.0372</v>
      </c>
      <c r="FR36" s="537">
        <v>13.0101</v>
      </c>
      <c r="FS36" s="534">
        <v>30</v>
      </c>
      <c r="FV36" s="509">
        <v>30</v>
      </c>
      <c r="FW36" s="530">
        <v>12.023899999999999</v>
      </c>
      <c r="FX36" s="533"/>
      <c r="FY36" s="528">
        <v>11.959</v>
      </c>
      <c r="FZ36" s="528">
        <v>11.5428</v>
      </c>
      <c r="GA36" s="528">
        <v>11.695600000000001</v>
      </c>
      <c r="GB36" s="528">
        <v>11.838900000000001</v>
      </c>
      <c r="GC36" s="528">
        <v>11.6821</v>
      </c>
      <c r="GD36" s="528">
        <v>12.4953</v>
      </c>
      <c r="GE36" s="528">
        <v>13.4217</v>
      </c>
      <c r="GF36" s="528">
        <v>13.1973</v>
      </c>
      <c r="GG36" s="528">
        <v>14.0344</v>
      </c>
      <c r="GH36" s="528">
        <v>13.990399999999999</v>
      </c>
      <c r="GI36" s="509">
        <v>30</v>
      </c>
      <c r="GL36" s="509">
        <v>30</v>
      </c>
      <c r="GM36" s="530">
        <v>12.9975</v>
      </c>
      <c r="GN36" s="533"/>
      <c r="GO36" s="528">
        <v>12.5426</v>
      </c>
      <c r="GP36" s="528">
        <v>12.3698</v>
      </c>
      <c r="GQ36" s="528">
        <v>12.884600000000001</v>
      </c>
      <c r="GR36" s="528">
        <v>12.656700000000001</v>
      </c>
      <c r="GS36" s="528">
        <v>12.6798</v>
      </c>
      <c r="GT36" s="528">
        <v>12.984</v>
      </c>
      <c r="GU36" s="528">
        <v>12.501099999999999</v>
      </c>
      <c r="GV36" s="528">
        <v>12.4023</v>
      </c>
      <c r="GW36" s="528">
        <v>12.489000000000001</v>
      </c>
      <c r="GX36" s="528">
        <v>12.3567</v>
      </c>
      <c r="GY36" s="509">
        <v>30</v>
      </c>
      <c r="HB36" s="509">
        <v>30</v>
      </c>
      <c r="HC36" s="530">
        <v>14.151300000000001</v>
      </c>
      <c r="HD36" s="533"/>
      <c r="HE36" s="528">
        <v>14.2163</v>
      </c>
      <c r="HF36" s="528">
        <v>13.8667</v>
      </c>
      <c r="HG36" s="528">
        <v>13.233700000000001</v>
      </c>
      <c r="HH36" s="528">
        <v>13.202299999999999</v>
      </c>
      <c r="HI36" s="528">
        <v>13.282500000000001</v>
      </c>
      <c r="HJ36" s="528">
        <v>13.2462</v>
      </c>
      <c r="HK36" s="528">
        <v>13.504200000000001</v>
      </c>
      <c r="HL36" s="528">
        <v>13.282299999999999</v>
      </c>
      <c r="HM36" s="528">
        <v>12.9475</v>
      </c>
      <c r="HN36" s="528">
        <v>12.928800000000001</v>
      </c>
      <c r="HO36" s="509">
        <v>30</v>
      </c>
      <c r="HP36" s="529"/>
      <c r="HQ36" s="529"/>
      <c r="HR36" s="509">
        <v>30</v>
      </c>
      <c r="HS36" s="530">
        <v>10.878399999999999</v>
      </c>
      <c r="HT36" s="533"/>
      <c r="HU36" s="528">
        <v>10.696199999999999</v>
      </c>
      <c r="HV36" s="528">
        <v>10.446400000000001</v>
      </c>
      <c r="HW36" s="528">
        <v>10.3447</v>
      </c>
      <c r="HX36" s="528">
        <v>10.2841</v>
      </c>
      <c r="HY36" s="528">
        <v>10.070600000000001</v>
      </c>
      <c r="HZ36" s="528">
        <v>10.1822</v>
      </c>
      <c r="IA36" s="528">
        <v>10.7919</v>
      </c>
      <c r="IB36" s="528">
        <v>13.369199999999999</v>
      </c>
      <c r="IC36" s="528">
        <v>13.2325</v>
      </c>
      <c r="ID36" s="528">
        <v>13.3538</v>
      </c>
      <c r="IE36" s="509">
        <v>30</v>
      </c>
      <c r="IF36" s="529"/>
      <c r="IG36" s="529"/>
      <c r="IH36" s="509">
        <v>30</v>
      </c>
      <c r="II36" s="530">
        <v>11.0402</v>
      </c>
      <c r="IJ36" s="533"/>
      <c r="IK36" s="528">
        <v>11.081300000000001</v>
      </c>
      <c r="IL36" s="528">
        <v>10.9312</v>
      </c>
      <c r="IM36" s="528">
        <v>10.7788</v>
      </c>
      <c r="IN36" s="528">
        <v>10.7926</v>
      </c>
      <c r="IO36" s="528">
        <v>10.9436</v>
      </c>
      <c r="IP36" s="528">
        <v>11.092000000000001</v>
      </c>
      <c r="IQ36" s="528">
        <v>10.920299999999999</v>
      </c>
      <c r="IR36" s="528">
        <v>10.7523</v>
      </c>
      <c r="IS36" s="528">
        <v>10.9345</v>
      </c>
      <c r="IT36" s="528">
        <v>10.866199999999999</v>
      </c>
      <c r="IU36" s="509">
        <v>30</v>
      </c>
      <c r="IV36" s="529"/>
      <c r="IW36" s="529"/>
      <c r="IX36" s="509">
        <v>30</v>
      </c>
      <c r="IY36" s="530">
        <v>10.5039</v>
      </c>
      <c r="IZ36" s="533"/>
      <c r="JA36" s="528">
        <v>10.9633</v>
      </c>
      <c r="JB36" s="528">
        <v>11.1135</v>
      </c>
      <c r="JC36" s="528">
        <v>11.1373</v>
      </c>
      <c r="JD36" s="528">
        <v>11.3973</v>
      </c>
      <c r="JE36" s="528">
        <v>10.896800000000001</v>
      </c>
      <c r="JF36" s="528">
        <v>10.934699999999999</v>
      </c>
      <c r="JG36" s="528">
        <v>11.0502</v>
      </c>
      <c r="JH36" s="528">
        <v>10.731299999999999</v>
      </c>
      <c r="JI36" s="528">
        <v>11.045400000000001</v>
      </c>
      <c r="JJ36" s="528">
        <v>10.875500000000001</v>
      </c>
      <c r="JK36" s="509">
        <v>30</v>
      </c>
      <c r="JL36" s="529"/>
      <c r="JM36" s="529"/>
      <c r="JN36" s="509">
        <v>30</v>
      </c>
      <c r="JO36" s="530">
        <v>11.299099999999999</v>
      </c>
      <c r="JP36" s="533"/>
      <c r="JQ36" s="528">
        <v>11.322800000000001</v>
      </c>
      <c r="JR36" s="528">
        <v>11.1159</v>
      </c>
      <c r="JS36" s="528">
        <v>10.964499999999999</v>
      </c>
      <c r="JT36" s="528">
        <v>10.8428</v>
      </c>
      <c r="JU36" s="528">
        <v>10.620100000000001</v>
      </c>
      <c r="JV36" s="528">
        <v>10.833299999999999</v>
      </c>
      <c r="JW36" s="528">
        <v>10.849500000000001</v>
      </c>
      <c r="JX36" s="528">
        <v>10.9092</v>
      </c>
      <c r="JY36" s="528">
        <v>10.567</v>
      </c>
      <c r="JZ36" s="528">
        <v>10.777699999999999</v>
      </c>
      <c r="KA36" s="509">
        <v>30</v>
      </c>
      <c r="KB36" s="529"/>
      <c r="KC36" s="529"/>
      <c r="KD36" s="509">
        <v>30</v>
      </c>
      <c r="KE36" s="530">
        <v>10.9145</v>
      </c>
      <c r="KF36" s="533"/>
      <c r="KG36" s="528">
        <v>11.0578</v>
      </c>
      <c r="KH36" s="528">
        <v>11.338699999999999</v>
      </c>
      <c r="KI36" s="528">
        <v>11.451499999999999</v>
      </c>
      <c r="KJ36" s="528">
        <v>11.4116</v>
      </c>
      <c r="KK36" s="528">
        <v>11.4801</v>
      </c>
      <c r="KL36" s="528">
        <v>11.366</v>
      </c>
      <c r="KM36" s="528">
        <v>11.410600000000001</v>
      </c>
      <c r="KN36" s="528">
        <v>11.529299999999999</v>
      </c>
      <c r="KO36" s="528">
        <v>11.247</v>
      </c>
      <c r="KP36" s="528">
        <v>11.2042</v>
      </c>
      <c r="KQ36" s="509">
        <v>30</v>
      </c>
      <c r="KR36" s="529"/>
      <c r="KS36" s="529"/>
      <c r="KT36" s="509">
        <v>30</v>
      </c>
      <c r="KU36" s="530">
        <v>10.8842</v>
      </c>
      <c r="KV36" s="533"/>
      <c r="KW36" s="528">
        <v>10.767099999999999</v>
      </c>
      <c r="KX36" s="528">
        <v>10.430400000000001</v>
      </c>
      <c r="KY36" s="528">
        <v>10.4063</v>
      </c>
      <c r="KZ36" s="528">
        <v>10.4808</v>
      </c>
      <c r="LA36" s="528">
        <v>10.464499999999999</v>
      </c>
      <c r="LB36" s="528">
        <v>10.980600000000001</v>
      </c>
      <c r="LC36" s="528">
        <v>10.927199999999999</v>
      </c>
      <c r="LD36" s="528">
        <v>11.0693</v>
      </c>
      <c r="LE36" s="528">
        <v>11.3385</v>
      </c>
      <c r="LF36" s="528">
        <v>11.218</v>
      </c>
      <c r="LG36" s="509">
        <v>30</v>
      </c>
      <c r="LH36" s="529"/>
      <c r="LI36" s="529"/>
      <c r="LJ36" s="509">
        <v>30</v>
      </c>
      <c r="LK36" s="530">
        <v>9.1585000000000001</v>
      </c>
      <c r="LL36" s="533"/>
      <c r="LM36" s="528">
        <v>9.0243000000000002</v>
      </c>
      <c r="LN36" s="528">
        <v>9.3195999999999994</v>
      </c>
      <c r="LO36" s="528">
        <v>9.5586000000000002</v>
      </c>
      <c r="LP36" s="528">
        <v>9.9614999999999991</v>
      </c>
      <c r="LQ36" s="528">
        <v>9.7652000000000001</v>
      </c>
      <c r="LR36" s="528">
        <v>9.8989999999999991</v>
      </c>
      <c r="LS36" s="528">
        <v>10.166700000000001</v>
      </c>
      <c r="LT36" s="528">
        <v>10.000299999999999</v>
      </c>
      <c r="LU36" s="528">
        <v>10.119300000000001</v>
      </c>
      <c r="LV36" s="528">
        <v>10.2479</v>
      </c>
      <c r="LW36" s="509">
        <v>30</v>
      </c>
      <c r="LX36" s="529"/>
      <c r="LY36" s="529"/>
      <c r="LZ36" s="509">
        <v>30</v>
      </c>
      <c r="MA36" s="530">
        <v>9.6908999999999992</v>
      </c>
      <c r="MB36" s="533"/>
      <c r="MC36" s="528">
        <v>9.5380000000000003</v>
      </c>
      <c r="MD36" s="528">
        <v>9.2670999999999992</v>
      </c>
      <c r="ME36" s="528">
        <v>9.0780999999999992</v>
      </c>
      <c r="MF36" s="528">
        <v>9.09</v>
      </c>
      <c r="MG36" s="528">
        <v>9.157</v>
      </c>
      <c r="MH36" s="528">
        <v>9.1364999999999998</v>
      </c>
      <c r="MI36" s="528">
        <v>9.5541999999999998</v>
      </c>
      <c r="MJ36" s="528">
        <v>9.2721999999999998</v>
      </c>
      <c r="MK36" s="528">
        <v>9.2761999999999993</v>
      </c>
      <c r="ML36" s="528">
        <v>9.1423000000000005</v>
      </c>
      <c r="MM36" s="509">
        <v>30</v>
      </c>
      <c r="MN36" s="529"/>
      <c r="MO36" s="529"/>
      <c r="MP36" s="509">
        <v>30</v>
      </c>
      <c r="MQ36" s="530">
        <v>9.5122999999999998</v>
      </c>
      <c r="MR36" s="533"/>
      <c r="MS36" s="528">
        <v>9.1882999999999999</v>
      </c>
      <c r="MT36" s="528">
        <v>9.4520999999999997</v>
      </c>
      <c r="MU36" s="528">
        <v>9.5274000000000001</v>
      </c>
      <c r="MV36" s="528">
        <v>9.9537999999999993</v>
      </c>
      <c r="MW36" s="528">
        <v>9.3610000000000007</v>
      </c>
      <c r="MX36" s="528">
        <v>9.2093000000000007</v>
      </c>
      <c r="MY36" s="528">
        <v>9.4290000000000003</v>
      </c>
      <c r="MZ36" s="528">
        <v>9.6776999999999997</v>
      </c>
      <c r="NA36" s="528">
        <v>9.4057999999999993</v>
      </c>
      <c r="NB36" s="528">
        <v>9.5997000000000003</v>
      </c>
      <c r="NC36" s="509">
        <v>30</v>
      </c>
      <c r="ND36" s="529"/>
      <c r="NE36" s="529"/>
      <c r="NF36" s="509">
        <v>30</v>
      </c>
      <c r="NG36" s="530">
        <v>10.1752</v>
      </c>
      <c r="NH36" s="533"/>
      <c r="NI36" s="528">
        <v>9.5953999999999997</v>
      </c>
      <c r="NJ36" s="528">
        <v>9.2871000000000006</v>
      </c>
      <c r="NK36" s="528">
        <v>9.7498000000000005</v>
      </c>
      <c r="NL36" s="528">
        <v>9.4875000000000007</v>
      </c>
      <c r="NM36" s="528">
        <v>9.3826999999999998</v>
      </c>
      <c r="NN36" s="528">
        <v>9.3393999999999995</v>
      </c>
      <c r="NO36" s="528">
        <v>9.3582000000000001</v>
      </c>
      <c r="NP36" s="528">
        <v>9.6356999999999999</v>
      </c>
      <c r="NQ36" s="528">
        <v>9.3550000000000004</v>
      </c>
      <c r="NR36" s="528">
        <v>9.5143000000000004</v>
      </c>
      <c r="NS36" s="509">
        <v>30</v>
      </c>
      <c r="NT36" s="529"/>
      <c r="NU36" s="529"/>
      <c r="NV36" s="509">
        <v>30</v>
      </c>
      <c r="NW36" s="530">
        <v>8.3603000000000005</v>
      </c>
      <c r="NX36" s="533"/>
      <c r="NY36" s="528">
        <v>8.5251999999999999</v>
      </c>
      <c r="NZ36" s="528">
        <v>8.4817999999999998</v>
      </c>
      <c r="OA36" s="528">
        <v>8.7873000000000001</v>
      </c>
      <c r="OB36" s="528">
        <v>9.0406999999999993</v>
      </c>
      <c r="OC36" s="528">
        <v>8.8861000000000008</v>
      </c>
      <c r="OD36" s="528">
        <v>9.9600000000000009</v>
      </c>
      <c r="OE36" s="528">
        <v>10.106199999999999</v>
      </c>
      <c r="OF36" s="528">
        <v>10.157500000000001</v>
      </c>
      <c r="OG36" s="528">
        <v>9.9404000000000003</v>
      </c>
      <c r="OH36" s="528">
        <v>9.8382000000000005</v>
      </c>
      <c r="OI36" s="509">
        <v>30</v>
      </c>
      <c r="OJ36" s="529"/>
      <c r="OK36" s="529"/>
      <c r="OL36" s="509">
        <v>30</v>
      </c>
      <c r="OM36" s="530">
        <v>7.8151999999999999</v>
      </c>
      <c r="ON36" s="533"/>
      <c r="OO36" s="528">
        <v>7.8905000000000003</v>
      </c>
      <c r="OP36" s="528">
        <v>7.9267000000000003</v>
      </c>
      <c r="OQ36" s="528">
        <v>7.9085000000000001</v>
      </c>
      <c r="OR36" s="528">
        <v>7.9577</v>
      </c>
      <c r="OS36" s="528">
        <v>7.7808000000000002</v>
      </c>
      <c r="OT36" s="528">
        <v>7.7746000000000004</v>
      </c>
      <c r="OU36" s="528">
        <v>7.8198999999999996</v>
      </c>
      <c r="OV36" s="528">
        <v>8.2966999999999995</v>
      </c>
      <c r="OW36" s="528">
        <v>8.2164999999999999</v>
      </c>
      <c r="OX36" s="528">
        <v>8.1430000000000007</v>
      </c>
      <c r="OY36" s="509">
        <v>30</v>
      </c>
      <c r="OZ36" s="529"/>
      <c r="PA36" s="529"/>
      <c r="PB36" s="509">
        <v>30</v>
      </c>
      <c r="PC36" s="530">
        <v>7.4348999999999998</v>
      </c>
      <c r="PD36" s="533"/>
      <c r="PE36" s="528">
        <v>7.5526</v>
      </c>
      <c r="PF36" s="528">
        <v>7.4042000000000003</v>
      </c>
      <c r="PG36" s="528">
        <v>7.3849999999999998</v>
      </c>
      <c r="PH36" s="528">
        <v>7.6322999999999999</v>
      </c>
      <c r="PI36" s="528">
        <v>7.5959000000000003</v>
      </c>
      <c r="PJ36" s="528">
        <v>7.4930000000000003</v>
      </c>
      <c r="PK36" s="528">
        <v>7.5373999999999999</v>
      </c>
      <c r="PL36" s="528">
        <v>7.8903999999999996</v>
      </c>
      <c r="PM36" s="528">
        <v>7.8857999999999997</v>
      </c>
      <c r="PN36" s="528">
        <v>7.8441999999999998</v>
      </c>
      <c r="PO36" s="509">
        <v>30</v>
      </c>
      <c r="PP36" s="529"/>
      <c r="PQ36" s="529"/>
      <c r="PR36" s="509">
        <v>30</v>
      </c>
      <c r="PS36" s="530">
        <v>5.69</v>
      </c>
      <c r="PT36" s="533"/>
      <c r="PU36" s="528">
        <v>6.8274999999999997</v>
      </c>
      <c r="PV36" s="528">
        <v>5.8982999999999999</v>
      </c>
      <c r="PW36" s="528">
        <v>6.1582999999999997</v>
      </c>
      <c r="PX36" s="528">
        <v>6.3091999999999997</v>
      </c>
      <c r="PY36" s="528">
        <v>6.0881999999999996</v>
      </c>
      <c r="PZ36" s="528">
        <v>6.3246000000000002</v>
      </c>
      <c r="QA36" s="528">
        <v>6.4042000000000003</v>
      </c>
      <c r="QB36" s="528">
        <v>7.1666999999999996</v>
      </c>
      <c r="QC36" s="528">
        <v>7.6516999999999999</v>
      </c>
      <c r="QD36" s="528">
        <v>7.6841999999999997</v>
      </c>
      <c r="QE36" s="509">
        <v>30</v>
      </c>
      <c r="QF36" s="529"/>
      <c r="QG36" s="529"/>
      <c r="QH36" s="509">
        <v>30</v>
      </c>
      <c r="QI36" s="530">
        <v>3.1063000000000001</v>
      </c>
      <c r="QJ36" s="533"/>
      <c r="QK36" s="528">
        <v>3.3597999999999999</v>
      </c>
      <c r="QL36" s="528">
        <v>3.2763</v>
      </c>
      <c r="QM36" s="528">
        <v>3.3148</v>
      </c>
      <c r="QN36" s="528">
        <v>3.3917999999999999</v>
      </c>
      <c r="QO36" s="528">
        <v>3.4005999999999998</v>
      </c>
      <c r="QP36" s="528">
        <v>3.3826000000000001</v>
      </c>
      <c r="QQ36" s="528">
        <v>3.4039999999999999</v>
      </c>
      <c r="QR36" s="528">
        <v>3.43</v>
      </c>
      <c r="QS36" s="528">
        <v>3.4498000000000002</v>
      </c>
      <c r="QT36" s="528">
        <v>5.3250000000000002</v>
      </c>
      <c r="QU36" s="509">
        <v>30</v>
      </c>
      <c r="QV36" s="529"/>
      <c r="QW36" s="529"/>
      <c r="QX36" s="509">
        <v>30</v>
      </c>
      <c r="QY36" s="530">
        <v>3.1030000000000002</v>
      </c>
      <c r="QZ36" s="533"/>
      <c r="RA36" s="528">
        <v>3.1049000000000002</v>
      </c>
      <c r="RB36" s="528">
        <v>3.1021999999999998</v>
      </c>
      <c r="RC36" s="528">
        <v>3.1227</v>
      </c>
      <c r="RD36" s="528">
        <v>3.1212</v>
      </c>
      <c r="RE36" s="528">
        <v>3.1189</v>
      </c>
      <c r="RF36" s="528">
        <v>3.1116999999999999</v>
      </c>
      <c r="RG36" s="528">
        <v>3.1177999999999999</v>
      </c>
      <c r="RH36" s="528">
        <v>3.1293000000000002</v>
      </c>
      <c r="RI36" s="528">
        <v>3.1124999999999998</v>
      </c>
      <c r="RJ36" s="528">
        <v>3.1059000000000001</v>
      </c>
      <c r="RK36" s="509">
        <v>30</v>
      </c>
      <c r="RL36" s="529"/>
      <c r="RM36" s="529"/>
      <c r="RN36" s="509">
        <v>30</v>
      </c>
      <c r="RO36" s="530">
        <v>3.0659000000000001</v>
      </c>
      <c r="RP36" s="533"/>
      <c r="RQ36" s="528">
        <v>3.0901999999999998</v>
      </c>
      <c r="RR36" s="528">
        <v>3.0790000000000002</v>
      </c>
      <c r="RS36" s="528">
        <v>3.1168</v>
      </c>
      <c r="RT36" s="528">
        <v>3.1225000000000001</v>
      </c>
      <c r="RU36" s="528">
        <v>3.1160999999999999</v>
      </c>
      <c r="RV36" s="528">
        <v>3.081</v>
      </c>
      <c r="RW36" s="528">
        <v>3.1160999999999999</v>
      </c>
      <c r="RX36" s="528">
        <v>3.1320999999999999</v>
      </c>
      <c r="RY36" s="528">
        <v>3.1158999999999999</v>
      </c>
      <c r="RZ36" s="528">
        <v>3.1154000000000002</v>
      </c>
      <c r="SA36" s="509">
        <v>30</v>
      </c>
      <c r="SB36" s="529"/>
      <c r="SC36" s="529"/>
      <c r="SD36" s="509">
        <v>30</v>
      </c>
      <c r="SE36" s="530">
        <v>2.9578000000000002</v>
      </c>
      <c r="SF36" s="533"/>
      <c r="SG36" s="528">
        <v>2.9813999999999998</v>
      </c>
      <c r="SH36" s="528">
        <v>2.9929999999999999</v>
      </c>
      <c r="SI36" s="528">
        <v>3.0057999999999998</v>
      </c>
      <c r="SJ36" s="528">
        <v>3.0177999999999998</v>
      </c>
      <c r="SK36" s="528">
        <v>3.0293999999999999</v>
      </c>
      <c r="SL36" s="528">
        <v>3.0426000000000002</v>
      </c>
      <c r="SM36" s="528">
        <v>3.0558000000000001</v>
      </c>
      <c r="SN36" s="528">
        <v>3.0678000000000001</v>
      </c>
      <c r="SO36" s="528">
        <v>3.0676899999999998</v>
      </c>
      <c r="SP36" s="528">
        <v>3.0710000000000002</v>
      </c>
      <c r="SQ36" s="509">
        <v>30</v>
      </c>
      <c r="SR36" s="529"/>
      <c r="SS36" s="529"/>
      <c r="ST36" s="509">
        <v>30</v>
      </c>
      <c r="SU36" s="530">
        <v>2.67</v>
      </c>
      <c r="SV36" s="533"/>
      <c r="SW36" s="528">
        <v>2.7309999999999999</v>
      </c>
      <c r="SX36" s="528">
        <v>2.76</v>
      </c>
      <c r="SY36" s="528">
        <v>2.7919999999999998</v>
      </c>
      <c r="SZ36" s="528">
        <v>2.8170000000000002</v>
      </c>
      <c r="TA36" s="528">
        <v>2.8393999999999999</v>
      </c>
      <c r="TB36" s="528">
        <v>2.8658000000000001</v>
      </c>
      <c r="TC36" s="528">
        <v>2.8898000000000001</v>
      </c>
      <c r="TD36" s="528">
        <v>2.9129999999999998</v>
      </c>
      <c r="TE36" s="528">
        <v>2.9333999999999998</v>
      </c>
      <c r="TF36" s="528">
        <v>2.9449999999999998</v>
      </c>
      <c r="TG36" s="509">
        <v>30</v>
      </c>
      <c r="TH36" s="529"/>
      <c r="TI36" s="529"/>
      <c r="TJ36" s="509">
        <v>30</v>
      </c>
      <c r="TK36" s="530">
        <v>2.3050000000000002</v>
      </c>
      <c r="TL36" s="533"/>
      <c r="TM36" s="528">
        <v>2.3660000000000001</v>
      </c>
      <c r="TN36" s="528">
        <v>2.3959999999999999</v>
      </c>
      <c r="TO36" s="528">
        <v>2.4249999999999998</v>
      </c>
      <c r="TP36" s="528">
        <v>2.4580000000000002</v>
      </c>
      <c r="TQ36" s="528">
        <v>2.4870000000000001</v>
      </c>
      <c r="TR36" s="528">
        <v>2.5190000000000001</v>
      </c>
      <c r="TS36" s="528">
        <v>2.5499999999999998</v>
      </c>
      <c r="TT36" s="528">
        <v>2.5779999999999998</v>
      </c>
      <c r="TU36" s="528">
        <v>2.6110000000000002</v>
      </c>
      <c r="TV36" s="528">
        <v>2.641</v>
      </c>
      <c r="TW36" s="509">
        <v>30</v>
      </c>
    </row>
    <row r="37" spans="2:543" s="4" customFormat="1" ht="23" customHeight="1">
      <c r="B37" s="509">
        <v>31</v>
      </c>
      <c r="C37" s="541">
        <v>20.738299999999999</v>
      </c>
      <c r="D37" s="542"/>
      <c r="E37" s="541">
        <v>19.994199999999999</v>
      </c>
      <c r="F37" s="542"/>
      <c r="G37" s="541">
        <v>19.596499999999999</v>
      </c>
      <c r="H37" s="542"/>
      <c r="I37" s="541">
        <v>20.377800000000001</v>
      </c>
      <c r="J37" s="541">
        <v>19.994499999999999</v>
      </c>
      <c r="K37" s="543"/>
      <c r="L37" s="541">
        <v>19.836500000000001</v>
      </c>
      <c r="M37" s="543"/>
      <c r="N37" s="541">
        <v>19.361499999999999</v>
      </c>
      <c r="O37" s="509">
        <v>31</v>
      </c>
      <c r="R37" s="509">
        <v>31</v>
      </c>
      <c r="S37" s="541">
        <v>20.2697</v>
      </c>
      <c r="T37" s="542"/>
      <c r="U37" s="541">
        <v>20.604700000000001</v>
      </c>
      <c r="V37" s="542"/>
      <c r="W37" s="541">
        <v>19.948699999999999</v>
      </c>
      <c r="X37" s="542"/>
      <c r="Y37" s="541">
        <v>19.844799999999999</v>
      </c>
      <c r="Z37" s="541">
        <v>20.229299999999999</v>
      </c>
      <c r="AA37" s="543"/>
      <c r="AB37" s="541">
        <v>20.325500000000002</v>
      </c>
      <c r="AC37" s="543"/>
      <c r="AD37" s="541">
        <v>20.583500000000001</v>
      </c>
      <c r="AE37" s="509">
        <v>31</v>
      </c>
      <c r="AH37" s="509">
        <v>31</v>
      </c>
      <c r="AI37" s="541">
        <v>18.706700000000001</v>
      </c>
      <c r="AJ37" s="542"/>
      <c r="AK37" s="541">
        <v>23.5122</v>
      </c>
      <c r="AL37" s="542"/>
      <c r="AM37" s="541">
        <v>22.204000000000001</v>
      </c>
      <c r="AN37" s="542"/>
      <c r="AO37" s="541">
        <v>21.9907</v>
      </c>
      <c r="AP37" s="541">
        <v>22.116800000000001</v>
      </c>
      <c r="AQ37" s="543"/>
      <c r="AR37" s="541">
        <v>21.376999999999999</v>
      </c>
      <c r="AS37" s="543"/>
      <c r="AT37" s="541">
        <v>19.948699999999999</v>
      </c>
      <c r="AU37" s="509">
        <v>31</v>
      </c>
      <c r="AX37" s="509">
        <v>31</v>
      </c>
      <c r="AY37" s="528">
        <v>18.997199999999999</v>
      </c>
      <c r="AZ37" s="533"/>
      <c r="BA37" s="528">
        <v>19.379300000000001</v>
      </c>
      <c r="BB37" s="533"/>
      <c r="BC37" s="528">
        <v>19.2395</v>
      </c>
      <c r="BD37" s="533"/>
      <c r="BE37" s="528">
        <v>19.09</v>
      </c>
      <c r="BF37" s="528">
        <v>20.098800000000001</v>
      </c>
      <c r="BG37" s="538"/>
      <c r="BH37" s="528">
        <v>19.116700000000002</v>
      </c>
      <c r="BI37" s="538"/>
      <c r="BJ37" s="528">
        <v>18.845199999999998</v>
      </c>
      <c r="BK37" s="509">
        <v>31</v>
      </c>
      <c r="BN37" s="509">
        <v>31</v>
      </c>
      <c r="BO37" s="528">
        <v>18.619599999999998</v>
      </c>
      <c r="BP37" s="533"/>
      <c r="BQ37" s="528">
        <v>18.3445</v>
      </c>
      <c r="BR37" s="533"/>
      <c r="BS37" s="528">
        <v>19.7499</v>
      </c>
      <c r="BT37" s="533"/>
      <c r="BU37" s="528">
        <v>18.551500000000001</v>
      </c>
      <c r="BV37" s="528">
        <v>19.065899999999999</v>
      </c>
      <c r="BW37" s="538"/>
      <c r="BX37" s="528">
        <v>19.802199999999999</v>
      </c>
      <c r="BY37" s="538"/>
      <c r="BZ37" s="528">
        <v>19.6829</v>
      </c>
      <c r="CA37" s="509">
        <v>31</v>
      </c>
      <c r="CD37" s="509">
        <v>31</v>
      </c>
      <c r="CE37" s="528">
        <v>21.0212</v>
      </c>
      <c r="CF37" s="533"/>
      <c r="CG37" s="528">
        <v>18.809200000000001</v>
      </c>
      <c r="CH37" s="533"/>
      <c r="CI37" s="528">
        <v>18.5121</v>
      </c>
      <c r="CJ37" s="533"/>
      <c r="CK37" s="528">
        <v>17.688600000000001</v>
      </c>
      <c r="CL37" s="528">
        <v>17.876000000000001</v>
      </c>
      <c r="CM37" s="538"/>
      <c r="CN37" s="509">
        <v>19.147400000000001</v>
      </c>
      <c r="CO37" s="538"/>
      <c r="CP37" s="528">
        <v>19.735399999999998</v>
      </c>
      <c r="CQ37" s="509">
        <v>31</v>
      </c>
      <c r="CT37" s="509">
        <v>31</v>
      </c>
      <c r="CU37" s="528">
        <v>18.290600000000001</v>
      </c>
      <c r="CV37" s="533"/>
      <c r="CW37" s="528">
        <v>17.401499999999999</v>
      </c>
      <c r="CX37" s="533"/>
      <c r="CY37" s="528">
        <v>18.4527</v>
      </c>
      <c r="CZ37" s="533"/>
      <c r="DA37" s="528">
        <v>18.8979</v>
      </c>
      <c r="DB37" s="528">
        <v>18.577300000000001</v>
      </c>
      <c r="DC37" s="538"/>
      <c r="DD37" s="509">
        <v>18.8443</v>
      </c>
      <c r="DE37" s="538"/>
      <c r="DF37" s="528">
        <v>20.664000000000001</v>
      </c>
      <c r="DG37" s="509">
        <v>31</v>
      </c>
      <c r="DJ37" s="509">
        <v>31</v>
      </c>
      <c r="DK37" s="528">
        <v>14.8414</v>
      </c>
      <c r="DL37" s="533"/>
      <c r="DM37" s="528">
        <v>15.154199999999999</v>
      </c>
      <c r="DN37" s="533"/>
      <c r="DO37" s="528">
        <v>15.373699999999999</v>
      </c>
      <c r="DP37" s="533"/>
      <c r="DQ37" s="528">
        <v>16.213999999999999</v>
      </c>
      <c r="DR37" s="528">
        <v>16.886299999999999</v>
      </c>
      <c r="DS37" s="538"/>
      <c r="DT37" s="509">
        <v>16.6219</v>
      </c>
      <c r="DU37" s="538"/>
      <c r="DV37" s="528">
        <v>17.206499999999998</v>
      </c>
      <c r="DW37" s="509">
        <v>31</v>
      </c>
      <c r="DZ37" s="509">
        <v>31</v>
      </c>
      <c r="EA37" s="528">
        <v>13.367100000000001</v>
      </c>
      <c r="EB37" s="533"/>
      <c r="EC37" s="528">
        <v>13.0837</v>
      </c>
      <c r="ED37" s="533"/>
      <c r="EE37" s="528">
        <v>12.8462</v>
      </c>
      <c r="EF37" s="533"/>
      <c r="EG37" s="528">
        <v>13.0578</v>
      </c>
      <c r="EH37" s="528">
        <v>13.110900000000001</v>
      </c>
      <c r="EI37" s="538"/>
      <c r="EJ37" s="509">
        <v>13.4239</v>
      </c>
      <c r="EK37" s="538"/>
      <c r="EL37" s="528">
        <v>14.718</v>
      </c>
      <c r="EM37" s="509">
        <v>31</v>
      </c>
      <c r="EP37" s="509">
        <v>31</v>
      </c>
      <c r="EQ37" s="528">
        <v>12.7134</v>
      </c>
      <c r="ER37" s="533"/>
      <c r="ES37" s="528">
        <v>12.3546</v>
      </c>
      <c r="ET37" s="533"/>
      <c r="EU37" s="528">
        <v>12.6328</v>
      </c>
      <c r="EV37" s="533"/>
      <c r="EW37" s="528">
        <v>12.732100000000001</v>
      </c>
      <c r="EX37" s="528">
        <v>13.3104</v>
      </c>
      <c r="EY37" s="538"/>
      <c r="EZ37" s="509">
        <v>12.8903</v>
      </c>
      <c r="FA37" s="538"/>
      <c r="FB37" s="528">
        <v>13.076499999999999</v>
      </c>
      <c r="FC37" s="509">
        <v>31</v>
      </c>
      <c r="FF37" s="509">
        <v>31</v>
      </c>
      <c r="FG37" s="528">
        <v>12.9504</v>
      </c>
      <c r="FH37" s="533"/>
      <c r="FI37" s="528">
        <v>12.8489</v>
      </c>
      <c r="FJ37" s="533"/>
      <c r="FK37" s="528">
        <v>13.9169</v>
      </c>
      <c r="FL37" s="533"/>
      <c r="FM37" s="528">
        <v>13.2837</v>
      </c>
      <c r="FN37" s="528">
        <v>13.2746</v>
      </c>
      <c r="FO37" s="538"/>
      <c r="FP37" s="509">
        <v>13.09</v>
      </c>
      <c r="FQ37" s="538"/>
      <c r="FR37" s="528">
        <v>13.0101</v>
      </c>
      <c r="FS37" s="509">
        <v>31</v>
      </c>
      <c r="FV37" s="509">
        <v>31</v>
      </c>
      <c r="FW37" s="528">
        <v>12.023899999999999</v>
      </c>
      <c r="FX37" s="533"/>
      <c r="FY37" s="528">
        <v>11.9678</v>
      </c>
      <c r="FZ37" s="533"/>
      <c r="GA37" s="528">
        <v>11.6256</v>
      </c>
      <c r="GB37" s="533"/>
      <c r="GC37" s="528">
        <v>11.6821</v>
      </c>
      <c r="GD37" s="528">
        <v>12.4148</v>
      </c>
      <c r="GE37" s="538"/>
      <c r="GF37" s="509">
        <v>13.1973</v>
      </c>
      <c r="GG37" s="538"/>
      <c r="GH37" s="528">
        <v>13.9787</v>
      </c>
      <c r="GI37" s="509">
        <v>31</v>
      </c>
      <c r="GL37" s="509">
        <v>31</v>
      </c>
      <c r="GM37" s="528">
        <v>12.9975</v>
      </c>
      <c r="GN37" s="533">
        <v>12.850300000000001</v>
      </c>
      <c r="GO37" s="528">
        <v>12.464</v>
      </c>
      <c r="GP37" s="533">
        <v>12.3698</v>
      </c>
      <c r="GQ37" s="528">
        <v>12.884600000000001</v>
      </c>
      <c r="GR37" s="533">
        <v>12.656700000000001</v>
      </c>
      <c r="GS37" s="528">
        <v>12.703799999999999</v>
      </c>
      <c r="GT37" s="528">
        <v>13.014799999999999</v>
      </c>
      <c r="GU37" s="538">
        <v>12.501099999999999</v>
      </c>
      <c r="GV37" s="509">
        <v>12.4023</v>
      </c>
      <c r="GW37" s="538">
        <v>12.489000000000001</v>
      </c>
      <c r="GX37" s="528">
        <v>12.357100000000001</v>
      </c>
      <c r="GY37" s="509">
        <v>31</v>
      </c>
      <c r="HB37" s="509">
        <v>31</v>
      </c>
      <c r="HC37" s="528">
        <v>14.1975</v>
      </c>
      <c r="HD37" s="533">
        <v>12.850300000000001</v>
      </c>
      <c r="HE37" s="528">
        <v>14.3317</v>
      </c>
      <c r="HF37" s="533">
        <v>12.3698</v>
      </c>
      <c r="HG37" s="528">
        <v>13.233700000000001</v>
      </c>
      <c r="HH37" s="533">
        <v>12.656700000000001</v>
      </c>
      <c r="HI37" s="528">
        <v>13.2643</v>
      </c>
      <c r="HJ37" s="528">
        <v>13.2462</v>
      </c>
      <c r="HK37" s="538">
        <v>12.501099999999999</v>
      </c>
      <c r="HL37" s="509">
        <v>13.0825</v>
      </c>
      <c r="HM37" s="538">
        <v>12.489000000000001</v>
      </c>
      <c r="HN37" s="528">
        <v>13.0587</v>
      </c>
      <c r="HO37" s="509">
        <v>31</v>
      </c>
      <c r="HP37" s="529"/>
      <c r="HQ37" s="529"/>
      <c r="HR37" s="509">
        <v>31</v>
      </c>
      <c r="HS37" s="528">
        <v>10.8444</v>
      </c>
      <c r="HT37" s="533"/>
      <c r="HU37" s="528">
        <v>10.696199999999999</v>
      </c>
      <c r="HV37" s="533"/>
      <c r="HW37" s="528">
        <v>10.3066</v>
      </c>
      <c r="HX37" s="533"/>
      <c r="HY37" s="528">
        <v>10.061</v>
      </c>
      <c r="HZ37" s="528">
        <v>10.1822</v>
      </c>
      <c r="IA37" s="538"/>
      <c r="IB37" s="509">
        <v>12.914199999999999</v>
      </c>
      <c r="IC37" s="538"/>
      <c r="ID37" s="528">
        <v>13.5383</v>
      </c>
      <c r="IE37" s="509">
        <v>31</v>
      </c>
      <c r="IF37" s="529"/>
      <c r="IG37" s="529"/>
      <c r="IH37" s="509">
        <v>31</v>
      </c>
      <c r="II37" s="528">
        <v>11.0855</v>
      </c>
      <c r="IJ37" s="533"/>
      <c r="IK37" s="528">
        <v>11.050700000000001</v>
      </c>
      <c r="IL37" s="533"/>
      <c r="IM37" s="528">
        <v>10.7873</v>
      </c>
      <c r="IN37" s="533"/>
      <c r="IO37" s="528">
        <v>10.997299999999999</v>
      </c>
      <c r="IP37" s="528">
        <v>11.106199999999999</v>
      </c>
      <c r="IQ37" s="538"/>
      <c r="IR37" s="509">
        <v>10.7112</v>
      </c>
      <c r="IS37" s="538"/>
      <c r="IT37" s="528">
        <v>10.866199999999999</v>
      </c>
      <c r="IU37" s="509">
        <v>31</v>
      </c>
      <c r="IV37" s="529"/>
      <c r="IW37" s="529"/>
      <c r="IX37" s="509">
        <v>31</v>
      </c>
      <c r="IY37" s="528">
        <v>10.4598</v>
      </c>
      <c r="IZ37" s="533"/>
      <c r="JA37" s="528">
        <v>10.951000000000001</v>
      </c>
      <c r="JB37" s="533"/>
      <c r="JC37" s="528">
        <v>11.1303</v>
      </c>
      <c r="JD37" s="533"/>
      <c r="JE37" s="528">
        <v>10.896800000000001</v>
      </c>
      <c r="JF37" s="528">
        <v>10.9047</v>
      </c>
      <c r="JG37" s="538"/>
      <c r="JH37" s="509">
        <v>10.709300000000001</v>
      </c>
      <c r="JI37" s="538"/>
      <c r="JJ37" s="528">
        <v>10.875500000000001</v>
      </c>
      <c r="JK37" s="509">
        <v>31</v>
      </c>
      <c r="JL37" s="529"/>
      <c r="JM37" s="529"/>
      <c r="JN37" s="509">
        <v>31</v>
      </c>
      <c r="JO37" s="528">
        <v>11.299099999999999</v>
      </c>
      <c r="JP37" s="533"/>
      <c r="JQ37" s="528">
        <v>11.2942</v>
      </c>
      <c r="JR37" s="533"/>
      <c r="JS37" s="528">
        <v>10.903</v>
      </c>
      <c r="JT37" s="533"/>
      <c r="JU37" s="528">
        <v>10.620100000000001</v>
      </c>
      <c r="JV37" s="528">
        <v>10.893599999999999</v>
      </c>
      <c r="JW37" s="538"/>
      <c r="JX37" s="509">
        <v>10.9092</v>
      </c>
      <c r="JY37" s="538"/>
      <c r="JZ37" s="528">
        <v>10.710900000000001</v>
      </c>
      <c r="KA37" s="509">
        <v>31</v>
      </c>
      <c r="KB37" s="529"/>
      <c r="KC37" s="529"/>
      <c r="KD37" s="509">
        <v>31</v>
      </c>
      <c r="KE37" s="528">
        <v>11.084300000000001</v>
      </c>
      <c r="KF37" s="533"/>
      <c r="KG37" s="528">
        <v>11.154</v>
      </c>
      <c r="KH37" s="533"/>
      <c r="KI37" s="528">
        <v>11.451499999999999</v>
      </c>
      <c r="KJ37" s="533"/>
      <c r="KK37" s="528">
        <v>11.430199999999999</v>
      </c>
      <c r="KL37" s="528">
        <v>11.373900000000001</v>
      </c>
      <c r="KM37" s="538"/>
      <c r="KN37" s="509">
        <v>11.529299999999999</v>
      </c>
      <c r="KO37" s="538"/>
      <c r="KP37" s="528">
        <v>11.264799999999999</v>
      </c>
      <c r="KQ37" s="509">
        <v>31</v>
      </c>
      <c r="KR37" s="529"/>
      <c r="KS37" s="529"/>
      <c r="KT37" s="509">
        <v>31</v>
      </c>
      <c r="KU37" s="528">
        <v>10.9863</v>
      </c>
      <c r="KV37" s="533"/>
      <c r="KW37" s="528">
        <v>10.767099999999999</v>
      </c>
      <c r="KX37" s="533"/>
      <c r="KY37" s="528">
        <v>10.320499999999999</v>
      </c>
      <c r="KZ37" s="533"/>
      <c r="LA37" s="528">
        <v>10.4878</v>
      </c>
      <c r="LB37" s="528">
        <v>10.980600000000001</v>
      </c>
      <c r="LC37" s="538"/>
      <c r="LD37" s="509">
        <v>11.107799999999999</v>
      </c>
      <c r="LE37" s="538"/>
      <c r="LF37" s="528">
        <v>11.236000000000001</v>
      </c>
      <c r="LG37" s="509">
        <v>31</v>
      </c>
      <c r="LH37" s="529"/>
      <c r="LI37" s="529"/>
      <c r="LJ37" s="509">
        <v>31</v>
      </c>
      <c r="LK37" s="528">
        <v>9.1714000000000002</v>
      </c>
      <c r="LL37" s="533"/>
      <c r="LM37" s="528">
        <v>9.0243000000000002</v>
      </c>
      <c r="LN37" s="533"/>
      <c r="LO37" s="528">
        <v>9.6134000000000004</v>
      </c>
      <c r="LP37" s="533"/>
      <c r="LQ37" s="528">
        <v>9.6943999999999999</v>
      </c>
      <c r="LR37" s="528">
        <v>9.9192999999999998</v>
      </c>
      <c r="LS37" s="538"/>
      <c r="LT37" s="509">
        <v>10.1593</v>
      </c>
      <c r="LU37" s="538"/>
      <c r="LV37" s="528">
        <v>10.3125</v>
      </c>
      <c r="LW37" s="509">
        <v>31</v>
      </c>
      <c r="LX37" s="529"/>
      <c r="LY37" s="529"/>
      <c r="LZ37" s="509">
        <v>31</v>
      </c>
      <c r="MA37" s="528">
        <v>9.6686999999999994</v>
      </c>
      <c r="MB37" s="533"/>
      <c r="MC37" s="528">
        <v>9.5203000000000007</v>
      </c>
      <c r="MD37" s="533"/>
      <c r="ME37" s="528">
        <v>9.0851000000000006</v>
      </c>
      <c r="MF37" s="533"/>
      <c r="MG37" s="528">
        <v>9.1920000000000002</v>
      </c>
      <c r="MH37" s="528">
        <v>9.1438000000000006</v>
      </c>
      <c r="MI37" s="538"/>
      <c r="MJ37" s="509">
        <v>9.2421000000000006</v>
      </c>
      <c r="MK37" s="538"/>
      <c r="ML37" s="528">
        <v>9.1423000000000005</v>
      </c>
      <c r="MM37" s="509">
        <v>31</v>
      </c>
      <c r="MN37" s="529"/>
      <c r="MO37" s="529"/>
      <c r="MP37" s="509">
        <v>31</v>
      </c>
      <c r="MQ37" s="528">
        <v>9.5122999999999998</v>
      </c>
      <c r="MR37" s="533"/>
      <c r="MS37" s="528">
        <v>9.2331000000000003</v>
      </c>
      <c r="MT37" s="533"/>
      <c r="MU37" s="528">
        <v>9.5326000000000004</v>
      </c>
      <c r="MV37" s="533"/>
      <c r="MW37" s="528">
        <v>9.3610000000000007</v>
      </c>
      <c r="MX37" s="528">
        <v>9.2317</v>
      </c>
      <c r="MY37" s="538"/>
      <c r="MZ37" s="509">
        <v>9.6442999999999994</v>
      </c>
      <c r="NA37" s="538"/>
      <c r="NB37" s="528">
        <v>9.5997000000000003</v>
      </c>
      <c r="NC37" s="509">
        <v>31</v>
      </c>
      <c r="ND37" s="529"/>
      <c r="NE37" s="529"/>
      <c r="NF37" s="509">
        <v>31</v>
      </c>
      <c r="NG37" s="528">
        <v>10.1752</v>
      </c>
      <c r="NH37" s="533"/>
      <c r="NI37" s="528">
        <v>9.5158000000000005</v>
      </c>
      <c r="NJ37" s="533"/>
      <c r="NK37" s="528">
        <v>9.7498000000000005</v>
      </c>
      <c r="NL37" s="533"/>
      <c r="NM37" s="528">
        <v>9.4260000000000002</v>
      </c>
      <c r="NN37" s="528">
        <v>9.3818999999999999</v>
      </c>
      <c r="NO37" s="538"/>
      <c r="NP37" s="509">
        <v>9.6356999999999999</v>
      </c>
      <c r="NQ37" s="538"/>
      <c r="NR37" s="528">
        <v>9.5221999999999998</v>
      </c>
      <c r="NS37" s="509">
        <v>31</v>
      </c>
      <c r="NT37" s="529"/>
      <c r="NU37" s="529"/>
      <c r="NV37" s="509">
        <v>31</v>
      </c>
      <c r="NW37" s="528">
        <v>8.4640000000000004</v>
      </c>
      <c r="NX37" s="533"/>
      <c r="NY37" s="528">
        <v>8.5165000000000006</v>
      </c>
      <c r="NZ37" s="533"/>
      <c r="OA37" s="528">
        <v>8.7873000000000001</v>
      </c>
      <c r="OB37" s="533"/>
      <c r="OC37" s="528">
        <v>8.9177999999999997</v>
      </c>
      <c r="OD37" s="528">
        <v>9.9600000000000009</v>
      </c>
      <c r="OE37" s="538"/>
      <c r="OF37" s="509">
        <v>10.219799999999999</v>
      </c>
      <c r="OG37" s="538"/>
      <c r="OH37" s="528">
        <v>9.8650000000000002</v>
      </c>
      <c r="OI37" s="509">
        <v>31</v>
      </c>
      <c r="OJ37" s="529"/>
      <c r="OK37" s="529"/>
      <c r="OL37" s="509">
        <v>31</v>
      </c>
      <c r="OM37" s="528">
        <v>7.8392999999999997</v>
      </c>
      <c r="ON37" s="533"/>
      <c r="OO37" s="528">
        <v>7.8905000000000003</v>
      </c>
      <c r="OP37" s="533"/>
      <c r="OQ37" s="528">
        <v>7.9081999999999999</v>
      </c>
      <c r="OR37" s="533"/>
      <c r="OS37" s="528">
        <v>7.8087999999999997</v>
      </c>
      <c r="OT37" s="528">
        <v>7.7746000000000004</v>
      </c>
      <c r="OU37" s="538"/>
      <c r="OV37" s="509">
        <v>8.1033000000000008</v>
      </c>
      <c r="OW37" s="538"/>
      <c r="OX37" s="528">
        <v>8.0832999999999995</v>
      </c>
      <c r="OY37" s="509">
        <v>31</v>
      </c>
      <c r="OZ37" s="529"/>
      <c r="PA37" s="529"/>
      <c r="PB37" s="509">
        <v>31</v>
      </c>
      <c r="PC37" s="528">
        <v>7.3907999999999996</v>
      </c>
      <c r="PD37" s="533"/>
      <c r="PE37" s="528">
        <v>7.5526</v>
      </c>
      <c r="PF37" s="533"/>
      <c r="PG37" s="528">
        <v>7.4095000000000004</v>
      </c>
      <c r="PH37" s="533"/>
      <c r="PI37" s="528">
        <v>7.6135000000000002</v>
      </c>
      <c r="PJ37" s="528">
        <v>7.5205000000000002</v>
      </c>
      <c r="PK37" s="538"/>
      <c r="PL37" s="509">
        <v>7.9172000000000002</v>
      </c>
      <c r="PM37" s="538"/>
      <c r="PN37" s="528">
        <v>7.8509000000000002</v>
      </c>
      <c r="PO37" s="509">
        <v>31</v>
      </c>
      <c r="PP37" s="529"/>
      <c r="PQ37" s="529"/>
      <c r="PR37" s="509">
        <v>31</v>
      </c>
      <c r="PS37" s="528">
        <v>5.6950000000000003</v>
      </c>
      <c r="PT37" s="533"/>
      <c r="PU37" s="528">
        <v>6.8174999999999999</v>
      </c>
      <c r="PV37" s="533"/>
      <c r="PW37" s="528">
        <v>6.1775000000000002</v>
      </c>
      <c r="PX37" s="533"/>
      <c r="PY37" s="528">
        <v>6.0881999999999996</v>
      </c>
      <c r="PZ37" s="528">
        <v>6.3113999999999999</v>
      </c>
      <c r="QA37" s="538"/>
      <c r="QB37" s="509">
        <v>7.1717000000000004</v>
      </c>
      <c r="QC37" s="538"/>
      <c r="QD37" s="528">
        <v>7.6841999999999997</v>
      </c>
      <c r="QE37" s="509">
        <v>31</v>
      </c>
      <c r="QF37" s="529"/>
      <c r="QG37" s="529"/>
      <c r="QH37" s="509">
        <v>31</v>
      </c>
      <c r="QI37" s="528">
        <v>3.1063000000000001</v>
      </c>
      <c r="QJ37" s="533"/>
      <c r="QK37" s="528">
        <v>3.35</v>
      </c>
      <c r="QL37" s="533"/>
      <c r="QM37" s="528">
        <v>3.3144999999999998</v>
      </c>
      <c r="QN37" s="533"/>
      <c r="QO37" s="528">
        <v>3.4005999999999998</v>
      </c>
      <c r="QP37" s="528">
        <v>3.3794</v>
      </c>
      <c r="QQ37" s="538"/>
      <c r="QR37" s="509">
        <v>3.43</v>
      </c>
      <c r="QS37" s="538"/>
      <c r="QT37" s="528">
        <v>4.9400000000000004</v>
      </c>
      <c r="QU37" s="509">
        <v>31</v>
      </c>
      <c r="QV37" s="529"/>
      <c r="QW37" s="529"/>
      <c r="QX37" s="509">
        <v>31</v>
      </c>
      <c r="QY37" s="528">
        <v>3.1030000000000002</v>
      </c>
      <c r="QZ37" s="533"/>
      <c r="RA37" s="528">
        <v>3.0975999999999999</v>
      </c>
      <c r="RB37" s="533"/>
      <c r="RC37" s="528">
        <v>3.1227</v>
      </c>
      <c r="RD37" s="533"/>
      <c r="RE37" s="528">
        <v>3.1204000000000001</v>
      </c>
      <c r="RF37" s="528">
        <v>3.1145</v>
      </c>
      <c r="RG37" s="538"/>
      <c r="RH37" s="509">
        <v>3.1293000000000002</v>
      </c>
      <c r="RI37" s="538"/>
      <c r="RJ37" s="528">
        <v>3.1099000000000001</v>
      </c>
      <c r="RK37" s="509">
        <v>31</v>
      </c>
      <c r="RL37" s="529"/>
      <c r="RM37" s="529"/>
      <c r="RN37" s="509">
        <v>31</v>
      </c>
      <c r="RO37" s="528">
        <v>3.0659999999999998</v>
      </c>
      <c r="RP37" s="533"/>
      <c r="RQ37" s="528">
        <v>3.0834999999999999</v>
      </c>
      <c r="RR37" s="533"/>
      <c r="RS37" s="528">
        <v>3.1168</v>
      </c>
      <c r="RT37" s="533"/>
      <c r="RU37" s="528">
        <v>3.1141000000000001</v>
      </c>
      <c r="RV37" s="528">
        <v>3.081</v>
      </c>
      <c r="RW37" s="538"/>
      <c r="RX37" s="509">
        <v>3.1309</v>
      </c>
      <c r="RY37" s="538"/>
      <c r="RZ37" s="528">
        <v>3.1230000000000002</v>
      </c>
      <c r="SA37" s="509">
        <v>31</v>
      </c>
      <c r="SB37" s="529"/>
      <c r="SC37" s="529"/>
      <c r="SD37" s="509">
        <v>31</v>
      </c>
      <c r="SE37" s="528">
        <v>2.9582000000000002</v>
      </c>
      <c r="SF37" s="533"/>
      <c r="SG37" s="528">
        <v>2.9813999999999998</v>
      </c>
      <c r="SH37" s="533"/>
      <c r="SI37" s="528">
        <v>3.0062000000000002</v>
      </c>
      <c r="SJ37" s="533"/>
      <c r="SK37" s="528">
        <v>3.0306000000000002</v>
      </c>
      <c r="SL37" s="528">
        <v>3.0430000000000001</v>
      </c>
      <c r="SM37" s="538"/>
      <c r="SN37" s="509">
        <v>3.0682</v>
      </c>
      <c r="SO37" s="538"/>
      <c r="SP37" s="528">
        <v>3.0738799999999999</v>
      </c>
      <c r="SQ37" s="509">
        <v>31</v>
      </c>
      <c r="SR37" s="529"/>
      <c r="SS37" s="529"/>
      <c r="ST37" s="509">
        <v>31</v>
      </c>
      <c r="SU37" s="528">
        <v>2.673</v>
      </c>
      <c r="SV37" s="533"/>
      <c r="SW37" s="528">
        <v>2.7320000000000002</v>
      </c>
      <c r="SX37" s="533"/>
      <c r="SY37" s="528">
        <v>2.7930000000000001</v>
      </c>
      <c r="SZ37" s="533"/>
      <c r="TA37" s="528">
        <v>2.8401999999999998</v>
      </c>
      <c r="TB37" s="528">
        <v>2.8666</v>
      </c>
      <c r="TC37" s="538"/>
      <c r="TD37" s="509">
        <v>2.9154</v>
      </c>
      <c r="TE37" s="538"/>
      <c r="TF37" s="528">
        <v>2.9449999999999998</v>
      </c>
      <c r="TG37" s="509">
        <v>31</v>
      </c>
      <c r="TH37" s="529"/>
      <c r="TI37" s="529"/>
      <c r="TJ37" s="509">
        <v>31</v>
      </c>
      <c r="TK37" s="528">
        <v>2.306</v>
      </c>
      <c r="TL37" s="533"/>
      <c r="TM37" s="528">
        <v>2.367</v>
      </c>
      <c r="TN37" s="533"/>
      <c r="TO37" s="528">
        <v>2.4279999999999999</v>
      </c>
      <c r="TP37" s="533"/>
      <c r="TQ37" s="528">
        <v>2.4870000000000001</v>
      </c>
      <c r="TR37" s="528">
        <v>2.52</v>
      </c>
      <c r="TS37" s="538"/>
      <c r="TT37" s="509">
        <v>2.5790000000000002</v>
      </c>
      <c r="TU37" s="538"/>
      <c r="TV37" s="528">
        <v>2.641</v>
      </c>
      <c r="TW37" s="509">
        <v>31</v>
      </c>
    </row>
    <row r="39" spans="2:543" s="134" customFormat="1" ht="20" customHeight="1"/>
    <row r="40" spans="2:543" s="134" customFormat="1" ht="20" customHeight="1">
      <c r="R40" s="212" t="s">
        <v>545</v>
      </c>
    </row>
    <row r="41" spans="2:543" s="134" customFormat="1" ht="20" customHeight="1">
      <c r="R41" s="134" t="s">
        <v>546</v>
      </c>
    </row>
    <row r="42" spans="2:543" s="134" customFormat="1" ht="16">
      <c r="BZ42" s="427"/>
    </row>
    <row r="43" spans="2:543" s="134" customFormat="1" ht="20" customHeight="1">
      <c r="R43" s="212" t="s">
        <v>547</v>
      </c>
    </row>
    <row r="44" spans="2:543" s="134" customFormat="1" ht="20" customHeight="1">
      <c r="R44" s="134" t="s">
        <v>548</v>
      </c>
    </row>
    <row r="45" spans="2:543" s="134" customFormat="1" ht="20" customHeight="1"/>
    <row r="46" spans="2:543" s="134" customFormat="1" ht="20" customHeight="1"/>
    <row r="47" spans="2:543" s="134" customFormat="1" ht="20" customHeight="1"/>
    <row r="48" spans="2:543" s="134" customFormat="1" ht="20" customHeight="1"/>
    <row r="49" s="134" customFormat="1" ht="20" customHeight="1"/>
    <row r="50" s="134" customFormat="1" ht="20" customHeight="1"/>
    <row r="51" s="134" customFormat="1" ht="20" customHeight="1"/>
    <row r="52" s="134" customFormat="1" ht="20" customHeight="1"/>
    <row r="53" s="134" customFormat="1" ht="20" customHeight="1"/>
    <row r="54" s="134" customFormat="1" ht="20" customHeight="1"/>
    <row r="55" s="134" customFormat="1" ht="20" customHeight="1"/>
    <row r="56" s="134" customFormat="1" ht="20" customHeight="1"/>
    <row r="57" s="134" customFormat="1" ht="20" customHeight="1"/>
    <row r="58" s="134" customFormat="1" ht="20" customHeight="1"/>
    <row r="59" s="134" customFormat="1" ht="20" customHeight="1"/>
    <row r="60" s="134" customFormat="1" ht="20" customHeight="1"/>
    <row r="61" s="134" customFormat="1" ht="20" customHeight="1"/>
    <row r="62" s="134" customFormat="1" ht="20" customHeight="1"/>
    <row r="63" s="134" customFormat="1" ht="20" customHeight="1"/>
  </sheetData>
  <mergeCells count="68">
    <mergeCell ref="AH2:AU2"/>
    <mergeCell ref="AH3:AU3"/>
    <mergeCell ref="GL3:GY3"/>
    <mergeCell ref="DZ2:EM2"/>
    <mergeCell ref="DJ3:DW3"/>
    <mergeCell ref="DZ3:EM3"/>
    <mergeCell ref="EP3:FC3"/>
    <mergeCell ref="FF3:FS3"/>
    <mergeCell ref="FV3:GI3"/>
    <mergeCell ref="AX2:BK2"/>
    <mergeCell ref="AX3:BK3"/>
    <mergeCell ref="EP2:FC2"/>
    <mergeCell ref="FF2:FS2"/>
    <mergeCell ref="FV2:GI2"/>
    <mergeCell ref="GL2:GY2"/>
    <mergeCell ref="CD3:CQ3"/>
    <mergeCell ref="CT3:DG3"/>
    <mergeCell ref="BN2:CA2"/>
    <mergeCell ref="BN3:CA3"/>
    <mergeCell ref="CD2:CQ2"/>
    <mergeCell ref="CT2:DG2"/>
    <mergeCell ref="DJ2:DW2"/>
    <mergeCell ref="JN2:KA2"/>
    <mergeCell ref="KD2:KQ2"/>
    <mergeCell ref="KT2:LG2"/>
    <mergeCell ref="LJ2:LW2"/>
    <mergeCell ref="HB2:HO2"/>
    <mergeCell ref="HR2:IE2"/>
    <mergeCell ref="IH2:IU2"/>
    <mergeCell ref="ST2:TG2"/>
    <mergeCell ref="TJ2:TW2"/>
    <mergeCell ref="HB3:HO3"/>
    <mergeCell ref="HR3:IE3"/>
    <mergeCell ref="IH3:IU3"/>
    <mergeCell ref="IX3:JK3"/>
    <mergeCell ref="JN3:KA3"/>
    <mergeCell ref="KD3:KQ3"/>
    <mergeCell ref="KT3:LG3"/>
    <mergeCell ref="LJ3:LW3"/>
    <mergeCell ref="LZ3:MM3"/>
    <mergeCell ref="MP3:NC3"/>
    <mergeCell ref="NF3:NS3"/>
    <mergeCell ref="NV3:OI3"/>
    <mergeCell ref="OL3:OY3"/>
    <mergeCell ref="PB2:PO2"/>
    <mergeCell ref="ST3:TG3"/>
    <mergeCell ref="TJ3:TW3"/>
    <mergeCell ref="PB3:PO3"/>
    <mergeCell ref="PR3:QE3"/>
    <mergeCell ref="QH3:QU3"/>
    <mergeCell ref="QX3:RK3"/>
    <mergeCell ref="RN3:SA3"/>
    <mergeCell ref="R2:AE2"/>
    <mergeCell ref="R3:AE3"/>
    <mergeCell ref="B2:O2"/>
    <mergeCell ref="B3:O3"/>
    <mergeCell ref="SD3:SQ3"/>
    <mergeCell ref="SD2:SQ2"/>
    <mergeCell ref="PR2:QE2"/>
    <mergeCell ref="QH2:QU2"/>
    <mergeCell ref="QX2:RK2"/>
    <mergeCell ref="RN2:SA2"/>
    <mergeCell ref="LZ2:MM2"/>
    <mergeCell ref="MP2:NC2"/>
    <mergeCell ref="NF2:NS2"/>
    <mergeCell ref="NV2:OI2"/>
    <mergeCell ref="OL2:OY2"/>
    <mergeCell ref="IX2:JK2"/>
  </mergeCells>
  <phoneticPr fontId="8" type="noConversion"/>
  <pageMargins left="0.7" right="0.7" top="0.75" bottom="0.75" header="0.3" footer="0.3"/>
  <pageSetup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P31"/>
  <sheetViews>
    <sheetView topLeftCell="A18" zoomScale="120" zoomScaleNormal="120" workbookViewId="0">
      <selection activeCell="D27" sqref="D27:O27"/>
    </sheetView>
  </sheetViews>
  <sheetFormatPr baseColWidth="10" defaultColWidth="10.83203125" defaultRowHeight="20" customHeight="1"/>
  <cols>
    <col min="1" max="1" width="10.83203125" style="1"/>
    <col min="2" max="2" width="13" style="1" customWidth="1"/>
    <col min="3" max="3" width="13" style="1" hidden="1" customWidth="1"/>
    <col min="4" max="19" width="13" style="1" customWidth="1"/>
    <col min="20" max="16384" width="10.83203125" style="1"/>
  </cols>
  <sheetData>
    <row r="2" spans="2:16" ht="23" customHeight="1">
      <c r="B2" s="771" t="s">
        <v>150</v>
      </c>
      <c r="C2" s="771"/>
      <c r="D2" s="771"/>
      <c r="E2" s="771"/>
      <c r="F2" s="771"/>
      <c r="G2" s="771"/>
      <c r="H2" s="771"/>
      <c r="I2" s="771"/>
      <c r="J2" s="771"/>
      <c r="K2" s="771"/>
      <c r="L2" s="771"/>
      <c r="M2" s="771"/>
      <c r="N2" s="771"/>
      <c r="O2" s="771"/>
      <c r="P2" s="771"/>
    </row>
    <row r="3" spans="2:16" ht="23" customHeight="1">
      <c r="B3" s="771" t="s">
        <v>487</v>
      </c>
      <c r="C3" s="771"/>
      <c r="D3" s="771"/>
      <c r="E3" s="771"/>
      <c r="F3" s="771"/>
      <c r="G3" s="771"/>
      <c r="H3" s="771"/>
      <c r="I3" s="771"/>
      <c r="J3" s="771"/>
      <c r="K3" s="771"/>
      <c r="L3" s="771"/>
      <c r="M3" s="771"/>
      <c r="N3" s="771"/>
      <c r="O3" s="771"/>
      <c r="P3" s="771"/>
    </row>
    <row r="4" spans="2:16" ht="23" customHeight="1">
      <c r="B4" s="334" t="s">
        <v>151</v>
      </c>
      <c r="C4" s="334" t="s">
        <v>630</v>
      </c>
      <c r="D4" s="334" t="s">
        <v>152</v>
      </c>
      <c r="E4" s="334" t="s">
        <v>153</v>
      </c>
      <c r="F4" s="334" t="s">
        <v>154</v>
      </c>
      <c r="G4" s="334" t="s">
        <v>155</v>
      </c>
      <c r="H4" s="334" t="s">
        <v>156</v>
      </c>
      <c r="I4" s="334" t="s">
        <v>157</v>
      </c>
      <c r="J4" s="334" t="s">
        <v>158</v>
      </c>
      <c r="K4" s="334" t="s">
        <v>159</v>
      </c>
      <c r="L4" s="334" t="s">
        <v>160</v>
      </c>
      <c r="M4" s="334" t="s">
        <v>161</v>
      </c>
      <c r="N4" s="334" t="s">
        <v>162</v>
      </c>
      <c r="O4" s="334" t="s">
        <v>163</v>
      </c>
      <c r="P4" s="334" t="s">
        <v>151</v>
      </c>
    </row>
    <row r="5" spans="2:16" ht="23" customHeight="1">
      <c r="B5" s="509">
        <v>2000</v>
      </c>
      <c r="C5" s="509"/>
      <c r="D5" s="510">
        <v>44.930830116377997</v>
      </c>
      <c r="E5" s="510">
        <v>45.329380314521998</v>
      </c>
      <c r="F5" s="510">
        <v>45.580680782035003</v>
      </c>
      <c r="G5" s="510">
        <v>45.840018271642002</v>
      </c>
      <c r="H5" s="510">
        <v>46.011379073729003</v>
      </c>
      <c r="I5" s="510">
        <v>46.283920241006001</v>
      </c>
      <c r="J5" s="510">
        <v>46.464466209717997</v>
      </c>
      <c r="K5" s="510">
        <v>46.719785188278003</v>
      </c>
      <c r="L5" s="510">
        <v>47.061071604014998</v>
      </c>
      <c r="M5" s="510">
        <v>47.385135825852998</v>
      </c>
      <c r="N5" s="510">
        <v>47.790287862832997</v>
      </c>
      <c r="O5" s="510">
        <v>48.307671180741004</v>
      </c>
      <c r="P5" s="509">
        <v>2000</v>
      </c>
    </row>
    <row r="6" spans="2:16" ht="23" customHeight="1">
      <c r="B6" s="509">
        <v>2001</v>
      </c>
      <c r="C6" s="510">
        <f>+O5</f>
        <v>48.307671180741004</v>
      </c>
      <c r="D6" s="510">
        <v>48.575476247933999</v>
      </c>
      <c r="E6" s="510">
        <v>48.543328159565</v>
      </c>
      <c r="F6" s="510">
        <v>48.850887781723998</v>
      </c>
      <c r="G6" s="510">
        <v>49.097308632382997</v>
      </c>
      <c r="H6" s="510">
        <v>49.209970463624998</v>
      </c>
      <c r="I6" s="510">
        <v>49.326363767191999</v>
      </c>
      <c r="J6" s="510">
        <v>49.198201964029998</v>
      </c>
      <c r="K6" s="510">
        <v>49.489687547186001</v>
      </c>
      <c r="L6" s="510">
        <v>49.950381149771999</v>
      </c>
      <c r="M6" s="510">
        <v>50.176135367754</v>
      </c>
      <c r="N6" s="510">
        <v>50.365148908872001</v>
      </c>
      <c r="O6" s="510">
        <v>50.434898785092997</v>
      </c>
      <c r="P6" s="509">
        <v>2001</v>
      </c>
    </row>
    <row r="7" spans="2:16" ht="23" customHeight="1">
      <c r="B7" s="509">
        <v>2002</v>
      </c>
      <c r="C7" s="510">
        <f t="shared" ref="C7:C29" si="0">+O6</f>
        <v>50.434898785092997</v>
      </c>
      <c r="D7" s="510">
        <v>50.900472009715998</v>
      </c>
      <c r="E7" s="510">
        <v>50.867749849081001</v>
      </c>
      <c r="F7" s="510">
        <v>51.127948444495999</v>
      </c>
      <c r="G7" s="510">
        <v>51.407234972562001</v>
      </c>
      <c r="H7" s="510">
        <v>51.511429231397997</v>
      </c>
      <c r="I7" s="510">
        <v>51.762586176958997</v>
      </c>
      <c r="J7" s="510">
        <v>51.911181353361997</v>
      </c>
      <c r="K7" s="510">
        <v>52.108560301263999</v>
      </c>
      <c r="L7" s="510">
        <v>52.421983564994001</v>
      </c>
      <c r="M7" s="510">
        <v>52.653036086686001</v>
      </c>
      <c r="N7" s="510">
        <v>53.078877281373998</v>
      </c>
      <c r="O7" s="510">
        <v>53.309929803065003</v>
      </c>
      <c r="P7" s="509">
        <v>2002</v>
      </c>
    </row>
    <row r="8" spans="2:16" ht="23" customHeight="1">
      <c r="B8" s="509">
        <v>2003</v>
      </c>
      <c r="C8" s="510">
        <f t="shared" si="0"/>
        <v>53.309929803065003</v>
      </c>
      <c r="D8" s="510">
        <v>53.525440675315998</v>
      </c>
      <c r="E8" s="510">
        <v>53.674122454969996</v>
      </c>
      <c r="F8" s="510">
        <v>54.012930412785998</v>
      </c>
      <c r="G8" s="510">
        <v>54.105144199469997</v>
      </c>
      <c r="H8" s="510">
        <v>53.930559670748998</v>
      </c>
      <c r="I8" s="510">
        <v>53.975112399147001</v>
      </c>
      <c r="J8" s="510">
        <v>54.053338701333999</v>
      </c>
      <c r="K8" s="510">
        <v>54.215489910502001</v>
      </c>
      <c r="L8" s="510">
        <v>54.538238163896999</v>
      </c>
      <c r="M8" s="510">
        <v>54.738207386707003</v>
      </c>
      <c r="N8" s="510">
        <v>55.192541605370003</v>
      </c>
      <c r="O8" s="510">
        <v>55.429810786837997</v>
      </c>
      <c r="P8" s="509">
        <v>2003</v>
      </c>
    </row>
    <row r="9" spans="2:16" ht="23" customHeight="1">
      <c r="B9" s="509">
        <v>2004</v>
      </c>
      <c r="C9" s="510">
        <f t="shared" si="0"/>
        <v>55.429810786837997</v>
      </c>
      <c r="D9" s="510">
        <v>55.774317349450001</v>
      </c>
      <c r="E9" s="510">
        <v>56.107944757452998</v>
      </c>
      <c r="F9" s="510">
        <v>56.298070935616998</v>
      </c>
      <c r="G9" s="510">
        <v>56.383031952562</v>
      </c>
      <c r="H9" s="510">
        <v>56.241602942646999</v>
      </c>
      <c r="I9" s="510">
        <v>56.331744509406001</v>
      </c>
      <c r="J9" s="510">
        <v>56.479390179097003</v>
      </c>
      <c r="K9" s="510">
        <v>56.828041181560003</v>
      </c>
      <c r="L9" s="510">
        <v>57.297917049664001</v>
      </c>
      <c r="M9" s="510">
        <v>57.694747165395</v>
      </c>
      <c r="N9" s="510">
        <v>58.186899397696997</v>
      </c>
      <c r="O9" s="510">
        <v>58.307088153376</v>
      </c>
      <c r="P9" s="509">
        <v>2004</v>
      </c>
    </row>
    <row r="10" spans="2:16" ht="23" customHeight="1">
      <c r="B10" s="509">
        <v>2005</v>
      </c>
      <c r="C10" s="510">
        <f t="shared" si="0"/>
        <v>58.307088153376</v>
      </c>
      <c r="D10" s="510">
        <v>58.309160373300998</v>
      </c>
      <c r="E10" s="510">
        <v>58.503430991316002</v>
      </c>
      <c r="F10" s="510">
        <v>58.767120976834001</v>
      </c>
      <c r="G10" s="510">
        <v>58.976415189308</v>
      </c>
      <c r="H10" s="510">
        <v>58.828251464635997</v>
      </c>
      <c r="I10" s="510">
        <v>58.771783471665998</v>
      </c>
      <c r="J10" s="510">
        <v>59.001799883395002</v>
      </c>
      <c r="K10" s="510">
        <v>59.072255360862002</v>
      </c>
      <c r="L10" s="510">
        <v>59.309006487348</v>
      </c>
      <c r="M10" s="510">
        <v>59.454579937113998</v>
      </c>
      <c r="N10" s="510">
        <v>59.882493351727</v>
      </c>
      <c r="O10" s="510">
        <v>60.250312388501001</v>
      </c>
      <c r="P10" s="509">
        <v>2005</v>
      </c>
    </row>
    <row r="11" spans="2:16" ht="23" customHeight="1">
      <c r="B11" s="509">
        <v>2006</v>
      </c>
      <c r="C11" s="510">
        <f t="shared" si="0"/>
        <v>60.250312388501001</v>
      </c>
      <c r="D11" s="510">
        <v>60.603625885795999</v>
      </c>
      <c r="E11" s="510">
        <v>60.696357727462001</v>
      </c>
      <c r="F11" s="510">
        <v>60.772511809722999</v>
      </c>
      <c r="G11" s="510">
        <v>60.861617266518998</v>
      </c>
      <c r="H11" s="510">
        <v>60.590674511262002</v>
      </c>
      <c r="I11" s="510">
        <v>60.642998064380002</v>
      </c>
      <c r="J11" s="510">
        <v>60.809293713400997</v>
      </c>
      <c r="K11" s="510">
        <v>61.119608647242003</v>
      </c>
      <c r="L11" s="510">
        <v>61.736612130056002</v>
      </c>
      <c r="M11" s="510">
        <v>62.006518775350997</v>
      </c>
      <c r="N11" s="510">
        <v>62.331857303652001</v>
      </c>
      <c r="O11" s="510">
        <v>62.692423570686003</v>
      </c>
      <c r="P11" s="509">
        <v>2006</v>
      </c>
    </row>
    <row r="12" spans="2:16" ht="23" customHeight="1">
      <c r="B12" s="509">
        <v>2007</v>
      </c>
      <c r="C12" s="510">
        <f t="shared" si="0"/>
        <v>62.692423570686003</v>
      </c>
      <c r="D12" s="510">
        <v>63.016207934043997</v>
      </c>
      <c r="E12" s="510">
        <v>63.192346627710997</v>
      </c>
      <c r="F12" s="510">
        <v>63.329113142792998</v>
      </c>
      <c r="G12" s="510">
        <v>63.291295129151997</v>
      </c>
      <c r="H12" s="510">
        <v>62.982534360255002</v>
      </c>
      <c r="I12" s="510">
        <v>63.058170387535</v>
      </c>
      <c r="J12" s="510">
        <v>63.326004812904003</v>
      </c>
      <c r="K12" s="510">
        <v>63.583996193627002</v>
      </c>
      <c r="L12" s="510">
        <v>64.077702590875006</v>
      </c>
      <c r="M12" s="510">
        <v>64.327405091895997</v>
      </c>
      <c r="N12" s="510">
        <v>64.781221255576995</v>
      </c>
      <c r="O12" s="510">
        <v>65.049055680945997</v>
      </c>
      <c r="P12" s="509">
        <v>2007</v>
      </c>
    </row>
    <row r="13" spans="2:16" ht="23" customHeight="1">
      <c r="B13" s="509">
        <v>2008</v>
      </c>
      <c r="C13" s="510">
        <f t="shared" si="0"/>
        <v>65.049055680945997</v>
      </c>
      <c r="D13" s="510">
        <v>65.350563680104003</v>
      </c>
      <c r="E13" s="510">
        <v>65.544834298119</v>
      </c>
      <c r="F13" s="510">
        <v>66.019890716036002</v>
      </c>
      <c r="G13" s="510">
        <v>66.170126660633997</v>
      </c>
      <c r="H13" s="510">
        <v>66.098635073205003</v>
      </c>
      <c r="I13" s="510">
        <v>66.372168103369006</v>
      </c>
      <c r="J13" s="510">
        <v>66.742059360067998</v>
      </c>
      <c r="K13" s="510">
        <v>67.127492266209003</v>
      </c>
      <c r="L13" s="510">
        <v>67.584934814760004</v>
      </c>
      <c r="M13" s="510">
        <v>68.045485693200007</v>
      </c>
      <c r="N13" s="510">
        <v>68.818941780386993</v>
      </c>
      <c r="O13" s="510">
        <v>69.295552363249001</v>
      </c>
      <c r="P13" s="509">
        <v>2008</v>
      </c>
    </row>
    <row r="14" spans="2:16" ht="23" customHeight="1">
      <c r="B14" s="509">
        <v>2009</v>
      </c>
      <c r="C14" s="510">
        <f t="shared" si="0"/>
        <v>69.295552363249001</v>
      </c>
      <c r="D14" s="510">
        <v>69.456149407474001</v>
      </c>
      <c r="E14" s="510">
        <v>69.609493681960004</v>
      </c>
      <c r="F14" s="510">
        <v>70.009950182560999</v>
      </c>
      <c r="G14" s="510">
        <v>70.254990188749005</v>
      </c>
      <c r="H14" s="510">
        <v>70.050358471107998</v>
      </c>
      <c r="I14" s="510">
        <v>70.179354161469007</v>
      </c>
      <c r="J14" s="510">
        <v>70.370516449595002</v>
      </c>
      <c r="K14" s="510">
        <v>70.538884318540994</v>
      </c>
      <c r="L14" s="510">
        <v>70.892715870817995</v>
      </c>
      <c r="M14" s="510">
        <v>71.107190633106001</v>
      </c>
      <c r="N14" s="510">
        <v>71.476045779843005</v>
      </c>
      <c r="O14" s="510">
        <v>71.771855174205001</v>
      </c>
      <c r="P14" s="509">
        <v>2009</v>
      </c>
    </row>
    <row r="15" spans="2:16" ht="23" customHeight="1">
      <c r="B15" s="509">
        <v>2010</v>
      </c>
      <c r="C15" s="510">
        <f t="shared" si="0"/>
        <v>71.771855174205001</v>
      </c>
      <c r="D15" s="510">
        <v>72.552045976151007</v>
      </c>
      <c r="E15" s="510">
        <v>72.971670511062001</v>
      </c>
      <c r="F15" s="510">
        <v>73.489725492434005</v>
      </c>
      <c r="G15" s="510">
        <v>73.255564640854004</v>
      </c>
      <c r="H15" s="510">
        <v>72.793977652452</v>
      </c>
      <c r="I15" s="510">
        <v>72.771183233271003</v>
      </c>
      <c r="J15" s="510">
        <v>72.929190002590005</v>
      </c>
      <c r="K15" s="510">
        <v>73.131749500306</v>
      </c>
      <c r="L15" s="510">
        <v>73.515110186520999</v>
      </c>
      <c r="M15" s="510">
        <v>73.968926350203006</v>
      </c>
      <c r="N15" s="510">
        <v>74.561581248891997</v>
      </c>
      <c r="O15" s="510">
        <v>74.930954450610002</v>
      </c>
      <c r="P15" s="509">
        <v>2010</v>
      </c>
    </row>
    <row r="16" spans="2:16" ht="23" customHeight="1">
      <c r="B16" s="509">
        <v>2011</v>
      </c>
      <c r="C16" s="510">
        <f t="shared" si="0"/>
        <v>74.930954450610002</v>
      </c>
      <c r="D16" s="510">
        <v>75.295991345633993</v>
      </c>
      <c r="E16" s="510">
        <v>75.578460244005001</v>
      </c>
      <c r="F16" s="510">
        <v>75.723450928540998</v>
      </c>
      <c r="G16" s="510">
        <v>75.717440951979995</v>
      </c>
      <c r="H16" s="510">
        <v>75.159264378868997</v>
      </c>
      <c r="I16" s="510">
        <v>75.155508143518006</v>
      </c>
      <c r="J16" s="510">
        <v>75.516106737184003</v>
      </c>
      <c r="K16" s="510">
        <v>75.635555021334994</v>
      </c>
      <c r="L16" s="510">
        <v>75.821113047658997</v>
      </c>
      <c r="M16" s="510">
        <v>76.332712302421996</v>
      </c>
      <c r="N16" s="510">
        <v>77.158332832501998</v>
      </c>
      <c r="O16" s="510">
        <v>77.792385359696993</v>
      </c>
      <c r="P16" s="509">
        <v>2011</v>
      </c>
    </row>
    <row r="17" spans="2:16" ht="23" customHeight="1">
      <c r="B17" s="509">
        <v>2012</v>
      </c>
      <c r="C17" s="510">
        <f t="shared" si="0"/>
        <v>77.792385359696993</v>
      </c>
      <c r="D17" s="510">
        <v>78.343049462107004</v>
      </c>
      <c r="E17" s="510">
        <v>78.502313840976001</v>
      </c>
      <c r="F17" s="510">
        <v>78.547388665184002</v>
      </c>
      <c r="G17" s="510">
        <v>78.300979626179995</v>
      </c>
      <c r="H17" s="510">
        <v>78.053819340104994</v>
      </c>
      <c r="I17" s="510">
        <v>78.413666686699997</v>
      </c>
      <c r="J17" s="510">
        <v>78.853897469800003</v>
      </c>
      <c r="K17" s="510">
        <v>79.090540296892996</v>
      </c>
      <c r="L17" s="510">
        <v>79.439118937436007</v>
      </c>
      <c r="M17" s="510">
        <v>79.841036119959</v>
      </c>
      <c r="N17" s="510">
        <v>80.383436504597995</v>
      </c>
      <c r="O17" s="510">
        <v>80.568243283851004</v>
      </c>
      <c r="P17" s="509">
        <v>2012</v>
      </c>
    </row>
    <row r="18" spans="2:16" ht="23" customHeight="1">
      <c r="B18" s="509">
        <v>2013</v>
      </c>
      <c r="C18" s="510">
        <f t="shared" si="0"/>
        <v>80.568243283851004</v>
      </c>
      <c r="D18" s="510">
        <v>80.892782018150001</v>
      </c>
      <c r="E18" s="510">
        <v>81.290942965322003</v>
      </c>
      <c r="F18" s="510">
        <v>81.887433139010994</v>
      </c>
      <c r="G18" s="510">
        <v>81.941522928061005</v>
      </c>
      <c r="H18" s="510">
        <v>81.668820241600997</v>
      </c>
      <c r="I18" s="510">
        <v>81.619237934972006</v>
      </c>
      <c r="J18" s="510">
        <v>81.592193040447</v>
      </c>
      <c r="K18" s="510">
        <v>81.824328385119003</v>
      </c>
      <c r="L18" s="510">
        <v>82.132339683875003</v>
      </c>
      <c r="M18" s="510">
        <v>82.522988160346003</v>
      </c>
      <c r="N18" s="510">
        <v>83.292265160165996</v>
      </c>
      <c r="O18" s="510">
        <v>83.770058296773001</v>
      </c>
      <c r="P18" s="509">
        <v>2013</v>
      </c>
    </row>
    <row r="19" spans="2:16" ht="23" customHeight="1">
      <c r="B19" s="509">
        <v>2014</v>
      </c>
      <c r="C19" s="510">
        <f t="shared" si="0"/>
        <v>83.770058296773001</v>
      </c>
      <c r="D19" s="510">
        <v>84.519051625699007</v>
      </c>
      <c r="E19" s="510">
        <v>84.733157040687999</v>
      </c>
      <c r="F19" s="510">
        <v>84.965292385360002</v>
      </c>
      <c r="G19" s="510">
        <v>84.806779253561004</v>
      </c>
      <c r="H19" s="510">
        <v>84.535579061242004</v>
      </c>
      <c r="I19" s="510">
        <v>84.682072239918</v>
      </c>
      <c r="J19" s="510">
        <v>84.914958831660996</v>
      </c>
      <c r="K19" s="510">
        <v>85.219965142136004</v>
      </c>
      <c r="L19" s="510">
        <v>85.596339924274005</v>
      </c>
      <c r="M19" s="510">
        <v>86.069625578460005</v>
      </c>
      <c r="N19" s="510">
        <v>86.763777871266001</v>
      </c>
      <c r="O19" s="510">
        <v>87.188983712964003</v>
      </c>
      <c r="P19" s="509">
        <v>2014</v>
      </c>
    </row>
    <row r="20" spans="2:16" ht="23" customHeight="1">
      <c r="B20" s="509">
        <v>2015</v>
      </c>
      <c r="C20" s="510">
        <f t="shared" si="0"/>
        <v>87.188983712964003</v>
      </c>
      <c r="D20" s="510">
        <v>87.110102770598999</v>
      </c>
      <c r="E20" s="510">
        <v>87.275377126028999</v>
      </c>
      <c r="F20" s="510">
        <v>87.630716990203993</v>
      </c>
      <c r="G20" s="510">
        <v>87.403840375022995</v>
      </c>
      <c r="H20" s="510">
        <v>86.967365827272999</v>
      </c>
      <c r="I20" s="510">
        <v>87.113107758880005</v>
      </c>
      <c r="J20" s="510">
        <v>87.240819760803006</v>
      </c>
      <c r="K20" s="510">
        <v>87.424875292986002</v>
      </c>
      <c r="L20" s="510">
        <v>87.752419015566005</v>
      </c>
      <c r="M20" s="510">
        <v>88.203918504718004</v>
      </c>
      <c r="N20" s="510">
        <v>88.685467876675006</v>
      </c>
      <c r="O20" s="510">
        <v>89.046817717411002</v>
      </c>
      <c r="P20" s="509">
        <v>2015</v>
      </c>
    </row>
    <row r="21" spans="2:16" ht="23" customHeight="1">
      <c r="B21" s="509">
        <v>2016</v>
      </c>
      <c r="C21" s="510">
        <f t="shared" si="0"/>
        <v>89.046817717411002</v>
      </c>
      <c r="D21" s="510">
        <v>89.386381393112998</v>
      </c>
      <c r="E21" s="510">
        <v>89.777781116653998</v>
      </c>
      <c r="F21" s="510">
        <v>89.910000600998004</v>
      </c>
      <c r="G21" s="510">
        <v>89.625277961416003</v>
      </c>
      <c r="H21" s="510">
        <v>89.225614520102994</v>
      </c>
      <c r="I21" s="510">
        <v>89.324027886291006</v>
      </c>
      <c r="J21" s="510">
        <v>89.556914478034003</v>
      </c>
      <c r="K21" s="510">
        <v>89.809333493598999</v>
      </c>
      <c r="L21" s="510">
        <v>90.357743854798997</v>
      </c>
      <c r="M21" s="510">
        <v>90.906154215998995</v>
      </c>
      <c r="N21" s="510">
        <v>91.616833944348002</v>
      </c>
      <c r="O21" s="510">
        <v>92.039034797764003</v>
      </c>
      <c r="P21" s="509">
        <v>2016</v>
      </c>
    </row>
    <row r="22" spans="2:16" ht="23" customHeight="1">
      <c r="B22" s="509">
        <v>2017</v>
      </c>
      <c r="C22" s="510">
        <f t="shared" si="0"/>
        <v>92.039034797764003</v>
      </c>
      <c r="D22" s="510">
        <v>93.603882444858996</v>
      </c>
      <c r="E22" s="510">
        <v>94.144780335356998</v>
      </c>
      <c r="F22" s="510">
        <v>94.722489332292</v>
      </c>
      <c r="G22" s="510">
        <v>94.838932628162993</v>
      </c>
      <c r="H22" s="510">
        <v>94.725494320571997</v>
      </c>
      <c r="I22" s="510">
        <v>94.963639641805003</v>
      </c>
      <c r="J22" s="510">
        <v>95.322735741331002</v>
      </c>
      <c r="K22" s="510">
        <v>95.793767654305995</v>
      </c>
      <c r="L22" s="510">
        <v>96.093515235290994</v>
      </c>
      <c r="M22" s="510">
        <v>96.698269126750006</v>
      </c>
      <c r="N22" s="510">
        <v>97.695173988822006</v>
      </c>
      <c r="O22" s="510">
        <v>98.272882985755999</v>
      </c>
      <c r="P22" s="509">
        <v>2017</v>
      </c>
    </row>
    <row r="23" spans="2:16" ht="23" customHeight="1">
      <c r="B23" s="509">
        <v>2018</v>
      </c>
      <c r="C23" s="510">
        <f t="shared" si="0"/>
        <v>98.272882985755999</v>
      </c>
      <c r="D23" s="510">
        <v>98.794999699501005</v>
      </c>
      <c r="E23" s="510">
        <v>99.171374481640001</v>
      </c>
      <c r="F23" s="510">
        <v>99.492156980588007</v>
      </c>
      <c r="G23" s="510">
        <v>99.154847046097004</v>
      </c>
      <c r="H23" s="510">
        <v>98.994080173086999</v>
      </c>
      <c r="I23" s="510">
        <v>99.376464931786998</v>
      </c>
      <c r="J23" s="510">
        <v>99.909099104513999</v>
      </c>
      <c r="K23" s="510">
        <v>100.492</v>
      </c>
      <c r="L23" s="510">
        <v>100.917</v>
      </c>
      <c r="M23" s="510">
        <v>101.44</v>
      </c>
      <c r="N23" s="510">
        <v>102.303</v>
      </c>
      <c r="O23" s="510">
        <v>103.02</v>
      </c>
      <c r="P23" s="509">
        <v>2018</v>
      </c>
    </row>
    <row r="24" spans="2:16" ht="23" customHeight="1">
      <c r="B24" s="509">
        <v>2019</v>
      </c>
      <c r="C24" s="510">
        <f t="shared" si="0"/>
        <v>103.02</v>
      </c>
      <c r="D24" s="510">
        <v>103.108</v>
      </c>
      <c r="E24" s="510">
        <v>103.07899999999999</v>
      </c>
      <c r="F24" s="510">
        <v>103.476</v>
      </c>
      <c r="G24" s="510">
        <v>103.53100000000001</v>
      </c>
      <c r="H24" s="510">
        <v>103.233</v>
      </c>
      <c r="I24" s="510">
        <v>103.29900000000001</v>
      </c>
      <c r="J24" s="510">
        <v>103.687</v>
      </c>
      <c r="K24" s="510">
        <v>103.67</v>
      </c>
      <c r="L24" s="510">
        <v>103.94199999999999</v>
      </c>
      <c r="M24" s="510">
        <v>104.503</v>
      </c>
      <c r="N24" s="510">
        <v>105.346</v>
      </c>
      <c r="O24" s="510">
        <v>105.934</v>
      </c>
      <c r="P24" s="509">
        <v>2019</v>
      </c>
    </row>
    <row r="25" spans="2:16" ht="23" customHeight="1">
      <c r="B25" s="509">
        <v>2020</v>
      </c>
      <c r="C25" s="510">
        <f t="shared" si="0"/>
        <v>105.934</v>
      </c>
      <c r="D25" s="510">
        <v>106.447</v>
      </c>
      <c r="E25" s="510">
        <v>106.889</v>
      </c>
      <c r="F25" s="510">
        <v>106.83799999999999</v>
      </c>
      <c r="G25" s="510">
        <v>105.755</v>
      </c>
      <c r="H25" s="510">
        <v>106.16200000000001</v>
      </c>
      <c r="I25" s="510">
        <v>106.74299999999999</v>
      </c>
      <c r="J25" s="510">
        <v>107.444</v>
      </c>
      <c r="K25" s="510">
        <v>107.867</v>
      </c>
      <c r="L25" s="510">
        <v>108.114</v>
      </c>
      <c r="M25" s="510">
        <v>108.774</v>
      </c>
      <c r="N25" s="510">
        <v>108.85599999999999</v>
      </c>
      <c r="O25" s="510">
        <v>109.271</v>
      </c>
      <c r="P25" s="509">
        <v>2020</v>
      </c>
    </row>
    <row r="26" spans="2:16" ht="23" customHeight="1">
      <c r="B26" s="509">
        <v>2021</v>
      </c>
      <c r="C26" s="510">
        <f t="shared" si="0"/>
        <v>109.271</v>
      </c>
      <c r="D26" s="510">
        <v>110.21</v>
      </c>
      <c r="E26" s="510">
        <v>110.907</v>
      </c>
      <c r="F26" s="510">
        <v>111.824</v>
      </c>
      <c r="G26" s="510">
        <v>112.19</v>
      </c>
      <c r="H26" s="510">
        <v>112.419</v>
      </c>
      <c r="I26" s="510">
        <v>113.018</v>
      </c>
      <c r="J26" s="510">
        <v>113.682</v>
      </c>
      <c r="K26" s="510">
        <v>113.899</v>
      </c>
      <c r="L26" s="510">
        <v>114.601</v>
      </c>
      <c r="M26" s="510">
        <v>115.56100000000001</v>
      </c>
      <c r="N26" s="510">
        <v>116.884</v>
      </c>
      <c r="O26" s="510">
        <v>117.30800000000001</v>
      </c>
      <c r="P26" s="509">
        <v>2021</v>
      </c>
    </row>
    <row r="27" spans="2:16" ht="23" customHeight="1">
      <c r="B27" s="509">
        <v>2022</v>
      </c>
      <c r="C27" s="510">
        <f t="shared" si="0"/>
        <v>117.30800000000001</v>
      </c>
      <c r="D27" s="621">
        <v>118.002</v>
      </c>
      <c r="E27" s="510">
        <v>118.98099999999999</v>
      </c>
      <c r="F27" s="510">
        <v>120.15900000000001</v>
      </c>
      <c r="G27" s="510">
        <v>120.809</v>
      </c>
      <c r="H27" s="510">
        <v>121.02200000000001</v>
      </c>
      <c r="I27" s="510">
        <v>122.044</v>
      </c>
      <c r="J27" s="510">
        <v>122.94799999999999</v>
      </c>
      <c r="K27" s="510">
        <v>123.803</v>
      </c>
      <c r="L27" s="510">
        <v>124.571</v>
      </c>
      <c r="M27" s="510">
        <v>125.276</v>
      </c>
      <c r="N27" s="510">
        <v>125.997</v>
      </c>
      <c r="O27" s="510">
        <v>126.47799999999999</v>
      </c>
      <c r="P27" s="509">
        <v>2022</v>
      </c>
    </row>
    <row r="28" spans="2:16" ht="23" customHeight="1">
      <c r="B28" s="509">
        <v>2023</v>
      </c>
      <c r="C28" s="510">
        <f t="shared" si="0"/>
        <v>126.47799999999999</v>
      </c>
      <c r="D28" s="514">
        <f>+O27</f>
        <v>126.47799999999999</v>
      </c>
      <c r="E28" s="514">
        <f t="shared" ref="E28:O28" si="1">+D28</f>
        <v>126.47799999999999</v>
      </c>
      <c r="F28" s="514">
        <f t="shared" si="1"/>
        <v>126.47799999999999</v>
      </c>
      <c r="G28" s="514">
        <f t="shared" si="1"/>
        <v>126.47799999999999</v>
      </c>
      <c r="H28" s="514">
        <f t="shared" si="1"/>
        <v>126.47799999999999</v>
      </c>
      <c r="I28" s="514">
        <f t="shared" si="1"/>
        <v>126.47799999999999</v>
      </c>
      <c r="J28" s="514">
        <f t="shared" si="1"/>
        <v>126.47799999999999</v>
      </c>
      <c r="K28" s="514">
        <f t="shared" si="1"/>
        <v>126.47799999999999</v>
      </c>
      <c r="L28" s="514">
        <f t="shared" si="1"/>
        <v>126.47799999999999</v>
      </c>
      <c r="M28" s="514">
        <f t="shared" si="1"/>
        <v>126.47799999999999</v>
      </c>
      <c r="N28" s="514">
        <f t="shared" si="1"/>
        <v>126.47799999999999</v>
      </c>
      <c r="O28" s="514">
        <f t="shared" si="1"/>
        <v>126.47799999999999</v>
      </c>
      <c r="P28" s="509">
        <v>2023</v>
      </c>
    </row>
    <row r="29" spans="2:16" ht="23" customHeight="1">
      <c r="B29" s="509">
        <v>2024</v>
      </c>
      <c r="C29" s="510">
        <f t="shared" si="0"/>
        <v>126.47799999999999</v>
      </c>
      <c r="D29" s="514">
        <f>+O28</f>
        <v>126.47799999999999</v>
      </c>
      <c r="E29" s="514">
        <f t="shared" ref="E29:O29" si="2">+D29</f>
        <v>126.47799999999999</v>
      </c>
      <c r="F29" s="514">
        <f t="shared" si="2"/>
        <v>126.47799999999999</v>
      </c>
      <c r="G29" s="514">
        <f t="shared" si="2"/>
        <v>126.47799999999999</v>
      </c>
      <c r="H29" s="514">
        <f t="shared" si="2"/>
        <v>126.47799999999999</v>
      </c>
      <c r="I29" s="514">
        <f t="shared" si="2"/>
        <v>126.47799999999999</v>
      </c>
      <c r="J29" s="514">
        <f t="shared" si="2"/>
        <v>126.47799999999999</v>
      </c>
      <c r="K29" s="514">
        <f t="shared" si="2"/>
        <v>126.47799999999999</v>
      </c>
      <c r="L29" s="514">
        <f t="shared" si="2"/>
        <v>126.47799999999999</v>
      </c>
      <c r="M29" s="514">
        <f t="shared" si="2"/>
        <v>126.47799999999999</v>
      </c>
      <c r="N29" s="514">
        <f t="shared" si="2"/>
        <v>126.47799999999999</v>
      </c>
      <c r="O29" s="514">
        <f t="shared" si="2"/>
        <v>126.47799999999999</v>
      </c>
      <c r="P29" s="509">
        <v>2024</v>
      </c>
    </row>
    <row r="30" spans="2:16" ht="23" customHeight="1">
      <c r="B30" s="334" t="s">
        <v>151</v>
      </c>
      <c r="C30" s="334"/>
      <c r="D30" s="334" t="s">
        <v>152</v>
      </c>
      <c r="E30" s="334" t="s">
        <v>153</v>
      </c>
      <c r="F30" s="334" t="s">
        <v>154</v>
      </c>
      <c r="G30" s="334" t="s">
        <v>155</v>
      </c>
      <c r="H30" s="334" t="s">
        <v>156</v>
      </c>
      <c r="I30" s="334" t="s">
        <v>157</v>
      </c>
      <c r="J30" s="334" t="s">
        <v>158</v>
      </c>
      <c r="K30" s="334" t="s">
        <v>159</v>
      </c>
      <c r="L30" s="334" t="s">
        <v>160</v>
      </c>
      <c r="M30" s="334" t="s">
        <v>161</v>
      </c>
      <c r="N30" s="334" t="s">
        <v>162</v>
      </c>
      <c r="O30" s="334" t="s">
        <v>163</v>
      </c>
      <c r="P30" s="334" t="s">
        <v>151</v>
      </c>
    </row>
    <row r="31" spans="2:16" ht="23" customHeight="1"/>
  </sheetData>
  <mergeCells count="2">
    <mergeCell ref="B2:P2"/>
    <mergeCell ref="B3:P3"/>
  </mergeCells>
  <phoneticPr fontId="8" type="noConversion"/>
  <pageMargins left="0.7" right="0.7" top="0.75" bottom="0.75" header="0.3" footer="0.3"/>
  <pageSetup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08305-5BF9-174A-8F3A-183FDEF4CD84}">
  <dimension ref="A1:O156"/>
  <sheetViews>
    <sheetView workbookViewId="0">
      <pane ySplit="2" topLeftCell="A3" activePane="bottomLeft" state="frozen"/>
      <selection pane="bottomLeft" activeCell="A138" sqref="A138:A153"/>
    </sheetView>
  </sheetViews>
  <sheetFormatPr baseColWidth="10" defaultColWidth="11" defaultRowHeight="16"/>
  <cols>
    <col min="1" max="1" width="22.33203125" customWidth="1"/>
    <col min="2" max="2" width="46.83203125" bestFit="1" customWidth="1"/>
    <col min="3" max="3" width="11.33203125" customWidth="1"/>
  </cols>
  <sheetData>
    <row r="1" spans="1:15">
      <c r="A1" s="515"/>
      <c r="B1" s="516"/>
      <c r="C1" s="517">
        <v>44562</v>
      </c>
      <c r="D1" s="517">
        <v>44593</v>
      </c>
      <c r="E1" s="517">
        <v>44621</v>
      </c>
      <c r="F1" s="517">
        <v>44652</v>
      </c>
      <c r="G1" s="517">
        <v>44682</v>
      </c>
      <c r="H1" s="517">
        <v>44713</v>
      </c>
      <c r="I1" s="517">
        <v>44743</v>
      </c>
      <c r="J1" s="517">
        <v>44774</v>
      </c>
      <c r="K1" s="517">
        <v>44805</v>
      </c>
      <c r="L1" s="517">
        <v>44835</v>
      </c>
      <c r="M1" s="517">
        <v>44866</v>
      </c>
      <c r="N1" s="517">
        <v>44896</v>
      </c>
      <c r="O1" s="518"/>
    </row>
    <row r="2" spans="1:15">
      <c r="A2" s="515"/>
      <c r="B2" s="519" t="s">
        <v>592</v>
      </c>
      <c r="C2" s="520" t="s">
        <v>593</v>
      </c>
      <c r="D2" s="520" t="s">
        <v>594</v>
      </c>
      <c r="E2" s="520" t="s">
        <v>595</v>
      </c>
      <c r="F2" s="520" t="s">
        <v>596</v>
      </c>
      <c r="G2" s="520" t="s">
        <v>597</v>
      </c>
      <c r="H2" s="520" t="s">
        <v>598</v>
      </c>
      <c r="I2" s="520" t="s">
        <v>599</v>
      </c>
      <c r="J2" s="520" t="s">
        <v>600</v>
      </c>
      <c r="K2" s="520" t="s">
        <v>601</v>
      </c>
      <c r="L2" s="520" t="s">
        <v>602</v>
      </c>
      <c r="M2" s="520" t="s">
        <v>603</v>
      </c>
      <c r="N2" s="520" t="s">
        <v>604</v>
      </c>
      <c r="O2" s="520" t="s">
        <v>251</v>
      </c>
    </row>
    <row r="3" spans="1:15">
      <c r="A3" s="515"/>
      <c r="B3" s="521"/>
      <c r="C3" s="522"/>
      <c r="D3" s="522"/>
      <c r="E3" s="522"/>
      <c r="F3" s="522"/>
      <c r="G3" s="522"/>
      <c r="H3" s="522"/>
      <c r="I3" s="522"/>
      <c r="J3" s="522"/>
      <c r="K3" s="522"/>
      <c r="L3" s="522"/>
      <c r="M3" s="522"/>
      <c r="N3" s="522"/>
      <c r="O3" s="522"/>
    </row>
    <row r="4" spans="1:15">
      <c r="A4" s="515"/>
      <c r="B4" s="519" t="s">
        <v>605</v>
      </c>
      <c r="C4" s="523"/>
      <c r="D4" s="523"/>
      <c r="E4" s="523"/>
      <c r="F4" s="523"/>
      <c r="G4" s="523"/>
      <c r="H4" s="523"/>
      <c r="I4" s="523"/>
      <c r="J4" s="523"/>
      <c r="K4" s="523"/>
      <c r="L4" s="523"/>
      <c r="M4" s="523"/>
      <c r="N4" s="523"/>
      <c r="O4" s="523"/>
    </row>
    <row r="5" spans="1:15">
      <c r="A5" s="622" t="str">
        <f>+Cuentas!B6</f>
        <v>AR2XXXX3387-0008</v>
      </c>
      <c r="B5" s="519" t="str">
        <f t="shared" ref="B5:B20" si="0">+CONCATENATE("        Intereses - ",A5)</f>
        <v xml:space="preserve">        Intereses - AR2XXXX3387-0008</v>
      </c>
      <c r="C5" s="523">
        <f>+SUMIFS('Intereses percibidos'!$G$7:$G$543,'Intereses percibidos'!$B$7:$B$543,'Rev JR'!$A5,'Intereses percibidos'!$D$7:$D$543,"&gt;="&amp;'Rev JR'!C$1,'Intereses percibidos'!$D$7:$D$543,"&lt;="&amp;EOMONTH('Rev JR'!C$1,0))</f>
        <v>0</v>
      </c>
      <c r="D5" s="523">
        <f>+SUMIFS('Intereses percibidos'!$G$7:$G$543,'Intereses percibidos'!$B$7:$B$543,'Rev JR'!$A5,'Intereses percibidos'!$D$7:$D$543,"&gt;="&amp;'Rev JR'!D$1,'Intereses percibidos'!$D$7:$D$543,"&lt;="&amp;EOMONTH('Rev JR'!D$1,0))</f>
        <v>0</v>
      </c>
      <c r="E5" s="523">
        <f>+SUMIFS('Intereses percibidos'!$G$7:$G$543,'Intereses percibidos'!$B$7:$B$543,'Rev JR'!$A5,'Intereses percibidos'!$D$7:$D$543,"&gt;="&amp;'Rev JR'!E$1,'Intereses percibidos'!$D$7:$D$543,"&lt;="&amp;EOMONTH('Rev JR'!E$1,0))</f>
        <v>0</v>
      </c>
      <c r="F5" s="523">
        <f>+SUMIFS('Intereses percibidos'!$G$7:$G$543,'Intereses percibidos'!$B$7:$B$543,'Rev JR'!$A5,'Intereses percibidos'!$D$7:$D$543,"&gt;="&amp;'Rev JR'!F$1,'Intereses percibidos'!$D$7:$D$543,"&lt;="&amp;EOMONTH('Rev JR'!F$1,0))</f>
        <v>0</v>
      </c>
      <c r="G5" s="523">
        <f>+SUMIFS('Intereses percibidos'!$G$7:$G$543,'Intereses percibidos'!$B$7:$B$543,'Rev JR'!$A5,'Intereses percibidos'!$D$7:$D$543,"&gt;="&amp;'Rev JR'!G$1,'Intereses percibidos'!$D$7:$D$543,"&lt;="&amp;EOMONTH('Rev JR'!G$1,0))</f>
        <v>0</v>
      </c>
      <c r="H5" s="523">
        <f>+SUMIFS('Intereses percibidos'!$G$7:$G$543,'Intereses percibidos'!$B$7:$B$543,'Rev JR'!$A5,'Intereses percibidos'!$D$7:$D$543,"&gt;="&amp;'Rev JR'!H$1,'Intereses percibidos'!$D$7:$D$543,"&lt;="&amp;EOMONTH('Rev JR'!H$1,0))</f>
        <v>0</v>
      </c>
      <c r="I5" s="523">
        <f>+SUMIFS('Intereses percibidos'!$G$7:$G$543,'Intereses percibidos'!$B$7:$B$543,'Rev JR'!$A5,'Intereses percibidos'!$D$7:$D$543,"&gt;="&amp;'Rev JR'!I$1,'Intereses percibidos'!$D$7:$D$543,"&lt;="&amp;EOMONTH('Rev JR'!I$1,0))</f>
        <v>0</v>
      </c>
      <c r="J5" s="523">
        <f>+SUMIFS('Intereses percibidos'!$G$7:$G$543,'Intereses percibidos'!$B$7:$B$543,'Rev JR'!$A5,'Intereses percibidos'!$D$7:$D$543,"&gt;="&amp;'Rev JR'!J$1,'Intereses percibidos'!$D$7:$D$543,"&lt;="&amp;EOMONTH('Rev JR'!J$1,0))</f>
        <v>0</v>
      </c>
      <c r="K5" s="523">
        <f>+SUMIFS('Intereses percibidos'!$G$7:$G$543,'Intereses percibidos'!$B$7:$B$543,'Rev JR'!$A5,'Intereses percibidos'!$D$7:$D$543,"&gt;="&amp;'Rev JR'!K$1,'Intereses percibidos'!$D$7:$D$543,"&lt;="&amp;EOMONTH('Rev JR'!K$1,0))</f>
        <v>0</v>
      </c>
      <c r="L5" s="523">
        <f>+SUMIFS('Intereses percibidos'!$G$7:$G$543,'Intereses percibidos'!$B$7:$B$543,'Rev JR'!$A5,'Intereses percibidos'!$D$7:$D$543,"&gt;="&amp;'Rev JR'!L$1,'Intereses percibidos'!$D$7:$D$543,"&lt;="&amp;EOMONTH('Rev JR'!L$1,0))</f>
        <v>0</v>
      </c>
      <c r="M5" s="523">
        <f>+SUMIFS('Intereses percibidos'!$G$7:$G$543,'Intereses percibidos'!$B$7:$B$543,'Rev JR'!$A5,'Intereses percibidos'!$D$7:$D$543,"&gt;="&amp;'Rev JR'!M$1,'Intereses percibidos'!$D$7:$D$543,"&lt;="&amp;EOMONTH('Rev JR'!M$1,0))</f>
        <v>0</v>
      </c>
      <c r="N5" s="523">
        <f>+SUMIFS('Intereses percibidos'!$G$7:$G$543,'Intereses percibidos'!$B$7:$B$543,'Rev JR'!$A5,'Intereses percibidos'!$D$7:$D$543,"&gt;="&amp;'Rev JR'!N$1,'Intereses percibidos'!$D$7:$D$543,"&lt;="&amp;EOMONTH('Rev JR'!N$1,0))</f>
        <v>0</v>
      </c>
      <c r="O5" s="523">
        <f>SUM(C5:N5)</f>
        <v>0</v>
      </c>
    </row>
    <row r="6" spans="1:15">
      <c r="A6" s="622" t="str">
        <f>+Cuentas!B7</f>
        <v>AR2XXXX3387-0003</v>
      </c>
      <c r="B6" s="519" t="str">
        <f t="shared" si="0"/>
        <v xml:space="preserve">        Intereses - AR2XXXX3387-0003</v>
      </c>
      <c r="C6" s="523">
        <f>+SUMIFS('Intereses percibidos'!$G$7:$G$543,'Intereses percibidos'!$B$7:$B$543,'Rev JR'!$A6,'Intereses percibidos'!$D$7:$D$543,"&gt;="&amp;'Rev JR'!C$1,'Intereses percibidos'!$D$7:$D$543,"&lt;="&amp;EOMONTH('Rev JR'!C$1,0))</f>
        <v>0</v>
      </c>
      <c r="D6" s="523">
        <f>+SUMIFS('Intereses percibidos'!$G$7:$G$543,'Intereses percibidos'!$B$7:$B$543,'Rev JR'!$A6,'Intereses percibidos'!$D$7:$D$543,"&gt;="&amp;'Rev JR'!D$1,'Intereses percibidos'!$D$7:$D$543,"&lt;="&amp;EOMONTH('Rev JR'!D$1,0))</f>
        <v>0</v>
      </c>
      <c r="E6" s="523">
        <f>+SUMIFS('Intereses percibidos'!$G$7:$G$543,'Intereses percibidos'!$B$7:$B$543,'Rev JR'!$A6,'Intereses percibidos'!$D$7:$D$543,"&gt;="&amp;'Rev JR'!E$1,'Intereses percibidos'!$D$7:$D$543,"&lt;="&amp;EOMONTH('Rev JR'!E$1,0))</f>
        <v>0</v>
      </c>
      <c r="F6" s="523">
        <f>+SUMIFS('Intereses percibidos'!$G$7:$G$543,'Intereses percibidos'!$B$7:$B$543,'Rev JR'!$A6,'Intereses percibidos'!$D$7:$D$543,"&gt;="&amp;'Rev JR'!F$1,'Intereses percibidos'!$D$7:$D$543,"&lt;="&amp;EOMONTH('Rev JR'!F$1,0))</f>
        <v>0</v>
      </c>
      <c r="G6" s="523">
        <f>+SUMIFS('Intereses percibidos'!$G$7:$G$543,'Intereses percibidos'!$B$7:$B$543,'Rev JR'!$A6,'Intereses percibidos'!$D$7:$D$543,"&gt;="&amp;'Rev JR'!G$1,'Intereses percibidos'!$D$7:$D$543,"&lt;="&amp;EOMONTH('Rev JR'!G$1,0))</f>
        <v>0</v>
      </c>
      <c r="H6" s="523">
        <f>+SUMIFS('Intereses percibidos'!$G$7:$G$543,'Intereses percibidos'!$B$7:$B$543,'Rev JR'!$A6,'Intereses percibidos'!$D$7:$D$543,"&gt;="&amp;'Rev JR'!H$1,'Intereses percibidos'!$D$7:$D$543,"&lt;="&amp;EOMONTH('Rev JR'!H$1,0))</f>
        <v>0</v>
      </c>
      <c r="I6" s="523">
        <f>+SUMIFS('Intereses percibidos'!$G$7:$G$543,'Intereses percibidos'!$B$7:$B$543,'Rev JR'!$A6,'Intereses percibidos'!$D$7:$D$543,"&gt;="&amp;'Rev JR'!I$1,'Intereses percibidos'!$D$7:$D$543,"&lt;="&amp;EOMONTH('Rev JR'!I$1,0))</f>
        <v>0</v>
      </c>
      <c r="J6" s="523">
        <f>+SUMIFS('Intereses percibidos'!$G$7:$G$543,'Intereses percibidos'!$B$7:$B$543,'Rev JR'!$A6,'Intereses percibidos'!$D$7:$D$543,"&gt;="&amp;'Rev JR'!J$1,'Intereses percibidos'!$D$7:$D$543,"&lt;="&amp;EOMONTH('Rev JR'!J$1,0))</f>
        <v>0</v>
      </c>
      <c r="K6" s="523">
        <f>+SUMIFS('Intereses percibidos'!$G$7:$G$543,'Intereses percibidos'!$B$7:$B$543,'Rev JR'!$A6,'Intereses percibidos'!$D$7:$D$543,"&gt;="&amp;'Rev JR'!K$1,'Intereses percibidos'!$D$7:$D$543,"&lt;="&amp;EOMONTH('Rev JR'!K$1,0))</f>
        <v>0</v>
      </c>
      <c r="L6" s="523">
        <f>+SUMIFS('Intereses percibidos'!$G$7:$G$543,'Intereses percibidos'!$B$7:$B$543,'Rev JR'!$A6,'Intereses percibidos'!$D$7:$D$543,"&gt;="&amp;'Rev JR'!L$1,'Intereses percibidos'!$D$7:$D$543,"&lt;="&amp;EOMONTH('Rev JR'!L$1,0))</f>
        <v>0</v>
      </c>
      <c r="M6" s="523">
        <f>+SUMIFS('Intereses percibidos'!$G$7:$G$543,'Intereses percibidos'!$B$7:$B$543,'Rev JR'!$A6,'Intereses percibidos'!$D$7:$D$543,"&gt;="&amp;'Rev JR'!M$1,'Intereses percibidos'!$D$7:$D$543,"&lt;="&amp;EOMONTH('Rev JR'!M$1,0))</f>
        <v>0</v>
      </c>
      <c r="N6" s="523">
        <f>+SUMIFS('Intereses percibidos'!$G$7:$G$543,'Intereses percibidos'!$B$7:$B$543,'Rev JR'!$A6,'Intereses percibidos'!$D$7:$D$543,"&gt;="&amp;'Rev JR'!N$1,'Intereses percibidos'!$D$7:$D$543,"&lt;="&amp;EOMONTH('Rev JR'!N$1,0))</f>
        <v>0</v>
      </c>
      <c r="O6" s="523">
        <f t="shared" ref="O6:O20" si="1">SUM(C6:N6)</f>
        <v>0</v>
      </c>
    </row>
    <row r="7" spans="1:15">
      <c r="A7" s="622" t="str">
        <f>+Cuentas!B8</f>
        <v>029-2XXX1-9</v>
      </c>
      <c r="B7" s="519" t="str">
        <f t="shared" si="0"/>
        <v xml:space="preserve">        Intereses - 029-2XXX1-9</v>
      </c>
      <c r="C7" s="523">
        <f>+SUMIFS('Intereses percibidos'!$G$7:$G$543,'Intereses percibidos'!$B$7:$B$543,'Rev JR'!$A7,'Intereses percibidos'!$D$7:$D$543,"&gt;="&amp;'Rev JR'!C$1,'Intereses percibidos'!$D$7:$D$543,"&lt;="&amp;EOMONTH('Rev JR'!C$1,0))</f>
        <v>5.61</v>
      </c>
      <c r="D7" s="523">
        <f>+SUMIFS('Intereses percibidos'!$G$7:$G$543,'Intereses percibidos'!$B$7:$B$543,'Rev JR'!$A7,'Intereses percibidos'!$D$7:$D$543,"&gt;="&amp;'Rev JR'!D$1,'Intereses percibidos'!$D$7:$D$543,"&lt;="&amp;EOMONTH('Rev JR'!D$1,0))</f>
        <v>5.1100000000000003</v>
      </c>
      <c r="E7" s="523">
        <f>+SUMIFS('Intereses percibidos'!$G$7:$G$543,'Intereses percibidos'!$B$7:$B$543,'Rev JR'!$A7,'Intereses percibidos'!$D$7:$D$543,"&gt;="&amp;'Rev JR'!E$1,'Intereses percibidos'!$D$7:$D$543,"&lt;="&amp;EOMONTH('Rev JR'!E$1,0))</f>
        <v>21.09</v>
      </c>
      <c r="F7" s="523">
        <f>+SUMIFS('Intereses percibidos'!$G$7:$G$543,'Intereses percibidos'!$B$7:$B$543,'Rev JR'!$A7,'Intereses percibidos'!$D$7:$D$543,"&gt;="&amp;'Rev JR'!F$1,'Intereses percibidos'!$D$7:$D$543,"&lt;="&amp;EOMONTH('Rev JR'!F$1,0))</f>
        <v>46.35</v>
      </c>
      <c r="G7" s="523">
        <f>+SUMIFS('Intereses percibidos'!$G$7:$G$543,'Intereses percibidos'!$B$7:$B$543,'Rev JR'!$A7,'Intereses percibidos'!$D$7:$D$543,"&gt;="&amp;'Rev JR'!G$1,'Intereses percibidos'!$D$7:$D$543,"&lt;="&amp;EOMONTH('Rev JR'!G$1,0))</f>
        <v>107.04</v>
      </c>
      <c r="H7" s="523">
        <f>+SUMIFS('Intereses percibidos'!$G$7:$G$543,'Intereses percibidos'!$B$7:$B$543,'Rev JR'!$A7,'Intereses percibidos'!$D$7:$D$543,"&gt;="&amp;'Rev JR'!H$1,'Intereses percibidos'!$D$7:$D$543,"&lt;="&amp;EOMONTH('Rev JR'!H$1,0))</f>
        <v>231.7</v>
      </c>
      <c r="I7" s="523">
        <f>+SUMIFS('Intereses percibidos'!$G$7:$G$543,'Intereses percibidos'!$B$7:$B$543,'Rev JR'!$A7,'Intereses percibidos'!$D$7:$D$543,"&gt;="&amp;'Rev JR'!I$1,'Intereses percibidos'!$D$7:$D$543,"&lt;="&amp;EOMONTH('Rev JR'!I$1,0))</f>
        <v>295.98999999999995</v>
      </c>
      <c r="J7" s="523">
        <f>+SUMIFS('Intereses percibidos'!$G$7:$G$543,'Intereses percibidos'!$B$7:$B$543,'Rev JR'!$A7,'Intereses percibidos'!$D$7:$D$543,"&gt;="&amp;'Rev JR'!J$1,'Intereses percibidos'!$D$7:$D$543,"&lt;="&amp;EOMONTH('Rev JR'!J$1,0))</f>
        <v>480.8</v>
      </c>
      <c r="K7" s="523">
        <f>+SUMIFS('Intereses percibidos'!$G$7:$G$543,'Intereses percibidos'!$B$7:$B$543,'Rev JR'!$A7,'Intereses percibidos'!$D$7:$D$543,"&gt;="&amp;'Rev JR'!K$1,'Intereses percibidos'!$D$7:$D$543,"&lt;="&amp;EOMONTH('Rev JR'!K$1,0))</f>
        <v>487.26</v>
      </c>
      <c r="L7" s="523">
        <f>+SUMIFS('Intereses percibidos'!$G$7:$G$543,'Intereses percibidos'!$B$7:$B$543,'Rev JR'!$A7,'Intereses percibidos'!$D$7:$D$543,"&gt;="&amp;'Rev JR'!L$1,'Intereses percibidos'!$D$7:$D$543,"&lt;="&amp;EOMONTH('Rev JR'!L$1,0))</f>
        <v>604.41999999999996</v>
      </c>
      <c r="M7" s="523">
        <f>+SUMIFS('Intereses percibidos'!$G$7:$G$543,'Intereses percibidos'!$B$7:$B$543,'Rev JR'!$A7,'Intereses percibidos'!$D$7:$D$543,"&gt;="&amp;'Rev JR'!M$1,'Intereses percibidos'!$D$7:$D$543,"&lt;="&amp;EOMONTH('Rev JR'!M$1,0))</f>
        <v>358.95</v>
      </c>
      <c r="N7" s="523">
        <f>+SUMIFS('Intereses percibidos'!$G$7:$G$543,'Intereses percibidos'!$B$7:$B$543,'Rev JR'!$A7,'Intereses percibidos'!$D$7:$D$543,"&gt;="&amp;'Rev JR'!N$1,'Intereses percibidos'!$D$7:$D$543,"&lt;="&amp;EOMONTH('Rev JR'!N$1,0))</f>
        <v>6.5</v>
      </c>
      <c r="O7" s="523">
        <f t="shared" si="1"/>
        <v>2650.8199999999997</v>
      </c>
    </row>
    <row r="8" spans="1:15">
      <c r="A8" s="622" t="str">
        <f>+Cuentas!B9</f>
        <v>029-2XXX2-7</v>
      </c>
      <c r="B8" s="519" t="str">
        <f t="shared" si="0"/>
        <v xml:space="preserve">        Intereses - 029-2XXX2-7</v>
      </c>
      <c r="C8" s="523">
        <f>+SUMIFS('Intereses percibidos'!$G$7:$G$543,'Intereses percibidos'!$B$7:$B$543,'Rev JR'!$A8,'Intereses percibidos'!$D$7:$D$543,"&gt;="&amp;'Rev JR'!C$1,'Intereses percibidos'!$D$7:$D$543,"&lt;="&amp;EOMONTH('Rev JR'!C$1,0))</f>
        <v>0</v>
      </c>
      <c r="D8" s="523">
        <f>+SUMIFS('Intereses percibidos'!$G$7:$G$543,'Intereses percibidos'!$B$7:$B$543,'Rev JR'!$A8,'Intereses percibidos'!$D$7:$D$543,"&gt;="&amp;'Rev JR'!D$1,'Intereses percibidos'!$D$7:$D$543,"&lt;="&amp;EOMONTH('Rev JR'!D$1,0))</f>
        <v>0</v>
      </c>
      <c r="E8" s="523">
        <f>+SUMIFS('Intereses percibidos'!$G$7:$G$543,'Intereses percibidos'!$B$7:$B$543,'Rev JR'!$A8,'Intereses percibidos'!$D$7:$D$543,"&gt;="&amp;'Rev JR'!E$1,'Intereses percibidos'!$D$7:$D$543,"&lt;="&amp;EOMONTH('Rev JR'!E$1,0))</f>
        <v>0</v>
      </c>
      <c r="F8" s="523">
        <f>+SUMIFS('Intereses percibidos'!$G$7:$G$543,'Intereses percibidos'!$B$7:$B$543,'Rev JR'!$A8,'Intereses percibidos'!$D$7:$D$543,"&gt;="&amp;'Rev JR'!F$1,'Intereses percibidos'!$D$7:$D$543,"&lt;="&amp;EOMONTH('Rev JR'!F$1,0))</f>
        <v>0</v>
      </c>
      <c r="G8" s="523">
        <f>+SUMIFS('Intereses percibidos'!$G$7:$G$543,'Intereses percibidos'!$B$7:$B$543,'Rev JR'!$A8,'Intereses percibidos'!$D$7:$D$543,"&gt;="&amp;'Rev JR'!G$1,'Intereses percibidos'!$D$7:$D$543,"&lt;="&amp;EOMONTH('Rev JR'!G$1,0))</f>
        <v>0</v>
      </c>
      <c r="H8" s="523">
        <f>+SUMIFS('Intereses percibidos'!$G$7:$G$543,'Intereses percibidos'!$B$7:$B$543,'Rev JR'!$A8,'Intereses percibidos'!$D$7:$D$543,"&gt;="&amp;'Rev JR'!H$1,'Intereses percibidos'!$D$7:$D$543,"&lt;="&amp;EOMONTH('Rev JR'!H$1,0))</f>
        <v>0</v>
      </c>
      <c r="I8" s="523">
        <f>+SUMIFS('Intereses percibidos'!$G$7:$G$543,'Intereses percibidos'!$B$7:$B$543,'Rev JR'!$A8,'Intereses percibidos'!$D$7:$D$543,"&gt;="&amp;'Rev JR'!I$1,'Intereses percibidos'!$D$7:$D$543,"&lt;="&amp;EOMONTH('Rev JR'!I$1,0))</f>
        <v>0</v>
      </c>
      <c r="J8" s="523">
        <f>+SUMIFS('Intereses percibidos'!$G$7:$G$543,'Intereses percibidos'!$B$7:$B$543,'Rev JR'!$A8,'Intereses percibidos'!$D$7:$D$543,"&gt;="&amp;'Rev JR'!J$1,'Intereses percibidos'!$D$7:$D$543,"&lt;="&amp;EOMONTH('Rev JR'!J$1,0))</f>
        <v>0</v>
      </c>
      <c r="K8" s="523">
        <f>+SUMIFS('Intereses percibidos'!$G$7:$G$543,'Intereses percibidos'!$B$7:$B$543,'Rev JR'!$A8,'Intereses percibidos'!$D$7:$D$543,"&gt;="&amp;'Rev JR'!K$1,'Intereses percibidos'!$D$7:$D$543,"&lt;="&amp;EOMONTH('Rev JR'!K$1,0))</f>
        <v>0</v>
      </c>
      <c r="L8" s="523">
        <f>+SUMIFS('Intereses percibidos'!$G$7:$G$543,'Intereses percibidos'!$B$7:$B$543,'Rev JR'!$A8,'Intereses percibidos'!$D$7:$D$543,"&gt;="&amp;'Rev JR'!L$1,'Intereses percibidos'!$D$7:$D$543,"&lt;="&amp;EOMONTH('Rev JR'!L$1,0))</f>
        <v>0</v>
      </c>
      <c r="M8" s="523">
        <f>+SUMIFS('Intereses percibidos'!$G$7:$G$543,'Intereses percibidos'!$B$7:$B$543,'Rev JR'!$A8,'Intereses percibidos'!$D$7:$D$543,"&gt;="&amp;'Rev JR'!M$1,'Intereses percibidos'!$D$7:$D$543,"&lt;="&amp;EOMONTH('Rev JR'!M$1,0))</f>
        <v>0</v>
      </c>
      <c r="N8" s="523">
        <f>+SUMIFS('Intereses percibidos'!$G$7:$G$543,'Intereses percibidos'!$B$7:$B$543,'Rev JR'!$A8,'Intereses percibidos'!$D$7:$D$543,"&gt;="&amp;'Rev JR'!N$1,'Intereses percibidos'!$D$7:$D$543,"&lt;="&amp;EOMONTH('Rev JR'!N$1,0))</f>
        <v>0</v>
      </c>
      <c r="O8" s="523">
        <f t="shared" si="1"/>
        <v>0</v>
      </c>
    </row>
    <row r="9" spans="1:15">
      <c r="A9" s="622" t="str">
        <f>+Cuentas!B10</f>
        <v>029-2XXX3-5</v>
      </c>
      <c r="B9" s="519" t="str">
        <f t="shared" si="0"/>
        <v xml:space="preserve">        Intereses - 029-2XXX3-5</v>
      </c>
      <c r="C9" s="523">
        <f>+SUMIFS('Intereses percibidos'!$G$7:$G$543,'Intereses percibidos'!$B$7:$B$543,'Rev JR'!$A9,'Intereses percibidos'!$D$7:$D$543,"&gt;="&amp;'Rev JR'!C$1,'Intereses percibidos'!$D$7:$D$543,"&lt;="&amp;EOMONTH('Rev JR'!C$1,0))</f>
        <v>20.82</v>
      </c>
      <c r="D9" s="523">
        <f>+SUMIFS('Intereses percibidos'!$G$7:$G$543,'Intereses percibidos'!$B$7:$B$543,'Rev JR'!$A9,'Intereses percibidos'!$D$7:$D$543,"&gt;="&amp;'Rev JR'!D$1,'Intereses percibidos'!$D$7:$D$543,"&lt;="&amp;EOMONTH('Rev JR'!D$1,0))</f>
        <v>16.740000000000002</v>
      </c>
      <c r="E9" s="523">
        <f>+SUMIFS('Intereses percibidos'!$G$7:$G$543,'Intereses percibidos'!$B$7:$B$543,'Rev JR'!$A9,'Intereses percibidos'!$D$7:$D$543,"&gt;="&amp;'Rev JR'!E$1,'Intereses percibidos'!$D$7:$D$543,"&lt;="&amp;EOMONTH('Rev JR'!E$1,0))</f>
        <v>48.26</v>
      </c>
      <c r="F9" s="523">
        <f>+SUMIFS('Intereses percibidos'!$G$7:$G$543,'Intereses percibidos'!$B$7:$B$543,'Rev JR'!$A9,'Intereses percibidos'!$D$7:$D$543,"&gt;="&amp;'Rev JR'!F$1,'Intereses percibidos'!$D$7:$D$543,"&lt;="&amp;EOMONTH('Rev JR'!F$1,0))</f>
        <v>100.74</v>
      </c>
      <c r="G9" s="523">
        <f>+SUMIFS('Intereses percibidos'!$G$7:$G$543,'Intereses percibidos'!$B$7:$B$543,'Rev JR'!$A9,'Intereses percibidos'!$D$7:$D$543,"&gt;="&amp;'Rev JR'!G$1,'Intereses percibidos'!$D$7:$D$543,"&lt;="&amp;EOMONTH('Rev JR'!G$1,0))</f>
        <v>184.03</v>
      </c>
      <c r="H9" s="523">
        <f>+SUMIFS('Intereses percibidos'!$G$7:$G$543,'Intereses percibidos'!$B$7:$B$543,'Rev JR'!$A9,'Intereses percibidos'!$D$7:$D$543,"&gt;="&amp;'Rev JR'!H$1,'Intereses percibidos'!$D$7:$D$543,"&lt;="&amp;EOMONTH('Rev JR'!H$1,0))</f>
        <v>172.85</v>
      </c>
      <c r="I9" s="523">
        <f>+SUMIFS('Intereses percibidos'!$G$7:$G$543,'Intereses percibidos'!$B$7:$B$543,'Rev JR'!$A9,'Intereses percibidos'!$D$7:$D$543,"&gt;="&amp;'Rev JR'!I$1,'Intereses percibidos'!$D$7:$D$543,"&lt;="&amp;EOMONTH('Rev JR'!I$1,0))</f>
        <v>266.23</v>
      </c>
      <c r="J9" s="523">
        <f>+SUMIFS('Intereses percibidos'!$G$7:$G$543,'Intereses percibidos'!$B$7:$B$543,'Rev JR'!$A9,'Intereses percibidos'!$D$7:$D$543,"&gt;="&amp;'Rev JR'!J$1,'Intereses percibidos'!$D$7:$D$543,"&lt;="&amp;EOMONTH('Rev JR'!J$1,0))</f>
        <v>500.94</v>
      </c>
      <c r="K9" s="523">
        <f>+SUMIFS('Intereses percibidos'!$G$7:$G$543,'Intereses percibidos'!$B$7:$B$543,'Rev JR'!$A9,'Intereses percibidos'!$D$7:$D$543,"&gt;="&amp;'Rev JR'!K$1,'Intereses percibidos'!$D$7:$D$543,"&lt;="&amp;EOMONTH('Rev JR'!K$1,0))</f>
        <v>515.01</v>
      </c>
      <c r="L9" s="523">
        <f>+SUMIFS('Intereses percibidos'!$G$7:$G$543,'Intereses percibidos'!$B$7:$B$543,'Rev JR'!$A9,'Intereses percibidos'!$D$7:$D$543,"&gt;="&amp;'Rev JR'!L$1,'Intereses percibidos'!$D$7:$D$543,"&lt;="&amp;EOMONTH('Rev JR'!L$1,0))</f>
        <v>657.61</v>
      </c>
      <c r="M9" s="523">
        <f>+SUMIFS('Intereses percibidos'!$G$7:$G$543,'Intereses percibidos'!$B$7:$B$543,'Rev JR'!$A9,'Intereses percibidos'!$D$7:$D$543,"&gt;="&amp;'Rev JR'!M$1,'Intereses percibidos'!$D$7:$D$543,"&lt;="&amp;EOMONTH('Rev JR'!M$1,0))</f>
        <v>1425.78</v>
      </c>
      <c r="N9" s="523">
        <f>+SUMIFS('Intereses percibidos'!$G$7:$G$543,'Intereses percibidos'!$B$7:$B$543,'Rev JR'!$A9,'Intereses percibidos'!$D$7:$D$543,"&gt;="&amp;'Rev JR'!N$1,'Intereses percibidos'!$D$7:$D$543,"&lt;="&amp;EOMONTH('Rev JR'!N$1,0))</f>
        <v>2194.3700000000003</v>
      </c>
      <c r="O9" s="523">
        <f t="shared" si="1"/>
        <v>6103.380000000001</v>
      </c>
    </row>
    <row r="10" spans="1:15">
      <c r="A10" s="622" t="str">
        <f>+Cuentas!B11</f>
        <v>F</v>
      </c>
      <c r="B10" s="519" t="str">
        <f t="shared" si="0"/>
        <v xml:space="preserve">        Intereses - F</v>
      </c>
      <c r="C10" s="523">
        <f>+SUMIFS('Intereses percibidos'!$G$7:$G$543,'Intereses percibidos'!$B$7:$B$543,'Rev JR'!$A10,'Intereses percibidos'!$D$7:$D$543,"&gt;="&amp;'Rev JR'!C$1,'Intereses percibidos'!$D$7:$D$543,"&lt;="&amp;EOMONTH('Rev JR'!C$1,0))</f>
        <v>0</v>
      </c>
      <c r="D10" s="523">
        <f>+SUMIFS('Intereses percibidos'!$G$7:$G$543,'Intereses percibidos'!$B$7:$B$543,'Rev JR'!$A10,'Intereses percibidos'!$D$7:$D$543,"&gt;="&amp;'Rev JR'!D$1,'Intereses percibidos'!$D$7:$D$543,"&lt;="&amp;EOMONTH('Rev JR'!D$1,0))</f>
        <v>0</v>
      </c>
      <c r="E10" s="523">
        <f>+SUMIFS('Intereses percibidos'!$G$7:$G$543,'Intereses percibidos'!$B$7:$B$543,'Rev JR'!$A10,'Intereses percibidos'!$D$7:$D$543,"&gt;="&amp;'Rev JR'!E$1,'Intereses percibidos'!$D$7:$D$543,"&lt;="&amp;EOMONTH('Rev JR'!E$1,0))</f>
        <v>0</v>
      </c>
      <c r="F10" s="523">
        <f>+SUMIFS('Intereses percibidos'!$G$7:$G$543,'Intereses percibidos'!$B$7:$B$543,'Rev JR'!$A10,'Intereses percibidos'!$D$7:$D$543,"&gt;="&amp;'Rev JR'!F$1,'Intereses percibidos'!$D$7:$D$543,"&lt;="&amp;EOMONTH('Rev JR'!F$1,0))</f>
        <v>0</v>
      </c>
      <c r="G10" s="523">
        <f>+SUMIFS('Intereses percibidos'!$G$7:$G$543,'Intereses percibidos'!$B$7:$B$543,'Rev JR'!$A10,'Intereses percibidos'!$D$7:$D$543,"&gt;="&amp;'Rev JR'!G$1,'Intereses percibidos'!$D$7:$D$543,"&lt;="&amp;EOMONTH('Rev JR'!G$1,0))</f>
        <v>0</v>
      </c>
      <c r="H10" s="523">
        <f>+SUMIFS('Intereses percibidos'!$G$7:$G$543,'Intereses percibidos'!$B$7:$B$543,'Rev JR'!$A10,'Intereses percibidos'!$D$7:$D$543,"&gt;="&amp;'Rev JR'!H$1,'Intereses percibidos'!$D$7:$D$543,"&lt;="&amp;EOMONTH('Rev JR'!H$1,0))</f>
        <v>0</v>
      </c>
      <c r="I10" s="523">
        <f>+SUMIFS('Intereses percibidos'!$G$7:$G$543,'Intereses percibidos'!$B$7:$B$543,'Rev JR'!$A10,'Intereses percibidos'!$D$7:$D$543,"&gt;="&amp;'Rev JR'!I$1,'Intereses percibidos'!$D$7:$D$543,"&lt;="&amp;EOMONTH('Rev JR'!I$1,0))</f>
        <v>0</v>
      </c>
      <c r="J10" s="523">
        <f>+SUMIFS('Intereses percibidos'!$G$7:$G$543,'Intereses percibidos'!$B$7:$B$543,'Rev JR'!$A10,'Intereses percibidos'!$D$7:$D$543,"&gt;="&amp;'Rev JR'!J$1,'Intereses percibidos'!$D$7:$D$543,"&lt;="&amp;EOMONTH('Rev JR'!J$1,0))</f>
        <v>0</v>
      </c>
      <c r="K10" s="523">
        <f>+SUMIFS('Intereses percibidos'!$G$7:$G$543,'Intereses percibidos'!$B$7:$B$543,'Rev JR'!$A10,'Intereses percibidos'!$D$7:$D$543,"&gt;="&amp;'Rev JR'!K$1,'Intereses percibidos'!$D$7:$D$543,"&lt;="&amp;EOMONTH('Rev JR'!K$1,0))</f>
        <v>0</v>
      </c>
      <c r="L10" s="523">
        <f>+SUMIFS('Intereses percibidos'!$G$7:$G$543,'Intereses percibidos'!$B$7:$B$543,'Rev JR'!$A10,'Intereses percibidos'!$D$7:$D$543,"&gt;="&amp;'Rev JR'!L$1,'Intereses percibidos'!$D$7:$D$543,"&lt;="&amp;EOMONTH('Rev JR'!L$1,0))</f>
        <v>0</v>
      </c>
      <c r="M10" s="523">
        <f>+SUMIFS('Intereses percibidos'!$G$7:$G$543,'Intereses percibidos'!$B$7:$B$543,'Rev JR'!$A10,'Intereses percibidos'!$D$7:$D$543,"&gt;="&amp;'Rev JR'!M$1,'Intereses percibidos'!$D$7:$D$543,"&lt;="&amp;EOMONTH('Rev JR'!M$1,0))</f>
        <v>0</v>
      </c>
      <c r="N10" s="523">
        <f>+SUMIFS('Intereses percibidos'!$G$7:$G$543,'Intereses percibidos'!$B$7:$B$543,'Rev JR'!$A10,'Intereses percibidos'!$D$7:$D$543,"&gt;="&amp;'Rev JR'!N$1,'Intereses percibidos'!$D$7:$D$543,"&lt;="&amp;EOMONTH('Rev JR'!N$1,0))</f>
        <v>0</v>
      </c>
      <c r="O10" s="523">
        <f t="shared" si="1"/>
        <v>0</v>
      </c>
    </row>
    <row r="11" spans="1:15">
      <c r="A11" s="622" t="str">
        <f>+Cuentas!B12</f>
        <v>G</v>
      </c>
      <c r="B11" s="519" t="str">
        <f t="shared" si="0"/>
        <v xml:space="preserve">        Intereses - G</v>
      </c>
      <c r="C11" s="523">
        <f>+SUMIFS('Intereses percibidos'!$G$7:$G$543,'Intereses percibidos'!$B$7:$B$543,'Rev JR'!$A11,'Intereses percibidos'!$D$7:$D$543,"&gt;="&amp;'Rev JR'!C$1,'Intereses percibidos'!$D$7:$D$543,"&lt;="&amp;EOMONTH('Rev JR'!C$1,0))</f>
        <v>0</v>
      </c>
      <c r="D11" s="523">
        <f>+SUMIFS('Intereses percibidos'!$G$7:$G$543,'Intereses percibidos'!$B$7:$B$543,'Rev JR'!$A11,'Intereses percibidos'!$D$7:$D$543,"&gt;="&amp;'Rev JR'!D$1,'Intereses percibidos'!$D$7:$D$543,"&lt;="&amp;EOMONTH('Rev JR'!D$1,0))</f>
        <v>0</v>
      </c>
      <c r="E11" s="523">
        <f>+SUMIFS('Intereses percibidos'!$G$7:$G$543,'Intereses percibidos'!$B$7:$B$543,'Rev JR'!$A11,'Intereses percibidos'!$D$7:$D$543,"&gt;="&amp;'Rev JR'!E$1,'Intereses percibidos'!$D$7:$D$543,"&lt;="&amp;EOMONTH('Rev JR'!E$1,0))</f>
        <v>0</v>
      </c>
      <c r="F11" s="523">
        <f>+SUMIFS('Intereses percibidos'!$G$7:$G$543,'Intereses percibidos'!$B$7:$B$543,'Rev JR'!$A11,'Intereses percibidos'!$D$7:$D$543,"&gt;="&amp;'Rev JR'!F$1,'Intereses percibidos'!$D$7:$D$543,"&lt;="&amp;EOMONTH('Rev JR'!F$1,0))</f>
        <v>0</v>
      </c>
      <c r="G11" s="523">
        <f>+SUMIFS('Intereses percibidos'!$G$7:$G$543,'Intereses percibidos'!$B$7:$B$543,'Rev JR'!$A11,'Intereses percibidos'!$D$7:$D$543,"&gt;="&amp;'Rev JR'!G$1,'Intereses percibidos'!$D$7:$D$543,"&lt;="&amp;EOMONTH('Rev JR'!G$1,0))</f>
        <v>0</v>
      </c>
      <c r="H11" s="523">
        <f>+SUMIFS('Intereses percibidos'!$G$7:$G$543,'Intereses percibidos'!$B$7:$B$543,'Rev JR'!$A11,'Intereses percibidos'!$D$7:$D$543,"&gt;="&amp;'Rev JR'!H$1,'Intereses percibidos'!$D$7:$D$543,"&lt;="&amp;EOMONTH('Rev JR'!H$1,0))</f>
        <v>0</v>
      </c>
      <c r="I11" s="523">
        <f>+SUMIFS('Intereses percibidos'!$G$7:$G$543,'Intereses percibidos'!$B$7:$B$543,'Rev JR'!$A11,'Intereses percibidos'!$D$7:$D$543,"&gt;="&amp;'Rev JR'!I$1,'Intereses percibidos'!$D$7:$D$543,"&lt;="&amp;EOMONTH('Rev JR'!I$1,0))</f>
        <v>0</v>
      </c>
      <c r="J11" s="523">
        <f>+SUMIFS('Intereses percibidos'!$G$7:$G$543,'Intereses percibidos'!$B$7:$B$543,'Rev JR'!$A11,'Intereses percibidos'!$D$7:$D$543,"&gt;="&amp;'Rev JR'!J$1,'Intereses percibidos'!$D$7:$D$543,"&lt;="&amp;EOMONTH('Rev JR'!J$1,0))</f>
        <v>0</v>
      </c>
      <c r="K11" s="523">
        <f>+SUMIFS('Intereses percibidos'!$G$7:$G$543,'Intereses percibidos'!$B$7:$B$543,'Rev JR'!$A11,'Intereses percibidos'!$D$7:$D$543,"&gt;="&amp;'Rev JR'!K$1,'Intereses percibidos'!$D$7:$D$543,"&lt;="&amp;EOMONTH('Rev JR'!K$1,0))</f>
        <v>0</v>
      </c>
      <c r="L11" s="523">
        <f>+SUMIFS('Intereses percibidos'!$G$7:$G$543,'Intereses percibidos'!$B$7:$B$543,'Rev JR'!$A11,'Intereses percibidos'!$D$7:$D$543,"&gt;="&amp;'Rev JR'!L$1,'Intereses percibidos'!$D$7:$D$543,"&lt;="&amp;EOMONTH('Rev JR'!L$1,0))</f>
        <v>0</v>
      </c>
      <c r="M11" s="523">
        <f>+SUMIFS('Intereses percibidos'!$G$7:$G$543,'Intereses percibidos'!$B$7:$B$543,'Rev JR'!$A11,'Intereses percibidos'!$D$7:$D$543,"&gt;="&amp;'Rev JR'!M$1,'Intereses percibidos'!$D$7:$D$543,"&lt;="&amp;EOMONTH('Rev JR'!M$1,0))</f>
        <v>0</v>
      </c>
      <c r="N11" s="523">
        <f>+SUMIFS('Intereses percibidos'!$G$7:$G$543,'Intereses percibidos'!$B$7:$B$543,'Rev JR'!$A11,'Intereses percibidos'!$D$7:$D$543,"&gt;="&amp;'Rev JR'!N$1,'Intereses percibidos'!$D$7:$D$543,"&lt;="&amp;EOMONTH('Rev JR'!N$1,0))</f>
        <v>0</v>
      </c>
      <c r="O11" s="523">
        <f t="shared" si="1"/>
        <v>0</v>
      </c>
    </row>
    <row r="12" spans="1:15">
      <c r="A12" s="622" t="str">
        <f>+Cuentas!B13</f>
        <v>H</v>
      </c>
      <c r="B12" s="519" t="str">
        <f t="shared" si="0"/>
        <v xml:space="preserve">        Intereses - H</v>
      </c>
      <c r="C12" s="523">
        <f>+SUMIFS('Intereses percibidos'!$G$7:$G$543,'Intereses percibidos'!$B$7:$B$543,'Rev JR'!$A12,'Intereses percibidos'!$D$7:$D$543,"&gt;="&amp;'Rev JR'!C$1,'Intereses percibidos'!$D$7:$D$543,"&lt;="&amp;EOMONTH('Rev JR'!C$1,0))</f>
        <v>0</v>
      </c>
      <c r="D12" s="523">
        <f>+SUMIFS('Intereses percibidos'!$G$7:$G$543,'Intereses percibidos'!$B$7:$B$543,'Rev JR'!$A12,'Intereses percibidos'!$D$7:$D$543,"&gt;="&amp;'Rev JR'!D$1,'Intereses percibidos'!$D$7:$D$543,"&lt;="&amp;EOMONTH('Rev JR'!D$1,0))</f>
        <v>0</v>
      </c>
      <c r="E12" s="523">
        <f>+SUMIFS('Intereses percibidos'!$G$7:$G$543,'Intereses percibidos'!$B$7:$B$543,'Rev JR'!$A12,'Intereses percibidos'!$D$7:$D$543,"&gt;="&amp;'Rev JR'!E$1,'Intereses percibidos'!$D$7:$D$543,"&lt;="&amp;EOMONTH('Rev JR'!E$1,0))</f>
        <v>0</v>
      </c>
      <c r="F12" s="523">
        <f>+SUMIFS('Intereses percibidos'!$G$7:$G$543,'Intereses percibidos'!$B$7:$B$543,'Rev JR'!$A12,'Intereses percibidos'!$D$7:$D$543,"&gt;="&amp;'Rev JR'!F$1,'Intereses percibidos'!$D$7:$D$543,"&lt;="&amp;EOMONTH('Rev JR'!F$1,0))</f>
        <v>0</v>
      </c>
      <c r="G12" s="523">
        <f>+SUMIFS('Intereses percibidos'!$G$7:$G$543,'Intereses percibidos'!$B$7:$B$543,'Rev JR'!$A12,'Intereses percibidos'!$D$7:$D$543,"&gt;="&amp;'Rev JR'!G$1,'Intereses percibidos'!$D$7:$D$543,"&lt;="&amp;EOMONTH('Rev JR'!G$1,0))</f>
        <v>0</v>
      </c>
      <c r="H12" s="523">
        <f>+SUMIFS('Intereses percibidos'!$G$7:$G$543,'Intereses percibidos'!$B$7:$B$543,'Rev JR'!$A12,'Intereses percibidos'!$D$7:$D$543,"&gt;="&amp;'Rev JR'!H$1,'Intereses percibidos'!$D$7:$D$543,"&lt;="&amp;EOMONTH('Rev JR'!H$1,0))</f>
        <v>0</v>
      </c>
      <c r="I12" s="523">
        <f>+SUMIFS('Intereses percibidos'!$G$7:$G$543,'Intereses percibidos'!$B$7:$B$543,'Rev JR'!$A12,'Intereses percibidos'!$D$7:$D$543,"&gt;="&amp;'Rev JR'!I$1,'Intereses percibidos'!$D$7:$D$543,"&lt;="&amp;EOMONTH('Rev JR'!I$1,0))</f>
        <v>0</v>
      </c>
      <c r="J12" s="523">
        <f>+SUMIFS('Intereses percibidos'!$G$7:$G$543,'Intereses percibidos'!$B$7:$B$543,'Rev JR'!$A12,'Intereses percibidos'!$D$7:$D$543,"&gt;="&amp;'Rev JR'!J$1,'Intereses percibidos'!$D$7:$D$543,"&lt;="&amp;EOMONTH('Rev JR'!J$1,0))</f>
        <v>0</v>
      </c>
      <c r="K12" s="523">
        <f>+SUMIFS('Intereses percibidos'!$G$7:$G$543,'Intereses percibidos'!$B$7:$B$543,'Rev JR'!$A12,'Intereses percibidos'!$D$7:$D$543,"&gt;="&amp;'Rev JR'!K$1,'Intereses percibidos'!$D$7:$D$543,"&lt;="&amp;EOMONTH('Rev JR'!K$1,0))</f>
        <v>0</v>
      </c>
      <c r="L12" s="523">
        <f>+SUMIFS('Intereses percibidos'!$G$7:$G$543,'Intereses percibidos'!$B$7:$B$543,'Rev JR'!$A12,'Intereses percibidos'!$D$7:$D$543,"&gt;="&amp;'Rev JR'!L$1,'Intereses percibidos'!$D$7:$D$543,"&lt;="&amp;EOMONTH('Rev JR'!L$1,0))</f>
        <v>0</v>
      </c>
      <c r="M12" s="523">
        <f>+SUMIFS('Intereses percibidos'!$G$7:$G$543,'Intereses percibidos'!$B$7:$B$543,'Rev JR'!$A12,'Intereses percibidos'!$D$7:$D$543,"&gt;="&amp;'Rev JR'!M$1,'Intereses percibidos'!$D$7:$D$543,"&lt;="&amp;EOMONTH('Rev JR'!M$1,0))</f>
        <v>0</v>
      </c>
      <c r="N12" s="523">
        <f>+SUMIFS('Intereses percibidos'!$G$7:$G$543,'Intereses percibidos'!$B$7:$B$543,'Rev JR'!$A12,'Intereses percibidos'!$D$7:$D$543,"&gt;="&amp;'Rev JR'!N$1,'Intereses percibidos'!$D$7:$D$543,"&lt;="&amp;EOMONTH('Rev JR'!N$1,0))</f>
        <v>0</v>
      </c>
      <c r="O12" s="523">
        <f t="shared" si="1"/>
        <v>0</v>
      </c>
    </row>
    <row r="13" spans="1:15">
      <c r="A13" s="622" t="str">
        <f>+Cuentas!B14</f>
        <v>I</v>
      </c>
      <c r="B13" s="519" t="str">
        <f t="shared" si="0"/>
        <v xml:space="preserve">        Intereses - I</v>
      </c>
      <c r="C13" s="523">
        <f>+SUMIFS('Intereses percibidos'!$G$7:$G$543,'Intereses percibidos'!$B$7:$B$543,'Rev JR'!$A13,'Intereses percibidos'!$D$7:$D$543,"&gt;="&amp;'Rev JR'!C$1,'Intereses percibidos'!$D$7:$D$543,"&lt;="&amp;EOMONTH('Rev JR'!C$1,0))</f>
        <v>0</v>
      </c>
      <c r="D13" s="523">
        <f>+SUMIFS('Intereses percibidos'!$G$7:$G$543,'Intereses percibidos'!$B$7:$B$543,'Rev JR'!$A13,'Intereses percibidos'!$D$7:$D$543,"&gt;="&amp;'Rev JR'!D$1,'Intereses percibidos'!$D$7:$D$543,"&lt;="&amp;EOMONTH('Rev JR'!D$1,0))</f>
        <v>0</v>
      </c>
      <c r="E13" s="523">
        <f>+SUMIFS('Intereses percibidos'!$G$7:$G$543,'Intereses percibidos'!$B$7:$B$543,'Rev JR'!$A13,'Intereses percibidos'!$D$7:$D$543,"&gt;="&amp;'Rev JR'!E$1,'Intereses percibidos'!$D$7:$D$543,"&lt;="&amp;EOMONTH('Rev JR'!E$1,0))</f>
        <v>0</v>
      </c>
      <c r="F13" s="523">
        <f>+SUMIFS('Intereses percibidos'!$G$7:$G$543,'Intereses percibidos'!$B$7:$B$543,'Rev JR'!$A13,'Intereses percibidos'!$D$7:$D$543,"&gt;="&amp;'Rev JR'!F$1,'Intereses percibidos'!$D$7:$D$543,"&lt;="&amp;EOMONTH('Rev JR'!F$1,0))</f>
        <v>0</v>
      </c>
      <c r="G13" s="523">
        <f>+SUMIFS('Intereses percibidos'!$G$7:$G$543,'Intereses percibidos'!$B$7:$B$543,'Rev JR'!$A13,'Intereses percibidos'!$D$7:$D$543,"&gt;="&amp;'Rev JR'!G$1,'Intereses percibidos'!$D$7:$D$543,"&lt;="&amp;EOMONTH('Rev JR'!G$1,0))</f>
        <v>0</v>
      </c>
      <c r="H13" s="523">
        <f>+SUMIFS('Intereses percibidos'!$G$7:$G$543,'Intereses percibidos'!$B$7:$B$543,'Rev JR'!$A13,'Intereses percibidos'!$D$7:$D$543,"&gt;="&amp;'Rev JR'!H$1,'Intereses percibidos'!$D$7:$D$543,"&lt;="&amp;EOMONTH('Rev JR'!H$1,0))</f>
        <v>0</v>
      </c>
      <c r="I13" s="523">
        <f>+SUMIFS('Intereses percibidos'!$G$7:$G$543,'Intereses percibidos'!$B$7:$B$543,'Rev JR'!$A13,'Intereses percibidos'!$D$7:$D$543,"&gt;="&amp;'Rev JR'!I$1,'Intereses percibidos'!$D$7:$D$543,"&lt;="&amp;EOMONTH('Rev JR'!I$1,0))</f>
        <v>0</v>
      </c>
      <c r="J13" s="523">
        <f>+SUMIFS('Intereses percibidos'!$G$7:$G$543,'Intereses percibidos'!$B$7:$B$543,'Rev JR'!$A13,'Intereses percibidos'!$D$7:$D$543,"&gt;="&amp;'Rev JR'!J$1,'Intereses percibidos'!$D$7:$D$543,"&lt;="&amp;EOMONTH('Rev JR'!J$1,0))</f>
        <v>0</v>
      </c>
      <c r="K13" s="523">
        <f>+SUMIFS('Intereses percibidos'!$G$7:$G$543,'Intereses percibidos'!$B$7:$B$543,'Rev JR'!$A13,'Intereses percibidos'!$D$7:$D$543,"&gt;="&amp;'Rev JR'!K$1,'Intereses percibidos'!$D$7:$D$543,"&lt;="&amp;EOMONTH('Rev JR'!K$1,0))</f>
        <v>0</v>
      </c>
      <c r="L13" s="523">
        <f>+SUMIFS('Intereses percibidos'!$G$7:$G$543,'Intereses percibidos'!$B$7:$B$543,'Rev JR'!$A13,'Intereses percibidos'!$D$7:$D$543,"&gt;="&amp;'Rev JR'!L$1,'Intereses percibidos'!$D$7:$D$543,"&lt;="&amp;EOMONTH('Rev JR'!L$1,0))</f>
        <v>0</v>
      </c>
      <c r="M13" s="523">
        <f>+SUMIFS('Intereses percibidos'!$G$7:$G$543,'Intereses percibidos'!$B$7:$B$543,'Rev JR'!$A13,'Intereses percibidos'!$D$7:$D$543,"&gt;="&amp;'Rev JR'!M$1,'Intereses percibidos'!$D$7:$D$543,"&lt;="&amp;EOMONTH('Rev JR'!M$1,0))</f>
        <v>0</v>
      </c>
      <c r="N13" s="523">
        <f>+SUMIFS('Intereses percibidos'!$G$7:$G$543,'Intereses percibidos'!$B$7:$B$543,'Rev JR'!$A13,'Intereses percibidos'!$D$7:$D$543,"&gt;="&amp;'Rev JR'!N$1,'Intereses percibidos'!$D$7:$D$543,"&lt;="&amp;EOMONTH('Rev JR'!N$1,0))</f>
        <v>0</v>
      </c>
      <c r="O13" s="523">
        <f t="shared" si="1"/>
        <v>0</v>
      </c>
    </row>
    <row r="14" spans="1:15">
      <c r="A14" s="622" t="str">
        <f>+Cuentas!B15</f>
        <v>J</v>
      </c>
      <c r="B14" s="519" t="str">
        <f t="shared" si="0"/>
        <v xml:space="preserve">        Intereses - J</v>
      </c>
      <c r="C14" s="523">
        <f>+SUMIFS('Intereses percibidos'!$G$7:$G$543,'Intereses percibidos'!$B$7:$B$543,'Rev JR'!$A14,'Intereses percibidos'!$D$7:$D$543,"&gt;="&amp;'Rev JR'!C$1,'Intereses percibidos'!$D$7:$D$543,"&lt;="&amp;EOMONTH('Rev JR'!C$1,0))</f>
        <v>0</v>
      </c>
      <c r="D14" s="523">
        <f>+SUMIFS('Intereses percibidos'!$G$7:$G$543,'Intereses percibidos'!$B$7:$B$543,'Rev JR'!$A14,'Intereses percibidos'!$D$7:$D$543,"&gt;="&amp;'Rev JR'!D$1,'Intereses percibidos'!$D$7:$D$543,"&lt;="&amp;EOMONTH('Rev JR'!D$1,0))</f>
        <v>0</v>
      </c>
      <c r="E14" s="523">
        <f>+SUMIFS('Intereses percibidos'!$G$7:$G$543,'Intereses percibidos'!$B$7:$B$543,'Rev JR'!$A14,'Intereses percibidos'!$D$7:$D$543,"&gt;="&amp;'Rev JR'!E$1,'Intereses percibidos'!$D$7:$D$543,"&lt;="&amp;EOMONTH('Rev JR'!E$1,0))</f>
        <v>0</v>
      </c>
      <c r="F14" s="523">
        <f>+SUMIFS('Intereses percibidos'!$G$7:$G$543,'Intereses percibidos'!$B$7:$B$543,'Rev JR'!$A14,'Intereses percibidos'!$D$7:$D$543,"&gt;="&amp;'Rev JR'!F$1,'Intereses percibidos'!$D$7:$D$543,"&lt;="&amp;EOMONTH('Rev JR'!F$1,0))</f>
        <v>0</v>
      </c>
      <c r="G14" s="523">
        <f>+SUMIFS('Intereses percibidos'!$G$7:$G$543,'Intereses percibidos'!$B$7:$B$543,'Rev JR'!$A14,'Intereses percibidos'!$D$7:$D$543,"&gt;="&amp;'Rev JR'!G$1,'Intereses percibidos'!$D$7:$D$543,"&lt;="&amp;EOMONTH('Rev JR'!G$1,0))</f>
        <v>0</v>
      </c>
      <c r="H14" s="523">
        <f>+SUMIFS('Intereses percibidos'!$G$7:$G$543,'Intereses percibidos'!$B$7:$B$543,'Rev JR'!$A14,'Intereses percibidos'!$D$7:$D$543,"&gt;="&amp;'Rev JR'!H$1,'Intereses percibidos'!$D$7:$D$543,"&lt;="&amp;EOMONTH('Rev JR'!H$1,0))</f>
        <v>0</v>
      </c>
      <c r="I14" s="523">
        <f>+SUMIFS('Intereses percibidos'!$G$7:$G$543,'Intereses percibidos'!$B$7:$B$543,'Rev JR'!$A14,'Intereses percibidos'!$D$7:$D$543,"&gt;="&amp;'Rev JR'!I$1,'Intereses percibidos'!$D$7:$D$543,"&lt;="&amp;EOMONTH('Rev JR'!I$1,0))</f>
        <v>0</v>
      </c>
      <c r="J14" s="523">
        <f>+SUMIFS('Intereses percibidos'!$G$7:$G$543,'Intereses percibidos'!$B$7:$B$543,'Rev JR'!$A14,'Intereses percibidos'!$D$7:$D$543,"&gt;="&amp;'Rev JR'!J$1,'Intereses percibidos'!$D$7:$D$543,"&lt;="&amp;EOMONTH('Rev JR'!J$1,0))</f>
        <v>0</v>
      </c>
      <c r="K14" s="523">
        <f>+SUMIFS('Intereses percibidos'!$G$7:$G$543,'Intereses percibidos'!$B$7:$B$543,'Rev JR'!$A14,'Intereses percibidos'!$D$7:$D$543,"&gt;="&amp;'Rev JR'!K$1,'Intereses percibidos'!$D$7:$D$543,"&lt;="&amp;EOMONTH('Rev JR'!K$1,0))</f>
        <v>0</v>
      </c>
      <c r="L14" s="523">
        <f>+SUMIFS('Intereses percibidos'!$G$7:$G$543,'Intereses percibidos'!$B$7:$B$543,'Rev JR'!$A14,'Intereses percibidos'!$D$7:$D$543,"&gt;="&amp;'Rev JR'!L$1,'Intereses percibidos'!$D$7:$D$543,"&lt;="&amp;EOMONTH('Rev JR'!L$1,0))</f>
        <v>0</v>
      </c>
      <c r="M14" s="523">
        <f>+SUMIFS('Intereses percibidos'!$G$7:$G$543,'Intereses percibidos'!$B$7:$B$543,'Rev JR'!$A14,'Intereses percibidos'!$D$7:$D$543,"&gt;="&amp;'Rev JR'!M$1,'Intereses percibidos'!$D$7:$D$543,"&lt;="&amp;EOMONTH('Rev JR'!M$1,0))</f>
        <v>0</v>
      </c>
      <c r="N14" s="523">
        <f>+SUMIFS('Intereses percibidos'!$G$7:$G$543,'Intereses percibidos'!$B$7:$B$543,'Rev JR'!$A14,'Intereses percibidos'!$D$7:$D$543,"&gt;="&amp;'Rev JR'!N$1,'Intereses percibidos'!$D$7:$D$543,"&lt;="&amp;EOMONTH('Rev JR'!N$1,0))</f>
        <v>0</v>
      </c>
      <c r="O14" s="523">
        <f t="shared" si="1"/>
        <v>0</v>
      </c>
    </row>
    <row r="15" spans="1:15">
      <c r="A15" s="622" t="str">
        <f>+Cuentas!B16</f>
        <v>K</v>
      </c>
      <c r="B15" s="519" t="str">
        <f t="shared" si="0"/>
        <v xml:space="preserve">        Intereses - K</v>
      </c>
      <c r="C15" s="523">
        <f>+SUMIFS('Intereses percibidos'!$G$7:$G$543,'Intereses percibidos'!$B$7:$B$543,'Rev JR'!$A15,'Intereses percibidos'!$D$7:$D$543,"&gt;="&amp;'Rev JR'!C$1,'Intereses percibidos'!$D$7:$D$543,"&lt;="&amp;EOMONTH('Rev JR'!C$1,0))</f>
        <v>0</v>
      </c>
      <c r="D15" s="523">
        <f>+SUMIFS('Intereses percibidos'!$G$7:$G$543,'Intereses percibidos'!$B$7:$B$543,'Rev JR'!$A15,'Intereses percibidos'!$D$7:$D$543,"&gt;="&amp;'Rev JR'!D$1,'Intereses percibidos'!$D$7:$D$543,"&lt;="&amp;EOMONTH('Rev JR'!D$1,0))</f>
        <v>0</v>
      </c>
      <c r="E15" s="523">
        <f>+SUMIFS('Intereses percibidos'!$G$7:$G$543,'Intereses percibidos'!$B$7:$B$543,'Rev JR'!$A15,'Intereses percibidos'!$D$7:$D$543,"&gt;="&amp;'Rev JR'!E$1,'Intereses percibidos'!$D$7:$D$543,"&lt;="&amp;EOMONTH('Rev JR'!E$1,0))</f>
        <v>0</v>
      </c>
      <c r="F15" s="523">
        <f>+SUMIFS('Intereses percibidos'!$G$7:$G$543,'Intereses percibidos'!$B$7:$B$543,'Rev JR'!$A15,'Intereses percibidos'!$D$7:$D$543,"&gt;="&amp;'Rev JR'!F$1,'Intereses percibidos'!$D$7:$D$543,"&lt;="&amp;EOMONTH('Rev JR'!F$1,0))</f>
        <v>0</v>
      </c>
      <c r="G15" s="523">
        <f>+SUMIFS('Intereses percibidos'!$G$7:$G$543,'Intereses percibidos'!$B$7:$B$543,'Rev JR'!$A15,'Intereses percibidos'!$D$7:$D$543,"&gt;="&amp;'Rev JR'!G$1,'Intereses percibidos'!$D$7:$D$543,"&lt;="&amp;EOMONTH('Rev JR'!G$1,0))</f>
        <v>0</v>
      </c>
      <c r="H15" s="523">
        <f>+SUMIFS('Intereses percibidos'!$G$7:$G$543,'Intereses percibidos'!$B$7:$B$543,'Rev JR'!$A15,'Intereses percibidos'!$D$7:$D$543,"&gt;="&amp;'Rev JR'!H$1,'Intereses percibidos'!$D$7:$D$543,"&lt;="&amp;EOMONTH('Rev JR'!H$1,0))</f>
        <v>0</v>
      </c>
      <c r="I15" s="523">
        <f>+SUMIFS('Intereses percibidos'!$G$7:$G$543,'Intereses percibidos'!$B$7:$B$543,'Rev JR'!$A15,'Intereses percibidos'!$D$7:$D$543,"&gt;="&amp;'Rev JR'!I$1,'Intereses percibidos'!$D$7:$D$543,"&lt;="&amp;EOMONTH('Rev JR'!I$1,0))</f>
        <v>0</v>
      </c>
      <c r="J15" s="523">
        <f>+SUMIFS('Intereses percibidos'!$G$7:$G$543,'Intereses percibidos'!$B$7:$B$543,'Rev JR'!$A15,'Intereses percibidos'!$D$7:$D$543,"&gt;="&amp;'Rev JR'!J$1,'Intereses percibidos'!$D$7:$D$543,"&lt;="&amp;EOMONTH('Rev JR'!J$1,0))</f>
        <v>0</v>
      </c>
      <c r="K15" s="523">
        <f>+SUMIFS('Intereses percibidos'!$G$7:$G$543,'Intereses percibidos'!$B$7:$B$543,'Rev JR'!$A15,'Intereses percibidos'!$D$7:$D$543,"&gt;="&amp;'Rev JR'!K$1,'Intereses percibidos'!$D$7:$D$543,"&lt;="&amp;EOMONTH('Rev JR'!K$1,0))</f>
        <v>0</v>
      </c>
      <c r="L15" s="523">
        <f>+SUMIFS('Intereses percibidos'!$G$7:$G$543,'Intereses percibidos'!$B$7:$B$543,'Rev JR'!$A15,'Intereses percibidos'!$D$7:$D$543,"&gt;="&amp;'Rev JR'!L$1,'Intereses percibidos'!$D$7:$D$543,"&lt;="&amp;EOMONTH('Rev JR'!L$1,0))</f>
        <v>0</v>
      </c>
      <c r="M15" s="523">
        <f>+SUMIFS('Intereses percibidos'!$G$7:$G$543,'Intereses percibidos'!$B$7:$B$543,'Rev JR'!$A15,'Intereses percibidos'!$D$7:$D$543,"&gt;="&amp;'Rev JR'!M$1,'Intereses percibidos'!$D$7:$D$543,"&lt;="&amp;EOMONTH('Rev JR'!M$1,0))</f>
        <v>0</v>
      </c>
      <c r="N15" s="523">
        <f>+SUMIFS('Intereses percibidos'!$G$7:$G$543,'Intereses percibidos'!$B$7:$B$543,'Rev JR'!$A15,'Intereses percibidos'!$D$7:$D$543,"&gt;="&amp;'Rev JR'!N$1,'Intereses percibidos'!$D$7:$D$543,"&lt;="&amp;EOMONTH('Rev JR'!N$1,0))</f>
        <v>0</v>
      </c>
      <c r="O15" s="523">
        <f t="shared" si="1"/>
        <v>0</v>
      </c>
    </row>
    <row r="16" spans="1:15">
      <c r="A16" s="622" t="str">
        <f>+Cuentas!B17</f>
        <v>L</v>
      </c>
      <c r="B16" s="519" t="str">
        <f t="shared" si="0"/>
        <v xml:space="preserve">        Intereses - L</v>
      </c>
      <c r="C16" s="523">
        <f>+SUMIFS('Intereses percibidos'!$G$7:$G$543,'Intereses percibidos'!$B$7:$B$543,'Rev JR'!$A16,'Intereses percibidos'!$D$7:$D$543,"&gt;="&amp;'Rev JR'!C$1,'Intereses percibidos'!$D$7:$D$543,"&lt;="&amp;EOMONTH('Rev JR'!C$1,0))</f>
        <v>0</v>
      </c>
      <c r="D16" s="523">
        <f>+SUMIFS('Intereses percibidos'!$G$7:$G$543,'Intereses percibidos'!$B$7:$B$543,'Rev JR'!$A16,'Intereses percibidos'!$D$7:$D$543,"&gt;="&amp;'Rev JR'!D$1,'Intereses percibidos'!$D$7:$D$543,"&lt;="&amp;EOMONTH('Rev JR'!D$1,0))</f>
        <v>0</v>
      </c>
      <c r="E16" s="523">
        <f>+SUMIFS('Intereses percibidos'!$G$7:$G$543,'Intereses percibidos'!$B$7:$B$543,'Rev JR'!$A16,'Intereses percibidos'!$D$7:$D$543,"&gt;="&amp;'Rev JR'!E$1,'Intereses percibidos'!$D$7:$D$543,"&lt;="&amp;EOMONTH('Rev JR'!E$1,0))</f>
        <v>0</v>
      </c>
      <c r="F16" s="523">
        <f>+SUMIFS('Intereses percibidos'!$G$7:$G$543,'Intereses percibidos'!$B$7:$B$543,'Rev JR'!$A16,'Intereses percibidos'!$D$7:$D$543,"&gt;="&amp;'Rev JR'!F$1,'Intereses percibidos'!$D$7:$D$543,"&lt;="&amp;EOMONTH('Rev JR'!F$1,0))</f>
        <v>0</v>
      </c>
      <c r="G16" s="523">
        <f>+SUMIFS('Intereses percibidos'!$G$7:$G$543,'Intereses percibidos'!$B$7:$B$543,'Rev JR'!$A16,'Intereses percibidos'!$D$7:$D$543,"&gt;="&amp;'Rev JR'!G$1,'Intereses percibidos'!$D$7:$D$543,"&lt;="&amp;EOMONTH('Rev JR'!G$1,0))</f>
        <v>0</v>
      </c>
      <c r="H16" s="523">
        <f>+SUMIFS('Intereses percibidos'!$G$7:$G$543,'Intereses percibidos'!$B$7:$B$543,'Rev JR'!$A16,'Intereses percibidos'!$D$7:$D$543,"&gt;="&amp;'Rev JR'!H$1,'Intereses percibidos'!$D$7:$D$543,"&lt;="&amp;EOMONTH('Rev JR'!H$1,0))</f>
        <v>0</v>
      </c>
      <c r="I16" s="523">
        <f>+SUMIFS('Intereses percibidos'!$G$7:$G$543,'Intereses percibidos'!$B$7:$B$543,'Rev JR'!$A16,'Intereses percibidos'!$D$7:$D$543,"&gt;="&amp;'Rev JR'!I$1,'Intereses percibidos'!$D$7:$D$543,"&lt;="&amp;EOMONTH('Rev JR'!I$1,0))</f>
        <v>0</v>
      </c>
      <c r="J16" s="523">
        <f>+SUMIFS('Intereses percibidos'!$G$7:$G$543,'Intereses percibidos'!$B$7:$B$543,'Rev JR'!$A16,'Intereses percibidos'!$D$7:$D$543,"&gt;="&amp;'Rev JR'!J$1,'Intereses percibidos'!$D$7:$D$543,"&lt;="&amp;EOMONTH('Rev JR'!J$1,0))</f>
        <v>0</v>
      </c>
      <c r="K16" s="523">
        <f>+SUMIFS('Intereses percibidos'!$G$7:$G$543,'Intereses percibidos'!$B$7:$B$543,'Rev JR'!$A16,'Intereses percibidos'!$D$7:$D$543,"&gt;="&amp;'Rev JR'!K$1,'Intereses percibidos'!$D$7:$D$543,"&lt;="&amp;EOMONTH('Rev JR'!K$1,0))</f>
        <v>0</v>
      </c>
      <c r="L16" s="523">
        <f>+SUMIFS('Intereses percibidos'!$G$7:$G$543,'Intereses percibidos'!$B$7:$B$543,'Rev JR'!$A16,'Intereses percibidos'!$D$7:$D$543,"&gt;="&amp;'Rev JR'!L$1,'Intereses percibidos'!$D$7:$D$543,"&lt;="&amp;EOMONTH('Rev JR'!L$1,0))</f>
        <v>0</v>
      </c>
      <c r="M16" s="523">
        <f>+SUMIFS('Intereses percibidos'!$G$7:$G$543,'Intereses percibidos'!$B$7:$B$543,'Rev JR'!$A16,'Intereses percibidos'!$D$7:$D$543,"&gt;="&amp;'Rev JR'!M$1,'Intereses percibidos'!$D$7:$D$543,"&lt;="&amp;EOMONTH('Rev JR'!M$1,0))</f>
        <v>0</v>
      </c>
      <c r="N16" s="523">
        <f>+SUMIFS('Intereses percibidos'!$G$7:$G$543,'Intereses percibidos'!$B$7:$B$543,'Rev JR'!$A16,'Intereses percibidos'!$D$7:$D$543,"&gt;="&amp;'Rev JR'!N$1,'Intereses percibidos'!$D$7:$D$543,"&lt;="&amp;EOMONTH('Rev JR'!N$1,0))</f>
        <v>0</v>
      </c>
      <c r="O16" s="523">
        <f t="shared" si="1"/>
        <v>0</v>
      </c>
    </row>
    <row r="17" spans="1:15">
      <c r="A17" s="622" t="str">
        <f>+Cuentas!B18</f>
        <v>M</v>
      </c>
      <c r="B17" s="519" t="str">
        <f t="shared" si="0"/>
        <v xml:space="preserve">        Intereses - M</v>
      </c>
      <c r="C17" s="523">
        <f>+SUMIFS('Intereses percibidos'!$G$7:$G$543,'Intereses percibidos'!$B$7:$B$543,'Rev JR'!$A17,'Intereses percibidos'!$D$7:$D$543,"&gt;="&amp;'Rev JR'!C$1,'Intereses percibidos'!$D$7:$D$543,"&lt;="&amp;EOMONTH('Rev JR'!C$1,0))</f>
        <v>0</v>
      </c>
      <c r="D17" s="523">
        <f>+SUMIFS('Intereses percibidos'!$G$7:$G$543,'Intereses percibidos'!$B$7:$B$543,'Rev JR'!$A17,'Intereses percibidos'!$D$7:$D$543,"&gt;="&amp;'Rev JR'!D$1,'Intereses percibidos'!$D$7:$D$543,"&lt;="&amp;EOMONTH('Rev JR'!D$1,0))</f>
        <v>0</v>
      </c>
      <c r="E17" s="523">
        <f>+SUMIFS('Intereses percibidos'!$G$7:$G$543,'Intereses percibidos'!$B$7:$B$543,'Rev JR'!$A17,'Intereses percibidos'!$D$7:$D$543,"&gt;="&amp;'Rev JR'!E$1,'Intereses percibidos'!$D$7:$D$543,"&lt;="&amp;EOMONTH('Rev JR'!E$1,0))</f>
        <v>0</v>
      </c>
      <c r="F17" s="523">
        <f>+SUMIFS('Intereses percibidos'!$G$7:$G$543,'Intereses percibidos'!$B$7:$B$543,'Rev JR'!$A17,'Intereses percibidos'!$D$7:$D$543,"&gt;="&amp;'Rev JR'!F$1,'Intereses percibidos'!$D$7:$D$543,"&lt;="&amp;EOMONTH('Rev JR'!F$1,0))</f>
        <v>0</v>
      </c>
      <c r="G17" s="523">
        <f>+SUMIFS('Intereses percibidos'!$G$7:$G$543,'Intereses percibidos'!$B$7:$B$543,'Rev JR'!$A17,'Intereses percibidos'!$D$7:$D$543,"&gt;="&amp;'Rev JR'!G$1,'Intereses percibidos'!$D$7:$D$543,"&lt;="&amp;EOMONTH('Rev JR'!G$1,0))</f>
        <v>0</v>
      </c>
      <c r="H17" s="523">
        <f>+SUMIFS('Intereses percibidos'!$G$7:$G$543,'Intereses percibidos'!$B$7:$B$543,'Rev JR'!$A17,'Intereses percibidos'!$D$7:$D$543,"&gt;="&amp;'Rev JR'!H$1,'Intereses percibidos'!$D$7:$D$543,"&lt;="&amp;EOMONTH('Rev JR'!H$1,0))</f>
        <v>0</v>
      </c>
      <c r="I17" s="523">
        <f>+SUMIFS('Intereses percibidos'!$G$7:$G$543,'Intereses percibidos'!$B$7:$B$543,'Rev JR'!$A17,'Intereses percibidos'!$D$7:$D$543,"&gt;="&amp;'Rev JR'!I$1,'Intereses percibidos'!$D$7:$D$543,"&lt;="&amp;EOMONTH('Rev JR'!I$1,0))</f>
        <v>0</v>
      </c>
      <c r="J17" s="523">
        <f>+SUMIFS('Intereses percibidos'!$G$7:$G$543,'Intereses percibidos'!$B$7:$B$543,'Rev JR'!$A17,'Intereses percibidos'!$D$7:$D$543,"&gt;="&amp;'Rev JR'!J$1,'Intereses percibidos'!$D$7:$D$543,"&lt;="&amp;EOMONTH('Rev JR'!J$1,0))</f>
        <v>0</v>
      </c>
      <c r="K17" s="523">
        <f>+SUMIFS('Intereses percibidos'!$G$7:$G$543,'Intereses percibidos'!$B$7:$B$543,'Rev JR'!$A17,'Intereses percibidos'!$D$7:$D$543,"&gt;="&amp;'Rev JR'!K$1,'Intereses percibidos'!$D$7:$D$543,"&lt;="&amp;EOMONTH('Rev JR'!K$1,0))</f>
        <v>0</v>
      </c>
      <c r="L17" s="523">
        <f>+SUMIFS('Intereses percibidos'!$G$7:$G$543,'Intereses percibidos'!$B$7:$B$543,'Rev JR'!$A17,'Intereses percibidos'!$D$7:$D$543,"&gt;="&amp;'Rev JR'!L$1,'Intereses percibidos'!$D$7:$D$543,"&lt;="&amp;EOMONTH('Rev JR'!L$1,0))</f>
        <v>0</v>
      </c>
      <c r="M17" s="523">
        <f>+SUMIFS('Intereses percibidos'!$G$7:$G$543,'Intereses percibidos'!$B$7:$B$543,'Rev JR'!$A17,'Intereses percibidos'!$D$7:$D$543,"&gt;="&amp;'Rev JR'!M$1,'Intereses percibidos'!$D$7:$D$543,"&lt;="&amp;EOMONTH('Rev JR'!M$1,0))</f>
        <v>0</v>
      </c>
      <c r="N17" s="523">
        <f>+SUMIFS('Intereses percibidos'!$G$7:$G$543,'Intereses percibidos'!$B$7:$B$543,'Rev JR'!$A17,'Intereses percibidos'!$D$7:$D$543,"&gt;="&amp;'Rev JR'!N$1,'Intereses percibidos'!$D$7:$D$543,"&lt;="&amp;EOMONTH('Rev JR'!N$1,0))</f>
        <v>0</v>
      </c>
      <c r="O17" s="523">
        <f t="shared" si="1"/>
        <v>0</v>
      </c>
    </row>
    <row r="18" spans="1:15">
      <c r="A18" s="622" t="str">
        <f>+Cuentas!B19</f>
        <v>N</v>
      </c>
      <c r="B18" s="519" t="str">
        <f t="shared" si="0"/>
        <v xml:space="preserve">        Intereses - N</v>
      </c>
      <c r="C18" s="523">
        <f>+SUMIFS('Intereses percibidos'!$G$7:$G$543,'Intereses percibidos'!$B$7:$B$543,'Rev JR'!$A18,'Intereses percibidos'!$D$7:$D$543,"&gt;="&amp;'Rev JR'!C$1,'Intereses percibidos'!$D$7:$D$543,"&lt;="&amp;EOMONTH('Rev JR'!C$1,0))</f>
        <v>0</v>
      </c>
      <c r="D18" s="523">
        <f>+SUMIFS('Intereses percibidos'!$G$7:$G$543,'Intereses percibidos'!$B$7:$B$543,'Rev JR'!$A18,'Intereses percibidos'!$D$7:$D$543,"&gt;="&amp;'Rev JR'!D$1,'Intereses percibidos'!$D$7:$D$543,"&lt;="&amp;EOMONTH('Rev JR'!D$1,0))</f>
        <v>0</v>
      </c>
      <c r="E18" s="523">
        <f>+SUMIFS('Intereses percibidos'!$G$7:$G$543,'Intereses percibidos'!$B$7:$B$543,'Rev JR'!$A18,'Intereses percibidos'!$D$7:$D$543,"&gt;="&amp;'Rev JR'!E$1,'Intereses percibidos'!$D$7:$D$543,"&lt;="&amp;EOMONTH('Rev JR'!E$1,0))</f>
        <v>0</v>
      </c>
      <c r="F18" s="523">
        <f>+SUMIFS('Intereses percibidos'!$G$7:$G$543,'Intereses percibidos'!$B$7:$B$543,'Rev JR'!$A18,'Intereses percibidos'!$D$7:$D$543,"&gt;="&amp;'Rev JR'!F$1,'Intereses percibidos'!$D$7:$D$543,"&lt;="&amp;EOMONTH('Rev JR'!F$1,0))</f>
        <v>0</v>
      </c>
      <c r="G18" s="523">
        <f>+SUMIFS('Intereses percibidos'!$G$7:$G$543,'Intereses percibidos'!$B$7:$B$543,'Rev JR'!$A18,'Intereses percibidos'!$D$7:$D$543,"&gt;="&amp;'Rev JR'!G$1,'Intereses percibidos'!$D$7:$D$543,"&lt;="&amp;EOMONTH('Rev JR'!G$1,0))</f>
        <v>0</v>
      </c>
      <c r="H18" s="523">
        <f>+SUMIFS('Intereses percibidos'!$G$7:$G$543,'Intereses percibidos'!$B$7:$B$543,'Rev JR'!$A18,'Intereses percibidos'!$D$7:$D$543,"&gt;="&amp;'Rev JR'!H$1,'Intereses percibidos'!$D$7:$D$543,"&lt;="&amp;EOMONTH('Rev JR'!H$1,0))</f>
        <v>0</v>
      </c>
      <c r="I18" s="523">
        <f>+SUMIFS('Intereses percibidos'!$G$7:$G$543,'Intereses percibidos'!$B$7:$B$543,'Rev JR'!$A18,'Intereses percibidos'!$D$7:$D$543,"&gt;="&amp;'Rev JR'!I$1,'Intereses percibidos'!$D$7:$D$543,"&lt;="&amp;EOMONTH('Rev JR'!I$1,0))</f>
        <v>0</v>
      </c>
      <c r="J18" s="523">
        <f>+SUMIFS('Intereses percibidos'!$G$7:$G$543,'Intereses percibidos'!$B$7:$B$543,'Rev JR'!$A18,'Intereses percibidos'!$D$7:$D$543,"&gt;="&amp;'Rev JR'!J$1,'Intereses percibidos'!$D$7:$D$543,"&lt;="&amp;EOMONTH('Rev JR'!J$1,0))</f>
        <v>0</v>
      </c>
      <c r="K18" s="523">
        <f>+SUMIFS('Intereses percibidos'!$G$7:$G$543,'Intereses percibidos'!$B$7:$B$543,'Rev JR'!$A18,'Intereses percibidos'!$D$7:$D$543,"&gt;="&amp;'Rev JR'!K$1,'Intereses percibidos'!$D$7:$D$543,"&lt;="&amp;EOMONTH('Rev JR'!K$1,0))</f>
        <v>0</v>
      </c>
      <c r="L18" s="523">
        <f>+SUMIFS('Intereses percibidos'!$G$7:$G$543,'Intereses percibidos'!$B$7:$B$543,'Rev JR'!$A18,'Intereses percibidos'!$D$7:$D$543,"&gt;="&amp;'Rev JR'!L$1,'Intereses percibidos'!$D$7:$D$543,"&lt;="&amp;EOMONTH('Rev JR'!L$1,0))</f>
        <v>0</v>
      </c>
      <c r="M18" s="523">
        <f>+SUMIFS('Intereses percibidos'!$G$7:$G$543,'Intereses percibidos'!$B$7:$B$543,'Rev JR'!$A18,'Intereses percibidos'!$D$7:$D$543,"&gt;="&amp;'Rev JR'!M$1,'Intereses percibidos'!$D$7:$D$543,"&lt;="&amp;EOMONTH('Rev JR'!M$1,0))</f>
        <v>0</v>
      </c>
      <c r="N18" s="523">
        <f>+SUMIFS('Intereses percibidos'!$G$7:$G$543,'Intereses percibidos'!$B$7:$B$543,'Rev JR'!$A18,'Intereses percibidos'!$D$7:$D$543,"&gt;="&amp;'Rev JR'!N$1,'Intereses percibidos'!$D$7:$D$543,"&lt;="&amp;EOMONTH('Rev JR'!N$1,0))</f>
        <v>0</v>
      </c>
      <c r="O18" s="523">
        <f t="shared" si="1"/>
        <v>0</v>
      </c>
    </row>
    <row r="19" spans="1:15">
      <c r="A19" s="622" t="str">
        <f>+Cuentas!B20</f>
        <v>O</v>
      </c>
      <c r="B19" s="519" t="str">
        <f t="shared" si="0"/>
        <v xml:space="preserve">        Intereses - O</v>
      </c>
      <c r="C19" s="523">
        <f>+SUMIFS('Intereses percibidos'!$G$7:$G$543,'Intereses percibidos'!$B$7:$B$543,'Rev JR'!$A19,'Intereses percibidos'!$D$7:$D$543,"&gt;="&amp;'Rev JR'!C$1,'Intereses percibidos'!$D$7:$D$543,"&lt;="&amp;EOMONTH('Rev JR'!C$1,0))</f>
        <v>0</v>
      </c>
      <c r="D19" s="523">
        <f>+SUMIFS('Intereses percibidos'!$G$7:$G$543,'Intereses percibidos'!$B$7:$B$543,'Rev JR'!$A19,'Intereses percibidos'!$D$7:$D$543,"&gt;="&amp;'Rev JR'!D$1,'Intereses percibidos'!$D$7:$D$543,"&lt;="&amp;EOMONTH('Rev JR'!D$1,0))</f>
        <v>0</v>
      </c>
      <c r="E19" s="523">
        <f>+SUMIFS('Intereses percibidos'!$G$7:$G$543,'Intereses percibidos'!$B$7:$B$543,'Rev JR'!$A19,'Intereses percibidos'!$D$7:$D$543,"&gt;="&amp;'Rev JR'!E$1,'Intereses percibidos'!$D$7:$D$543,"&lt;="&amp;EOMONTH('Rev JR'!E$1,0))</f>
        <v>0</v>
      </c>
      <c r="F19" s="523">
        <f>+SUMIFS('Intereses percibidos'!$G$7:$G$543,'Intereses percibidos'!$B$7:$B$543,'Rev JR'!$A19,'Intereses percibidos'!$D$7:$D$543,"&gt;="&amp;'Rev JR'!F$1,'Intereses percibidos'!$D$7:$D$543,"&lt;="&amp;EOMONTH('Rev JR'!F$1,0))</f>
        <v>0</v>
      </c>
      <c r="G19" s="523">
        <f>+SUMIFS('Intereses percibidos'!$G$7:$G$543,'Intereses percibidos'!$B$7:$B$543,'Rev JR'!$A19,'Intereses percibidos'!$D$7:$D$543,"&gt;="&amp;'Rev JR'!G$1,'Intereses percibidos'!$D$7:$D$543,"&lt;="&amp;EOMONTH('Rev JR'!G$1,0))</f>
        <v>0</v>
      </c>
      <c r="H19" s="523">
        <f>+SUMIFS('Intereses percibidos'!$G$7:$G$543,'Intereses percibidos'!$B$7:$B$543,'Rev JR'!$A19,'Intereses percibidos'!$D$7:$D$543,"&gt;="&amp;'Rev JR'!H$1,'Intereses percibidos'!$D$7:$D$543,"&lt;="&amp;EOMONTH('Rev JR'!H$1,0))</f>
        <v>0</v>
      </c>
      <c r="I19" s="523">
        <f>+SUMIFS('Intereses percibidos'!$G$7:$G$543,'Intereses percibidos'!$B$7:$B$543,'Rev JR'!$A19,'Intereses percibidos'!$D$7:$D$543,"&gt;="&amp;'Rev JR'!I$1,'Intereses percibidos'!$D$7:$D$543,"&lt;="&amp;EOMONTH('Rev JR'!I$1,0))</f>
        <v>0</v>
      </c>
      <c r="J19" s="523">
        <f>+SUMIFS('Intereses percibidos'!$G$7:$G$543,'Intereses percibidos'!$B$7:$B$543,'Rev JR'!$A19,'Intereses percibidos'!$D$7:$D$543,"&gt;="&amp;'Rev JR'!J$1,'Intereses percibidos'!$D$7:$D$543,"&lt;="&amp;EOMONTH('Rev JR'!J$1,0))</f>
        <v>0</v>
      </c>
      <c r="K19" s="523">
        <f>+SUMIFS('Intereses percibidos'!$G$7:$G$543,'Intereses percibidos'!$B$7:$B$543,'Rev JR'!$A19,'Intereses percibidos'!$D$7:$D$543,"&gt;="&amp;'Rev JR'!K$1,'Intereses percibidos'!$D$7:$D$543,"&lt;="&amp;EOMONTH('Rev JR'!K$1,0))</f>
        <v>0</v>
      </c>
      <c r="L19" s="523">
        <f>+SUMIFS('Intereses percibidos'!$G$7:$G$543,'Intereses percibidos'!$B$7:$B$543,'Rev JR'!$A19,'Intereses percibidos'!$D$7:$D$543,"&gt;="&amp;'Rev JR'!L$1,'Intereses percibidos'!$D$7:$D$543,"&lt;="&amp;EOMONTH('Rev JR'!L$1,0))</f>
        <v>0</v>
      </c>
      <c r="M19" s="523">
        <f>+SUMIFS('Intereses percibidos'!$G$7:$G$543,'Intereses percibidos'!$B$7:$B$543,'Rev JR'!$A19,'Intereses percibidos'!$D$7:$D$543,"&gt;="&amp;'Rev JR'!M$1,'Intereses percibidos'!$D$7:$D$543,"&lt;="&amp;EOMONTH('Rev JR'!M$1,0))</f>
        <v>0</v>
      </c>
      <c r="N19" s="523">
        <f>+SUMIFS('Intereses percibidos'!$G$7:$G$543,'Intereses percibidos'!$B$7:$B$543,'Rev JR'!$A19,'Intereses percibidos'!$D$7:$D$543,"&gt;="&amp;'Rev JR'!N$1,'Intereses percibidos'!$D$7:$D$543,"&lt;="&amp;EOMONTH('Rev JR'!N$1,0))</f>
        <v>0</v>
      </c>
      <c r="O19" s="523">
        <f t="shared" si="1"/>
        <v>0</v>
      </c>
    </row>
    <row r="20" spans="1:15">
      <c r="A20" s="622" t="str">
        <f>+Cuentas!B21</f>
        <v>P</v>
      </c>
      <c r="B20" s="519" t="str">
        <f t="shared" si="0"/>
        <v xml:space="preserve">        Intereses - P</v>
      </c>
      <c r="C20" s="523">
        <f>+SUMIFS('Intereses percibidos'!$G$7:$G$543,'Intereses percibidos'!$B$7:$B$543,'Rev JR'!$A20,'Intereses percibidos'!$D$7:$D$543,"&gt;="&amp;'Rev JR'!C$1,'Intereses percibidos'!$D$7:$D$543,"&lt;="&amp;EOMONTH('Rev JR'!C$1,0))</f>
        <v>0</v>
      </c>
      <c r="D20" s="523">
        <f>+SUMIFS('Intereses percibidos'!$G$7:$G$543,'Intereses percibidos'!$B$7:$B$543,'Rev JR'!$A20,'Intereses percibidos'!$D$7:$D$543,"&gt;="&amp;'Rev JR'!D$1,'Intereses percibidos'!$D$7:$D$543,"&lt;="&amp;EOMONTH('Rev JR'!D$1,0))</f>
        <v>0</v>
      </c>
      <c r="E20" s="523">
        <f>+SUMIFS('Intereses percibidos'!$G$7:$G$543,'Intereses percibidos'!$B$7:$B$543,'Rev JR'!$A20,'Intereses percibidos'!$D$7:$D$543,"&gt;="&amp;'Rev JR'!E$1,'Intereses percibidos'!$D$7:$D$543,"&lt;="&amp;EOMONTH('Rev JR'!E$1,0))</f>
        <v>0</v>
      </c>
      <c r="F20" s="523">
        <f>+SUMIFS('Intereses percibidos'!$G$7:$G$543,'Intereses percibidos'!$B$7:$B$543,'Rev JR'!$A20,'Intereses percibidos'!$D$7:$D$543,"&gt;="&amp;'Rev JR'!F$1,'Intereses percibidos'!$D$7:$D$543,"&lt;="&amp;EOMONTH('Rev JR'!F$1,0))</f>
        <v>0</v>
      </c>
      <c r="G20" s="523">
        <f>+SUMIFS('Intereses percibidos'!$G$7:$G$543,'Intereses percibidos'!$B$7:$B$543,'Rev JR'!$A20,'Intereses percibidos'!$D$7:$D$543,"&gt;="&amp;'Rev JR'!G$1,'Intereses percibidos'!$D$7:$D$543,"&lt;="&amp;EOMONTH('Rev JR'!G$1,0))</f>
        <v>0</v>
      </c>
      <c r="H20" s="523">
        <f>+SUMIFS('Intereses percibidos'!$G$7:$G$543,'Intereses percibidos'!$B$7:$B$543,'Rev JR'!$A20,'Intereses percibidos'!$D$7:$D$543,"&gt;="&amp;'Rev JR'!H$1,'Intereses percibidos'!$D$7:$D$543,"&lt;="&amp;EOMONTH('Rev JR'!H$1,0))</f>
        <v>0</v>
      </c>
      <c r="I20" s="523">
        <f>+SUMIFS('Intereses percibidos'!$G$7:$G$543,'Intereses percibidos'!$B$7:$B$543,'Rev JR'!$A20,'Intereses percibidos'!$D$7:$D$543,"&gt;="&amp;'Rev JR'!I$1,'Intereses percibidos'!$D$7:$D$543,"&lt;="&amp;EOMONTH('Rev JR'!I$1,0))</f>
        <v>0</v>
      </c>
      <c r="J20" s="523">
        <f>+SUMIFS('Intereses percibidos'!$G$7:$G$543,'Intereses percibidos'!$B$7:$B$543,'Rev JR'!$A20,'Intereses percibidos'!$D$7:$D$543,"&gt;="&amp;'Rev JR'!J$1,'Intereses percibidos'!$D$7:$D$543,"&lt;="&amp;EOMONTH('Rev JR'!J$1,0))</f>
        <v>0</v>
      </c>
      <c r="K20" s="523">
        <f>+SUMIFS('Intereses percibidos'!$G$7:$G$543,'Intereses percibidos'!$B$7:$B$543,'Rev JR'!$A20,'Intereses percibidos'!$D$7:$D$543,"&gt;="&amp;'Rev JR'!K$1,'Intereses percibidos'!$D$7:$D$543,"&lt;="&amp;EOMONTH('Rev JR'!K$1,0))</f>
        <v>0</v>
      </c>
      <c r="L20" s="523">
        <f>+SUMIFS('Intereses percibidos'!$G$7:$G$543,'Intereses percibidos'!$B$7:$B$543,'Rev JR'!$A20,'Intereses percibidos'!$D$7:$D$543,"&gt;="&amp;'Rev JR'!L$1,'Intereses percibidos'!$D$7:$D$543,"&lt;="&amp;EOMONTH('Rev JR'!L$1,0))</f>
        <v>0</v>
      </c>
      <c r="M20" s="523">
        <f>+SUMIFS('Intereses percibidos'!$G$7:$G$543,'Intereses percibidos'!$B$7:$B$543,'Rev JR'!$A20,'Intereses percibidos'!$D$7:$D$543,"&gt;="&amp;'Rev JR'!M$1,'Intereses percibidos'!$D$7:$D$543,"&lt;="&amp;EOMONTH('Rev JR'!M$1,0))</f>
        <v>0</v>
      </c>
      <c r="N20" s="523">
        <f>+SUMIFS('Intereses percibidos'!$G$7:$G$543,'Intereses percibidos'!$B$7:$B$543,'Rev JR'!$A20,'Intereses percibidos'!$D$7:$D$543,"&gt;="&amp;'Rev JR'!N$1,'Intereses percibidos'!$D$7:$D$543,"&lt;="&amp;EOMONTH('Rev JR'!N$1,0))</f>
        <v>0</v>
      </c>
      <c r="O20" s="523">
        <f t="shared" si="1"/>
        <v>0</v>
      </c>
    </row>
    <row r="21" spans="1:15">
      <c r="A21" s="515"/>
      <c r="B21" s="524" t="s">
        <v>606</v>
      </c>
      <c r="C21" s="525">
        <f t="shared" ref="C21:O21" si="2">SUM(C5:C20)</f>
        <v>26.43</v>
      </c>
      <c r="D21" s="525">
        <f t="shared" si="2"/>
        <v>21.85</v>
      </c>
      <c r="E21" s="525">
        <f t="shared" si="2"/>
        <v>69.349999999999994</v>
      </c>
      <c r="F21" s="525">
        <f t="shared" si="2"/>
        <v>147.09</v>
      </c>
      <c r="G21" s="525">
        <f t="shared" si="2"/>
        <v>291.07</v>
      </c>
      <c r="H21" s="525">
        <f t="shared" si="2"/>
        <v>404.54999999999995</v>
      </c>
      <c r="I21" s="525">
        <f t="shared" si="2"/>
        <v>562.22</v>
      </c>
      <c r="J21" s="525">
        <f t="shared" si="2"/>
        <v>981.74</v>
      </c>
      <c r="K21" s="525">
        <f t="shared" si="2"/>
        <v>1002.27</v>
      </c>
      <c r="L21" s="525">
        <f t="shared" si="2"/>
        <v>1262.03</v>
      </c>
      <c r="M21" s="525">
        <f t="shared" si="2"/>
        <v>1784.73</v>
      </c>
      <c r="N21" s="525">
        <f t="shared" si="2"/>
        <v>2200.8700000000003</v>
      </c>
      <c r="O21" s="525">
        <f t="shared" si="2"/>
        <v>8754.2000000000007</v>
      </c>
    </row>
    <row r="22" spans="1:15">
      <c r="A22" s="515"/>
      <c r="B22" s="519" t="s">
        <v>592</v>
      </c>
      <c r="C22" s="522"/>
      <c r="D22" s="522"/>
      <c r="E22" s="522"/>
      <c r="F22" s="522"/>
      <c r="G22" s="522"/>
      <c r="H22" s="522"/>
      <c r="I22" s="522"/>
      <c r="J22" s="522"/>
      <c r="K22" s="522"/>
      <c r="L22" s="522"/>
      <c r="M22" s="522"/>
      <c r="N22" s="522"/>
      <c r="O22" s="522"/>
    </row>
    <row r="23" spans="1:15">
      <c r="A23" s="515"/>
      <c r="B23" s="519" t="s">
        <v>607</v>
      </c>
      <c r="C23" s="522"/>
      <c r="D23" s="522"/>
      <c r="E23" s="522"/>
      <c r="F23" s="522"/>
      <c r="G23" s="522"/>
      <c r="H23" s="522"/>
      <c r="I23" s="522"/>
      <c r="J23" s="522"/>
      <c r="K23" s="522"/>
      <c r="L23" s="522"/>
      <c r="M23" s="522"/>
      <c r="N23" s="522"/>
      <c r="O23" s="522"/>
    </row>
    <row r="24" spans="1:15">
      <c r="A24" s="622" t="str">
        <f>+A5</f>
        <v>AR2XXXX3387-0008</v>
      </c>
      <c r="B24" s="519" t="str">
        <f>+CONCATENATE("        Int C/V de Bonos - ",A24)</f>
        <v xml:space="preserve">        Int C/V de Bonos - AR2XXXX3387-0008</v>
      </c>
      <c r="C24" s="523">
        <f>+SUMIFS('Intereses en Compra Venta Bonos'!$G$7:$G$500,'Intereses en Compra Venta Bonos'!$B$7:$B$500,'Rev JR'!$A24,'Intereses en Compra Venta Bonos'!$D$7:$D$500,"&gt;="&amp;'Rev JR'!C$1,'Intereses en Compra Venta Bonos'!$D$7:$D$500,"&lt;="&amp;EOMONTH('Rev JR'!C$1,0))</f>
        <v>0</v>
      </c>
      <c r="D24" s="523">
        <f>+SUMIFS('Intereses en Compra Venta Bonos'!$G$7:$G$500,'Intereses en Compra Venta Bonos'!$B$7:$B$500,'Rev JR'!$A24,'Intereses en Compra Venta Bonos'!$D$7:$D$500,"&gt;="&amp;'Rev JR'!D$1,'Intereses en Compra Venta Bonos'!$D$7:$D$500,"&lt;="&amp;EOMONTH('Rev JR'!D$1,0))</f>
        <v>0</v>
      </c>
      <c r="E24" s="523">
        <f>+SUMIFS('Intereses en Compra Venta Bonos'!$G$7:$G$500,'Intereses en Compra Venta Bonos'!$B$7:$B$500,'Rev JR'!$A24,'Intereses en Compra Venta Bonos'!$D$7:$D$500,"&gt;="&amp;'Rev JR'!E$1,'Intereses en Compra Venta Bonos'!$D$7:$D$500,"&lt;="&amp;EOMONTH('Rev JR'!E$1,0))</f>
        <v>0</v>
      </c>
      <c r="F24" s="523">
        <f>+SUMIFS('Intereses en Compra Venta Bonos'!$G$7:$G$500,'Intereses en Compra Venta Bonos'!$B$7:$B$500,'Rev JR'!$A24,'Intereses en Compra Venta Bonos'!$D$7:$D$500,"&gt;="&amp;'Rev JR'!F$1,'Intereses en Compra Venta Bonos'!$D$7:$D$500,"&lt;="&amp;EOMONTH('Rev JR'!F$1,0))</f>
        <v>0</v>
      </c>
      <c r="G24" s="523">
        <f>+SUMIFS('Intereses en Compra Venta Bonos'!$G$7:$G$500,'Intereses en Compra Venta Bonos'!$B$7:$B$500,'Rev JR'!$A24,'Intereses en Compra Venta Bonos'!$D$7:$D$500,"&gt;="&amp;'Rev JR'!G$1,'Intereses en Compra Venta Bonos'!$D$7:$D$500,"&lt;="&amp;EOMONTH('Rev JR'!G$1,0))</f>
        <v>0</v>
      </c>
      <c r="H24" s="523">
        <f>+SUMIFS('Intereses en Compra Venta Bonos'!$G$7:$G$500,'Intereses en Compra Venta Bonos'!$B$7:$B$500,'Rev JR'!$A24,'Intereses en Compra Venta Bonos'!$D$7:$D$500,"&gt;="&amp;'Rev JR'!H$1,'Intereses en Compra Venta Bonos'!$D$7:$D$500,"&lt;="&amp;EOMONTH('Rev JR'!H$1,0))</f>
        <v>0</v>
      </c>
      <c r="I24" s="523">
        <f>+SUMIFS('Intereses en Compra Venta Bonos'!$G$7:$G$500,'Intereses en Compra Venta Bonos'!$B$7:$B$500,'Rev JR'!$A24,'Intereses en Compra Venta Bonos'!$D$7:$D$500,"&gt;="&amp;'Rev JR'!I$1,'Intereses en Compra Venta Bonos'!$D$7:$D$500,"&lt;="&amp;EOMONTH('Rev JR'!I$1,0))</f>
        <v>0</v>
      </c>
      <c r="J24" s="523">
        <f>+SUMIFS('Intereses en Compra Venta Bonos'!$G$7:$G$500,'Intereses en Compra Venta Bonos'!$B$7:$B$500,'Rev JR'!$A24,'Intereses en Compra Venta Bonos'!$D$7:$D$500,"&gt;="&amp;'Rev JR'!J$1,'Intereses en Compra Venta Bonos'!$D$7:$D$500,"&lt;="&amp;EOMONTH('Rev JR'!J$1,0))</f>
        <v>0</v>
      </c>
      <c r="K24" s="523">
        <f>+SUMIFS('Intereses en Compra Venta Bonos'!$G$7:$G$500,'Intereses en Compra Venta Bonos'!$B$7:$B$500,'Rev JR'!$A24,'Intereses en Compra Venta Bonos'!$D$7:$D$500,"&gt;="&amp;'Rev JR'!K$1,'Intereses en Compra Venta Bonos'!$D$7:$D$500,"&lt;="&amp;EOMONTH('Rev JR'!K$1,0))</f>
        <v>0</v>
      </c>
      <c r="L24" s="523">
        <f>+SUMIFS('Intereses en Compra Venta Bonos'!$G$7:$G$500,'Intereses en Compra Venta Bonos'!$B$7:$B$500,'Rev JR'!$A24,'Intereses en Compra Venta Bonos'!$D$7:$D$500,"&gt;="&amp;'Rev JR'!L$1,'Intereses en Compra Venta Bonos'!$D$7:$D$500,"&lt;="&amp;EOMONTH('Rev JR'!L$1,0))</f>
        <v>0</v>
      </c>
      <c r="M24" s="523">
        <f>+SUMIFS('Intereses en Compra Venta Bonos'!$G$7:$G$500,'Intereses en Compra Venta Bonos'!$B$7:$B$500,'Rev JR'!$A24,'Intereses en Compra Venta Bonos'!$D$7:$D$500,"&gt;="&amp;'Rev JR'!M$1,'Intereses en Compra Venta Bonos'!$D$7:$D$500,"&lt;="&amp;EOMONTH('Rev JR'!M$1,0))</f>
        <v>0</v>
      </c>
      <c r="N24" s="523">
        <f>+SUMIFS('Intereses en Compra Venta Bonos'!$G$7:$G$500,'Intereses en Compra Venta Bonos'!$B$7:$B$500,'Rev JR'!$A24,'Intereses en Compra Venta Bonos'!$D$7:$D$500,"&gt;="&amp;'Rev JR'!N$1,'Intereses en Compra Venta Bonos'!$D$7:$D$500,"&lt;="&amp;EOMONTH('Rev JR'!N$1,0))</f>
        <v>0</v>
      </c>
      <c r="O24" s="523">
        <f t="shared" ref="O24:O39" si="3">SUM(C24:N24)</f>
        <v>0</v>
      </c>
    </row>
    <row r="25" spans="1:15">
      <c r="A25" s="622" t="str">
        <f t="shared" ref="A25:A39" si="4">+A6</f>
        <v>AR2XXXX3387-0003</v>
      </c>
      <c r="B25" s="519" t="str">
        <f t="shared" ref="B25:B39" si="5">+CONCATENATE("        Int C/V de Bonos - ",A25)</f>
        <v xml:space="preserve">        Int C/V de Bonos - AR2XXXX3387-0003</v>
      </c>
      <c r="C25" s="523">
        <f>+SUMIFS('Intereses en Compra Venta Bonos'!$G$7:$G$500,'Intereses en Compra Venta Bonos'!$B$7:$B$500,'Rev JR'!$A25,'Intereses en Compra Venta Bonos'!$D$7:$D$500,"&gt;="&amp;'Rev JR'!C$1,'Intereses en Compra Venta Bonos'!$D$7:$D$500,"&lt;="&amp;EOMONTH('Rev JR'!C$1,0))</f>
        <v>0</v>
      </c>
      <c r="D25" s="523">
        <f>+SUMIFS('Intereses en Compra Venta Bonos'!$G$7:$G$500,'Intereses en Compra Venta Bonos'!$B$7:$B$500,'Rev JR'!$A25,'Intereses en Compra Venta Bonos'!$D$7:$D$500,"&gt;="&amp;'Rev JR'!D$1,'Intereses en Compra Venta Bonos'!$D$7:$D$500,"&lt;="&amp;EOMONTH('Rev JR'!D$1,0))</f>
        <v>0</v>
      </c>
      <c r="E25" s="523">
        <f>+SUMIFS('Intereses en Compra Venta Bonos'!$G$7:$G$500,'Intereses en Compra Venta Bonos'!$B$7:$B$500,'Rev JR'!$A25,'Intereses en Compra Venta Bonos'!$D$7:$D$500,"&gt;="&amp;'Rev JR'!E$1,'Intereses en Compra Venta Bonos'!$D$7:$D$500,"&lt;="&amp;EOMONTH('Rev JR'!E$1,0))</f>
        <v>0</v>
      </c>
      <c r="F25" s="523">
        <f>+SUMIFS('Intereses en Compra Venta Bonos'!$G$7:$G$500,'Intereses en Compra Venta Bonos'!$B$7:$B$500,'Rev JR'!$A25,'Intereses en Compra Venta Bonos'!$D$7:$D$500,"&gt;="&amp;'Rev JR'!F$1,'Intereses en Compra Venta Bonos'!$D$7:$D$500,"&lt;="&amp;EOMONTH('Rev JR'!F$1,0))</f>
        <v>0</v>
      </c>
      <c r="G25" s="523">
        <f>+SUMIFS('Intereses en Compra Venta Bonos'!$G$7:$G$500,'Intereses en Compra Venta Bonos'!$B$7:$B$500,'Rev JR'!$A25,'Intereses en Compra Venta Bonos'!$D$7:$D$500,"&gt;="&amp;'Rev JR'!G$1,'Intereses en Compra Venta Bonos'!$D$7:$D$500,"&lt;="&amp;EOMONTH('Rev JR'!G$1,0))</f>
        <v>0</v>
      </c>
      <c r="H25" s="523">
        <f>+SUMIFS('Intereses en Compra Venta Bonos'!$G$7:$G$500,'Intereses en Compra Venta Bonos'!$B$7:$B$500,'Rev JR'!$A25,'Intereses en Compra Venta Bonos'!$D$7:$D$500,"&gt;="&amp;'Rev JR'!H$1,'Intereses en Compra Venta Bonos'!$D$7:$D$500,"&lt;="&amp;EOMONTH('Rev JR'!H$1,0))</f>
        <v>0</v>
      </c>
      <c r="I25" s="523">
        <f>+SUMIFS('Intereses en Compra Venta Bonos'!$G$7:$G$500,'Intereses en Compra Venta Bonos'!$B$7:$B$500,'Rev JR'!$A25,'Intereses en Compra Venta Bonos'!$D$7:$D$500,"&gt;="&amp;'Rev JR'!I$1,'Intereses en Compra Venta Bonos'!$D$7:$D$500,"&lt;="&amp;EOMONTH('Rev JR'!I$1,0))</f>
        <v>0</v>
      </c>
      <c r="J25" s="523">
        <f>+SUMIFS('Intereses en Compra Venta Bonos'!$G$7:$G$500,'Intereses en Compra Venta Bonos'!$B$7:$B$500,'Rev JR'!$A25,'Intereses en Compra Venta Bonos'!$D$7:$D$500,"&gt;="&amp;'Rev JR'!J$1,'Intereses en Compra Venta Bonos'!$D$7:$D$500,"&lt;="&amp;EOMONTH('Rev JR'!J$1,0))</f>
        <v>0</v>
      </c>
      <c r="K25" s="523">
        <f>+SUMIFS('Intereses en Compra Venta Bonos'!$G$7:$G$500,'Intereses en Compra Venta Bonos'!$B$7:$B$500,'Rev JR'!$A25,'Intereses en Compra Venta Bonos'!$D$7:$D$500,"&gt;="&amp;'Rev JR'!K$1,'Intereses en Compra Venta Bonos'!$D$7:$D$500,"&lt;="&amp;EOMONTH('Rev JR'!K$1,0))</f>
        <v>0</v>
      </c>
      <c r="L25" s="523">
        <f>+SUMIFS('Intereses en Compra Venta Bonos'!$G$7:$G$500,'Intereses en Compra Venta Bonos'!$B$7:$B$500,'Rev JR'!$A25,'Intereses en Compra Venta Bonos'!$D$7:$D$500,"&gt;="&amp;'Rev JR'!L$1,'Intereses en Compra Venta Bonos'!$D$7:$D$500,"&lt;="&amp;EOMONTH('Rev JR'!L$1,0))</f>
        <v>0</v>
      </c>
      <c r="M25" s="523">
        <f>+SUMIFS('Intereses en Compra Venta Bonos'!$G$7:$G$500,'Intereses en Compra Venta Bonos'!$B$7:$B$500,'Rev JR'!$A25,'Intereses en Compra Venta Bonos'!$D$7:$D$500,"&gt;="&amp;'Rev JR'!M$1,'Intereses en Compra Venta Bonos'!$D$7:$D$500,"&lt;="&amp;EOMONTH('Rev JR'!M$1,0))</f>
        <v>0</v>
      </c>
      <c r="N25" s="523">
        <f>+SUMIFS('Intereses en Compra Venta Bonos'!$G$7:$G$500,'Intereses en Compra Venta Bonos'!$B$7:$B$500,'Rev JR'!$A25,'Intereses en Compra Venta Bonos'!$D$7:$D$500,"&gt;="&amp;'Rev JR'!N$1,'Intereses en Compra Venta Bonos'!$D$7:$D$500,"&lt;="&amp;EOMONTH('Rev JR'!N$1,0))</f>
        <v>0</v>
      </c>
      <c r="O25" s="523">
        <f t="shared" si="3"/>
        <v>0</v>
      </c>
    </row>
    <row r="26" spans="1:15">
      <c r="A26" s="622" t="str">
        <f t="shared" si="4"/>
        <v>029-2XXX1-9</v>
      </c>
      <c r="B26" s="519" t="str">
        <f t="shared" si="5"/>
        <v xml:space="preserve">        Int C/V de Bonos - 029-2XXX1-9</v>
      </c>
      <c r="C26" s="523">
        <f>+SUMIFS('Intereses en Compra Venta Bonos'!$G$7:$G$500,'Intereses en Compra Venta Bonos'!$B$7:$B$500,'Rev JR'!$A26,'Intereses en Compra Venta Bonos'!$D$7:$D$500,"&gt;="&amp;'Rev JR'!C$1,'Intereses en Compra Venta Bonos'!$D$7:$D$500,"&lt;="&amp;EOMONTH('Rev JR'!C$1,0))</f>
        <v>0</v>
      </c>
      <c r="D26" s="523">
        <f>+SUMIFS('Intereses en Compra Venta Bonos'!$G$7:$G$500,'Intereses en Compra Venta Bonos'!$B$7:$B$500,'Rev JR'!$A26,'Intereses en Compra Venta Bonos'!$D$7:$D$500,"&gt;="&amp;'Rev JR'!D$1,'Intereses en Compra Venta Bonos'!$D$7:$D$500,"&lt;="&amp;EOMONTH('Rev JR'!D$1,0))</f>
        <v>0</v>
      </c>
      <c r="E26" s="523">
        <f>+SUMIFS('Intereses en Compra Venta Bonos'!$G$7:$G$500,'Intereses en Compra Venta Bonos'!$B$7:$B$500,'Rev JR'!$A26,'Intereses en Compra Venta Bonos'!$D$7:$D$500,"&gt;="&amp;'Rev JR'!E$1,'Intereses en Compra Venta Bonos'!$D$7:$D$500,"&lt;="&amp;EOMONTH('Rev JR'!E$1,0))</f>
        <v>0</v>
      </c>
      <c r="F26" s="523">
        <f>+SUMIFS('Intereses en Compra Venta Bonos'!$G$7:$G$500,'Intereses en Compra Venta Bonos'!$B$7:$B$500,'Rev JR'!$A26,'Intereses en Compra Venta Bonos'!$D$7:$D$500,"&gt;="&amp;'Rev JR'!F$1,'Intereses en Compra Venta Bonos'!$D$7:$D$500,"&lt;="&amp;EOMONTH('Rev JR'!F$1,0))</f>
        <v>0</v>
      </c>
      <c r="G26" s="523">
        <f>+SUMIFS('Intereses en Compra Venta Bonos'!$G$7:$G$500,'Intereses en Compra Venta Bonos'!$B$7:$B$500,'Rev JR'!$A26,'Intereses en Compra Venta Bonos'!$D$7:$D$500,"&gt;="&amp;'Rev JR'!G$1,'Intereses en Compra Venta Bonos'!$D$7:$D$500,"&lt;="&amp;EOMONTH('Rev JR'!G$1,0))</f>
        <v>0</v>
      </c>
      <c r="H26" s="523">
        <f>+SUMIFS('Intereses en Compra Venta Bonos'!$G$7:$G$500,'Intereses en Compra Venta Bonos'!$B$7:$B$500,'Rev JR'!$A26,'Intereses en Compra Venta Bonos'!$D$7:$D$500,"&gt;="&amp;'Rev JR'!H$1,'Intereses en Compra Venta Bonos'!$D$7:$D$500,"&lt;="&amp;EOMONTH('Rev JR'!H$1,0))</f>
        <v>0</v>
      </c>
      <c r="I26" s="523">
        <f>+SUMIFS('Intereses en Compra Venta Bonos'!$G$7:$G$500,'Intereses en Compra Venta Bonos'!$B$7:$B$500,'Rev JR'!$A26,'Intereses en Compra Venta Bonos'!$D$7:$D$500,"&gt;="&amp;'Rev JR'!I$1,'Intereses en Compra Venta Bonos'!$D$7:$D$500,"&lt;="&amp;EOMONTH('Rev JR'!I$1,0))</f>
        <v>0</v>
      </c>
      <c r="J26" s="523">
        <f>+SUMIFS('Intereses en Compra Venta Bonos'!$G$7:$G$500,'Intereses en Compra Venta Bonos'!$B$7:$B$500,'Rev JR'!$A26,'Intereses en Compra Venta Bonos'!$D$7:$D$500,"&gt;="&amp;'Rev JR'!J$1,'Intereses en Compra Venta Bonos'!$D$7:$D$500,"&lt;="&amp;EOMONTH('Rev JR'!J$1,0))</f>
        <v>0</v>
      </c>
      <c r="K26" s="523">
        <f>+SUMIFS('Intereses en Compra Venta Bonos'!$G$7:$G$500,'Intereses en Compra Venta Bonos'!$B$7:$B$500,'Rev JR'!$A26,'Intereses en Compra Venta Bonos'!$D$7:$D$500,"&gt;="&amp;'Rev JR'!K$1,'Intereses en Compra Venta Bonos'!$D$7:$D$500,"&lt;="&amp;EOMONTH('Rev JR'!K$1,0))</f>
        <v>0</v>
      </c>
      <c r="L26" s="523">
        <f>+SUMIFS('Intereses en Compra Venta Bonos'!$G$7:$G$500,'Intereses en Compra Venta Bonos'!$B$7:$B$500,'Rev JR'!$A26,'Intereses en Compra Venta Bonos'!$D$7:$D$500,"&gt;="&amp;'Rev JR'!L$1,'Intereses en Compra Venta Bonos'!$D$7:$D$500,"&lt;="&amp;EOMONTH('Rev JR'!L$1,0))</f>
        <v>0</v>
      </c>
      <c r="M26" s="523">
        <f>+SUMIFS('Intereses en Compra Venta Bonos'!$G$7:$G$500,'Intereses en Compra Venta Bonos'!$B$7:$B$500,'Rev JR'!$A26,'Intereses en Compra Venta Bonos'!$D$7:$D$500,"&gt;="&amp;'Rev JR'!M$1,'Intereses en Compra Venta Bonos'!$D$7:$D$500,"&lt;="&amp;EOMONTH('Rev JR'!M$1,0))</f>
        <v>0</v>
      </c>
      <c r="N26" s="523">
        <f>+SUMIFS('Intereses en Compra Venta Bonos'!$G$7:$G$500,'Intereses en Compra Venta Bonos'!$B$7:$B$500,'Rev JR'!$A26,'Intereses en Compra Venta Bonos'!$D$7:$D$500,"&gt;="&amp;'Rev JR'!N$1,'Intereses en Compra Venta Bonos'!$D$7:$D$500,"&lt;="&amp;EOMONTH('Rev JR'!N$1,0))</f>
        <v>0</v>
      </c>
      <c r="O26" s="523">
        <f t="shared" si="3"/>
        <v>0</v>
      </c>
    </row>
    <row r="27" spans="1:15">
      <c r="A27" s="622" t="str">
        <f t="shared" si="4"/>
        <v>029-2XXX2-7</v>
      </c>
      <c r="B27" s="519" t="str">
        <f t="shared" si="5"/>
        <v xml:space="preserve">        Int C/V de Bonos - 029-2XXX2-7</v>
      </c>
      <c r="C27" s="523">
        <f>+SUMIFS('Intereses en Compra Venta Bonos'!$G$7:$G$500,'Intereses en Compra Venta Bonos'!$B$7:$B$500,'Rev JR'!$A27,'Intereses en Compra Venta Bonos'!$D$7:$D$500,"&gt;="&amp;'Rev JR'!C$1,'Intereses en Compra Venta Bonos'!$D$7:$D$500,"&lt;="&amp;EOMONTH('Rev JR'!C$1,0))</f>
        <v>0</v>
      </c>
      <c r="D27" s="523">
        <f>+SUMIFS('Intereses en Compra Venta Bonos'!$G$7:$G$500,'Intereses en Compra Venta Bonos'!$B$7:$B$500,'Rev JR'!$A27,'Intereses en Compra Venta Bonos'!$D$7:$D$500,"&gt;="&amp;'Rev JR'!D$1,'Intereses en Compra Venta Bonos'!$D$7:$D$500,"&lt;="&amp;EOMONTH('Rev JR'!D$1,0))</f>
        <v>0</v>
      </c>
      <c r="E27" s="523">
        <f>+SUMIFS('Intereses en Compra Venta Bonos'!$G$7:$G$500,'Intereses en Compra Venta Bonos'!$B$7:$B$500,'Rev JR'!$A27,'Intereses en Compra Venta Bonos'!$D$7:$D$500,"&gt;="&amp;'Rev JR'!E$1,'Intereses en Compra Venta Bonos'!$D$7:$D$500,"&lt;="&amp;EOMONTH('Rev JR'!E$1,0))</f>
        <v>0</v>
      </c>
      <c r="F27" s="523">
        <f>+SUMIFS('Intereses en Compra Venta Bonos'!$G$7:$G$500,'Intereses en Compra Venta Bonos'!$B$7:$B$500,'Rev JR'!$A27,'Intereses en Compra Venta Bonos'!$D$7:$D$500,"&gt;="&amp;'Rev JR'!F$1,'Intereses en Compra Venta Bonos'!$D$7:$D$500,"&lt;="&amp;EOMONTH('Rev JR'!F$1,0))</f>
        <v>0</v>
      </c>
      <c r="G27" s="523">
        <f>+SUMIFS('Intereses en Compra Venta Bonos'!$G$7:$G$500,'Intereses en Compra Venta Bonos'!$B$7:$B$500,'Rev JR'!$A27,'Intereses en Compra Venta Bonos'!$D$7:$D$500,"&gt;="&amp;'Rev JR'!G$1,'Intereses en Compra Venta Bonos'!$D$7:$D$500,"&lt;="&amp;EOMONTH('Rev JR'!G$1,0))</f>
        <v>0</v>
      </c>
      <c r="H27" s="523">
        <f>+SUMIFS('Intereses en Compra Venta Bonos'!$G$7:$G$500,'Intereses en Compra Venta Bonos'!$B$7:$B$500,'Rev JR'!$A27,'Intereses en Compra Venta Bonos'!$D$7:$D$500,"&gt;="&amp;'Rev JR'!H$1,'Intereses en Compra Venta Bonos'!$D$7:$D$500,"&lt;="&amp;EOMONTH('Rev JR'!H$1,0))</f>
        <v>0</v>
      </c>
      <c r="I27" s="523">
        <f>+SUMIFS('Intereses en Compra Venta Bonos'!$G$7:$G$500,'Intereses en Compra Venta Bonos'!$B$7:$B$500,'Rev JR'!$A27,'Intereses en Compra Venta Bonos'!$D$7:$D$500,"&gt;="&amp;'Rev JR'!I$1,'Intereses en Compra Venta Bonos'!$D$7:$D$500,"&lt;="&amp;EOMONTH('Rev JR'!I$1,0))</f>
        <v>0</v>
      </c>
      <c r="J27" s="523">
        <f>+SUMIFS('Intereses en Compra Venta Bonos'!$G$7:$G$500,'Intereses en Compra Venta Bonos'!$B$7:$B$500,'Rev JR'!$A27,'Intereses en Compra Venta Bonos'!$D$7:$D$500,"&gt;="&amp;'Rev JR'!J$1,'Intereses en Compra Venta Bonos'!$D$7:$D$500,"&lt;="&amp;EOMONTH('Rev JR'!J$1,0))</f>
        <v>0</v>
      </c>
      <c r="K27" s="523">
        <f>+SUMIFS('Intereses en Compra Venta Bonos'!$G$7:$G$500,'Intereses en Compra Venta Bonos'!$B$7:$B$500,'Rev JR'!$A27,'Intereses en Compra Venta Bonos'!$D$7:$D$500,"&gt;="&amp;'Rev JR'!K$1,'Intereses en Compra Venta Bonos'!$D$7:$D$500,"&lt;="&amp;EOMONTH('Rev JR'!K$1,0))</f>
        <v>0</v>
      </c>
      <c r="L27" s="523">
        <f>+SUMIFS('Intereses en Compra Venta Bonos'!$G$7:$G$500,'Intereses en Compra Venta Bonos'!$B$7:$B$500,'Rev JR'!$A27,'Intereses en Compra Venta Bonos'!$D$7:$D$500,"&gt;="&amp;'Rev JR'!L$1,'Intereses en Compra Venta Bonos'!$D$7:$D$500,"&lt;="&amp;EOMONTH('Rev JR'!L$1,0))</f>
        <v>0</v>
      </c>
      <c r="M27" s="523">
        <f>+SUMIFS('Intereses en Compra Venta Bonos'!$G$7:$G$500,'Intereses en Compra Venta Bonos'!$B$7:$B$500,'Rev JR'!$A27,'Intereses en Compra Venta Bonos'!$D$7:$D$500,"&gt;="&amp;'Rev JR'!M$1,'Intereses en Compra Venta Bonos'!$D$7:$D$500,"&lt;="&amp;EOMONTH('Rev JR'!M$1,0))</f>
        <v>0</v>
      </c>
      <c r="N27" s="523">
        <f>+SUMIFS('Intereses en Compra Venta Bonos'!$G$7:$G$500,'Intereses en Compra Venta Bonos'!$B$7:$B$500,'Rev JR'!$A27,'Intereses en Compra Venta Bonos'!$D$7:$D$500,"&gt;="&amp;'Rev JR'!N$1,'Intereses en Compra Venta Bonos'!$D$7:$D$500,"&lt;="&amp;EOMONTH('Rev JR'!N$1,0))</f>
        <v>0</v>
      </c>
      <c r="O27" s="523">
        <f t="shared" si="3"/>
        <v>0</v>
      </c>
    </row>
    <row r="28" spans="1:15">
      <c r="A28" s="622" t="str">
        <f t="shared" si="4"/>
        <v>029-2XXX3-5</v>
      </c>
      <c r="B28" s="519" t="str">
        <f t="shared" si="5"/>
        <v xml:space="preserve">        Int C/V de Bonos - 029-2XXX3-5</v>
      </c>
      <c r="C28" s="523">
        <f>+SUMIFS('Intereses en Compra Venta Bonos'!$G$7:$G$500,'Intereses en Compra Venta Bonos'!$B$7:$B$500,'Rev JR'!$A28,'Intereses en Compra Venta Bonos'!$D$7:$D$500,"&gt;="&amp;'Rev JR'!C$1,'Intereses en Compra Venta Bonos'!$D$7:$D$500,"&lt;="&amp;EOMONTH('Rev JR'!C$1,0))</f>
        <v>0</v>
      </c>
      <c r="D28" s="523">
        <f>+SUMIFS('Intereses en Compra Venta Bonos'!$G$7:$G$500,'Intereses en Compra Venta Bonos'!$B$7:$B$500,'Rev JR'!$A28,'Intereses en Compra Venta Bonos'!$D$7:$D$500,"&gt;="&amp;'Rev JR'!D$1,'Intereses en Compra Venta Bonos'!$D$7:$D$500,"&lt;="&amp;EOMONTH('Rev JR'!D$1,0))</f>
        <v>0</v>
      </c>
      <c r="E28" s="523">
        <f>+SUMIFS('Intereses en Compra Venta Bonos'!$G$7:$G$500,'Intereses en Compra Venta Bonos'!$B$7:$B$500,'Rev JR'!$A28,'Intereses en Compra Venta Bonos'!$D$7:$D$500,"&gt;="&amp;'Rev JR'!E$1,'Intereses en Compra Venta Bonos'!$D$7:$D$500,"&lt;="&amp;EOMONTH('Rev JR'!E$1,0))</f>
        <v>0</v>
      </c>
      <c r="F28" s="523">
        <f>+SUMIFS('Intereses en Compra Venta Bonos'!$G$7:$G$500,'Intereses en Compra Venta Bonos'!$B$7:$B$500,'Rev JR'!$A28,'Intereses en Compra Venta Bonos'!$D$7:$D$500,"&gt;="&amp;'Rev JR'!F$1,'Intereses en Compra Venta Bonos'!$D$7:$D$500,"&lt;="&amp;EOMONTH('Rev JR'!F$1,0))</f>
        <v>0</v>
      </c>
      <c r="G28" s="523">
        <f>+SUMIFS('Intereses en Compra Venta Bonos'!$G$7:$G$500,'Intereses en Compra Venta Bonos'!$B$7:$B$500,'Rev JR'!$A28,'Intereses en Compra Venta Bonos'!$D$7:$D$500,"&gt;="&amp;'Rev JR'!G$1,'Intereses en Compra Venta Bonos'!$D$7:$D$500,"&lt;="&amp;EOMONTH('Rev JR'!G$1,0))</f>
        <v>0</v>
      </c>
      <c r="H28" s="523">
        <f>+SUMIFS('Intereses en Compra Venta Bonos'!$G$7:$G$500,'Intereses en Compra Venta Bonos'!$B$7:$B$500,'Rev JR'!$A28,'Intereses en Compra Venta Bonos'!$D$7:$D$500,"&gt;="&amp;'Rev JR'!H$1,'Intereses en Compra Venta Bonos'!$D$7:$D$500,"&lt;="&amp;EOMONTH('Rev JR'!H$1,0))</f>
        <v>0</v>
      </c>
      <c r="I28" s="523">
        <f>+SUMIFS('Intereses en Compra Venta Bonos'!$G$7:$G$500,'Intereses en Compra Venta Bonos'!$B$7:$B$500,'Rev JR'!$A28,'Intereses en Compra Venta Bonos'!$D$7:$D$500,"&gt;="&amp;'Rev JR'!I$1,'Intereses en Compra Venta Bonos'!$D$7:$D$500,"&lt;="&amp;EOMONTH('Rev JR'!I$1,0))</f>
        <v>0</v>
      </c>
      <c r="J28" s="523">
        <f>+SUMIFS('Intereses en Compra Venta Bonos'!$G$7:$G$500,'Intereses en Compra Venta Bonos'!$B$7:$B$500,'Rev JR'!$A28,'Intereses en Compra Venta Bonos'!$D$7:$D$500,"&gt;="&amp;'Rev JR'!J$1,'Intereses en Compra Venta Bonos'!$D$7:$D$500,"&lt;="&amp;EOMONTH('Rev JR'!J$1,0))</f>
        <v>0</v>
      </c>
      <c r="K28" s="523">
        <f>+SUMIFS('Intereses en Compra Venta Bonos'!$G$7:$G$500,'Intereses en Compra Venta Bonos'!$B$7:$B$500,'Rev JR'!$A28,'Intereses en Compra Venta Bonos'!$D$7:$D$500,"&gt;="&amp;'Rev JR'!K$1,'Intereses en Compra Venta Bonos'!$D$7:$D$500,"&lt;="&amp;EOMONTH('Rev JR'!K$1,0))</f>
        <v>0</v>
      </c>
      <c r="L28" s="523">
        <f>+SUMIFS('Intereses en Compra Venta Bonos'!$G$7:$G$500,'Intereses en Compra Venta Bonos'!$B$7:$B$500,'Rev JR'!$A28,'Intereses en Compra Venta Bonos'!$D$7:$D$500,"&gt;="&amp;'Rev JR'!L$1,'Intereses en Compra Venta Bonos'!$D$7:$D$500,"&lt;="&amp;EOMONTH('Rev JR'!L$1,0))</f>
        <v>0</v>
      </c>
      <c r="M28" s="523">
        <f>+SUMIFS('Intereses en Compra Venta Bonos'!$G$7:$G$500,'Intereses en Compra Venta Bonos'!$B$7:$B$500,'Rev JR'!$A28,'Intereses en Compra Venta Bonos'!$D$7:$D$500,"&gt;="&amp;'Rev JR'!M$1,'Intereses en Compra Venta Bonos'!$D$7:$D$500,"&lt;="&amp;EOMONTH('Rev JR'!M$1,0))</f>
        <v>0</v>
      </c>
      <c r="N28" s="523">
        <f>+SUMIFS('Intereses en Compra Venta Bonos'!$G$7:$G$500,'Intereses en Compra Venta Bonos'!$B$7:$B$500,'Rev JR'!$A28,'Intereses en Compra Venta Bonos'!$D$7:$D$500,"&gt;="&amp;'Rev JR'!N$1,'Intereses en Compra Venta Bonos'!$D$7:$D$500,"&lt;="&amp;EOMONTH('Rev JR'!N$1,0))</f>
        <v>0</v>
      </c>
      <c r="O28" s="523">
        <f t="shared" si="3"/>
        <v>0</v>
      </c>
    </row>
    <row r="29" spans="1:15">
      <c r="A29" s="622" t="str">
        <f t="shared" si="4"/>
        <v>F</v>
      </c>
      <c r="B29" s="519" t="str">
        <f t="shared" si="5"/>
        <v xml:space="preserve">        Int C/V de Bonos - F</v>
      </c>
      <c r="C29" s="523">
        <f>+SUMIFS('Intereses en Compra Venta Bonos'!$G$7:$G$500,'Intereses en Compra Venta Bonos'!$B$7:$B$500,'Rev JR'!$A29,'Intereses en Compra Venta Bonos'!$D$7:$D$500,"&gt;="&amp;'Rev JR'!C$1,'Intereses en Compra Venta Bonos'!$D$7:$D$500,"&lt;="&amp;EOMONTH('Rev JR'!C$1,0))</f>
        <v>0</v>
      </c>
      <c r="D29" s="523">
        <f>+SUMIFS('Intereses en Compra Venta Bonos'!$G$7:$G$500,'Intereses en Compra Venta Bonos'!$B$7:$B$500,'Rev JR'!$A29,'Intereses en Compra Venta Bonos'!$D$7:$D$500,"&gt;="&amp;'Rev JR'!D$1,'Intereses en Compra Venta Bonos'!$D$7:$D$500,"&lt;="&amp;EOMONTH('Rev JR'!D$1,0))</f>
        <v>0</v>
      </c>
      <c r="E29" s="523">
        <f>+SUMIFS('Intereses en Compra Venta Bonos'!$G$7:$G$500,'Intereses en Compra Venta Bonos'!$B$7:$B$500,'Rev JR'!$A29,'Intereses en Compra Venta Bonos'!$D$7:$D$500,"&gt;="&amp;'Rev JR'!E$1,'Intereses en Compra Venta Bonos'!$D$7:$D$500,"&lt;="&amp;EOMONTH('Rev JR'!E$1,0))</f>
        <v>0</v>
      </c>
      <c r="F29" s="523">
        <f>+SUMIFS('Intereses en Compra Venta Bonos'!$G$7:$G$500,'Intereses en Compra Venta Bonos'!$B$7:$B$500,'Rev JR'!$A29,'Intereses en Compra Venta Bonos'!$D$7:$D$500,"&gt;="&amp;'Rev JR'!F$1,'Intereses en Compra Venta Bonos'!$D$7:$D$500,"&lt;="&amp;EOMONTH('Rev JR'!F$1,0))</f>
        <v>0</v>
      </c>
      <c r="G29" s="523">
        <f>+SUMIFS('Intereses en Compra Venta Bonos'!$G$7:$G$500,'Intereses en Compra Venta Bonos'!$B$7:$B$500,'Rev JR'!$A29,'Intereses en Compra Venta Bonos'!$D$7:$D$500,"&gt;="&amp;'Rev JR'!G$1,'Intereses en Compra Venta Bonos'!$D$7:$D$500,"&lt;="&amp;EOMONTH('Rev JR'!G$1,0))</f>
        <v>0</v>
      </c>
      <c r="H29" s="523">
        <f>+SUMIFS('Intereses en Compra Venta Bonos'!$G$7:$G$500,'Intereses en Compra Venta Bonos'!$B$7:$B$500,'Rev JR'!$A29,'Intereses en Compra Venta Bonos'!$D$7:$D$500,"&gt;="&amp;'Rev JR'!H$1,'Intereses en Compra Venta Bonos'!$D$7:$D$500,"&lt;="&amp;EOMONTH('Rev JR'!H$1,0))</f>
        <v>0</v>
      </c>
      <c r="I29" s="523">
        <f>+SUMIFS('Intereses en Compra Venta Bonos'!$G$7:$G$500,'Intereses en Compra Venta Bonos'!$B$7:$B$500,'Rev JR'!$A29,'Intereses en Compra Venta Bonos'!$D$7:$D$500,"&gt;="&amp;'Rev JR'!I$1,'Intereses en Compra Venta Bonos'!$D$7:$D$500,"&lt;="&amp;EOMONTH('Rev JR'!I$1,0))</f>
        <v>0</v>
      </c>
      <c r="J29" s="523">
        <f>+SUMIFS('Intereses en Compra Venta Bonos'!$G$7:$G$500,'Intereses en Compra Venta Bonos'!$B$7:$B$500,'Rev JR'!$A29,'Intereses en Compra Venta Bonos'!$D$7:$D$500,"&gt;="&amp;'Rev JR'!J$1,'Intereses en Compra Venta Bonos'!$D$7:$D$500,"&lt;="&amp;EOMONTH('Rev JR'!J$1,0))</f>
        <v>0</v>
      </c>
      <c r="K29" s="523">
        <f>+SUMIFS('Intereses en Compra Venta Bonos'!$G$7:$G$500,'Intereses en Compra Venta Bonos'!$B$7:$B$500,'Rev JR'!$A29,'Intereses en Compra Venta Bonos'!$D$7:$D$500,"&gt;="&amp;'Rev JR'!K$1,'Intereses en Compra Venta Bonos'!$D$7:$D$500,"&lt;="&amp;EOMONTH('Rev JR'!K$1,0))</f>
        <v>0</v>
      </c>
      <c r="L29" s="523">
        <f>+SUMIFS('Intereses en Compra Venta Bonos'!$G$7:$G$500,'Intereses en Compra Venta Bonos'!$B$7:$B$500,'Rev JR'!$A29,'Intereses en Compra Venta Bonos'!$D$7:$D$500,"&gt;="&amp;'Rev JR'!L$1,'Intereses en Compra Venta Bonos'!$D$7:$D$500,"&lt;="&amp;EOMONTH('Rev JR'!L$1,0))</f>
        <v>0</v>
      </c>
      <c r="M29" s="523">
        <f>+SUMIFS('Intereses en Compra Venta Bonos'!$G$7:$G$500,'Intereses en Compra Venta Bonos'!$B$7:$B$500,'Rev JR'!$A29,'Intereses en Compra Venta Bonos'!$D$7:$D$500,"&gt;="&amp;'Rev JR'!M$1,'Intereses en Compra Venta Bonos'!$D$7:$D$500,"&lt;="&amp;EOMONTH('Rev JR'!M$1,0))</f>
        <v>0</v>
      </c>
      <c r="N29" s="523">
        <f>+SUMIFS('Intereses en Compra Venta Bonos'!$G$7:$G$500,'Intereses en Compra Venta Bonos'!$B$7:$B$500,'Rev JR'!$A29,'Intereses en Compra Venta Bonos'!$D$7:$D$500,"&gt;="&amp;'Rev JR'!N$1,'Intereses en Compra Venta Bonos'!$D$7:$D$500,"&lt;="&amp;EOMONTH('Rev JR'!N$1,0))</f>
        <v>0</v>
      </c>
      <c r="O29" s="523">
        <f t="shared" si="3"/>
        <v>0</v>
      </c>
    </row>
    <row r="30" spans="1:15">
      <c r="A30" s="622" t="str">
        <f t="shared" si="4"/>
        <v>G</v>
      </c>
      <c r="B30" s="519" t="str">
        <f t="shared" si="5"/>
        <v xml:space="preserve">        Int C/V de Bonos - G</v>
      </c>
      <c r="C30" s="523">
        <f>+SUMIFS('Intereses en Compra Venta Bonos'!$G$7:$G$500,'Intereses en Compra Venta Bonos'!$B$7:$B$500,'Rev JR'!$A30,'Intereses en Compra Venta Bonos'!$D$7:$D$500,"&gt;="&amp;'Rev JR'!C$1,'Intereses en Compra Venta Bonos'!$D$7:$D$500,"&lt;="&amp;EOMONTH('Rev JR'!C$1,0))</f>
        <v>0</v>
      </c>
      <c r="D30" s="523">
        <f>+SUMIFS('Intereses en Compra Venta Bonos'!$G$7:$G$500,'Intereses en Compra Venta Bonos'!$B$7:$B$500,'Rev JR'!$A30,'Intereses en Compra Venta Bonos'!$D$7:$D$500,"&gt;="&amp;'Rev JR'!D$1,'Intereses en Compra Venta Bonos'!$D$7:$D$500,"&lt;="&amp;EOMONTH('Rev JR'!D$1,0))</f>
        <v>0</v>
      </c>
      <c r="E30" s="523">
        <f>+SUMIFS('Intereses en Compra Venta Bonos'!$G$7:$G$500,'Intereses en Compra Venta Bonos'!$B$7:$B$500,'Rev JR'!$A30,'Intereses en Compra Venta Bonos'!$D$7:$D$500,"&gt;="&amp;'Rev JR'!E$1,'Intereses en Compra Venta Bonos'!$D$7:$D$500,"&lt;="&amp;EOMONTH('Rev JR'!E$1,0))</f>
        <v>0</v>
      </c>
      <c r="F30" s="523">
        <f>+SUMIFS('Intereses en Compra Venta Bonos'!$G$7:$G$500,'Intereses en Compra Venta Bonos'!$B$7:$B$500,'Rev JR'!$A30,'Intereses en Compra Venta Bonos'!$D$7:$D$500,"&gt;="&amp;'Rev JR'!F$1,'Intereses en Compra Venta Bonos'!$D$7:$D$500,"&lt;="&amp;EOMONTH('Rev JR'!F$1,0))</f>
        <v>0</v>
      </c>
      <c r="G30" s="523">
        <f>+SUMIFS('Intereses en Compra Venta Bonos'!$G$7:$G$500,'Intereses en Compra Venta Bonos'!$B$7:$B$500,'Rev JR'!$A30,'Intereses en Compra Venta Bonos'!$D$7:$D$500,"&gt;="&amp;'Rev JR'!G$1,'Intereses en Compra Venta Bonos'!$D$7:$D$500,"&lt;="&amp;EOMONTH('Rev JR'!G$1,0))</f>
        <v>0</v>
      </c>
      <c r="H30" s="523">
        <f>+SUMIFS('Intereses en Compra Venta Bonos'!$G$7:$G$500,'Intereses en Compra Venta Bonos'!$B$7:$B$500,'Rev JR'!$A30,'Intereses en Compra Venta Bonos'!$D$7:$D$500,"&gt;="&amp;'Rev JR'!H$1,'Intereses en Compra Venta Bonos'!$D$7:$D$500,"&lt;="&amp;EOMONTH('Rev JR'!H$1,0))</f>
        <v>0</v>
      </c>
      <c r="I30" s="523">
        <f>+SUMIFS('Intereses en Compra Venta Bonos'!$G$7:$G$500,'Intereses en Compra Venta Bonos'!$B$7:$B$500,'Rev JR'!$A30,'Intereses en Compra Venta Bonos'!$D$7:$D$500,"&gt;="&amp;'Rev JR'!I$1,'Intereses en Compra Venta Bonos'!$D$7:$D$500,"&lt;="&amp;EOMONTH('Rev JR'!I$1,0))</f>
        <v>0</v>
      </c>
      <c r="J30" s="523">
        <f>+SUMIFS('Intereses en Compra Venta Bonos'!$G$7:$G$500,'Intereses en Compra Venta Bonos'!$B$7:$B$500,'Rev JR'!$A30,'Intereses en Compra Venta Bonos'!$D$7:$D$500,"&gt;="&amp;'Rev JR'!J$1,'Intereses en Compra Venta Bonos'!$D$7:$D$500,"&lt;="&amp;EOMONTH('Rev JR'!J$1,0))</f>
        <v>0</v>
      </c>
      <c r="K30" s="523">
        <f>+SUMIFS('Intereses en Compra Venta Bonos'!$G$7:$G$500,'Intereses en Compra Venta Bonos'!$B$7:$B$500,'Rev JR'!$A30,'Intereses en Compra Venta Bonos'!$D$7:$D$500,"&gt;="&amp;'Rev JR'!K$1,'Intereses en Compra Venta Bonos'!$D$7:$D$500,"&lt;="&amp;EOMONTH('Rev JR'!K$1,0))</f>
        <v>0</v>
      </c>
      <c r="L30" s="523">
        <f>+SUMIFS('Intereses en Compra Venta Bonos'!$G$7:$G$500,'Intereses en Compra Venta Bonos'!$B$7:$B$500,'Rev JR'!$A30,'Intereses en Compra Venta Bonos'!$D$7:$D$500,"&gt;="&amp;'Rev JR'!L$1,'Intereses en Compra Venta Bonos'!$D$7:$D$500,"&lt;="&amp;EOMONTH('Rev JR'!L$1,0))</f>
        <v>0</v>
      </c>
      <c r="M30" s="523">
        <f>+SUMIFS('Intereses en Compra Venta Bonos'!$G$7:$G$500,'Intereses en Compra Venta Bonos'!$B$7:$B$500,'Rev JR'!$A30,'Intereses en Compra Venta Bonos'!$D$7:$D$500,"&gt;="&amp;'Rev JR'!M$1,'Intereses en Compra Venta Bonos'!$D$7:$D$500,"&lt;="&amp;EOMONTH('Rev JR'!M$1,0))</f>
        <v>0</v>
      </c>
      <c r="N30" s="523">
        <f>+SUMIFS('Intereses en Compra Venta Bonos'!$G$7:$G$500,'Intereses en Compra Venta Bonos'!$B$7:$B$500,'Rev JR'!$A30,'Intereses en Compra Venta Bonos'!$D$7:$D$500,"&gt;="&amp;'Rev JR'!N$1,'Intereses en Compra Venta Bonos'!$D$7:$D$500,"&lt;="&amp;EOMONTH('Rev JR'!N$1,0))</f>
        <v>0</v>
      </c>
      <c r="O30" s="523">
        <f t="shared" si="3"/>
        <v>0</v>
      </c>
    </row>
    <row r="31" spans="1:15">
      <c r="A31" s="622" t="str">
        <f t="shared" si="4"/>
        <v>H</v>
      </c>
      <c r="B31" s="519" t="str">
        <f t="shared" si="5"/>
        <v xml:space="preserve">        Int C/V de Bonos - H</v>
      </c>
      <c r="C31" s="523">
        <f>+SUMIFS('Intereses en Compra Venta Bonos'!$G$7:$G$500,'Intereses en Compra Venta Bonos'!$B$7:$B$500,'Rev JR'!$A31,'Intereses en Compra Venta Bonos'!$D$7:$D$500,"&gt;="&amp;'Rev JR'!C$1,'Intereses en Compra Venta Bonos'!$D$7:$D$500,"&lt;="&amp;EOMONTH('Rev JR'!C$1,0))</f>
        <v>0</v>
      </c>
      <c r="D31" s="523">
        <f>+SUMIFS('Intereses en Compra Venta Bonos'!$G$7:$G$500,'Intereses en Compra Venta Bonos'!$B$7:$B$500,'Rev JR'!$A31,'Intereses en Compra Venta Bonos'!$D$7:$D$500,"&gt;="&amp;'Rev JR'!D$1,'Intereses en Compra Venta Bonos'!$D$7:$D$500,"&lt;="&amp;EOMONTH('Rev JR'!D$1,0))</f>
        <v>0</v>
      </c>
      <c r="E31" s="523">
        <f>+SUMIFS('Intereses en Compra Venta Bonos'!$G$7:$G$500,'Intereses en Compra Venta Bonos'!$B$7:$B$500,'Rev JR'!$A31,'Intereses en Compra Venta Bonos'!$D$7:$D$500,"&gt;="&amp;'Rev JR'!E$1,'Intereses en Compra Venta Bonos'!$D$7:$D$500,"&lt;="&amp;EOMONTH('Rev JR'!E$1,0))</f>
        <v>0</v>
      </c>
      <c r="F31" s="523">
        <f>+SUMIFS('Intereses en Compra Venta Bonos'!$G$7:$G$500,'Intereses en Compra Venta Bonos'!$B$7:$B$500,'Rev JR'!$A31,'Intereses en Compra Venta Bonos'!$D$7:$D$500,"&gt;="&amp;'Rev JR'!F$1,'Intereses en Compra Venta Bonos'!$D$7:$D$500,"&lt;="&amp;EOMONTH('Rev JR'!F$1,0))</f>
        <v>0</v>
      </c>
      <c r="G31" s="523">
        <f>+SUMIFS('Intereses en Compra Venta Bonos'!$G$7:$G$500,'Intereses en Compra Venta Bonos'!$B$7:$B$500,'Rev JR'!$A31,'Intereses en Compra Venta Bonos'!$D$7:$D$500,"&gt;="&amp;'Rev JR'!G$1,'Intereses en Compra Venta Bonos'!$D$7:$D$500,"&lt;="&amp;EOMONTH('Rev JR'!G$1,0))</f>
        <v>0</v>
      </c>
      <c r="H31" s="523">
        <f>+SUMIFS('Intereses en Compra Venta Bonos'!$G$7:$G$500,'Intereses en Compra Venta Bonos'!$B$7:$B$500,'Rev JR'!$A31,'Intereses en Compra Venta Bonos'!$D$7:$D$500,"&gt;="&amp;'Rev JR'!H$1,'Intereses en Compra Venta Bonos'!$D$7:$D$500,"&lt;="&amp;EOMONTH('Rev JR'!H$1,0))</f>
        <v>0</v>
      </c>
      <c r="I31" s="523">
        <f>+SUMIFS('Intereses en Compra Venta Bonos'!$G$7:$G$500,'Intereses en Compra Venta Bonos'!$B$7:$B$500,'Rev JR'!$A31,'Intereses en Compra Venta Bonos'!$D$7:$D$500,"&gt;="&amp;'Rev JR'!I$1,'Intereses en Compra Venta Bonos'!$D$7:$D$500,"&lt;="&amp;EOMONTH('Rev JR'!I$1,0))</f>
        <v>0</v>
      </c>
      <c r="J31" s="523">
        <f>+SUMIFS('Intereses en Compra Venta Bonos'!$G$7:$G$500,'Intereses en Compra Venta Bonos'!$B$7:$B$500,'Rev JR'!$A31,'Intereses en Compra Venta Bonos'!$D$7:$D$500,"&gt;="&amp;'Rev JR'!J$1,'Intereses en Compra Venta Bonos'!$D$7:$D$500,"&lt;="&amp;EOMONTH('Rev JR'!J$1,0))</f>
        <v>0</v>
      </c>
      <c r="K31" s="523">
        <f>+SUMIFS('Intereses en Compra Venta Bonos'!$G$7:$G$500,'Intereses en Compra Venta Bonos'!$B$7:$B$500,'Rev JR'!$A31,'Intereses en Compra Venta Bonos'!$D$7:$D$500,"&gt;="&amp;'Rev JR'!K$1,'Intereses en Compra Venta Bonos'!$D$7:$D$500,"&lt;="&amp;EOMONTH('Rev JR'!K$1,0))</f>
        <v>0</v>
      </c>
      <c r="L31" s="523">
        <f>+SUMIFS('Intereses en Compra Venta Bonos'!$G$7:$G$500,'Intereses en Compra Venta Bonos'!$B$7:$B$500,'Rev JR'!$A31,'Intereses en Compra Venta Bonos'!$D$7:$D$500,"&gt;="&amp;'Rev JR'!L$1,'Intereses en Compra Venta Bonos'!$D$7:$D$500,"&lt;="&amp;EOMONTH('Rev JR'!L$1,0))</f>
        <v>0</v>
      </c>
      <c r="M31" s="523">
        <f>+SUMIFS('Intereses en Compra Venta Bonos'!$G$7:$G$500,'Intereses en Compra Venta Bonos'!$B$7:$B$500,'Rev JR'!$A31,'Intereses en Compra Venta Bonos'!$D$7:$D$500,"&gt;="&amp;'Rev JR'!M$1,'Intereses en Compra Venta Bonos'!$D$7:$D$500,"&lt;="&amp;EOMONTH('Rev JR'!M$1,0))</f>
        <v>0</v>
      </c>
      <c r="N31" s="523">
        <f>+SUMIFS('Intereses en Compra Venta Bonos'!$G$7:$G$500,'Intereses en Compra Venta Bonos'!$B$7:$B$500,'Rev JR'!$A31,'Intereses en Compra Venta Bonos'!$D$7:$D$500,"&gt;="&amp;'Rev JR'!N$1,'Intereses en Compra Venta Bonos'!$D$7:$D$500,"&lt;="&amp;EOMONTH('Rev JR'!N$1,0))</f>
        <v>0</v>
      </c>
      <c r="O31" s="523">
        <f t="shared" si="3"/>
        <v>0</v>
      </c>
    </row>
    <row r="32" spans="1:15">
      <c r="A32" s="622" t="str">
        <f t="shared" si="4"/>
        <v>I</v>
      </c>
      <c r="B32" s="519" t="str">
        <f t="shared" si="5"/>
        <v xml:space="preserve">        Int C/V de Bonos - I</v>
      </c>
      <c r="C32" s="523">
        <f>+SUMIFS('Intereses en Compra Venta Bonos'!$G$7:$G$500,'Intereses en Compra Venta Bonos'!$B$7:$B$500,'Rev JR'!$A32,'Intereses en Compra Venta Bonos'!$D$7:$D$500,"&gt;="&amp;'Rev JR'!C$1,'Intereses en Compra Venta Bonos'!$D$7:$D$500,"&lt;="&amp;EOMONTH('Rev JR'!C$1,0))</f>
        <v>0</v>
      </c>
      <c r="D32" s="523">
        <f>+SUMIFS('Intereses en Compra Venta Bonos'!$G$7:$G$500,'Intereses en Compra Venta Bonos'!$B$7:$B$500,'Rev JR'!$A32,'Intereses en Compra Venta Bonos'!$D$7:$D$500,"&gt;="&amp;'Rev JR'!D$1,'Intereses en Compra Venta Bonos'!$D$7:$D$500,"&lt;="&amp;EOMONTH('Rev JR'!D$1,0))</f>
        <v>0</v>
      </c>
      <c r="E32" s="523">
        <f>+SUMIFS('Intereses en Compra Venta Bonos'!$G$7:$G$500,'Intereses en Compra Venta Bonos'!$B$7:$B$500,'Rev JR'!$A32,'Intereses en Compra Venta Bonos'!$D$7:$D$500,"&gt;="&amp;'Rev JR'!E$1,'Intereses en Compra Venta Bonos'!$D$7:$D$500,"&lt;="&amp;EOMONTH('Rev JR'!E$1,0))</f>
        <v>0</v>
      </c>
      <c r="F32" s="523">
        <f>+SUMIFS('Intereses en Compra Venta Bonos'!$G$7:$G$500,'Intereses en Compra Venta Bonos'!$B$7:$B$500,'Rev JR'!$A32,'Intereses en Compra Venta Bonos'!$D$7:$D$500,"&gt;="&amp;'Rev JR'!F$1,'Intereses en Compra Venta Bonos'!$D$7:$D$500,"&lt;="&amp;EOMONTH('Rev JR'!F$1,0))</f>
        <v>0</v>
      </c>
      <c r="G32" s="523">
        <f>+SUMIFS('Intereses en Compra Venta Bonos'!$G$7:$G$500,'Intereses en Compra Venta Bonos'!$B$7:$B$500,'Rev JR'!$A32,'Intereses en Compra Venta Bonos'!$D$7:$D$500,"&gt;="&amp;'Rev JR'!G$1,'Intereses en Compra Venta Bonos'!$D$7:$D$500,"&lt;="&amp;EOMONTH('Rev JR'!G$1,0))</f>
        <v>0</v>
      </c>
      <c r="H32" s="523">
        <f>+SUMIFS('Intereses en Compra Venta Bonos'!$G$7:$G$500,'Intereses en Compra Venta Bonos'!$B$7:$B$500,'Rev JR'!$A32,'Intereses en Compra Venta Bonos'!$D$7:$D$500,"&gt;="&amp;'Rev JR'!H$1,'Intereses en Compra Venta Bonos'!$D$7:$D$500,"&lt;="&amp;EOMONTH('Rev JR'!H$1,0))</f>
        <v>0</v>
      </c>
      <c r="I32" s="523">
        <f>+SUMIFS('Intereses en Compra Venta Bonos'!$G$7:$G$500,'Intereses en Compra Venta Bonos'!$B$7:$B$500,'Rev JR'!$A32,'Intereses en Compra Venta Bonos'!$D$7:$D$500,"&gt;="&amp;'Rev JR'!I$1,'Intereses en Compra Venta Bonos'!$D$7:$D$500,"&lt;="&amp;EOMONTH('Rev JR'!I$1,0))</f>
        <v>0</v>
      </c>
      <c r="J32" s="523">
        <f>+SUMIFS('Intereses en Compra Venta Bonos'!$G$7:$G$500,'Intereses en Compra Venta Bonos'!$B$7:$B$500,'Rev JR'!$A32,'Intereses en Compra Venta Bonos'!$D$7:$D$500,"&gt;="&amp;'Rev JR'!J$1,'Intereses en Compra Venta Bonos'!$D$7:$D$500,"&lt;="&amp;EOMONTH('Rev JR'!J$1,0))</f>
        <v>0</v>
      </c>
      <c r="K32" s="523">
        <f>+SUMIFS('Intereses en Compra Venta Bonos'!$G$7:$G$500,'Intereses en Compra Venta Bonos'!$B$7:$B$500,'Rev JR'!$A32,'Intereses en Compra Venta Bonos'!$D$7:$D$500,"&gt;="&amp;'Rev JR'!K$1,'Intereses en Compra Venta Bonos'!$D$7:$D$500,"&lt;="&amp;EOMONTH('Rev JR'!K$1,0))</f>
        <v>0</v>
      </c>
      <c r="L32" s="523">
        <f>+SUMIFS('Intereses en Compra Venta Bonos'!$G$7:$G$500,'Intereses en Compra Venta Bonos'!$B$7:$B$500,'Rev JR'!$A32,'Intereses en Compra Venta Bonos'!$D$7:$D$500,"&gt;="&amp;'Rev JR'!L$1,'Intereses en Compra Venta Bonos'!$D$7:$D$500,"&lt;="&amp;EOMONTH('Rev JR'!L$1,0))</f>
        <v>0</v>
      </c>
      <c r="M32" s="523">
        <f>+SUMIFS('Intereses en Compra Venta Bonos'!$G$7:$G$500,'Intereses en Compra Venta Bonos'!$B$7:$B$500,'Rev JR'!$A32,'Intereses en Compra Venta Bonos'!$D$7:$D$500,"&gt;="&amp;'Rev JR'!M$1,'Intereses en Compra Venta Bonos'!$D$7:$D$500,"&lt;="&amp;EOMONTH('Rev JR'!M$1,0))</f>
        <v>0</v>
      </c>
      <c r="N32" s="523">
        <f>+SUMIFS('Intereses en Compra Venta Bonos'!$G$7:$G$500,'Intereses en Compra Venta Bonos'!$B$7:$B$500,'Rev JR'!$A32,'Intereses en Compra Venta Bonos'!$D$7:$D$500,"&gt;="&amp;'Rev JR'!N$1,'Intereses en Compra Venta Bonos'!$D$7:$D$500,"&lt;="&amp;EOMONTH('Rev JR'!N$1,0))</f>
        <v>0</v>
      </c>
      <c r="O32" s="523">
        <f t="shared" si="3"/>
        <v>0</v>
      </c>
    </row>
    <row r="33" spans="1:15">
      <c r="A33" s="622" t="str">
        <f t="shared" si="4"/>
        <v>J</v>
      </c>
      <c r="B33" s="519" t="str">
        <f t="shared" si="5"/>
        <v xml:space="preserve">        Int C/V de Bonos - J</v>
      </c>
      <c r="C33" s="523">
        <f>+SUMIFS('Intereses en Compra Venta Bonos'!$G$7:$G$500,'Intereses en Compra Venta Bonos'!$B$7:$B$500,'Rev JR'!$A33,'Intereses en Compra Venta Bonos'!$D$7:$D$500,"&gt;="&amp;'Rev JR'!C$1,'Intereses en Compra Venta Bonos'!$D$7:$D$500,"&lt;="&amp;EOMONTH('Rev JR'!C$1,0))</f>
        <v>0</v>
      </c>
      <c r="D33" s="523">
        <f>+SUMIFS('Intereses en Compra Venta Bonos'!$G$7:$G$500,'Intereses en Compra Venta Bonos'!$B$7:$B$500,'Rev JR'!$A33,'Intereses en Compra Venta Bonos'!$D$7:$D$500,"&gt;="&amp;'Rev JR'!D$1,'Intereses en Compra Venta Bonos'!$D$7:$D$500,"&lt;="&amp;EOMONTH('Rev JR'!D$1,0))</f>
        <v>0</v>
      </c>
      <c r="E33" s="523">
        <f>+SUMIFS('Intereses en Compra Venta Bonos'!$G$7:$G$500,'Intereses en Compra Venta Bonos'!$B$7:$B$500,'Rev JR'!$A33,'Intereses en Compra Venta Bonos'!$D$7:$D$500,"&gt;="&amp;'Rev JR'!E$1,'Intereses en Compra Venta Bonos'!$D$7:$D$500,"&lt;="&amp;EOMONTH('Rev JR'!E$1,0))</f>
        <v>0</v>
      </c>
      <c r="F33" s="523">
        <f>+SUMIFS('Intereses en Compra Venta Bonos'!$G$7:$G$500,'Intereses en Compra Venta Bonos'!$B$7:$B$500,'Rev JR'!$A33,'Intereses en Compra Venta Bonos'!$D$7:$D$500,"&gt;="&amp;'Rev JR'!F$1,'Intereses en Compra Venta Bonos'!$D$7:$D$500,"&lt;="&amp;EOMONTH('Rev JR'!F$1,0))</f>
        <v>0</v>
      </c>
      <c r="G33" s="523">
        <f>+SUMIFS('Intereses en Compra Venta Bonos'!$G$7:$G$500,'Intereses en Compra Venta Bonos'!$B$7:$B$500,'Rev JR'!$A33,'Intereses en Compra Venta Bonos'!$D$7:$D$500,"&gt;="&amp;'Rev JR'!G$1,'Intereses en Compra Venta Bonos'!$D$7:$D$500,"&lt;="&amp;EOMONTH('Rev JR'!G$1,0))</f>
        <v>0</v>
      </c>
      <c r="H33" s="523">
        <f>+SUMIFS('Intereses en Compra Venta Bonos'!$G$7:$G$500,'Intereses en Compra Venta Bonos'!$B$7:$B$500,'Rev JR'!$A33,'Intereses en Compra Venta Bonos'!$D$7:$D$500,"&gt;="&amp;'Rev JR'!H$1,'Intereses en Compra Venta Bonos'!$D$7:$D$500,"&lt;="&amp;EOMONTH('Rev JR'!H$1,0))</f>
        <v>0</v>
      </c>
      <c r="I33" s="523">
        <f>+SUMIFS('Intereses en Compra Venta Bonos'!$G$7:$G$500,'Intereses en Compra Venta Bonos'!$B$7:$B$500,'Rev JR'!$A33,'Intereses en Compra Venta Bonos'!$D$7:$D$500,"&gt;="&amp;'Rev JR'!I$1,'Intereses en Compra Venta Bonos'!$D$7:$D$500,"&lt;="&amp;EOMONTH('Rev JR'!I$1,0))</f>
        <v>0</v>
      </c>
      <c r="J33" s="523">
        <f>+SUMIFS('Intereses en Compra Venta Bonos'!$G$7:$G$500,'Intereses en Compra Venta Bonos'!$B$7:$B$500,'Rev JR'!$A33,'Intereses en Compra Venta Bonos'!$D$7:$D$500,"&gt;="&amp;'Rev JR'!J$1,'Intereses en Compra Venta Bonos'!$D$7:$D$500,"&lt;="&amp;EOMONTH('Rev JR'!J$1,0))</f>
        <v>0</v>
      </c>
      <c r="K33" s="523">
        <f>+SUMIFS('Intereses en Compra Venta Bonos'!$G$7:$G$500,'Intereses en Compra Venta Bonos'!$B$7:$B$500,'Rev JR'!$A33,'Intereses en Compra Venta Bonos'!$D$7:$D$500,"&gt;="&amp;'Rev JR'!K$1,'Intereses en Compra Venta Bonos'!$D$7:$D$500,"&lt;="&amp;EOMONTH('Rev JR'!K$1,0))</f>
        <v>0</v>
      </c>
      <c r="L33" s="523">
        <f>+SUMIFS('Intereses en Compra Venta Bonos'!$G$7:$G$500,'Intereses en Compra Venta Bonos'!$B$7:$B$500,'Rev JR'!$A33,'Intereses en Compra Venta Bonos'!$D$7:$D$500,"&gt;="&amp;'Rev JR'!L$1,'Intereses en Compra Venta Bonos'!$D$7:$D$500,"&lt;="&amp;EOMONTH('Rev JR'!L$1,0))</f>
        <v>0</v>
      </c>
      <c r="M33" s="523">
        <f>+SUMIFS('Intereses en Compra Venta Bonos'!$G$7:$G$500,'Intereses en Compra Venta Bonos'!$B$7:$B$500,'Rev JR'!$A33,'Intereses en Compra Venta Bonos'!$D$7:$D$500,"&gt;="&amp;'Rev JR'!M$1,'Intereses en Compra Venta Bonos'!$D$7:$D$500,"&lt;="&amp;EOMONTH('Rev JR'!M$1,0))</f>
        <v>0</v>
      </c>
      <c r="N33" s="523">
        <f>+SUMIFS('Intereses en Compra Venta Bonos'!$G$7:$G$500,'Intereses en Compra Venta Bonos'!$B$7:$B$500,'Rev JR'!$A33,'Intereses en Compra Venta Bonos'!$D$7:$D$500,"&gt;="&amp;'Rev JR'!N$1,'Intereses en Compra Venta Bonos'!$D$7:$D$500,"&lt;="&amp;EOMONTH('Rev JR'!N$1,0))</f>
        <v>0</v>
      </c>
      <c r="O33" s="523">
        <f t="shared" si="3"/>
        <v>0</v>
      </c>
    </row>
    <row r="34" spans="1:15">
      <c r="A34" s="622" t="str">
        <f t="shared" si="4"/>
        <v>K</v>
      </c>
      <c r="B34" s="519" t="str">
        <f t="shared" si="5"/>
        <v xml:space="preserve">        Int C/V de Bonos - K</v>
      </c>
      <c r="C34" s="523">
        <f>+SUMIFS('Intereses en Compra Venta Bonos'!$G$7:$G$500,'Intereses en Compra Venta Bonos'!$B$7:$B$500,'Rev JR'!$A34,'Intereses en Compra Venta Bonos'!$D$7:$D$500,"&gt;="&amp;'Rev JR'!C$1,'Intereses en Compra Venta Bonos'!$D$7:$D$500,"&lt;="&amp;EOMONTH('Rev JR'!C$1,0))</f>
        <v>0</v>
      </c>
      <c r="D34" s="523">
        <f>+SUMIFS('Intereses en Compra Venta Bonos'!$G$7:$G$500,'Intereses en Compra Venta Bonos'!$B$7:$B$500,'Rev JR'!$A34,'Intereses en Compra Venta Bonos'!$D$7:$D$500,"&gt;="&amp;'Rev JR'!D$1,'Intereses en Compra Venta Bonos'!$D$7:$D$500,"&lt;="&amp;EOMONTH('Rev JR'!D$1,0))</f>
        <v>0</v>
      </c>
      <c r="E34" s="523">
        <f>+SUMIFS('Intereses en Compra Venta Bonos'!$G$7:$G$500,'Intereses en Compra Venta Bonos'!$B$7:$B$500,'Rev JR'!$A34,'Intereses en Compra Venta Bonos'!$D$7:$D$500,"&gt;="&amp;'Rev JR'!E$1,'Intereses en Compra Venta Bonos'!$D$7:$D$500,"&lt;="&amp;EOMONTH('Rev JR'!E$1,0))</f>
        <v>0</v>
      </c>
      <c r="F34" s="523">
        <f>+SUMIFS('Intereses en Compra Venta Bonos'!$G$7:$G$500,'Intereses en Compra Venta Bonos'!$B$7:$B$500,'Rev JR'!$A34,'Intereses en Compra Venta Bonos'!$D$7:$D$500,"&gt;="&amp;'Rev JR'!F$1,'Intereses en Compra Venta Bonos'!$D$7:$D$500,"&lt;="&amp;EOMONTH('Rev JR'!F$1,0))</f>
        <v>0</v>
      </c>
      <c r="G34" s="523">
        <f>+SUMIFS('Intereses en Compra Venta Bonos'!$G$7:$G$500,'Intereses en Compra Venta Bonos'!$B$7:$B$500,'Rev JR'!$A34,'Intereses en Compra Venta Bonos'!$D$7:$D$500,"&gt;="&amp;'Rev JR'!G$1,'Intereses en Compra Venta Bonos'!$D$7:$D$500,"&lt;="&amp;EOMONTH('Rev JR'!G$1,0))</f>
        <v>0</v>
      </c>
      <c r="H34" s="523">
        <f>+SUMIFS('Intereses en Compra Venta Bonos'!$G$7:$G$500,'Intereses en Compra Venta Bonos'!$B$7:$B$500,'Rev JR'!$A34,'Intereses en Compra Venta Bonos'!$D$7:$D$500,"&gt;="&amp;'Rev JR'!H$1,'Intereses en Compra Venta Bonos'!$D$7:$D$500,"&lt;="&amp;EOMONTH('Rev JR'!H$1,0))</f>
        <v>0</v>
      </c>
      <c r="I34" s="523">
        <f>+SUMIFS('Intereses en Compra Venta Bonos'!$G$7:$G$500,'Intereses en Compra Venta Bonos'!$B$7:$B$500,'Rev JR'!$A34,'Intereses en Compra Venta Bonos'!$D$7:$D$500,"&gt;="&amp;'Rev JR'!I$1,'Intereses en Compra Venta Bonos'!$D$7:$D$500,"&lt;="&amp;EOMONTH('Rev JR'!I$1,0))</f>
        <v>0</v>
      </c>
      <c r="J34" s="523">
        <f>+SUMIFS('Intereses en Compra Venta Bonos'!$G$7:$G$500,'Intereses en Compra Venta Bonos'!$B$7:$B$500,'Rev JR'!$A34,'Intereses en Compra Venta Bonos'!$D$7:$D$500,"&gt;="&amp;'Rev JR'!J$1,'Intereses en Compra Venta Bonos'!$D$7:$D$500,"&lt;="&amp;EOMONTH('Rev JR'!J$1,0))</f>
        <v>0</v>
      </c>
      <c r="K34" s="523">
        <f>+SUMIFS('Intereses en Compra Venta Bonos'!$G$7:$G$500,'Intereses en Compra Venta Bonos'!$B$7:$B$500,'Rev JR'!$A34,'Intereses en Compra Venta Bonos'!$D$7:$D$500,"&gt;="&amp;'Rev JR'!K$1,'Intereses en Compra Venta Bonos'!$D$7:$D$500,"&lt;="&amp;EOMONTH('Rev JR'!K$1,0))</f>
        <v>0</v>
      </c>
      <c r="L34" s="523">
        <f>+SUMIFS('Intereses en Compra Venta Bonos'!$G$7:$G$500,'Intereses en Compra Venta Bonos'!$B$7:$B$500,'Rev JR'!$A34,'Intereses en Compra Venta Bonos'!$D$7:$D$500,"&gt;="&amp;'Rev JR'!L$1,'Intereses en Compra Venta Bonos'!$D$7:$D$500,"&lt;="&amp;EOMONTH('Rev JR'!L$1,0))</f>
        <v>0</v>
      </c>
      <c r="M34" s="523">
        <f>+SUMIFS('Intereses en Compra Venta Bonos'!$G$7:$G$500,'Intereses en Compra Venta Bonos'!$B$7:$B$500,'Rev JR'!$A34,'Intereses en Compra Venta Bonos'!$D$7:$D$500,"&gt;="&amp;'Rev JR'!M$1,'Intereses en Compra Venta Bonos'!$D$7:$D$500,"&lt;="&amp;EOMONTH('Rev JR'!M$1,0))</f>
        <v>0</v>
      </c>
      <c r="N34" s="523">
        <f>+SUMIFS('Intereses en Compra Venta Bonos'!$G$7:$G$500,'Intereses en Compra Venta Bonos'!$B$7:$B$500,'Rev JR'!$A34,'Intereses en Compra Venta Bonos'!$D$7:$D$500,"&gt;="&amp;'Rev JR'!N$1,'Intereses en Compra Venta Bonos'!$D$7:$D$500,"&lt;="&amp;EOMONTH('Rev JR'!N$1,0))</f>
        <v>0</v>
      </c>
      <c r="O34" s="523">
        <f t="shared" si="3"/>
        <v>0</v>
      </c>
    </row>
    <row r="35" spans="1:15">
      <c r="A35" s="622" t="str">
        <f t="shared" si="4"/>
        <v>L</v>
      </c>
      <c r="B35" s="519" t="str">
        <f t="shared" si="5"/>
        <v xml:space="preserve">        Int C/V de Bonos - L</v>
      </c>
      <c r="C35" s="523">
        <f>+SUMIFS('Intereses en Compra Venta Bonos'!$G$7:$G$500,'Intereses en Compra Venta Bonos'!$B$7:$B$500,'Rev JR'!$A35,'Intereses en Compra Venta Bonos'!$D$7:$D$500,"&gt;="&amp;'Rev JR'!C$1,'Intereses en Compra Venta Bonos'!$D$7:$D$500,"&lt;="&amp;EOMONTH('Rev JR'!C$1,0))</f>
        <v>0</v>
      </c>
      <c r="D35" s="523">
        <f>+SUMIFS('Intereses en Compra Venta Bonos'!$G$7:$G$500,'Intereses en Compra Venta Bonos'!$B$7:$B$500,'Rev JR'!$A35,'Intereses en Compra Venta Bonos'!$D$7:$D$500,"&gt;="&amp;'Rev JR'!D$1,'Intereses en Compra Venta Bonos'!$D$7:$D$500,"&lt;="&amp;EOMONTH('Rev JR'!D$1,0))</f>
        <v>0</v>
      </c>
      <c r="E35" s="523">
        <f>+SUMIFS('Intereses en Compra Venta Bonos'!$G$7:$G$500,'Intereses en Compra Venta Bonos'!$B$7:$B$500,'Rev JR'!$A35,'Intereses en Compra Venta Bonos'!$D$7:$D$500,"&gt;="&amp;'Rev JR'!E$1,'Intereses en Compra Venta Bonos'!$D$7:$D$500,"&lt;="&amp;EOMONTH('Rev JR'!E$1,0))</f>
        <v>0</v>
      </c>
      <c r="F35" s="523">
        <f>+SUMIFS('Intereses en Compra Venta Bonos'!$G$7:$G$500,'Intereses en Compra Venta Bonos'!$B$7:$B$500,'Rev JR'!$A35,'Intereses en Compra Venta Bonos'!$D$7:$D$500,"&gt;="&amp;'Rev JR'!F$1,'Intereses en Compra Venta Bonos'!$D$7:$D$500,"&lt;="&amp;EOMONTH('Rev JR'!F$1,0))</f>
        <v>0</v>
      </c>
      <c r="G35" s="523">
        <f>+SUMIFS('Intereses en Compra Venta Bonos'!$G$7:$G$500,'Intereses en Compra Venta Bonos'!$B$7:$B$500,'Rev JR'!$A35,'Intereses en Compra Venta Bonos'!$D$7:$D$500,"&gt;="&amp;'Rev JR'!G$1,'Intereses en Compra Venta Bonos'!$D$7:$D$500,"&lt;="&amp;EOMONTH('Rev JR'!G$1,0))</f>
        <v>0</v>
      </c>
      <c r="H35" s="523">
        <f>+SUMIFS('Intereses en Compra Venta Bonos'!$G$7:$G$500,'Intereses en Compra Venta Bonos'!$B$7:$B$500,'Rev JR'!$A35,'Intereses en Compra Venta Bonos'!$D$7:$D$500,"&gt;="&amp;'Rev JR'!H$1,'Intereses en Compra Venta Bonos'!$D$7:$D$500,"&lt;="&amp;EOMONTH('Rev JR'!H$1,0))</f>
        <v>0</v>
      </c>
      <c r="I35" s="523">
        <f>+SUMIFS('Intereses en Compra Venta Bonos'!$G$7:$G$500,'Intereses en Compra Venta Bonos'!$B$7:$B$500,'Rev JR'!$A35,'Intereses en Compra Venta Bonos'!$D$7:$D$500,"&gt;="&amp;'Rev JR'!I$1,'Intereses en Compra Venta Bonos'!$D$7:$D$500,"&lt;="&amp;EOMONTH('Rev JR'!I$1,0))</f>
        <v>0</v>
      </c>
      <c r="J35" s="523">
        <f>+SUMIFS('Intereses en Compra Venta Bonos'!$G$7:$G$500,'Intereses en Compra Venta Bonos'!$B$7:$B$500,'Rev JR'!$A35,'Intereses en Compra Venta Bonos'!$D$7:$D$500,"&gt;="&amp;'Rev JR'!J$1,'Intereses en Compra Venta Bonos'!$D$7:$D$500,"&lt;="&amp;EOMONTH('Rev JR'!J$1,0))</f>
        <v>0</v>
      </c>
      <c r="K35" s="523">
        <f>+SUMIFS('Intereses en Compra Venta Bonos'!$G$7:$G$500,'Intereses en Compra Venta Bonos'!$B$7:$B$500,'Rev JR'!$A35,'Intereses en Compra Venta Bonos'!$D$7:$D$500,"&gt;="&amp;'Rev JR'!K$1,'Intereses en Compra Venta Bonos'!$D$7:$D$500,"&lt;="&amp;EOMONTH('Rev JR'!K$1,0))</f>
        <v>0</v>
      </c>
      <c r="L35" s="523">
        <f>+SUMIFS('Intereses en Compra Venta Bonos'!$G$7:$G$500,'Intereses en Compra Venta Bonos'!$B$7:$B$500,'Rev JR'!$A35,'Intereses en Compra Venta Bonos'!$D$7:$D$500,"&gt;="&amp;'Rev JR'!L$1,'Intereses en Compra Venta Bonos'!$D$7:$D$500,"&lt;="&amp;EOMONTH('Rev JR'!L$1,0))</f>
        <v>0</v>
      </c>
      <c r="M35" s="523">
        <f>+SUMIFS('Intereses en Compra Venta Bonos'!$G$7:$G$500,'Intereses en Compra Venta Bonos'!$B$7:$B$500,'Rev JR'!$A35,'Intereses en Compra Venta Bonos'!$D$7:$D$500,"&gt;="&amp;'Rev JR'!M$1,'Intereses en Compra Venta Bonos'!$D$7:$D$500,"&lt;="&amp;EOMONTH('Rev JR'!M$1,0))</f>
        <v>0</v>
      </c>
      <c r="N35" s="523">
        <f>+SUMIFS('Intereses en Compra Venta Bonos'!$G$7:$G$500,'Intereses en Compra Venta Bonos'!$B$7:$B$500,'Rev JR'!$A35,'Intereses en Compra Venta Bonos'!$D$7:$D$500,"&gt;="&amp;'Rev JR'!N$1,'Intereses en Compra Venta Bonos'!$D$7:$D$500,"&lt;="&amp;EOMONTH('Rev JR'!N$1,0))</f>
        <v>0</v>
      </c>
      <c r="O35" s="523">
        <f t="shared" si="3"/>
        <v>0</v>
      </c>
    </row>
    <row r="36" spans="1:15">
      <c r="A36" s="622" t="str">
        <f t="shared" si="4"/>
        <v>M</v>
      </c>
      <c r="B36" s="519" t="str">
        <f t="shared" si="5"/>
        <v xml:space="preserve">        Int C/V de Bonos - M</v>
      </c>
      <c r="C36" s="523">
        <f>+SUMIFS('Intereses en Compra Venta Bonos'!$G$7:$G$500,'Intereses en Compra Venta Bonos'!$B$7:$B$500,'Rev JR'!$A36,'Intereses en Compra Venta Bonos'!$D$7:$D$500,"&gt;="&amp;'Rev JR'!C$1,'Intereses en Compra Venta Bonos'!$D$7:$D$500,"&lt;="&amp;EOMONTH('Rev JR'!C$1,0))</f>
        <v>0</v>
      </c>
      <c r="D36" s="523">
        <f>+SUMIFS('Intereses en Compra Venta Bonos'!$G$7:$G$500,'Intereses en Compra Venta Bonos'!$B$7:$B$500,'Rev JR'!$A36,'Intereses en Compra Venta Bonos'!$D$7:$D$500,"&gt;="&amp;'Rev JR'!D$1,'Intereses en Compra Venta Bonos'!$D$7:$D$500,"&lt;="&amp;EOMONTH('Rev JR'!D$1,0))</f>
        <v>0</v>
      </c>
      <c r="E36" s="523">
        <f>+SUMIFS('Intereses en Compra Venta Bonos'!$G$7:$G$500,'Intereses en Compra Venta Bonos'!$B$7:$B$500,'Rev JR'!$A36,'Intereses en Compra Venta Bonos'!$D$7:$D$500,"&gt;="&amp;'Rev JR'!E$1,'Intereses en Compra Venta Bonos'!$D$7:$D$500,"&lt;="&amp;EOMONTH('Rev JR'!E$1,0))</f>
        <v>0</v>
      </c>
      <c r="F36" s="523">
        <f>+SUMIFS('Intereses en Compra Venta Bonos'!$G$7:$G$500,'Intereses en Compra Venta Bonos'!$B$7:$B$500,'Rev JR'!$A36,'Intereses en Compra Venta Bonos'!$D$7:$D$500,"&gt;="&amp;'Rev JR'!F$1,'Intereses en Compra Venta Bonos'!$D$7:$D$500,"&lt;="&amp;EOMONTH('Rev JR'!F$1,0))</f>
        <v>0</v>
      </c>
      <c r="G36" s="523">
        <f>+SUMIFS('Intereses en Compra Venta Bonos'!$G$7:$G$500,'Intereses en Compra Venta Bonos'!$B$7:$B$500,'Rev JR'!$A36,'Intereses en Compra Venta Bonos'!$D$7:$D$500,"&gt;="&amp;'Rev JR'!G$1,'Intereses en Compra Venta Bonos'!$D$7:$D$500,"&lt;="&amp;EOMONTH('Rev JR'!G$1,0))</f>
        <v>0</v>
      </c>
      <c r="H36" s="523">
        <f>+SUMIFS('Intereses en Compra Venta Bonos'!$G$7:$G$500,'Intereses en Compra Venta Bonos'!$B$7:$B$500,'Rev JR'!$A36,'Intereses en Compra Venta Bonos'!$D$7:$D$500,"&gt;="&amp;'Rev JR'!H$1,'Intereses en Compra Venta Bonos'!$D$7:$D$500,"&lt;="&amp;EOMONTH('Rev JR'!H$1,0))</f>
        <v>0</v>
      </c>
      <c r="I36" s="523">
        <f>+SUMIFS('Intereses en Compra Venta Bonos'!$G$7:$G$500,'Intereses en Compra Venta Bonos'!$B$7:$B$500,'Rev JR'!$A36,'Intereses en Compra Venta Bonos'!$D$7:$D$500,"&gt;="&amp;'Rev JR'!I$1,'Intereses en Compra Venta Bonos'!$D$7:$D$500,"&lt;="&amp;EOMONTH('Rev JR'!I$1,0))</f>
        <v>0</v>
      </c>
      <c r="J36" s="523">
        <f>+SUMIFS('Intereses en Compra Venta Bonos'!$G$7:$G$500,'Intereses en Compra Venta Bonos'!$B$7:$B$500,'Rev JR'!$A36,'Intereses en Compra Venta Bonos'!$D$7:$D$500,"&gt;="&amp;'Rev JR'!J$1,'Intereses en Compra Venta Bonos'!$D$7:$D$500,"&lt;="&amp;EOMONTH('Rev JR'!J$1,0))</f>
        <v>0</v>
      </c>
      <c r="K36" s="523">
        <f>+SUMIFS('Intereses en Compra Venta Bonos'!$G$7:$G$500,'Intereses en Compra Venta Bonos'!$B$7:$B$500,'Rev JR'!$A36,'Intereses en Compra Venta Bonos'!$D$7:$D$500,"&gt;="&amp;'Rev JR'!K$1,'Intereses en Compra Venta Bonos'!$D$7:$D$500,"&lt;="&amp;EOMONTH('Rev JR'!K$1,0))</f>
        <v>0</v>
      </c>
      <c r="L36" s="523">
        <f>+SUMIFS('Intereses en Compra Venta Bonos'!$G$7:$G$500,'Intereses en Compra Venta Bonos'!$B$7:$B$500,'Rev JR'!$A36,'Intereses en Compra Venta Bonos'!$D$7:$D$500,"&gt;="&amp;'Rev JR'!L$1,'Intereses en Compra Venta Bonos'!$D$7:$D$500,"&lt;="&amp;EOMONTH('Rev JR'!L$1,0))</f>
        <v>0</v>
      </c>
      <c r="M36" s="523">
        <f>+SUMIFS('Intereses en Compra Venta Bonos'!$G$7:$G$500,'Intereses en Compra Venta Bonos'!$B$7:$B$500,'Rev JR'!$A36,'Intereses en Compra Venta Bonos'!$D$7:$D$500,"&gt;="&amp;'Rev JR'!M$1,'Intereses en Compra Venta Bonos'!$D$7:$D$500,"&lt;="&amp;EOMONTH('Rev JR'!M$1,0))</f>
        <v>0</v>
      </c>
      <c r="N36" s="523">
        <f>+SUMIFS('Intereses en Compra Venta Bonos'!$G$7:$G$500,'Intereses en Compra Venta Bonos'!$B$7:$B$500,'Rev JR'!$A36,'Intereses en Compra Venta Bonos'!$D$7:$D$500,"&gt;="&amp;'Rev JR'!N$1,'Intereses en Compra Venta Bonos'!$D$7:$D$500,"&lt;="&amp;EOMONTH('Rev JR'!N$1,0))</f>
        <v>0</v>
      </c>
      <c r="O36" s="523">
        <f t="shared" si="3"/>
        <v>0</v>
      </c>
    </row>
    <row r="37" spans="1:15">
      <c r="A37" s="622" t="str">
        <f t="shared" si="4"/>
        <v>N</v>
      </c>
      <c r="B37" s="519" t="str">
        <f t="shared" si="5"/>
        <v xml:space="preserve">        Int C/V de Bonos - N</v>
      </c>
      <c r="C37" s="523">
        <f>+SUMIFS('Intereses en Compra Venta Bonos'!$G$7:$G$500,'Intereses en Compra Venta Bonos'!$B$7:$B$500,'Rev JR'!$A37,'Intereses en Compra Venta Bonos'!$D$7:$D$500,"&gt;="&amp;'Rev JR'!C$1,'Intereses en Compra Venta Bonos'!$D$7:$D$500,"&lt;="&amp;EOMONTH('Rev JR'!C$1,0))</f>
        <v>0</v>
      </c>
      <c r="D37" s="523">
        <f>+SUMIFS('Intereses en Compra Venta Bonos'!$G$7:$G$500,'Intereses en Compra Venta Bonos'!$B$7:$B$500,'Rev JR'!$A37,'Intereses en Compra Venta Bonos'!$D$7:$D$500,"&gt;="&amp;'Rev JR'!D$1,'Intereses en Compra Venta Bonos'!$D$7:$D$500,"&lt;="&amp;EOMONTH('Rev JR'!D$1,0))</f>
        <v>0</v>
      </c>
      <c r="E37" s="523">
        <f>+SUMIFS('Intereses en Compra Venta Bonos'!$G$7:$G$500,'Intereses en Compra Venta Bonos'!$B$7:$B$500,'Rev JR'!$A37,'Intereses en Compra Venta Bonos'!$D$7:$D$500,"&gt;="&amp;'Rev JR'!E$1,'Intereses en Compra Venta Bonos'!$D$7:$D$500,"&lt;="&amp;EOMONTH('Rev JR'!E$1,0))</f>
        <v>0</v>
      </c>
      <c r="F37" s="523">
        <f>+SUMIFS('Intereses en Compra Venta Bonos'!$G$7:$G$500,'Intereses en Compra Venta Bonos'!$B$7:$B$500,'Rev JR'!$A37,'Intereses en Compra Venta Bonos'!$D$7:$D$500,"&gt;="&amp;'Rev JR'!F$1,'Intereses en Compra Venta Bonos'!$D$7:$D$500,"&lt;="&amp;EOMONTH('Rev JR'!F$1,0))</f>
        <v>0</v>
      </c>
      <c r="G37" s="523">
        <f>+SUMIFS('Intereses en Compra Venta Bonos'!$G$7:$G$500,'Intereses en Compra Venta Bonos'!$B$7:$B$500,'Rev JR'!$A37,'Intereses en Compra Venta Bonos'!$D$7:$D$500,"&gt;="&amp;'Rev JR'!G$1,'Intereses en Compra Venta Bonos'!$D$7:$D$500,"&lt;="&amp;EOMONTH('Rev JR'!G$1,0))</f>
        <v>0</v>
      </c>
      <c r="H37" s="523">
        <f>+SUMIFS('Intereses en Compra Venta Bonos'!$G$7:$G$500,'Intereses en Compra Venta Bonos'!$B$7:$B$500,'Rev JR'!$A37,'Intereses en Compra Venta Bonos'!$D$7:$D$500,"&gt;="&amp;'Rev JR'!H$1,'Intereses en Compra Venta Bonos'!$D$7:$D$500,"&lt;="&amp;EOMONTH('Rev JR'!H$1,0))</f>
        <v>0</v>
      </c>
      <c r="I37" s="523">
        <f>+SUMIFS('Intereses en Compra Venta Bonos'!$G$7:$G$500,'Intereses en Compra Venta Bonos'!$B$7:$B$500,'Rev JR'!$A37,'Intereses en Compra Venta Bonos'!$D$7:$D$500,"&gt;="&amp;'Rev JR'!I$1,'Intereses en Compra Venta Bonos'!$D$7:$D$500,"&lt;="&amp;EOMONTH('Rev JR'!I$1,0))</f>
        <v>0</v>
      </c>
      <c r="J37" s="523">
        <f>+SUMIFS('Intereses en Compra Venta Bonos'!$G$7:$G$500,'Intereses en Compra Venta Bonos'!$B$7:$B$500,'Rev JR'!$A37,'Intereses en Compra Venta Bonos'!$D$7:$D$500,"&gt;="&amp;'Rev JR'!J$1,'Intereses en Compra Venta Bonos'!$D$7:$D$500,"&lt;="&amp;EOMONTH('Rev JR'!J$1,0))</f>
        <v>0</v>
      </c>
      <c r="K37" s="523">
        <f>+SUMIFS('Intereses en Compra Venta Bonos'!$G$7:$G$500,'Intereses en Compra Venta Bonos'!$B$7:$B$500,'Rev JR'!$A37,'Intereses en Compra Venta Bonos'!$D$7:$D$500,"&gt;="&amp;'Rev JR'!K$1,'Intereses en Compra Venta Bonos'!$D$7:$D$500,"&lt;="&amp;EOMONTH('Rev JR'!K$1,0))</f>
        <v>0</v>
      </c>
      <c r="L37" s="523">
        <f>+SUMIFS('Intereses en Compra Venta Bonos'!$G$7:$G$500,'Intereses en Compra Venta Bonos'!$B$7:$B$500,'Rev JR'!$A37,'Intereses en Compra Venta Bonos'!$D$7:$D$500,"&gt;="&amp;'Rev JR'!L$1,'Intereses en Compra Venta Bonos'!$D$7:$D$500,"&lt;="&amp;EOMONTH('Rev JR'!L$1,0))</f>
        <v>0</v>
      </c>
      <c r="M37" s="523">
        <f>+SUMIFS('Intereses en Compra Venta Bonos'!$G$7:$G$500,'Intereses en Compra Venta Bonos'!$B$7:$B$500,'Rev JR'!$A37,'Intereses en Compra Venta Bonos'!$D$7:$D$500,"&gt;="&amp;'Rev JR'!M$1,'Intereses en Compra Venta Bonos'!$D$7:$D$500,"&lt;="&amp;EOMONTH('Rev JR'!M$1,0))</f>
        <v>0</v>
      </c>
      <c r="N37" s="523">
        <f>+SUMIFS('Intereses en Compra Venta Bonos'!$G$7:$G$500,'Intereses en Compra Venta Bonos'!$B$7:$B$500,'Rev JR'!$A37,'Intereses en Compra Venta Bonos'!$D$7:$D$500,"&gt;="&amp;'Rev JR'!N$1,'Intereses en Compra Venta Bonos'!$D$7:$D$500,"&lt;="&amp;EOMONTH('Rev JR'!N$1,0))</f>
        <v>0</v>
      </c>
      <c r="O37" s="523">
        <f t="shared" si="3"/>
        <v>0</v>
      </c>
    </row>
    <row r="38" spans="1:15">
      <c r="A38" s="622" t="str">
        <f t="shared" si="4"/>
        <v>O</v>
      </c>
      <c r="B38" s="519" t="str">
        <f t="shared" si="5"/>
        <v xml:space="preserve">        Int C/V de Bonos - O</v>
      </c>
      <c r="C38" s="523">
        <f>+SUMIFS('Intereses en Compra Venta Bonos'!$G$7:$G$500,'Intereses en Compra Venta Bonos'!$B$7:$B$500,'Rev JR'!$A38,'Intereses en Compra Venta Bonos'!$D$7:$D$500,"&gt;="&amp;'Rev JR'!C$1,'Intereses en Compra Venta Bonos'!$D$7:$D$500,"&lt;="&amp;EOMONTH('Rev JR'!C$1,0))</f>
        <v>0</v>
      </c>
      <c r="D38" s="523">
        <f>+SUMIFS('Intereses en Compra Venta Bonos'!$G$7:$G$500,'Intereses en Compra Venta Bonos'!$B$7:$B$500,'Rev JR'!$A38,'Intereses en Compra Venta Bonos'!$D$7:$D$500,"&gt;="&amp;'Rev JR'!D$1,'Intereses en Compra Venta Bonos'!$D$7:$D$500,"&lt;="&amp;EOMONTH('Rev JR'!D$1,0))</f>
        <v>0</v>
      </c>
      <c r="E38" s="523">
        <f>+SUMIFS('Intereses en Compra Venta Bonos'!$G$7:$G$500,'Intereses en Compra Venta Bonos'!$B$7:$B$500,'Rev JR'!$A38,'Intereses en Compra Venta Bonos'!$D$7:$D$500,"&gt;="&amp;'Rev JR'!E$1,'Intereses en Compra Venta Bonos'!$D$7:$D$500,"&lt;="&amp;EOMONTH('Rev JR'!E$1,0))</f>
        <v>0</v>
      </c>
      <c r="F38" s="523">
        <f>+SUMIFS('Intereses en Compra Venta Bonos'!$G$7:$G$500,'Intereses en Compra Venta Bonos'!$B$7:$B$500,'Rev JR'!$A38,'Intereses en Compra Venta Bonos'!$D$7:$D$500,"&gt;="&amp;'Rev JR'!F$1,'Intereses en Compra Venta Bonos'!$D$7:$D$500,"&lt;="&amp;EOMONTH('Rev JR'!F$1,0))</f>
        <v>0</v>
      </c>
      <c r="G38" s="523">
        <f>+SUMIFS('Intereses en Compra Venta Bonos'!$G$7:$G$500,'Intereses en Compra Venta Bonos'!$B$7:$B$500,'Rev JR'!$A38,'Intereses en Compra Venta Bonos'!$D$7:$D$500,"&gt;="&amp;'Rev JR'!G$1,'Intereses en Compra Venta Bonos'!$D$7:$D$500,"&lt;="&amp;EOMONTH('Rev JR'!G$1,0))</f>
        <v>0</v>
      </c>
      <c r="H38" s="523">
        <f>+SUMIFS('Intereses en Compra Venta Bonos'!$G$7:$G$500,'Intereses en Compra Venta Bonos'!$B$7:$B$500,'Rev JR'!$A38,'Intereses en Compra Venta Bonos'!$D$7:$D$500,"&gt;="&amp;'Rev JR'!H$1,'Intereses en Compra Venta Bonos'!$D$7:$D$500,"&lt;="&amp;EOMONTH('Rev JR'!H$1,0))</f>
        <v>0</v>
      </c>
      <c r="I38" s="523">
        <f>+SUMIFS('Intereses en Compra Venta Bonos'!$G$7:$G$500,'Intereses en Compra Venta Bonos'!$B$7:$B$500,'Rev JR'!$A38,'Intereses en Compra Venta Bonos'!$D$7:$D$500,"&gt;="&amp;'Rev JR'!I$1,'Intereses en Compra Venta Bonos'!$D$7:$D$500,"&lt;="&amp;EOMONTH('Rev JR'!I$1,0))</f>
        <v>0</v>
      </c>
      <c r="J38" s="523">
        <f>+SUMIFS('Intereses en Compra Venta Bonos'!$G$7:$G$500,'Intereses en Compra Venta Bonos'!$B$7:$B$500,'Rev JR'!$A38,'Intereses en Compra Venta Bonos'!$D$7:$D$500,"&gt;="&amp;'Rev JR'!J$1,'Intereses en Compra Venta Bonos'!$D$7:$D$500,"&lt;="&amp;EOMONTH('Rev JR'!J$1,0))</f>
        <v>0</v>
      </c>
      <c r="K38" s="523">
        <f>+SUMIFS('Intereses en Compra Venta Bonos'!$G$7:$G$500,'Intereses en Compra Venta Bonos'!$B$7:$B$500,'Rev JR'!$A38,'Intereses en Compra Venta Bonos'!$D$7:$D$500,"&gt;="&amp;'Rev JR'!K$1,'Intereses en Compra Venta Bonos'!$D$7:$D$500,"&lt;="&amp;EOMONTH('Rev JR'!K$1,0))</f>
        <v>0</v>
      </c>
      <c r="L38" s="523">
        <f>+SUMIFS('Intereses en Compra Venta Bonos'!$G$7:$G$500,'Intereses en Compra Venta Bonos'!$B$7:$B$500,'Rev JR'!$A38,'Intereses en Compra Venta Bonos'!$D$7:$D$500,"&gt;="&amp;'Rev JR'!L$1,'Intereses en Compra Venta Bonos'!$D$7:$D$500,"&lt;="&amp;EOMONTH('Rev JR'!L$1,0))</f>
        <v>0</v>
      </c>
      <c r="M38" s="523">
        <f>+SUMIFS('Intereses en Compra Venta Bonos'!$G$7:$G$500,'Intereses en Compra Venta Bonos'!$B$7:$B$500,'Rev JR'!$A38,'Intereses en Compra Venta Bonos'!$D$7:$D$500,"&gt;="&amp;'Rev JR'!M$1,'Intereses en Compra Venta Bonos'!$D$7:$D$500,"&lt;="&amp;EOMONTH('Rev JR'!M$1,0))</f>
        <v>0</v>
      </c>
      <c r="N38" s="523">
        <f>+SUMIFS('Intereses en Compra Venta Bonos'!$G$7:$G$500,'Intereses en Compra Venta Bonos'!$B$7:$B$500,'Rev JR'!$A38,'Intereses en Compra Venta Bonos'!$D$7:$D$500,"&gt;="&amp;'Rev JR'!N$1,'Intereses en Compra Venta Bonos'!$D$7:$D$500,"&lt;="&amp;EOMONTH('Rev JR'!N$1,0))</f>
        <v>0</v>
      </c>
      <c r="O38" s="523">
        <f t="shared" si="3"/>
        <v>0</v>
      </c>
    </row>
    <row r="39" spans="1:15">
      <c r="A39" s="622" t="str">
        <f t="shared" si="4"/>
        <v>P</v>
      </c>
      <c r="B39" s="519" t="str">
        <f t="shared" si="5"/>
        <v xml:space="preserve">        Int C/V de Bonos - P</v>
      </c>
      <c r="C39" s="523">
        <f>+SUMIFS('Intereses en Compra Venta Bonos'!$G$7:$G$500,'Intereses en Compra Venta Bonos'!$B$7:$B$500,'Rev JR'!$A39,'Intereses en Compra Venta Bonos'!$D$7:$D$500,"&gt;="&amp;'Rev JR'!C$1,'Intereses en Compra Venta Bonos'!$D$7:$D$500,"&lt;="&amp;EOMONTH('Rev JR'!C$1,0))</f>
        <v>0</v>
      </c>
      <c r="D39" s="523">
        <f>+SUMIFS('Intereses en Compra Venta Bonos'!$G$7:$G$500,'Intereses en Compra Venta Bonos'!$B$7:$B$500,'Rev JR'!$A39,'Intereses en Compra Venta Bonos'!$D$7:$D$500,"&gt;="&amp;'Rev JR'!D$1,'Intereses en Compra Venta Bonos'!$D$7:$D$500,"&lt;="&amp;EOMONTH('Rev JR'!D$1,0))</f>
        <v>0</v>
      </c>
      <c r="E39" s="523">
        <f>+SUMIFS('Intereses en Compra Venta Bonos'!$G$7:$G$500,'Intereses en Compra Venta Bonos'!$B$7:$B$500,'Rev JR'!$A39,'Intereses en Compra Venta Bonos'!$D$7:$D$500,"&gt;="&amp;'Rev JR'!E$1,'Intereses en Compra Venta Bonos'!$D$7:$D$500,"&lt;="&amp;EOMONTH('Rev JR'!E$1,0))</f>
        <v>0</v>
      </c>
      <c r="F39" s="523">
        <f>+SUMIFS('Intereses en Compra Venta Bonos'!$G$7:$G$500,'Intereses en Compra Venta Bonos'!$B$7:$B$500,'Rev JR'!$A39,'Intereses en Compra Venta Bonos'!$D$7:$D$500,"&gt;="&amp;'Rev JR'!F$1,'Intereses en Compra Venta Bonos'!$D$7:$D$500,"&lt;="&amp;EOMONTH('Rev JR'!F$1,0))</f>
        <v>0</v>
      </c>
      <c r="G39" s="523">
        <f>+SUMIFS('Intereses en Compra Venta Bonos'!$G$7:$G$500,'Intereses en Compra Venta Bonos'!$B$7:$B$500,'Rev JR'!$A39,'Intereses en Compra Venta Bonos'!$D$7:$D$500,"&gt;="&amp;'Rev JR'!G$1,'Intereses en Compra Venta Bonos'!$D$7:$D$500,"&lt;="&amp;EOMONTH('Rev JR'!G$1,0))</f>
        <v>0</v>
      </c>
      <c r="H39" s="523">
        <f>+SUMIFS('Intereses en Compra Venta Bonos'!$G$7:$G$500,'Intereses en Compra Venta Bonos'!$B$7:$B$500,'Rev JR'!$A39,'Intereses en Compra Venta Bonos'!$D$7:$D$500,"&gt;="&amp;'Rev JR'!H$1,'Intereses en Compra Venta Bonos'!$D$7:$D$500,"&lt;="&amp;EOMONTH('Rev JR'!H$1,0))</f>
        <v>0</v>
      </c>
      <c r="I39" s="523">
        <f>+SUMIFS('Intereses en Compra Venta Bonos'!$G$7:$G$500,'Intereses en Compra Venta Bonos'!$B$7:$B$500,'Rev JR'!$A39,'Intereses en Compra Venta Bonos'!$D$7:$D$500,"&gt;="&amp;'Rev JR'!I$1,'Intereses en Compra Venta Bonos'!$D$7:$D$500,"&lt;="&amp;EOMONTH('Rev JR'!I$1,0))</f>
        <v>0</v>
      </c>
      <c r="J39" s="523">
        <f>+SUMIFS('Intereses en Compra Venta Bonos'!$G$7:$G$500,'Intereses en Compra Venta Bonos'!$B$7:$B$500,'Rev JR'!$A39,'Intereses en Compra Venta Bonos'!$D$7:$D$500,"&gt;="&amp;'Rev JR'!J$1,'Intereses en Compra Venta Bonos'!$D$7:$D$500,"&lt;="&amp;EOMONTH('Rev JR'!J$1,0))</f>
        <v>0</v>
      </c>
      <c r="K39" s="523">
        <f>+SUMIFS('Intereses en Compra Venta Bonos'!$G$7:$G$500,'Intereses en Compra Venta Bonos'!$B$7:$B$500,'Rev JR'!$A39,'Intereses en Compra Venta Bonos'!$D$7:$D$500,"&gt;="&amp;'Rev JR'!K$1,'Intereses en Compra Venta Bonos'!$D$7:$D$500,"&lt;="&amp;EOMONTH('Rev JR'!K$1,0))</f>
        <v>0</v>
      </c>
      <c r="L39" s="523">
        <f>+SUMIFS('Intereses en Compra Venta Bonos'!$G$7:$G$500,'Intereses en Compra Venta Bonos'!$B$7:$B$500,'Rev JR'!$A39,'Intereses en Compra Venta Bonos'!$D$7:$D$500,"&gt;="&amp;'Rev JR'!L$1,'Intereses en Compra Venta Bonos'!$D$7:$D$500,"&lt;="&amp;EOMONTH('Rev JR'!L$1,0))</f>
        <v>0</v>
      </c>
      <c r="M39" s="523">
        <f>+SUMIFS('Intereses en Compra Venta Bonos'!$G$7:$G$500,'Intereses en Compra Venta Bonos'!$B$7:$B$500,'Rev JR'!$A39,'Intereses en Compra Venta Bonos'!$D$7:$D$500,"&gt;="&amp;'Rev JR'!M$1,'Intereses en Compra Venta Bonos'!$D$7:$D$500,"&lt;="&amp;EOMONTH('Rev JR'!M$1,0))</f>
        <v>0</v>
      </c>
      <c r="N39" s="523">
        <f>+SUMIFS('Intereses en Compra Venta Bonos'!$G$7:$G$500,'Intereses en Compra Venta Bonos'!$B$7:$B$500,'Rev JR'!$A39,'Intereses en Compra Venta Bonos'!$D$7:$D$500,"&gt;="&amp;'Rev JR'!N$1,'Intereses en Compra Venta Bonos'!$D$7:$D$500,"&lt;="&amp;EOMONTH('Rev JR'!N$1,0))</f>
        <v>0</v>
      </c>
      <c r="O39" s="523">
        <f t="shared" si="3"/>
        <v>0</v>
      </c>
    </row>
    <row r="40" spans="1:15">
      <c r="A40" s="515"/>
      <c r="B40" s="524" t="s">
        <v>608</v>
      </c>
      <c r="C40" s="525">
        <f t="shared" ref="C40:O40" si="6">SUM(C24:C39)</f>
        <v>0</v>
      </c>
      <c r="D40" s="525">
        <f t="shared" si="6"/>
        <v>0</v>
      </c>
      <c r="E40" s="525">
        <f t="shared" si="6"/>
        <v>0</v>
      </c>
      <c r="F40" s="525">
        <f t="shared" si="6"/>
        <v>0</v>
      </c>
      <c r="G40" s="525">
        <f t="shared" si="6"/>
        <v>0</v>
      </c>
      <c r="H40" s="525">
        <f t="shared" si="6"/>
        <v>0</v>
      </c>
      <c r="I40" s="525">
        <f t="shared" si="6"/>
        <v>0</v>
      </c>
      <c r="J40" s="525">
        <f t="shared" si="6"/>
        <v>0</v>
      </c>
      <c r="K40" s="525">
        <f t="shared" si="6"/>
        <v>0</v>
      </c>
      <c r="L40" s="525">
        <f t="shared" si="6"/>
        <v>0</v>
      </c>
      <c r="M40" s="525">
        <f t="shared" si="6"/>
        <v>0</v>
      </c>
      <c r="N40" s="525">
        <f t="shared" si="6"/>
        <v>0</v>
      </c>
      <c r="O40" s="525">
        <f t="shared" si="6"/>
        <v>0</v>
      </c>
    </row>
    <row r="41" spans="1:15">
      <c r="A41" s="515"/>
      <c r="B41" s="526"/>
      <c r="C41" s="527"/>
      <c r="D41" s="527"/>
      <c r="E41" s="527"/>
      <c r="F41" s="527"/>
      <c r="G41" s="527"/>
      <c r="H41" s="527"/>
      <c r="I41" s="527"/>
      <c r="J41" s="527"/>
      <c r="K41" s="527"/>
      <c r="L41" s="527"/>
      <c r="M41" s="527"/>
      <c r="N41" s="527"/>
      <c r="O41" s="527"/>
    </row>
    <row r="42" spans="1:15">
      <c r="A42" s="515"/>
      <c r="B42" s="519" t="s">
        <v>609</v>
      </c>
      <c r="C42" s="522"/>
      <c r="D42" s="522"/>
      <c r="E42" s="522"/>
      <c r="F42" s="522"/>
      <c r="G42" s="522"/>
      <c r="H42" s="522"/>
      <c r="I42" s="522"/>
      <c r="J42" s="522"/>
      <c r="K42" s="522"/>
      <c r="L42" s="522"/>
      <c r="M42" s="522"/>
      <c r="N42" s="522"/>
      <c r="O42" s="522"/>
    </row>
    <row r="43" spans="1:15">
      <c r="A43" s="622" t="str">
        <f>+A24</f>
        <v>AR2XXXX3387-0008</v>
      </c>
      <c r="B43" s="519" t="str">
        <f t="shared" ref="B43:B58" si="7">+CONCATENATE("        Dividendos - ",A43)</f>
        <v xml:space="preserve">        Dividendos - AR2XXXX3387-0008</v>
      </c>
      <c r="C43" s="523">
        <f>+SUMIFS('Dividendos Extranjero'!$G$7:$G$500,'Dividendos Extranjero'!$B$7:$B$500,'Rev JR'!$A43,'Dividendos Extranjero'!$D$7:$D$500,"&gt;="&amp;'Rev JR'!C$1,'Dividendos Extranjero'!$D$7:$D$500,"&lt;="&amp;EOMONTH('Rev JR'!C$1,0))</f>
        <v>0</v>
      </c>
      <c r="D43" s="523">
        <f>+SUMIFS('Dividendos Extranjero'!$G$7:$G$500,'Dividendos Extranjero'!$B$7:$B$500,'Rev JR'!$A43,'Dividendos Extranjero'!$D$7:$D$500,"&gt;="&amp;'Rev JR'!D$1,'Dividendos Extranjero'!$D$7:$D$500,"&lt;="&amp;EOMONTH('Rev JR'!D$1,0))</f>
        <v>0</v>
      </c>
      <c r="E43" s="523">
        <f>+SUMIFS('Dividendos Extranjero'!$G$7:$G$500,'Dividendos Extranjero'!$B$7:$B$500,'Rev JR'!$A43,'Dividendos Extranjero'!$D$7:$D$500,"&gt;="&amp;'Rev JR'!E$1,'Dividendos Extranjero'!$D$7:$D$500,"&lt;="&amp;EOMONTH('Rev JR'!E$1,0))</f>
        <v>0</v>
      </c>
      <c r="F43" s="523">
        <f>+SUMIFS('Dividendos Extranjero'!$G$7:$G$500,'Dividendos Extranjero'!$B$7:$B$500,'Rev JR'!$A43,'Dividendos Extranjero'!$D$7:$D$500,"&gt;="&amp;'Rev JR'!F$1,'Dividendos Extranjero'!$D$7:$D$500,"&lt;="&amp;EOMONTH('Rev JR'!F$1,0))</f>
        <v>0</v>
      </c>
      <c r="G43" s="523">
        <f>+SUMIFS('Dividendos Extranjero'!$G$7:$G$500,'Dividendos Extranjero'!$B$7:$B$500,'Rev JR'!$A43,'Dividendos Extranjero'!$D$7:$D$500,"&gt;="&amp;'Rev JR'!G$1,'Dividendos Extranjero'!$D$7:$D$500,"&lt;="&amp;EOMONTH('Rev JR'!G$1,0))</f>
        <v>0</v>
      </c>
      <c r="H43" s="523">
        <f>+SUMIFS('Dividendos Extranjero'!$G$7:$G$500,'Dividendos Extranjero'!$B$7:$B$500,'Rev JR'!$A43,'Dividendos Extranjero'!$D$7:$D$500,"&gt;="&amp;'Rev JR'!H$1,'Dividendos Extranjero'!$D$7:$D$500,"&lt;="&amp;EOMONTH('Rev JR'!H$1,0))</f>
        <v>0</v>
      </c>
      <c r="I43" s="523">
        <f>+SUMIFS('Dividendos Extranjero'!$G$7:$G$500,'Dividendos Extranjero'!$B$7:$B$500,'Rev JR'!$A43,'Dividendos Extranjero'!$D$7:$D$500,"&gt;="&amp;'Rev JR'!I$1,'Dividendos Extranjero'!$D$7:$D$500,"&lt;="&amp;EOMONTH('Rev JR'!I$1,0))</f>
        <v>0</v>
      </c>
      <c r="J43" s="523">
        <f>+SUMIFS('Dividendos Extranjero'!$G$7:$G$500,'Dividendos Extranjero'!$B$7:$B$500,'Rev JR'!$A43,'Dividendos Extranjero'!$D$7:$D$500,"&gt;="&amp;'Rev JR'!J$1,'Dividendos Extranjero'!$D$7:$D$500,"&lt;="&amp;EOMONTH('Rev JR'!J$1,0))</f>
        <v>0</v>
      </c>
      <c r="K43" s="523">
        <f>+SUMIFS('Dividendos Extranjero'!$G$7:$G$500,'Dividendos Extranjero'!$B$7:$B$500,'Rev JR'!$A43,'Dividendos Extranjero'!$D$7:$D$500,"&gt;="&amp;'Rev JR'!K$1,'Dividendos Extranjero'!$D$7:$D$500,"&lt;="&amp;EOMONTH('Rev JR'!K$1,0))</f>
        <v>0</v>
      </c>
      <c r="L43" s="523">
        <f>+SUMIFS('Dividendos Extranjero'!$G$7:$G$500,'Dividendos Extranjero'!$B$7:$B$500,'Rev JR'!$A43,'Dividendos Extranjero'!$D$7:$D$500,"&gt;="&amp;'Rev JR'!L$1,'Dividendos Extranjero'!$D$7:$D$500,"&lt;="&amp;EOMONTH('Rev JR'!L$1,0))</f>
        <v>0</v>
      </c>
      <c r="M43" s="523">
        <f>+SUMIFS('Dividendos Extranjero'!$G$7:$G$500,'Dividendos Extranjero'!$B$7:$B$500,'Rev JR'!$A43,'Dividendos Extranjero'!$D$7:$D$500,"&gt;="&amp;'Rev JR'!M$1,'Dividendos Extranjero'!$D$7:$D$500,"&lt;="&amp;EOMONTH('Rev JR'!M$1,0))</f>
        <v>0</v>
      </c>
      <c r="N43" s="523">
        <f>+SUMIFS('Dividendos Extranjero'!$G$7:$G$500,'Dividendos Extranjero'!$B$7:$B$500,'Rev JR'!$A43,'Dividendos Extranjero'!$D$7:$D$500,"&gt;="&amp;'Rev JR'!N$1,'Dividendos Extranjero'!$D$7:$D$500,"&lt;="&amp;EOMONTH('Rev JR'!N$1,0))</f>
        <v>0</v>
      </c>
      <c r="O43" s="523">
        <f t="shared" ref="O43:O58" si="8">SUM(C43:N43)</f>
        <v>0</v>
      </c>
    </row>
    <row r="44" spans="1:15">
      <c r="A44" s="622" t="str">
        <f t="shared" ref="A44:A58" si="9">+A25</f>
        <v>AR2XXXX3387-0003</v>
      </c>
      <c r="B44" s="519" t="str">
        <f t="shared" si="7"/>
        <v xml:space="preserve">        Dividendos - AR2XXXX3387-0003</v>
      </c>
      <c r="C44" s="523">
        <f>+SUMIFS('Dividendos Extranjero'!$G$7:$G$500,'Dividendos Extranjero'!$B$7:$B$500,'Rev JR'!$A44,'Dividendos Extranjero'!$D$7:$D$500,"&gt;="&amp;'Rev JR'!C$1,'Dividendos Extranjero'!$D$7:$D$500,"&lt;="&amp;EOMONTH('Rev JR'!C$1,0))</f>
        <v>146.12</v>
      </c>
      <c r="D44" s="523">
        <f>+SUMIFS('Dividendos Extranjero'!$G$7:$G$500,'Dividendos Extranjero'!$B$7:$B$500,'Rev JR'!$A44,'Dividendos Extranjero'!$D$7:$D$500,"&gt;="&amp;'Rev JR'!D$1,'Dividendos Extranjero'!$D$7:$D$500,"&lt;="&amp;EOMONTH('Rev JR'!D$1,0))</f>
        <v>0</v>
      </c>
      <c r="E44" s="523">
        <f>+SUMIFS('Dividendos Extranjero'!$G$7:$G$500,'Dividendos Extranjero'!$B$7:$B$500,'Rev JR'!$A44,'Dividendos Extranjero'!$D$7:$D$500,"&gt;="&amp;'Rev JR'!E$1,'Dividendos Extranjero'!$D$7:$D$500,"&lt;="&amp;EOMONTH('Rev JR'!E$1,0))</f>
        <v>0</v>
      </c>
      <c r="F44" s="523">
        <f>+SUMIFS('Dividendos Extranjero'!$G$7:$G$500,'Dividendos Extranjero'!$B$7:$B$500,'Rev JR'!$A44,'Dividendos Extranjero'!$D$7:$D$500,"&gt;="&amp;'Rev JR'!F$1,'Dividendos Extranjero'!$D$7:$D$500,"&lt;="&amp;EOMONTH('Rev JR'!F$1,0))</f>
        <v>0</v>
      </c>
      <c r="G44" s="523">
        <f>+SUMIFS('Dividendos Extranjero'!$G$7:$G$500,'Dividendos Extranjero'!$B$7:$B$500,'Rev JR'!$A44,'Dividendos Extranjero'!$D$7:$D$500,"&gt;="&amp;'Rev JR'!G$1,'Dividendos Extranjero'!$D$7:$D$500,"&lt;="&amp;EOMONTH('Rev JR'!G$1,0))</f>
        <v>0</v>
      </c>
      <c r="H44" s="523">
        <f>+SUMIFS('Dividendos Extranjero'!$G$7:$G$500,'Dividendos Extranjero'!$B$7:$B$500,'Rev JR'!$A44,'Dividendos Extranjero'!$D$7:$D$500,"&gt;="&amp;'Rev JR'!H$1,'Dividendos Extranjero'!$D$7:$D$500,"&lt;="&amp;EOMONTH('Rev JR'!H$1,0))</f>
        <v>8284.9599999999991</v>
      </c>
      <c r="I44" s="523">
        <f>+SUMIFS('Dividendos Extranjero'!$G$7:$G$500,'Dividendos Extranjero'!$B$7:$B$500,'Rev JR'!$A44,'Dividendos Extranjero'!$D$7:$D$500,"&gt;="&amp;'Rev JR'!I$1,'Dividendos Extranjero'!$D$7:$D$500,"&lt;="&amp;EOMONTH('Rev JR'!I$1,0))</f>
        <v>0</v>
      </c>
      <c r="J44" s="523">
        <f>+SUMIFS('Dividendos Extranjero'!$G$7:$G$500,'Dividendos Extranjero'!$B$7:$B$500,'Rev JR'!$A44,'Dividendos Extranjero'!$D$7:$D$500,"&gt;="&amp;'Rev JR'!J$1,'Dividendos Extranjero'!$D$7:$D$500,"&lt;="&amp;EOMONTH('Rev JR'!J$1,0))</f>
        <v>0</v>
      </c>
      <c r="K44" s="523">
        <f>+SUMIFS('Dividendos Extranjero'!$G$7:$G$500,'Dividendos Extranjero'!$B$7:$B$500,'Rev JR'!$A44,'Dividendos Extranjero'!$D$7:$D$500,"&gt;="&amp;'Rev JR'!K$1,'Dividendos Extranjero'!$D$7:$D$500,"&lt;="&amp;EOMONTH('Rev JR'!K$1,0))</f>
        <v>6294.4</v>
      </c>
      <c r="L44" s="523">
        <f>+SUMIFS('Dividendos Extranjero'!$G$7:$G$500,'Dividendos Extranjero'!$B$7:$B$500,'Rev JR'!$A44,'Dividendos Extranjero'!$D$7:$D$500,"&gt;="&amp;'Rev JR'!L$1,'Dividendos Extranjero'!$D$7:$D$500,"&lt;="&amp;EOMONTH('Rev JR'!L$1,0))</f>
        <v>0</v>
      </c>
      <c r="M44" s="523">
        <f>+SUMIFS('Dividendos Extranjero'!$G$7:$G$500,'Dividendos Extranjero'!$B$7:$B$500,'Rev JR'!$A44,'Dividendos Extranjero'!$D$7:$D$500,"&gt;="&amp;'Rev JR'!M$1,'Dividendos Extranjero'!$D$7:$D$500,"&lt;="&amp;EOMONTH('Rev JR'!M$1,0))</f>
        <v>0</v>
      </c>
      <c r="N44" s="523">
        <f>+SUMIFS('Dividendos Extranjero'!$G$7:$G$500,'Dividendos Extranjero'!$B$7:$B$500,'Rev JR'!$A44,'Dividendos Extranjero'!$D$7:$D$500,"&gt;="&amp;'Rev JR'!N$1,'Dividendos Extranjero'!$D$7:$D$500,"&lt;="&amp;EOMONTH('Rev JR'!N$1,0))</f>
        <v>4527.92</v>
      </c>
      <c r="O44" s="523">
        <f t="shared" si="8"/>
        <v>19253.400000000001</v>
      </c>
    </row>
    <row r="45" spans="1:15">
      <c r="A45" s="622" t="str">
        <f t="shared" si="9"/>
        <v>029-2XXX1-9</v>
      </c>
      <c r="B45" s="519" t="str">
        <f t="shared" si="7"/>
        <v xml:space="preserve">        Dividendos - 029-2XXX1-9</v>
      </c>
      <c r="C45" s="523">
        <f>+SUMIFS('Dividendos Extranjero'!$G$7:$G$500,'Dividendos Extranjero'!$B$7:$B$500,'Rev JR'!$A45,'Dividendos Extranjero'!$D$7:$D$500,"&gt;="&amp;'Rev JR'!C$1,'Dividendos Extranjero'!$D$7:$D$500,"&lt;="&amp;EOMONTH('Rev JR'!C$1,0))</f>
        <v>0</v>
      </c>
      <c r="D45" s="523">
        <f>+SUMIFS('Dividendos Extranjero'!$G$7:$G$500,'Dividendos Extranjero'!$B$7:$B$500,'Rev JR'!$A45,'Dividendos Extranjero'!$D$7:$D$500,"&gt;="&amp;'Rev JR'!D$1,'Dividendos Extranjero'!$D$7:$D$500,"&lt;="&amp;EOMONTH('Rev JR'!D$1,0))</f>
        <v>0</v>
      </c>
      <c r="E45" s="523">
        <f>+SUMIFS('Dividendos Extranjero'!$G$7:$G$500,'Dividendos Extranjero'!$B$7:$B$500,'Rev JR'!$A45,'Dividendos Extranjero'!$D$7:$D$500,"&gt;="&amp;'Rev JR'!E$1,'Dividendos Extranjero'!$D$7:$D$500,"&lt;="&amp;EOMONTH('Rev JR'!E$1,0))</f>
        <v>0</v>
      </c>
      <c r="F45" s="523">
        <f>+SUMIFS('Dividendos Extranjero'!$G$7:$G$500,'Dividendos Extranjero'!$B$7:$B$500,'Rev JR'!$A45,'Dividendos Extranjero'!$D$7:$D$500,"&gt;="&amp;'Rev JR'!F$1,'Dividendos Extranjero'!$D$7:$D$500,"&lt;="&amp;EOMONTH('Rev JR'!F$1,0))</f>
        <v>0</v>
      </c>
      <c r="G45" s="523">
        <f>+SUMIFS('Dividendos Extranjero'!$G$7:$G$500,'Dividendos Extranjero'!$B$7:$B$500,'Rev JR'!$A45,'Dividendos Extranjero'!$D$7:$D$500,"&gt;="&amp;'Rev JR'!G$1,'Dividendos Extranjero'!$D$7:$D$500,"&lt;="&amp;EOMONTH('Rev JR'!G$1,0))</f>
        <v>0</v>
      </c>
      <c r="H45" s="523">
        <f>+SUMIFS('Dividendos Extranjero'!$G$7:$G$500,'Dividendos Extranjero'!$B$7:$B$500,'Rev JR'!$A45,'Dividendos Extranjero'!$D$7:$D$500,"&gt;="&amp;'Rev JR'!H$1,'Dividendos Extranjero'!$D$7:$D$500,"&lt;="&amp;EOMONTH('Rev JR'!H$1,0))</f>
        <v>0</v>
      </c>
      <c r="I45" s="523">
        <f>+SUMIFS('Dividendos Extranjero'!$G$7:$G$500,'Dividendos Extranjero'!$B$7:$B$500,'Rev JR'!$A45,'Dividendos Extranjero'!$D$7:$D$500,"&gt;="&amp;'Rev JR'!I$1,'Dividendos Extranjero'!$D$7:$D$500,"&lt;="&amp;EOMONTH('Rev JR'!I$1,0))</f>
        <v>0</v>
      </c>
      <c r="J45" s="523">
        <f>+SUMIFS('Dividendos Extranjero'!$G$7:$G$500,'Dividendos Extranjero'!$B$7:$B$500,'Rev JR'!$A45,'Dividendos Extranjero'!$D$7:$D$500,"&gt;="&amp;'Rev JR'!J$1,'Dividendos Extranjero'!$D$7:$D$500,"&lt;="&amp;EOMONTH('Rev JR'!J$1,0))</f>
        <v>0</v>
      </c>
      <c r="K45" s="523">
        <f>+SUMIFS('Dividendos Extranjero'!$G$7:$G$500,'Dividendos Extranjero'!$B$7:$B$500,'Rev JR'!$A45,'Dividendos Extranjero'!$D$7:$D$500,"&gt;="&amp;'Rev JR'!K$1,'Dividendos Extranjero'!$D$7:$D$500,"&lt;="&amp;EOMONTH('Rev JR'!K$1,0))</f>
        <v>0</v>
      </c>
      <c r="L45" s="523">
        <f>+SUMIFS('Dividendos Extranjero'!$G$7:$G$500,'Dividendos Extranjero'!$B$7:$B$500,'Rev JR'!$A45,'Dividendos Extranjero'!$D$7:$D$500,"&gt;="&amp;'Rev JR'!L$1,'Dividendos Extranjero'!$D$7:$D$500,"&lt;="&amp;EOMONTH('Rev JR'!L$1,0))</f>
        <v>0</v>
      </c>
      <c r="M45" s="523">
        <f>+SUMIFS('Dividendos Extranjero'!$G$7:$G$500,'Dividendos Extranjero'!$B$7:$B$500,'Rev JR'!$A45,'Dividendos Extranjero'!$D$7:$D$500,"&gt;="&amp;'Rev JR'!M$1,'Dividendos Extranjero'!$D$7:$D$500,"&lt;="&amp;EOMONTH('Rev JR'!M$1,0))</f>
        <v>0</v>
      </c>
      <c r="N45" s="523">
        <f>+SUMIFS('Dividendos Extranjero'!$G$7:$G$500,'Dividendos Extranjero'!$B$7:$B$500,'Rev JR'!$A45,'Dividendos Extranjero'!$D$7:$D$500,"&gt;="&amp;'Rev JR'!N$1,'Dividendos Extranjero'!$D$7:$D$500,"&lt;="&amp;EOMONTH('Rev JR'!N$1,0))</f>
        <v>0</v>
      </c>
      <c r="O45" s="523">
        <f t="shared" si="8"/>
        <v>0</v>
      </c>
    </row>
    <row r="46" spans="1:15">
      <c r="A46" s="622" t="str">
        <f t="shared" si="9"/>
        <v>029-2XXX2-7</v>
      </c>
      <c r="B46" s="519" t="str">
        <f t="shared" si="7"/>
        <v xml:space="preserve">        Dividendos - 029-2XXX2-7</v>
      </c>
      <c r="C46" s="523">
        <f>+SUMIFS('Dividendos Extranjero'!$G$7:$G$500,'Dividendos Extranjero'!$B$7:$B$500,'Rev JR'!$A46,'Dividendos Extranjero'!$D$7:$D$500,"&gt;="&amp;'Rev JR'!C$1,'Dividendos Extranjero'!$D$7:$D$500,"&lt;="&amp;EOMONTH('Rev JR'!C$1,0))</f>
        <v>0</v>
      </c>
      <c r="D46" s="523">
        <f>+SUMIFS('Dividendos Extranjero'!$G$7:$G$500,'Dividendos Extranjero'!$B$7:$B$500,'Rev JR'!$A46,'Dividendos Extranjero'!$D$7:$D$500,"&gt;="&amp;'Rev JR'!D$1,'Dividendos Extranjero'!$D$7:$D$500,"&lt;="&amp;EOMONTH('Rev JR'!D$1,0))</f>
        <v>0</v>
      </c>
      <c r="E46" s="523">
        <f>+SUMIFS('Dividendos Extranjero'!$G$7:$G$500,'Dividendos Extranjero'!$B$7:$B$500,'Rev JR'!$A46,'Dividendos Extranjero'!$D$7:$D$500,"&gt;="&amp;'Rev JR'!E$1,'Dividendos Extranjero'!$D$7:$D$500,"&lt;="&amp;EOMONTH('Rev JR'!E$1,0))</f>
        <v>0</v>
      </c>
      <c r="F46" s="523">
        <f>+SUMIFS('Dividendos Extranjero'!$G$7:$G$500,'Dividendos Extranjero'!$B$7:$B$500,'Rev JR'!$A46,'Dividendos Extranjero'!$D$7:$D$500,"&gt;="&amp;'Rev JR'!F$1,'Dividendos Extranjero'!$D$7:$D$500,"&lt;="&amp;EOMONTH('Rev JR'!F$1,0))</f>
        <v>0</v>
      </c>
      <c r="G46" s="523">
        <f>+SUMIFS('Dividendos Extranjero'!$G$7:$G$500,'Dividendos Extranjero'!$B$7:$B$500,'Rev JR'!$A46,'Dividendos Extranjero'!$D$7:$D$500,"&gt;="&amp;'Rev JR'!G$1,'Dividendos Extranjero'!$D$7:$D$500,"&lt;="&amp;EOMONTH('Rev JR'!G$1,0))</f>
        <v>0</v>
      </c>
      <c r="H46" s="523">
        <f>+SUMIFS('Dividendos Extranjero'!$G$7:$G$500,'Dividendos Extranjero'!$B$7:$B$500,'Rev JR'!$A46,'Dividendos Extranjero'!$D$7:$D$500,"&gt;="&amp;'Rev JR'!H$1,'Dividendos Extranjero'!$D$7:$D$500,"&lt;="&amp;EOMONTH('Rev JR'!H$1,0))</f>
        <v>0</v>
      </c>
      <c r="I46" s="523">
        <f>+SUMIFS('Dividendos Extranjero'!$G$7:$G$500,'Dividendos Extranjero'!$B$7:$B$500,'Rev JR'!$A46,'Dividendos Extranjero'!$D$7:$D$500,"&gt;="&amp;'Rev JR'!I$1,'Dividendos Extranjero'!$D$7:$D$500,"&lt;="&amp;EOMONTH('Rev JR'!I$1,0))</f>
        <v>0</v>
      </c>
      <c r="J46" s="523">
        <f>+SUMIFS('Dividendos Extranjero'!$G$7:$G$500,'Dividendos Extranjero'!$B$7:$B$500,'Rev JR'!$A46,'Dividendos Extranjero'!$D$7:$D$500,"&gt;="&amp;'Rev JR'!J$1,'Dividendos Extranjero'!$D$7:$D$500,"&lt;="&amp;EOMONTH('Rev JR'!J$1,0))</f>
        <v>0</v>
      </c>
      <c r="K46" s="523">
        <f>+SUMIFS('Dividendos Extranjero'!$G$7:$G$500,'Dividendos Extranjero'!$B$7:$B$500,'Rev JR'!$A46,'Dividendos Extranjero'!$D$7:$D$500,"&gt;="&amp;'Rev JR'!K$1,'Dividendos Extranjero'!$D$7:$D$500,"&lt;="&amp;EOMONTH('Rev JR'!K$1,0))</f>
        <v>0</v>
      </c>
      <c r="L46" s="523">
        <f>+SUMIFS('Dividendos Extranjero'!$G$7:$G$500,'Dividendos Extranjero'!$B$7:$B$500,'Rev JR'!$A46,'Dividendos Extranjero'!$D$7:$D$500,"&gt;="&amp;'Rev JR'!L$1,'Dividendos Extranjero'!$D$7:$D$500,"&lt;="&amp;EOMONTH('Rev JR'!L$1,0))</f>
        <v>0</v>
      </c>
      <c r="M46" s="523">
        <f>+SUMIFS('Dividendos Extranjero'!$G$7:$G$500,'Dividendos Extranjero'!$B$7:$B$500,'Rev JR'!$A46,'Dividendos Extranjero'!$D$7:$D$500,"&gt;="&amp;'Rev JR'!M$1,'Dividendos Extranjero'!$D$7:$D$500,"&lt;="&amp;EOMONTH('Rev JR'!M$1,0))</f>
        <v>0</v>
      </c>
      <c r="N46" s="523">
        <f>+SUMIFS('Dividendos Extranjero'!$G$7:$G$500,'Dividendos Extranjero'!$B$7:$B$500,'Rev JR'!$A46,'Dividendos Extranjero'!$D$7:$D$500,"&gt;="&amp;'Rev JR'!N$1,'Dividendos Extranjero'!$D$7:$D$500,"&lt;="&amp;EOMONTH('Rev JR'!N$1,0))</f>
        <v>0</v>
      </c>
      <c r="O46" s="523">
        <f t="shared" si="8"/>
        <v>0</v>
      </c>
    </row>
    <row r="47" spans="1:15">
      <c r="A47" s="622" t="str">
        <f t="shared" si="9"/>
        <v>029-2XXX3-5</v>
      </c>
      <c r="B47" s="519" t="str">
        <f t="shared" si="7"/>
        <v xml:space="preserve">        Dividendos - 029-2XXX3-5</v>
      </c>
      <c r="C47" s="523">
        <f>+SUMIFS('Dividendos Extranjero'!$G$7:$G$500,'Dividendos Extranjero'!$B$7:$B$500,'Rev JR'!$A47,'Dividendos Extranjero'!$D$7:$D$500,"&gt;="&amp;'Rev JR'!C$1,'Dividendos Extranjero'!$D$7:$D$500,"&lt;="&amp;EOMONTH('Rev JR'!C$1,0))</f>
        <v>0</v>
      </c>
      <c r="D47" s="523">
        <f>+SUMIFS('Dividendos Extranjero'!$G$7:$G$500,'Dividendos Extranjero'!$B$7:$B$500,'Rev JR'!$A47,'Dividendos Extranjero'!$D$7:$D$500,"&gt;="&amp;'Rev JR'!D$1,'Dividendos Extranjero'!$D$7:$D$500,"&lt;="&amp;EOMONTH('Rev JR'!D$1,0))</f>
        <v>0</v>
      </c>
      <c r="E47" s="523">
        <f>+SUMIFS('Dividendos Extranjero'!$G$7:$G$500,'Dividendos Extranjero'!$B$7:$B$500,'Rev JR'!$A47,'Dividendos Extranjero'!$D$7:$D$500,"&gt;="&amp;'Rev JR'!E$1,'Dividendos Extranjero'!$D$7:$D$500,"&lt;="&amp;EOMONTH('Rev JR'!E$1,0))</f>
        <v>0</v>
      </c>
      <c r="F47" s="523">
        <f>+SUMIFS('Dividendos Extranjero'!$G$7:$G$500,'Dividendos Extranjero'!$B$7:$B$500,'Rev JR'!$A47,'Dividendos Extranjero'!$D$7:$D$500,"&gt;="&amp;'Rev JR'!F$1,'Dividendos Extranjero'!$D$7:$D$500,"&lt;="&amp;EOMONTH('Rev JR'!F$1,0))</f>
        <v>0</v>
      </c>
      <c r="G47" s="523">
        <f>+SUMIFS('Dividendos Extranjero'!$G$7:$G$500,'Dividendos Extranjero'!$B$7:$B$500,'Rev JR'!$A47,'Dividendos Extranjero'!$D$7:$D$500,"&gt;="&amp;'Rev JR'!G$1,'Dividendos Extranjero'!$D$7:$D$500,"&lt;="&amp;EOMONTH('Rev JR'!G$1,0))</f>
        <v>0</v>
      </c>
      <c r="H47" s="523">
        <f>+SUMIFS('Dividendos Extranjero'!$G$7:$G$500,'Dividendos Extranjero'!$B$7:$B$500,'Rev JR'!$A47,'Dividendos Extranjero'!$D$7:$D$500,"&gt;="&amp;'Rev JR'!H$1,'Dividendos Extranjero'!$D$7:$D$500,"&lt;="&amp;EOMONTH('Rev JR'!H$1,0))</f>
        <v>0</v>
      </c>
      <c r="I47" s="523">
        <f>+SUMIFS('Dividendos Extranjero'!$G$7:$G$500,'Dividendos Extranjero'!$B$7:$B$500,'Rev JR'!$A47,'Dividendos Extranjero'!$D$7:$D$500,"&gt;="&amp;'Rev JR'!I$1,'Dividendos Extranjero'!$D$7:$D$500,"&lt;="&amp;EOMONTH('Rev JR'!I$1,0))</f>
        <v>0</v>
      </c>
      <c r="J47" s="523">
        <f>+SUMIFS('Dividendos Extranjero'!$G$7:$G$500,'Dividendos Extranjero'!$B$7:$B$500,'Rev JR'!$A47,'Dividendos Extranjero'!$D$7:$D$500,"&gt;="&amp;'Rev JR'!J$1,'Dividendos Extranjero'!$D$7:$D$500,"&lt;="&amp;EOMONTH('Rev JR'!J$1,0))</f>
        <v>0</v>
      </c>
      <c r="K47" s="523">
        <f>+SUMIFS('Dividendos Extranjero'!$G$7:$G$500,'Dividendos Extranjero'!$B$7:$B$500,'Rev JR'!$A47,'Dividendos Extranjero'!$D$7:$D$500,"&gt;="&amp;'Rev JR'!K$1,'Dividendos Extranjero'!$D$7:$D$500,"&lt;="&amp;EOMONTH('Rev JR'!K$1,0))</f>
        <v>0</v>
      </c>
      <c r="L47" s="523">
        <f>+SUMIFS('Dividendos Extranjero'!$G$7:$G$500,'Dividendos Extranjero'!$B$7:$B$500,'Rev JR'!$A47,'Dividendos Extranjero'!$D$7:$D$500,"&gt;="&amp;'Rev JR'!L$1,'Dividendos Extranjero'!$D$7:$D$500,"&lt;="&amp;EOMONTH('Rev JR'!L$1,0))</f>
        <v>0</v>
      </c>
      <c r="M47" s="523">
        <f>+SUMIFS('Dividendos Extranjero'!$G$7:$G$500,'Dividendos Extranjero'!$B$7:$B$500,'Rev JR'!$A47,'Dividendos Extranjero'!$D$7:$D$500,"&gt;="&amp;'Rev JR'!M$1,'Dividendos Extranjero'!$D$7:$D$500,"&lt;="&amp;EOMONTH('Rev JR'!M$1,0))</f>
        <v>0</v>
      </c>
      <c r="N47" s="523">
        <f>+SUMIFS('Dividendos Extranjero'!$G$7:$G$500,'Dividendos Extranjero'!$B$7:$B$500,'Rev JR'!$A47,'Dividendos Extranjero'!$D$7:$D$500,"&gt;="&amp;'Rev JR'!N$1,'Dividendos Extranjero'!$D$7:$D$500,"&lt;="&amp;EOMONTH('Rev JR'!N$1,0))</f>
        <v>0</v>
      </c>
      <c r="O47" s="523">
        <f t="shared" si="8"/>
        <v>0</v>
      </c>
    </row>
    <row r="48" spans="1:15">
      <c r="A48" s="622" t="str">
        <f t="shared" si="9"/>
        <v>F</v>
      </c>
      <c r="B48" s="519" t="str">
        <f t="shared" si="7"/>
        <v xml:space="preserve">        Dividendos - F</v>
      </c>
      <c r="C48" s="523">
        <f>+SUMIFS('Dividendos Extranjero'!$G$7:$G$500,'Dividendos Extranjero'!$B$7:$B$500,'Rev JR'!$A48,'Dividendos Extranjero'!$D$7:$D$500,"&gt;="&amp;'Rev JR'!C$1,'Dividendos Extranjero'!$D$7:$D$500,"&lt;="&amp;EOMONTH('Rev JR'!C$1,0))</f>
        <v>0</v>
      </c>
      <c r="D48" s="523">
        <f>+SUMIFS('Dividendos Extranjero'!$G$7:$G$500,'Dividendos Extranjero'!$B$7:$B$500,'Rev JR'!$A48,'Dividendos Extranjero'!$D$7:$D$500,"&gt;="&amp;'Rev JR'!D$1,'Dividendos Extranjero'!$D$7:$D$500,"&lt;="&amp;EOMONTH('Rev JR'!D$1,0))</f>
        <v>0</v>
      </c>
      <c r="E48" s="523">
        <f>+SUMIFS('Dividendos Extranjero'!$G$7:$G$500,'Dividendos Extranjero'!$B$7:$B$500,'Rev JR'!$A48,'Dividendos Extranjero'!$D$7:$D$500,"&gt;="&amp;'Rev JR'!E$1,'Dividendos Extranjero'!$D$7:$D$500,"&lt;="&amp;EOMONTH('Rev JR'!E$1,0))</f>
        <v>0</v>
      </c>
      <c r="F48" s="523">
        <f>+SUMIFS('Dividendos Extranjero'!$G$7:$G$500,'Dividendos Extranjero'!$B$7:$B$500,'Rev JR'!$A48,'Dividendos Extranjero'!$D$7:$D$500,"&gt;="&amp;'Rev JR'!F$1,'Dividendos Extranjero'!$D$7:$D$500,"&lt;="&amp;EOMONTH('Rev JR'!F$1,0))</f>
        <v>0</v>
      </c>
      <c r="G48" s="523">
        <f>+SUMIFS('Dividendos Extranjero'!$G$7:$G$500,'Dividendos Extranjero'!$B$7:$B$500,'Rev JR'!$A48,'Dividendos Extranjero'!$D$7:$D$500,"&gt;="&amp;'Rev JR'!G$1,'Dividendos Extranjero'!$D$7:$D$500,"&lt;="&amp;EOMONTH('Rev JR'!G$1,0))</f>
        <v>0</v>
      </c>
      <c r="H48" s="523">
        <f>+SUMIFS('Dividendos Extranjero'!$G$7:$G$500,'Dividendos Extranjero'!$B$7:$B$500,'Rev JR'!$A48,'Dividendos Extranjero'!$D$7:$D$500,"&gt;="&amp;'Rev JR'!H$1,'Dividendos Extranjero'!$D$7:$D$500,"&lt;="&amp;EOMONTH('Rev JR'!H$1,0))</f>
        <v>0</v>
      </c>
      <c r="I48" s="523">
        <f>+SUMIFS('Dividendos Extranjero'!$G$7:$G$500,'Dividendos Extranjero'!$B$7:$B$500,'Rev JR'!$A48,'Dividendos Extranjero'!$D$7:$D$500,"&gt;="&amp;'Rev JR'!I$1,'Dividendos Extranjero'!$D$7:$D$500,"&lt;="&amp;EOMONTH('Rev JR'!I$1,0))</f>
        <v>0</v>
      </c>
      <c r="J48" s="523">
        <f>+SUMIFS('Dividendos Extranjero'!$G$7:$G$500,'Dividendos Extranjero'!$B$7:$B$500,'Rev JR'!$A48,'Dividendos Extranjero'!$D$7:$D$500,"&gt;="&amp;'Rev JR'!J$1,'Dividendos Extranjero'!$D$7:$D$500,"&lt;="&amp;EOMONTH('Rev JR'!J$1,0))</f>
        <v>0</v>
      </c>
      <c r="K48" s="523">
        <f>+SUMIFS('Dividendos Extranjero'!$G$7:$G$500,'Dividendos Extranjero'!$B$7:$B$500,'Rev JR'!$A48,'Dividendos Extranjero'!$D$7:$D$500,"&gt;="&amp;'Rev JR'!K$1,'Dividendos Extranjero'!$D$7:$D$500,"&lt;="&amp;EOMONTH('Rev JR'!K$1,0))</f>
        <v>0</v>
      </c>
      <c r="L48" s="523">
        <f>+SUMIFS('Dividendos Extranjero'!$G$7:$G$500,'Dividendos Extranjero'!$B$7:$B$500,'Rev JR'!$A48,'Dividendos Extranjero'!$D$7:$D$500,"&gt;="&amp;'Rev JR'!L$1,'Dividendos Extranjero'!$D$7:$D$500,"&lt;="&amp;EOMONTH('Rev JR'!L$1,0))</f>
        <v>0</v>
      </c>
      <c r="M48" s="523">
        <f>+SUMIFS('Dividendos Extranjero'!$G$7:$G$500,'Dividendos Extranjero'!$B$7:$B$500,'Rev JR'!$A48,'Dividendos Extranjero'!$D$7:$D$500,"&gt;="&amp;'Rev JR'!M$1,'Dividendos Extranjero'!$D$7:$D$500,"&lt;="&amp;EOMONTH('Rev JR'!M$1,0))</f>
        <v>0</v>
      </c>
      <c r="N48" s="523">
        <f>+SUMIFS('Dividendos Extranjero'!$G$7:$G$500,'Dividendos Extranjero'!$B$7:$B$500,'Rev JR'!$A48,'Dividendos Extranjero'!$D$7:$D$500,"&gt;="&amp;'Rev JR'!N$1,'Dividendos Extranjero'!$D$7:$D$500,"&lt;="&amp;EOMONTH('Rev JR'!N$1,0))</f>
        <v>0</v>
      </c>
      <c r="O48" s="523">
        <f t="shared" si="8"/>
        <v>0</v>
      </c>
    </row>
    <row r="49" spans="1:15">
      <c r="A49" s="622" t="str">
        <f t="shared" si="9"/>
        <v>G</v>
      </c>
      <c r="B49" s="519" t="str">
        <f t="shared" si="7"/>
        <v xml:space="preserve">        Dividendos - G</v>
      </c>
      <c r="C49" s="523">
        <f>+SUMIFS('Dividendos Extranjero'!$G$7:$G$500,'Dividendos Extranjero'!$B$7:$B$500,'Rev JR'!$A49,'Dividendos Extranjero'!$D$7:$D$500,"&gt;="&amp;'Rev JR'!C$1,'Dividendos Extranjero'!$D$7:$D$500,"&lt;="&amp;EOMONTH('Rev JR'!C$1,0))</f>
        <v>0</v>
      </c>
      <c r="D49" s="523">
        <f>+SUMIFS('Dividendos Extranjero'!$G$7:$G$500,'Dividendos Extranjero'!$B$7:$B$500,'Rev JR'!$A49,'Dividendos Extranjero'!$D$7:$D$500,"&gt;="&amp;'Rev JR'!D$1,'Dividendos Extranjero'!$D$7:$D$500,"&lt;="&amp;EOMONTH('Rev JR'!D$1,0))</f>
        <v>0</v>
      </c>
      <c r="E49" s="523">
        <f>+SUMIFS('Dividendos Extranjero'!$G$7:$G$500,'Dividendos Extranjero'!$B$7:$B$500,'Rev JR'!$A49,'Dividendos Extranjero'!$D$7:$D$500,"&gt;="&amp;'Rev JR'!E$1,'Dividendos Extranjero'!$D$7:$D$500,"&lt;="&amp;EOMONTH('Rev JR'!E$1,0))</f>
        <v>0</v>
      </c>
      <c r="F49" s="523">
        <f>+SUMIFS('Dividendos Extranjero'!$G$7:$G$500,'Dividendos Extranjero'!$B$7:$B$500,'Rev JR'!$A49,'Dividendos Extranjero'!$D$7:$D$500,"&gt;="&amp;'Rev JR'!F$1,'Dividendos Extranjero'!$D$7:$D$500,"&lt;="&amp;EOMONTH('Rev JR'!F$1,0))</f>
        <v>0</v>
      </c>
      <c r="G49" s="523">
        <f>+SUMIFS('Dividendos Extranjero'!$G$7:$G$500,'Dividendos Extranjero'!$B$7:$B$500,'Rev JR'!$A49,'Dividendos Extranjero'!$D$7:$D$500,"&gt;="&amp;'Rev JR'!G$1,'Dividendos Extranjero'!$D$7:$D$500,"&lt;="&amp;EOMONTH('Rev JR'!G$1,0))</f>
        <v>0</v>
      </c>
      <c r="H49" s="523">
        <f>+SUMIFS('Dividendos Extranjero'!$G$7:$G$500,'Dividendos Extranjero'!$B$7:$B$500,'Rev JR'!$A49,'Dividendos Extranjero'!$D$7:$D$500,"&gt;="&amp;'Rev JR'!H$1,'Dividendos Extranjero'!$D$7:$D$500,"&lt;="&amp;EOMONTH('Rev JR'!H$1,0))</f>
        <v>0</v>
      </c>
      <c r="I49" s="523">
        <f>+SUMIFS('Dividendos Extranjero'!$G$7:$G$500,'Dividendos Extranjero'!$B$7:$B$500,'Rev JR'!$A49,'Dividendos Extranjero'!$D$7:$D$500,"&gt;="&amp;'Rev JR'!I$1,'Dividendos Extranjero'!$D$7:$D$500,"&lt;="&amp;EOMONTH('Rev JR'!I$1,0))</f>
        <v>0</v>
      </c>
      <c r="J49" s="523">
        <f>+SUMIFS('Dividendos Extranjero'!$G$7:$G$500,'Dividendos Extranjero'!$B$7:$B$500,'Rev JR'!$A49,'Dividendos Extranjero'!$D$7:$D$500,"&gt;="&amp;'Rev JR'!J$1,'Dividendos Extranjero'!$D$7:$D$500,"&lt;="&amp;EOMONTH('Rev JR'!J$1,0))</f>
        <v>0</v>
      </c>
      <c r="K49" s="523">
        <f>+SUMIFS('Dividendos Extranjero'!$G$7:$G$500,'Dividendos Extranjero'!$B$7:$B$500,'Rev JR'!$A49,'Dividendos Extranjero'!$D$7:$D$500,"&gt;="&amp;'Rev JR'!K$1,'Dividendos Extranjero'!$D$7:$D$500,"&lt;="&amp;EOMONTH('Rev JR'!K$1,0))</f>
        <v>0</v>
      </c>
      <c r="L49" s="523">
        <f>+SUMIFS('Dividendos Extranjero'!$G$7:$G$500,'Dividendos Extranjero'!$B$7:$B$500,'Rev JR'!$A49,'Dividendos Extranjero'!$D$7:$D$500,"&gt;="&amp;'Rev JR'!L$1,'Dividendos Extranjero'!$D$7:$D$500,"&lt;="&amp;EOMONTH('Rev JR'!L$1,0))</f>
        <v>0</v>
      </c>
      <c r="M49" s="523">
        <f>+SUMIFS('Dividendos Extranjero'!$G$7:$G$500,'Dividendos Extranjero'!$B$7:$B$500,'Rev JR'!$A49,'Dividendos Extranjero'!$D$7:$D$500,"&gt;="&amp;'Rev JR'!M$1,'Dividendos Extranjero'!$D$7:$D$500,"&lt;="&amp;EOMONTH('Rev JR'!M$1,0))</f>
        <v>0</v>
      </c>
      <c r="N49" s="523">
        <f>+SUMIFS('Dividendos Extranjero'!$G$7:$G$500,'Dividendos Extranjero'!$B$7:$B$500,'Rev JR'!$A49,'Dividendos Extranjero'!$D$7:$D$500,"&gt;="&amp;'Rev JR'!N$1,'Dividendos Extranjero'!$D$7:$D$500,"&lt;="&amp;EOMONTH('Rev JR'!N$1,0))</f>
        <v>0</v>
      </c>
      <c r="O49" s="523">
        <f t="shared" si="8"/>
        <v>0</v>
      </c>
    </row>
    <row r="50" spans="1:15">
      <c r="A50" s="622" t="str">
        <f t="shared" si="9"/>
        <v>H</v>
      </c>
      <c r="B50" s="519" t="str">
        <f t="shared" si="7"/>
        <v xml:space="preserve">        Dividendos - H</v>
      </c>
      <c r="C50" s="523">
        <f>+SUMIFS('Dividendos Extranjero'!$G$7:$G$500,'Dividendos Extranjero'!$B$7:$B$500,'Rev JR'!$A50,'Dividendos Extranjero'!$D$7:$D$500,"&gt;="&amp;'Rev JR'!C$1,'Dividendos Extranjero'!$D$7:$D$500,"&lt;="&amp;EOMONTH('Rev JR'!C$1,0))</f>
        <v>0</v>
      </c>
      <c r="D50" s="523">
        <f>+SUMIFS('Dividendos Extranjero'!$G$7:$G$500,'Dividendos Extranjero'!$B$7:$B$500,'Rev JR'!$A50,'Dividendos Extranjero'!$D$7:$D$500,"&gt;="&amp;'Rev JR'!D$1,'Dividendos Extranjero'!$D$7:$D$500,"&lt;="&amp;EOMONTH('Rev JR'!D$1,0))</f>
        <v>0</v>
      </c>
      <c r="E50" s="523">
        <f>+SUMIFS('Dividendos Extranjero'!$G$7:$G$500,'Dividendos Extranjero'!$B$7:$B$500,'Rev JR'!$A50,'Dividendos Extranjero'!$D$7:$D$500,"&gt;="&amp;'Rev JR'!E$1,'Dividendos Extranjero'!$D$7:$D$500,"&lt;="&amp;EOMONTH('Rev JR'!E$1,0))</f>
        <v>0</v>
      </c>
      <c r="F50" s="523">
        <f>+SUMIFS('Dividendos Extranjero'!$G$7:$G$500,'Dividendos Extranjero'!$B$7:$B$500,'Rev JR'!$A50,'Dividendos Extranjero'!$D$7:$D$500,"&gt;="&amp;'Rev JR'!F$1,'Dividendos Extranjero'!$D$7:$D$500,"&lt;="&amp;EOMONTH('Rev JR'!F$1,0))</f>
        <v>0</v>
      </c>
      <c r="G50" s="523">
        <f>+SUMIFS('Dividendos Extranjero'!$G$7:$G$500,'Dividendos Extranjero'!$B$7:$B$500,'Rev JR'!$A50,'Dividendos Extranjero'!$D$7:$D$500,"&gt;="&amp;'Rev JR'!G$1,'Dividendos Extranjero'!$D$7:$D$500,"&lt;="&amp;EOMONTH('Rev JR'!G$1,0))</f>
        <v>0</v>
      </c>
      <c r="H50" s="523">
        <f>+SUMIFS('Dividendos Extranjero'!$G$7:$G$500,'Dividendos Extranjero'!$B$7:$B$500,'Rev JR'!$A50,'Dividendos Extranjero'!$D$7:$D$500,"&gt;="&amp;'Rev JR'!H$1,'Dividendos Extranjero'!$D$7:$D$500,"&lt;="&amp;EOMONTH('Rev JR'!H$1,0))</f>
        <v>0</v>
      </c>
      <c r="I50" s="523">
        <f>+SUMIFS('Dividendos Extranjero'!$G$7:$G$500,'Dividendos Extranjero'!$B$7:$B$500,'Rev JR'!$A50,'Dividendos Extranjero'!$D$7:$D$500,"&gt;="&amp;'Rev JR'!I$1,'Dividendos Extranjero'!$D$7:$D$500,"&lt;="&amp;EOMONTH('Rev JR'!I$1,0))</f>
        <v>0</v>
      </c>
      <c r="J50" s="523">
        <f>+SUMIFS('Dividendos Extranjero'!$G$7:$G$500,'Dividendos Extranjero'!$B$7:$B$500,'Rev JR'!$A50,'Dividendos Extranjero'!$D$7:$D$500,"&gt;="&amp;'Rev JR'!J$1,'Dividendos Extranjero'!$D$7:$D$500,"&lt;="&amp;EOMONTH('Rev JR'!J$1,0))</f>
        <v>0</v>
      </c>
      <c r="K50" s="523">
        <f>+SUMIFS('Dividendos Extranjero'!$G$7:$G$500,'Dividendos Extranjero'!$B$7:$B$500,'Rev JR'!$A50,'Dividendos Extranjero'!$D$7:$D$500,"&gt;="&amp;'Rev JR'!K$1,'Dividendos Extranjero'!$D$7:$D$500,"&lt;="&amp;EOMONTH('Rev JR'!K$1,0))</f>
        <v>0</v>
      </c>
      <c r="L50" s="523">
        <f>+SUMIFS('Dividendos Extranjero'!$G$7:$G$500,'Dividendos Extranjero'!$B$7:$B$500,'Rev JR'!$A50,'Dividendos Extranjero'!$D$7:$D$500,"&gt;="&amp;'Rev JR'!L$1,'Dividendos Extranjero'!$D$7:$D$500,"&lt;="&amp;EOMONTH('Rev JR'!L$1,0))</f>
        <v>0</v>
      </c>
      <c r="M50" s="523">
        <f>+SUMIFS('Dividendos Extranjero'!$G$7:$G$500,'Dividendos Extranjero'!$B$7:$B$500,'Rev JR'!$A50,'Dividendos Extranjero'!$D$7:$D$500,"&gt;="&amp;'Rev JR'!M$1,'Dividendos Extranjero'!$D$7:$D$500,"&lt;="&amp;EOMONTH('Rev JR'!M$1,0))</f>
        <v>0</v>
      </c>
      <c r="N50" s="523">
        <f>+SUMIFS('Dividendos Extranjero'!$G$7:$G$500,'Dividendos Extranjero'!$B$7:$B$500,'Rev JR'!$A50,'Dividendos Extranjero'!$D$7:$D$500,"&gt;="&amp;'Rev JR'!N$1,'Dividendos Extranjero'!$D$7:$D$500,"&lt;="&amp;EOMONTH('Rev JR'!N$1,0))</f>
        <v>0</v>
      </c>
      <c r="O50" s="523">
        <f t="shared" si="8"/>
        <v>0</v>
      </c>
    </row>
    <row r="51" spans="1:15">
      <c r="A51" s="622" t="str">
        <f t="shared" si="9"/>
        <v>I</v>
      </c>
      <c r="B51" s="519" t="str">
        <f t="shared" si="7"/>
        <v xml:space="preserve">        Dividendos - I</v>
      </c>
      <c r="C51" s="523">
        <f>+SUMIFS('Dividendos Extranjero'!$G$7:$G$500,'Dividendos Extranjero'!$B$7:$B$500,'Rev JR'!$A51,'Dividendos Extranjero'!$D$7:$D$500,"&gt;="&amp;'Rev JR'!C$1,'Dividendos Extranjero'!$D$7:$D$500,"&lt;="&amp;EOMONTH('Rev JR'!C$1,0))</f>
        <v>0</v>
      </c>
      <c r="D51" s="523">
        <f>+SUMIFS('Dividendos Extranjero'!$G$7:$G$500,'Dividendos Extranjero'!$B$7:$B$500,'Rev JR'!$A51,'Dividendos Extranjero'!$D$7:$D$500,"&gt;="&amp;'Rev JR'!D$1,'Dividendos Extranjero'!$D$7:$D$500,"&lt;="&amp;EOMONTH('Rev JR'!D$1,0))</f>
        <v>0</v>
      </c>
      <c r="E51" s="523">
        <f>+SUMIFS('Dividendos Extranjero'!$G$7:$G$500,'Dividendos Extranjero'!$B$7:$B$500,'Rev JR'!$A51,'Dividendos Extranjero'!$D$7:$D$500,"&gt;="&amp;'Rev JR'!E$1,'Dividendos Extranjero'!$D$7:$D$500,"&lt;="&amp;EOMONTH('Rev JR'!E$1,0))</f>
        <v>0</v>
      </c>
      <c r="F51" s="523">
        <f>+SUMIFS('Dividendos Extranjero'!$G$7:$G$500,'Dividendos Extranjero'!$B$7:$B$500,'Rev JR'!$A51,'Dividendos Extranjero'!$D$7:$D$500,"&gt;="&amp;'Rev JR'!F$1,'Dividendos Extranjero'!$D$7:$D$500,"&lt;="&amp;EOMONTH('Rev JR'!F$1,0))</f>
        <v>0</v>
      </c>
      <c r="G51" s="523">
        <f>+SUMIFS('Dividendos Extranjero'!$G$7:$G$500,'Dividendos Extranjero'!$B$7:$B$500,'Rev JR'!$A51,'Dividendos Extranjero'!$D$7:$D$500,"&gt;="&amp;'Rev JR'!G$1,'Dividendos Extranjero'!$D$7:$D$500,"&lt;="&amp;EOMONTH('Rev JR'!G$1,0))</f>
        <v>0</v>
      </c>
      <c r="H51" s="523">
        <f>+SUMIFS('Dividendos Extranjero'!$G$7:$G$500,'Dividendos Extranjero'!$B$7:$B$500,'Rev JR'!$A51,'Dividendos Extranjero'!$D$7:$D$500,"&gt;="&amp;'Rev JR'!H$1,'Dividendos Extranjero'!$D$7:$D$500,"&lt;="&amp;EOMONTH('Rev JR'!H$1,0))</f>
        <v>0</v>
      </c>
      <c r="I51" s="523">
        <f>+SUMIFS('Dividendos Extranjero'!$G$7:$G$500,'Dividendos Extranjero'!$B$7:$B$500,'Rev JR'!$A51,'Dividendos Extranjero'!$D$7:$D$500,"&gt;="&amp;'Rev JR'!I$1,'Dividendos Extranjero'!$D$7:$D$500,"&lt;="&amp;EOMONTH('Rev JR'!I$1,0))</f>
        <v>0</v>
      </c>
      <c r="J51" s="523">
        <f>+SUMIFS('Dividendos Extranjero'!$G$7:$G$500,'Dividendos Extranjero'!$B$7:$B$500,'Rev JR'!$A51,'Dividendos Extranjero'!$D$7:$D$500,"&gt;="&amp;'Rev JR'!J$1,'Dividendos Extranjero'!$D$7:$D$500,"&lt;="&amp;EOMONTH('Rev JR'!J$1,0))</f>
        <v>0</v>
      </c>
      <c r="K51" s="523">
        <f>+SUMIFS('Dividendos Extranjero'!$G$7:$G$500,'Dividendos Extranjero'!$B$7:$B$500,'Rev JR'!$A51,'Dividendos Extranjero'!$D$7:$D$500,"&gt;="&amp;'Rev JR'!K$1,'Dividendos Extranjero'!$D$7:$D$500,"&lt;="&amp;EOMONTH('Rev JR'!K$1,0))</f>
        <v>0</v>
      </c>
      <c r="L51" s="523">
        <f>+SUMIFS('Dividendos Extranjero'!$G$7:$G$500,'Dividendos Extranjero'!$B$7:$B$500,'Rev JR'!$A51,'Dividendos Extranjero'!$D$7:$D$500,"&gt;="&amp;'Rev JR'!L$1,'Dividendos Extranjero'!$D$7:$D$500,"&lt;="&amp;EOMONTH('Rev JR'!L$1,0))</f>
        <v>0</v>
      </c>
      <c r="M51" s="523">
        <f>+SUMIFS('Dividendos Extranjero'!$G$7:$G$500,'Dividendos Extranjero'!$B$7:$B$500,'Rev JR'!$A51,'Dividendos Extranjero'!$D$7:$D$500,"&gt;="&amp;'Rev JR'!M$1,'Dividendos Extranjero'!$D$7:$D$500,"&lt;="&amp;EOMONTH('Rev JR'!M$1,0))</f>
        <v>0</v>
      </c>
      <c r="N51" s="523">
        <f>+SUMIFS('Dividendos Extranjero'!$G$7:$G$500,'Dividendos Extranjero'!$B$7:$B$500,'Rev JR'!$A51,'Dividendos Extranjero'!$D$7:$D$500,"&gt;="&amp;'Rev JR'!N$1,'Dividendos Extranjero'!$D$7:$D$500,"&lt;="&amp;EOMONTH('Rev JR'!N$1,0))</f>
        <v>0</v>
      </c>
      <c r="O51" s="523">
        <f t="shared" si="8"/>
        <v>0</v>
      </c>
    </row>
    <row r="52" spans="1:15">
      <c r="A52" s="622" t="str">
        <f t="shared" si="9"/>
        <v>J</v>
      </c>
      <c r="B52" s="519" t="str">
        <f t="shared" si="7"/>
        <v xml:space="preserve">        Dividendos - J</v>
      </c>
      <c r="C52" s="523">
        <f>+SUMIFS('Dividendos Extranjero'!$G$7:$G$500,'Dividendos Extranjero'!$B$7:$B$500,'Rev JR'!$A52,'Dividendos Extranjero'!$D$7:$D$500,"&gt;="&amp;'Rev JR'!C$1,'Dividendos Extranjero'!$D$7:$D$500,"&lt;="&amp;EOMONTH('Rev JR'!C$1,0))</f>
        <v>0</v>
      </c>
      <c r="D52" s="523">
        <f>+SUMIFS('Dividendos Extranjero'!$G$7:$G$500,'Dividendos Extranjero'!$B$7:$B$500,'Rev JR'!$A52,'Dividendos Extranjero'!$D$7:$D$500,"&gt;="&amp;'Rev JR'!D$1,'Dividendos Extranjero'!$D$7:$D$500,"&lt;="&amp;EOMONTH('Rev JR'!D$1,0))</f>
        <v>0</v>
      </c>
      <c r="E52" s="523">
        <f>+SUMIFS('Dividendos Extranjero'!$G$7:$G$500,'Dividendos Extranjero'!$B$7:$B$500,'Rev JR'!$A52,'Dividendos Extranjero'!$D$7:$D$500,"&gt;="&amp;'Rev JR'!E$1,'Dividendos Extranjero'!$D$7:$D$500,"&lt;="&amp;EOMONTH('Rev JR'!E$1,0))</f>
        <v>0</v>
      </c>
      <c r="F52" s="523">
        <f>+SUMIFS('Dividendos Extranjero'!$G$7:$G$500,'Dividendos Extranjero'!$B$7:$B$500,'Rev JR'!$A52,'Dividendos Extranjero'!$D$7:$D$500,"&gt;="&amp;'Rev JR'!F$1,'Dividendos Extranjero'!$D$7:$D$500,"&lt;="&amp;EOMONTH('Rev JR'!F$1,0))</f>
        <v>0</v>
      </c>
      <c r="G52" s="523">
        <f>+SUMIFS('Dividendos Extranjero'!$G$7:$G$500,'Dividendos Extranjero'!$B$7:$B$500,'Rev JR'!$A52,'Dividendos Extranjero'!$D$7:$D$500,"&gt;="&amp;'Rev JR'!G$1,'Dividendos Extranjero'!$D$7:$D$500,"&lt;="&amp;EOMONTH('Rev JR'!G$1,0))</f>
        <v>0</v>
      </c>
      <c r="H52" s="523">
        <f>+SUMIFS('Dividendos Extranjero'!$G$7:$G$500,'Dividendos Extranjero'!$B$7:$B$500,'Rev JR'!$A52,'Dividendos Extranjero'!$D$7:$D$500,"&gt;="&amp;'Rev JR'!H$1,'Dividendos Extranjero'!$D$7:$D$500,"&lt;="&amp;EOMONTH('Rev JR'!H$1,0))</f>
        <v>0</v>
      </c>
      <c r="I52" s="523">
        <f>+SUMIFS('Dividendos Extranjero'!$G$7:$G$500,'Dividendos Extranjero'!$B$7:$B$500,'Rev JR'!$A52,'Dividendos Extranjero'!$D$7:$D$500,"&gt;="&amp;'Rev JR'!I$1,'Dividendos Extranjero'!$D$7:$D$500,"&lt;="&amp;EOMONTH('Rev JR'!I$1,0))</f>
        <v>0</v>
      </c>
      <c r="J52" s="523">
        <f>+SUMIFS('Dividendos Extranjero'!$G$7:$G$500,'Dividendos Extranjero'!$B$7:$B$500,'Rev JR'!$A52,'Dividendos Extranjero'!$D$7:$D$500,"&gt;="&amp;'Rev JR'!J$1,'Dividendos Extranjero'!$D$7:$D$500,"&lt;="&amp;EOMONTH('Rev JR'!J$1,0))</f>
        <v>0</v>
      </c>
      <c r="K52" s="523">
        <f>+SUMIFS('Dividendos Extranjero'!$G$7:$G$500,'Dividendos Extranjero'!$B$7:$B$500,'Rev JR'!$A52,'Dividendos Extranjero'!$D$7:$D$500,"&gt;="&amp;'Rev JR'!K$1,'Dividendos Extranjero'!$D$7:$D$500,"&lt;="&amp;EOMONTH('Rev JR'!K$1,0))</f>
        <v>0</v>
      </c>
      <c r="L52" s="523">
        <f>+SUMIFS('Dividendos Extranjero'!$G$7:$G$500,'Dividendos Extranjero'!$B$7:$B$500,'Rev JR'!$A52,'Dividendos Extranjero'!$D$7:$D$500,"&gt;="&amp;'Rev JR'!L$1,'Dividendos Extranjero'!$D$7:$D$500,"&lt;="&amp;EOMONTH('Rev JR'!L$1,0))</f>
        <v>0</v>
      </c>
      <c r="M52" s="523">
        <f>+SUMIFS('Dividendos Extranjero'!$G$7:$G$500,'Dividendos Extranjero'!$B$7:$B$500,'Rev JR'!$A52,'Dividendos Extranjero'!$D$7:$D$500,"&gt;="&amp;'Rev JR'!M$1,'Dividendos Extranjero'!$D$7:$D$500,"&lt;="&amp;EOMONTH('Rev JR'!M$1,0))</f>
        <v>0</v>
      </c>
      <c r="N52" s="523">
        <f>+SUMIFS('Dividendos Extranjero'!$G$7:$G$500,'Dividendos Extranjero'!$B$7:$B$500,'Rev JR'!$A52,'Dividendos Extranjero'!$D$7:$D$500,"&gt;="&amp;'Rev JR'!N$1,'Dividendos Extranjero'!$D$7:$D$500,"&lt;="&amp;EOMONTH('Rev JR'!N$1,0))</f>
        <v>0</v>
      </c>
      <c r="O52" s="523">
        <f t="shared" si="8"/>
        <v>0</v>
      </c>
    </row>
    <row r="53" spans="1:15">
      <c r="A53" s="622" t="str">
        <f t="shared" si="9"/>
        <v>K</v>
      </c>
      <c r="B53" s="519" t="str">
        <f t="shared" si="7"/>
        <v xml:space="preserve">        Dividendos - K</v>
      </c>
      <c r="C53" s="523">
        <f>+SUMIFS('Dividendos Extranjero'!$G$7:$G$500,'Dividendos Extranjero'!$B$7:$B$500,'Rev JR'!$A53,'Dividendos Extranjero'!$D$7:$D$500,"&gt;="&amp;'Rev JR'!C$1,'Dividendos Extranjero'!$D$7:$D$500,"&lt;="&amp;EOMONTH('Rev JR'!C$1,0))</f>
        <v>0</v>
      </c>
      <c r="D53" s="523">
        <f>+SUMIFS('Dividendos Extranjero'!$G$7:$G$500,'Dividendos Extranjero'!$B$7:$B$500,'Rev JR'!$A53,'Dividendos Extranjero'!$D$7:$D$500,"&gt;="&amp;'Rev JR'!D$1,'Dividendos Extranjero'!$D$7:$D$500,"&lt;="&amp;EOMONTH('Rev JR'!D$1,0))</f>
        <v>0</v>
      </c>
      <c r="E53" s="523">
        <f>+SUMIFS('Dividendos Extranjero'!$G$7:$G$500,'Dividendos Extranjero'!$B$7:$B$500,'Rev JR'!$A53,'Dividendos Extranjero'!$D$7:$D$500,"&gt;="&amp;'Rev JR'!E$1,'Dividendos Extranjero'!$D$7:$D$500,"&lt;="&amp;EOMONTH('Rev JR'!E$1,0))</f>
        <v>0</v>
      </c>
      <c r="F53" s="523">
        <f>+SUMIFS('Dividendos Extranjero'!$G$7:$G$500,'Dividendos Extranjero'!$B$7:$B$500,'Rev JR'!$A53,'Dividendos Extranjero'!$D$7:$D$500,"&gt;="&amp;'Rev JR'!F$1,'Dividendos Extranjero'!$D$7:$D$500,"&lt;="&amp;EOMONTH('Rev JR'!F$1,0))</f>
        <v>0</v>
      </c>
      <c r="G53" s="523">
        <f>+SUMIFS('Dividendos Extranjero'!$G$7:$G$500,'Dividendos Extranjero'!$B$7:$B$500,'Rev JR'!$A53,'Dividendos Extranjero'!$D$7:$D$500,"&gt;="&amp;'Rev JR'!G$1,'Dividendos Extranjero'!$D$7:$D$500,"&lt;="&amp;EOMONTH('Rev JR'!G$1,0))</f>
        <v>0</v>
      </c>
      <c r="H53" s="523">
        <f>+SUMIFS('Dividendos Extranjero'!$G$7:$G$500,'Dividendos Extranjero'!$B$7:$B$500,'Rev JR'!$A53,'Dividendos Extranjero'!$D$7:$D$500,"&gt;="&amp;'Rev JR'!H$1,'Dividendos Extranjero'!$D$7:$D$500,"&lt;="&amp;EOMONTH('Rev JR'!H$1,0))</f>
        <v>0</v>
      </c>
      <c r="I53" s="523">
        <f>+SUMIFS('Dividendos Extranjero'!$G$7:$G$500,'Dividendos Extranjero'!$B$7:$B$500,'Rev JR'!$A53,'Dividendos Extranjero'!$D$7:$D$500,"&gt;="&amp;'Rev JR'!I$1,'Dividendos Extranjero'!$D$7:$D$500,"&lt;="&amp;EOMONTH('Rev JR'!I$1,0))</f>
        <v>0</v>
      </c>
      <c r="J53" s="523">
        <f>+SUMIFS('Dividendos Extranjero'!$G$7:$G$500,'Dividendos Extranjero'!$B$7:$B$500,'Rev JR'!$A53,'Dividendos Extranjero'!$D$7:$D$500,"&gt;="&amp;'Rev JR'!J$1,'Dividendos Extranjero'!$D$7:$D$500,"&lt;="&amp;EOMONTH('Rev JR'!J$1,0))</f>
        <v>0</v>
      </c>
      <c r="K53" s="523">
        <f>+SUMIFS('Dividendos Extranjero'!$G$7:$G$500,'Dividendos Extranjero'!$B$7:$B$500,'Rev JR'!$A53,'Dividendos Extranjero'!$D$7:$D$500,"&gt;="&amp;'Rev JR'!K$1,'Dividendos Extranjero'!$D$7:$D$500,"&lt;="&amp;EOMONTH('Rev JR'!K$1,0))</f>
        <v>0</v>
      </c>
      <c r="L53" s="523">
        <f>+SUMIFS('Dividendos Extranjero'!$G$7:$G$500,'Dividendos Extranjero'!$B$7:$B$500,'Rev JR'!$A53,'Dividendos Extranjero'!$D$7:$D$500,"&gt;="&amp;'Rev JR'!L$1,'Dividendos Extranjero'!$D$7:$D$500,"&lt;="&amp;EOMONTH('Rev JR'!L$1,0))</f>
        <v>0</v>
      </c>
      <c r="M53" s="523">
        <f>+SUMIFS('Dividendos Extranjero'!$G$7:$G$500,'Dividendos Extranjero'!$B$7:$B$500,'Rev JR'!$A53,'Dividendos Extranjero'!$D$7:$D$500,"&gt;="&amp;'Rev JR'!M$1,'Dividendos Extranjero'!$D$7:$D$500,"&lt;="&amp;EOMONTH('Rev JR'!M$1,0))</f>
        <v>0</v>
      </c>
      <c r="N53" s="523">
        <f>+SUMIFS('Dividendos Extranjero'!$G$7:$G$500,'Dividendos Extranjero'!$B$7:$B$500,'Rev JR'!$A53,'Dividendos Extranjero'!$D$7:$D$500,"&gt;="&amp;'Rev JR'!N$1,'Dividendos Extranjero'!$D$7:$D$500,"&lt;="&amp;EOMONTH('Rev JR'!N$1,0))</f>
        <v>0</v>
      </c>
      <c r="O53" s="523">
        <f t="shared" si="8"/>
        <v>0</v>
      </c>
    </row>
    <row r="54" spans="1:15">
      <c r="A54" s="622" t="str">
        <f t="shared" si="9"/>
        <v>L</v>
      </c>
      <c r="B54" s="519" t="str">
        <f t="shared" si="7"/>
        <v xml:space="preserve">        Dividendos - L</v>
      </c>
      <c r="C54" s="523">
        <f>+SUMIFS('Dividendos Extranjero'!$G$7:$G$500,'Dividendos Extranjero'!$B$7:$B$500,'Rev JR'!$A54,'Dividendos Extranjero'!$D$7:$D$500,"&gt;="&amp;'Rev JR'!C$1,'Dividendos Extranjero'!$D$7:$D$500,"&lt;="&amp;EOMONTH('Rev JR'!C$1,0))</f>
        <v>0</v>
      </c>
      <c r="D54" s="523">
        <f>+SUMIFS('Dividendos Extranjero'!$G$7:$G$500,'Dividendos Extranjero'!$B$7:$B$500,'Rev JR'!$A54,'Dividendos Extranjero'!$D$7:$D$500,"&gt;="&amp;'Rev JR'!D$1,'Dividendos Extranjero'!$D$7:$D$500,"&lt;="&amp;EOMONTH('Rev JR'!D$1,0))</f>
        <v>0</v>
      </c>
      <c r="E54" s="523">
        <f>+SUMIFS('Dividendos Extranjero'!$G$7:$G$500,'Dividendos Extranjero'!$B$7:$B$500,'Rev JR'!$A54,'Dividendos Extranjero'!$D$7:$D$500,"&gt;="&amp;'Rev JR'!E$1,'Dividendos Extranjero'!$D$7:$D$500,"&lt;="&amp;EOMONTH('Rev JR'!E$1,0))</f>
        <v>0</v>
      </c>
      <c r="F54" s="523">
        <f>+SUMIFS('Dividendos Extranjero'!$G$7:$G$500,'Dividendos Extranjero'!$B$7:$B$500,'Rev JR'!$A54,'Dividendos Extranjero'!$D$7:$D$500,"&gt;="&amp;'Rev JR'!F$1,'Dividendos Extranjero'!$D$7:$D$500,"&lt;="&amp;EOMONTH('Rev JR'!F$1,0))</f>
        <v>0</v>
      </c>
      <c r="G54" s="523">
        <f>+SUMIFS('Dividendos Extranjero'!$G$7:$G$500,'Dividendos Extranjero'!$B$7:$B$500,'Rev JR'!$A54,'Dividendos Extranjero'!$D$7:$D$500,"&gt;="&amp;'Rev JR'!G$1,'Dividendos Extranjero'!$D$7:$D$500,"&lt;="&amp;EOMONTH('Rev JR'!G$1,0))</f>
        <v>0</v>
      </c>
      <c r="H54" s="523">
        <f>+SUMIFS('Dividendos Extranjero'!$G$7:$G$500,'Dividendos Extranjero'!$B$7:$B$500,'Rev JR'!$A54,'Dividendos Extranjero'!$D$7:$D$500,"&gt;="&amp;'Rev JR'!H$1,'Dividendos Extranjero'!$D$7:$D$500,"&lt;="&amp;EOMONTH('Rev JR'!H$1,0))</f>
        <v>0</v>
      </c>
      <c r="I54" s="523">
        <f>+SUMIFS('Dividendos Extranjero'!$G$7:$G$500,'Dividendos Extranjero'!$B$7:$B$500,'Rev JR'!$A54,'Dividendos Extranjero'!$D$7:$D$500,"&gt;="&amp;'Rev JR'!I$1,'Dividendos Extranjero'!$D$7:$D$500,"&lt;="&amp;EOMONTH('Rev JR'!I$1,0))</f>
        <v>0</v>
      </c>
      <c r="J54" s="523">
        <f>+SUMIFS('Dividendos Extranjero'!$G$7:$G$500,'Dividendos Extranjero'!$B$7:$B$500,'Rev JR'!$A54,'Dividendos Extranjero'!$D$7:$D$500,"&gt;="&amp;'Rev JR'!J$1,'Dividendos Extranjero'!$D$7:$D$500,"&lt;="&amp;EOMONTH('Rev JR'!J$1,0))</f>
        <v>0</v>
      </c>
      <c r="K54" s="523">
        <f>+SUMIFS('Dividendos Extranjero'!$G$7:$G$500,'Dividendos Extranjero'!$B$7:$B$500,'Rev JR'!$A54,'Dividendos Extranjero'!$D$7:$D$500,"&gt;="&amp;'Rev JR'!K$1,'Dividendos Extranjero'!$D$7:$D$500,"&lt;="&amp;EOMONTH('Rev JR'!K$1,0))</f>
        <v>0</v>
      </c>
      <c r="L54" s="523">
        <f>+SUMIFS('Dividendos Extranjero'!$G$7:$G$500,'Dividendos Extranjero'!$B$7:$B$500,'Rev JR'!$A54,'Dividendos Extranjero'!$D$7:$D$500,"&gt;="&amp;'Rev JR'!L$1,'Dividendos Extranjero'!$D$7:$D$500,"&lt;="&amp;EOMONTH('Rev JR'!L$1,0))</f>
        <v>0</v>
      </c>
      <c r="M54" s="523">
        <f>+SUMIFS('Dividendos Extranjero'!$G$7:$G$500,'Dividendos Extranjero'!$B$7:$B$500,'Rev JR'!$A54,'Dividendos Extranjero'!$D$7:$D$500,"&gt;="&amp;'Rev JR'!M$1,'Dividendos Extranjero'!$D$7:$D$500,"&lt;="&amp;EOMONTH('Rev JR'!M$1,0))</f>
        <v>0</v>
      </c>
      <c r="N54" s="523">
        <f>+SUMIFS('Dividendos Extranjero'!$G$7:$G$500,'Dividendos Extranjero'!$B$7:$B$500,'Rev JR'!$A54,'Dividendos Extranjero'!$D$7:$D$500,"&gt;="&amp;'Rev JR'!N$1,'Dividendos Extranjero'!$D$7:$D$500,"&lt;="&amp;EOMONTH('Rev JR'!N$1,0))</f>
        <v>0</v>
      </c>
      <c r="O54" s="523">
        <f t="shared" si="8"/>
        <v>0</v>
      </c>
    </row>
    <row r="55" spans="1:15">
      <c r="A55" s="622" t="str">
        <f t="shared" si="9"/>
        <v>M</v>
      </c>
      <c r="B55" s="519" t="str">
        <f t="shared" si="7"/>
        <v xml:space="preserve">        Dividendos - M</v>
      </c>
      <c r="C55" s="523">
        <f>+SUMIFS('Dividendos Extranjero'!$G$7:$G$500,'Dividendos Extranjero'!$B$7:$B$500,'Rev JR'!$A55,'Dividendos Extranjero'!$D$7:$D$500,"&gt;="&amp;'Rev JR'!C$1,'Dividendos Extranjero'!$D$7:$D$500,"&lt;="&amp;EOMONTH('Rev JR'!C$1,0))</f>
        <v>0</v>
      </c>
      <c r="D55" s="523">
        <f>+SUMIFS('Dividendos Extranjero'!$G$7:$G$500,'Dividendos Extranjero'!$B$7:$B$500,'Rev JR'!$A55,'Dividendos Extranjero'!$D$7:$D$500,"&gt;="&amp;'Rev JR'!D$1,'Dividendos Extranjero'!$D$7:$D$500,"&lt;="&amp;EOMONTH('Rev JR'!D$1,0))</f>
        <v>0</v>
      </c>
      <c r="E55" s="523">
        <f>+SUMIFS('Dividendos Extranjero'!$G$7:$G$500,'Dividendos Extranjero'!$B$7:$B$500,'Rev JR'!$A55,'Dividendos Extranjero'!$D$7:$D$500,"&gt;="&amp;'Rev JR'!E$1,'Dividendos Extranjero'!$D$7:$D$500,"&lt;="&amp;EOMONTH('Rev JR'!E$1,0))</f>
        <v>0</v>
      </c>
      <c r="F55" s="523">
        <f>+SUMIFS('Dividendos Extranjero'!$G$7:$G$500,'Dividendos Extranjero'!$B$7:$B$500,'Rev JR'!$A55,'Dividendos Extranjero'!$D$7:$D$500,"&gt;="&amp;'Rev JR'!F$1,'Dividendos Extranjero'!$D$7:$D$500,"&lt;="&amp;EOMONTH('Rev JR'!F$1,0))</f>
        <v>0</v>
      </c>
      <c r="G55" s="523">
        <f>+SUMIFS('Dividendos Extranjero'!$G$7:$G$500,'Dividendos Extranjero'!$B$7:$B$500,'Rev JR'!$A55,'Dividendos Extranjero'!$D$7:$D$500,"&gt;="&amp;'Rev JR'!G$1,'Dividendos Extranjero'!$D$7:$D$500,"&lt;="&amp;EOMONTH('Rev JR'!G$1,0))</f>
        <v>0</v>
      </c>
      <c r="H55" s="523">
        <f>+SUMIFS('Dividendos Extranjero'!$G$7:$G$500,'Dividendos Extranjero'!$B$7:$B$500,'Rev JR'!$A55,'Dividendos Extranjero'!$D$7:$D$500,"&gt;="&amp;'Rev JR'!H$1,'Dividendos Extranjero'!$D$7:$D$500,"&lt;="&amp;EOMONTH('Rev JR'!H$1,0))</f>
        <v>0</v>
      </c>
      <c r="I55" s="523">
        <f>+SUMIFS('Dividendos Extranjero'!$G$7:$G$500,'Dividendos Extranjero'!$B$7:$B$500,'Rev JR'!$A55,'Dividendos Extranjero'!$D$7:$D$500,"&gt;="&amp;'Rev JR'!I$1,'Dividendos Extranjero'!$D$7:$D$500,"&lt;="&amp;EOMONTH('Rev JR'!I$1,0))</f>
        <v>0</v>
      </c>
      <c r="J55" s="523">
        <f>+SUMIFS('Dividendos Extranjero'!$G$7:$G$500,'Dividendos Extranjero'!$B$7:$B$500,'Rev JR'!$A55,'Dividendos Extranjero'!$D$7:$D$500,"&gt;="&amp;'Rev JR'!J$1,'Dividendos Extranjero'!$D$7:$D$500,"&lt;="&amp;EOMONTH('Rev JR'!J$1,0))</f>
        <v>0</v>
      </c>
      <c r="K55" s="523">
        <f>+SUMIFS('Dividendos Extranjero'!$G$7:$G$500,'Dividendos Extranjero'!$B$7:$B$500,'Rev JR'!$A55,'Dividendos Extranjero'!$D$7:$D$500,"&gt;="&amp;'Rev JR'!K$1,'Dividendos Extranjero'!$D$7:$D$500,"&lt;="&amp;EOMONTH('Rev JR'!K$1,0))</f>
        <v>0</v>
      </c>
      <c r="L55" s="523">
        <f>+SUMIFS('Dividendos Extranjero'!$G$7:$G$500,'Dividendos Extranjero'!$B$7:$B$500,'Rev JR'!$A55,'Dividendos Extranjero'!$D$7:$D$500,"&gt;="&amp;'Rev JR'!L$1,'Dividendos Extranjero'!$D$7:$D$500,"&lt;="&amp;EOMONTH('Rev JR'!L$1,0))</f>
        <v>0</v>
      </c>
      <c r="M55" s="523">
        <f>+SUMIFS('Dividendos Extranjero'!$G$7:$G$500,'Dividendos Extranjero'!$B$7:$B$500,'Rev JR'!$A55,'Dividendos Extranjero'!$D$7:$D$500,"&gt;="&amp;'Rev JR'!M$1,'Dividendos Extranjero'!$D$7:$D$500,"&lt;="&amp;EOMONTH('Rev JR'!M$1,0))</f>
        <v>0</v>
      </c>
      <c r="N55" s="523">
        <f>+SUMIFS('Dividendos Extranjero'!$G$7:$G$500,'Dividendos Extranjero'!$B$7:$B$500,'Rev JR'!$A55,'Dividendos Extranjero'!$D$7:$D$500,"&gt;="&amp;'Rev JR'!N$1,'Dividendos Extranjero'!$D$7:$D$500,"&lt;="&amp;EOMONTH('Rev JR'!N$1,0))</f>
        <v>0</v>
      </c>
      <c r="O55" s="523">
        <f t="shared" si="8"/>
        <v>0</v>
      </c>
    </row>
    <row r="56" spans="1:15">
      <c r="A56" s="622" t="str">
        <f t="shared" si="9"/>
        <v>N</v>
      </c>
      <c r="B56" s="519" t="str">
        <f t="shared" si="7"/>
        <v xml:space="preserve">        Dividendos - N</v>
      </c>
      <c r="C56" s="523">
        <f>+SUMIFS('Dividendos Extranjero'!$G$7:$G$500,'Dividendos Extranjero'!$B$7:$B$500,'Rev JR'!$A56,'Dividendos Extranjero'!$D$7:$D$500,"&gt;="&amp;'Rev JR'!C$1,'Dividendos Extranjero'!$D$7:$D$500,"&lt;="&amp;EOMONTH('Rev JR'!C$1,0))</f>
        <v>0</v>
      </c>
      <c r="D56" s="523">
        <f>+SUMIFS('Dividendos Extranjero'!$G$7:$G$500,'Dividendos Extranjero'!$B$7:$B$500,'Rev JR'!$A56,'Dividendos Extranjero'!$D$7:$D$500,"&gt;="&amp;'Rev JR'!D$1,'Dividendos Extranjero'!$D$7:$D$500,"&lt;="&amp;EOMONTH('Rev JR'!D$1,0))</f>
        <v>0</v>
      </c>
      <c r="E56" s="523">
        <f>+SUMIFS('Dividendos Extranjero'!$G$7:$G$500,'Dividendos Extranjero'!$B$7:$B$500,'Rev JR'!$A56,'Dividendos Extranjero'!$D$7:$D$500,"&gt;="&amp;'Rev JR'!E$1,'Dividendos Extranjero'!$D$7:$D$500,"&lt;="&amp;EOMONTH('Rev JR'!E$1,0))</f>
        <v>0</v>
      </c>
      <c r="F56" s="523">
        <f>+SUMIFS('Dividendos Extranjero'!$G$7:$G$500,'Dividendos Extranjero'!$B$7:$B$500,'Rev JR'!$A56,'Dividendos Extranjero'!$D$7:$D$500,"&gt;="&amp;'Rev JR'!F$1,'Dividendos Extranjero'!$D$7:$D$500,"&lt;="&amp;EOMONTH('Rev JR'!F$1,0))</f>
        <v>0</v>
      </c>
      <c r="G56" s="523">
        <f>+SUMIFS('Dividendos Extranjero'!$G$7:$G$500,'Dividendos Extranjero'!$B$7:$B$500,'Rev JR'!$A56,'Dividendos Extranjero'!$D$7:$D$500,"&gt;="&amp;'Rev JR'!G$1,'Dividendos Extranjero'!$D$7:$D$500,"&lt;="&amp;EOMONTH('Rev JR'!G$1,0))</f>
        <v>0</v>
      </c>
      <c r="H56" s="523">
        <f>+SUMIFS('Dividendos Extranjero'!$G$7:$G$500,'Dividendos Extranjero'!$B$7:$B$500,'Rev JR'!$A56,'Dividendos Extranjero'!$D$7:$D$500,"&gt;="&amp;'Rev JR'!H$1,'Dividendos Extranjero'!$D$7:$D$500,"&lt;="&amp;EOMONTH('Rev JR'!H$1,0))</f>
        <v>0</v>
      </c>
      <c r="I56" s="523">
        <f>+SUMIFS('Dividendos Extranjero'!$G$7:$G$500,'Dividendos Extranjero'!$B$7:$B$500,'Rev JR'!$A56,'Dividendos Extranjero'!$D$7:$D$500,"&gt;="&amp;'Rev JR'!I$1,'Dividendos Extranjero'!$D$7:$D$500,"&lt;="&amp;EOMONTH('Rev JR'!I$1,0))</f>
        <v>0</v>
      </c>
      <c r="J56" s="523">
        <f>+SUMIFS('Dividendos Extranjero'!$G$7:$G$500,'Dividendos Extranjero'!$B$7:$B$500,'Rev JR'!$A56,'Dividendos Extranjero'!$D$7:$D$500,"&gt;="&amp;'Rev JR'!J$1,'Dividendos Extranjero'!$D$7:$D$500,"&lt;="&amp;EOMONTH('Rev JR'!J$1,0))</f>
        <v>0</v>
      </c>
      <c r="K56" s="523">
        <f>+SUMIFS('Dividendos Extranjero'!$G$7:$G$500,'Dividendos Extranjero'!$B$7:$B$500,'Rev JR'!$A56,'Dividendos Extranjero'!$D$7:$D$500,"&gt;="&amp;'Rev JR'!K$1,'Dividendos Extranjero'!$D$7:$D$500,"&lt;="&amp;EOMONTH('Rev JR'!K$1,0))</f>
        <v>0</v>
      </c>
      <c r="L56" s="523">
        <f>+SUMIFS('Dividendos Extranjero'!$G$7:$G$500,'Dividendos Extranjero'!$B$7:$B$500,'Rev JR'!$A56,'Dividendos Extranjero'!$D$7:$D$500,"&gt;="&amp;'Rev JR'!L$1,'Dividendos Extranjero'!$D$7:$D$500,"&lt;="&amp;EOMONTH('Rev JR'!L$1,0))</f>
        <v>0</v>
      </c>
      <c r="M56" s="523">
        <f>+SUMIFS('Dividendos Extranjero'!$G$7:$G$500,'Dividendos Extranjero'!$B$7:$B$500,'Rev JR'!$A56,'Dividendos Extranjero'!$D$7:$D$500,"&gt;="&amp;'Rev JR'!M$1,'Dividendos Extranjero'!$D$7:$D$500,"&lt;="&amp;EOMONTH('Rev JR'!M$1,0))</f>
        <v>0</v>
      </c>
      <c r="N56" s="523">
        <f>+SUMIFS('Dividendos Extranjero'!$G$7:$G$500,'Dividendos Extranjero'!$B$7:$B$500,'Rev JR'!$A56,'Dividendos Extranjero'!$D$7:$D$500,"&gt;="&amp;'Rev JR'!N$1,'Dividendos Extranjero'!$D$7:$D$500,"&lt;="&amp;EOMONTH('Rev JR'!N$1,0))</f>
        <v>0</v>
      </c>
      <c r="O56" s="523">
        <f t="shared" si="8"/>
        <v>0</v>
      </c>
    </row>
    <row r="57" spans="1:15">
      <c r="A57" s="622" t="str">
        <f t="shared" si="9"/>
        <v>O</v>
      </c>
      <c r="B57" s="519" t="str">
        <f t="shared" si="7"/>
        <v xml:space="preserve">        Dividendos - O</v>
      </c>
      <c r="C57" s="523">
        <f>+SUMIFS('Dividendos Extranjero'!$G$7:$G$500,'Dividendos Extranjero'!$B$7:$B$500,'Rev JR'!$A57,'Dividendos Extranjero'!$D$7:$D$500,"&gt;="&amp;'Rev JR'!C$1,'Dividendos Extranjero'!$D$7:$D$500,"&lt;="&amp;EOMONTH('Rev JR'!C$1,0))</f>
        <v>0</v>
      </c>
      <c r="D57" s="523">
        <f>+SUMIFS('Dividendos Extranjero'!$G$7:$G$500,'Dividendos Extranjero'!$B$7:$B$500,'Rev JR'!$A57,'Dividendos Extranjero'!$D$7:$D$500,"&gt;="&amp;'Rev JR'!D$1,'Dividendos Extranjero'!$D$7:$D$500,"&lt;="&amp;EOMONTH('Rev JR'!D$1,0))</f>
        <v>0</v>
      </c>
      <c r="E57" s="523">
        <f>+SUMIFS('Dividendos Extranjero'!$G$7:$G$500,'Dividendos Extranjero'!$B$7:$B$500,'Rev JR'!$A57,'Dividendos Extranjero'!$D$7:$D$500,"&gt;="&amp;'Rev JR'!E$1,'Dividendos Extranjero'!$D$7:$D$500,"&lt;="&amp;EOMONTH('Rev JR'!E$1,0))</f>
        <v>0</v>
      </c>
      <c r="F57" s="523">
        <f>+SUMIFS('Dividendos Extranjero'!$G$7:$G$500,'Dividendos Extranjero'!$B$7:$B$500,'Rev JR'!$A57,'Dividendos Extranjero'!$D$7:$D$500,"&gt;="&amp;'Rev JR'!F$1,'Dividendos Extranjero'!$D$7:$D$500,"&lt;="&amp;EOMONTH('Rev JR'!F$1,0))</f>
        <v>0</v>
      </c>
      <c r="G57" s="523">
        <f>+SUMIFS('Dividendos Extranjero'!$G$7:$G$500,'Dividendos Extranjero'!$B$7:$B$500,'Rev JR'!$A57,'Dividendos Extranjero'!$D$7:$D$500,"&gt;="&amp;'Rev JR'!G$1,'Dividendos Extranjero'!$D$7:$D$500,"&lt;="&amp;EOMONTH('Rev JR'!G$1,0))</f>
        <v>0</v>
      </c>
      <c r="H57" s="523">
        <f>+SUMIFS('Dividendos Extranjero'!$G$7:$G$500,'Dividendos Extranjero'!$B$7:$B$500,'Rev JR'!$A57,'Dividendos Extranjero'!$D$7:$D$500,"&gt;="&amp;'Rev JR'!H$1,'Dividendos Extranjero'!$D$7:$D$500,"&lt;="&amp;EOMONTH('Rev JR'!H$1,0))</f>
        <v>0</v>
      </c>
      <c r="I57" s="523">
        <f>+SUMIFS('Dividendos Extranjero'!$G$7:$G$500,'Dividendos Extranjero'!$B$7:$B$500,'Rev JR'!$A57,'Dividendos Extranjero'!$D$7:$D$500,"&gt;="&amp;'Rev JR'!I$1,'Dividendos Extranjero'!$D$7:$D$500,"&lt;="&amp;EOMONTH('Rev JR'!I$1,0))</f>
        <v>0</v>
      </c>
      <c r="J57" s="523">
        <f>+SUMIFS('Dividendos Extranjero'!$G$7:$G$500,'Dividendos Extranjero'!$B$7:$B$500,'Rev JR'!$A57,'Dividendos Extranjero'!$D$7:$D$500,"&gt;="&amp;'Rev JR'!J$1,'Dividendos Extranjero'!$D$7:$D$500,"&lt;="&amp;EOMONTH('Rev JR'!J$1,0))</f>
        <v>0</v>
      </c>
      <c r="K57" s="523">
        <f>+SUMIFS('Dividendos Extranjero'!$G$7:$G$500,'Dividendos Extranjero'!$B$7:$B$500,'Rev JR'!$A57,'Dividendos Extranjero'!$D$7:$D$500,"&gt;="&amp;'Rev JR'!K$1,'Dividendos Extranjero'!$D$7:$D$500,"&lt;="&amp;EOMONTH('Rev JR'!K$1,0))</f>
        <v>0</v>
      </c>
      <c r="L57" s="523">
        <f>+SUMIFS('Dividendos Extranjero'!$G$7:$G$500,'Dividendos Extranjero'!$B$7:$B$500,'Rev JR'!$A57,'Dividendos Extranjero'!$D$7:$D$500,"&gt;="&amp;'Rev JR'!L$1,'Dividendos Extranjero'!$D$7:$D$500,"&lt;="&amp;EOMONTH('Rev JR'!L$1,0))</f>
        <v>0</v>
      </c>
      <c r="M57" s="523">
        <f>+SUMIFS('Dividendos Extranjero'!$G$7:$G$500,'Dividendos Extranjero'!$B$7:$B$500,'Rev JR'!$A57,'Dividendos Extranjero'!$D$7:$D$500,"&gt;="&amp;'Rev JR'!M$1,'Dividendos Extranjero'!$D$7:$D$500,"&lt;="&amp;EOMONTH('Rev JR'!M$1,0))</f>
        <v>0</v>
      </c>
      <c r="N57" s="523">
        <f>+SUMIFS('Dividendos Extranjero'!$G$7:$G$500,'Dividendos Extranjero'!$B$7:$B$500,'Rev JR'!$A57,'Dividendos Extranjero'!$D$7:$D$500,"&gt;="&amp;'Rev JR'!N$1,'Dividendos Extranjero'!$D$7:$D$500,"&lt;="&amp;EOMONTH('Rev JR'!N$1,0))</f>
        <v>0</v>
      </c>
      <c r="O57" s="523">
        <f t="shared" si="8"/>
        <v>0</v>
      </c>
    </row>
    <row r="58" spans="1:15">
      <c r="A58" s="622" t="str">
        <f t="shared" si="9"/>
        <v>P</v>
      </c>
      <c r="B58" s="519" t="str">
        <f t="shared" si="7"/>
        <v xml:space="preserve">        Dividendos - P</v>
      </c>
      <c r="C58" s="523">
        <f>+SUMIFS('Dividendos Extranjero'!$G$7:$G$500,'Dividendos Extranjero'!$B$7:$B$500,'Rev JR'!$A58,'Dividendos Extranjero'!$D$7:$D$500,"&gt;="&amp;'Rev JR'!C$1,'Dividendos Extranjero'!$D$7:$D$500,"&lt;="&amp;EOMONTH('Rev JR'!C$1,0))</f>
        <v>0</v>
      </c>
      <c r="D58" s="523">
        <f>+SUMIFS('Dividendos Extranjero'!$G$7:$G$500,'Dividendos Extranjero'!$B$7:$B$500,'Rev JR'!$A58,'Dividendos Extranjero'!$D$7:$D$500,"&gt;="&amp;'Rev JR'!D$1,'Dividendos Extranjero'!$D$7:$D$500,"&lt;="&amp;EOMONTH('Rev JR'!D$1,0))</f>
        <v>0</v>
      </c>
      <c r="E58" s="523">
        <f>+SUMIFS('Dividendos Extranjero'!$G$7:$G$500,'Dividendos Extranjero'!$B$7:$B$500,'Rev JR'!$A58,'Dividendos Extranjero'!$D$7:$D$500,"&gt;="&amp;'Rev JR'!E$1,'Dividendos Extranjero'!$D$7:$D$500,"&lt;="&amp;EOMONTH('Rev JR'!E$1,0))</f>
        <v>0</v>
      </c>
      <c r="F58" s="523">
        <f>+SUMIFS('Dividendos Extranjero'!$G$7:$G$500,'Dividendos Extranjero'!$B$7:$B$500,'Rev JR'!$A58,'Dividendos Extranjero'!$D$7:$D$500,"&gt;="&amp;'Rev JR'!F$1,'Dividendos Extranjero'!$D$7:$D$500,"&lt;="&amp;EOMONTH('Rev JR'!F$1,0))</f>
        <v>0</v>
      </c>
      <c r="G58" s="523">
        <f>+SUMIFS('Dividendos Extranjero'!$G$7:$G$500,'Dividendos Extranjero'!$B$7:$B$500,'Rev JR'!$A58,'Dividendos Extranjero'!$D$7:$D$500,"&gt;="&amp;'Rev JR'!G$1,'Dividendos Extranjero'!$D$7:$D$500,"&lt;="&amp;EOMONTH('Rev JR'!G$1,0))</f>
        <v>0</v>
      </c>
      <c r="H58" s="523">
        <f>+SUMIFS('Dividendos Extranjero'!$G$7:$G$500,'Dividendos Extranjero'!$B$7:$B$500,'Rev JR'!$A58,'Dividendos Extranjero'!$D$7:$D$500,"&gt;="&amp;'Rev JR'!H$1,'Dividendos Extranjero'!$D$7:$D$500,"&lt;="&amp;EOMONTH('Rev JR'!H$1,0))</f>
        <v>0</v>
      </c>
      <c r="I58" s="523">
        <f>+SUMIFS('Dividendos Extranjero'!$G$7:$G$500,'Dividendos Extranjero'!$B$7:$B$500,'Rev JR'!$A58,'Dividendos Extranjero'!$D$7:$D$500,"&gt;="&amp;'Rev JR'!I$1,'Dividendos Extranjero'!$D$7:$D$500,"&lt;="&amp;EOMONTH('Rev JR'!I$1,0))</f>
        <v>0</v>
      </c>
      <c r="J58" s="523">
        <f>+SUMIFS('Dividendos Extranjero'!$G$7:$G$500,'Dividendos Extranjero'!$B$7:$B$500,'Rev JR'!$A58,'Dividendos Extranjero'!$D$7:$D$500,"&gt;="&amp;'Rev JR'!J$1,'Dividendos Extranjero'!$D$7:$D$500,"&lt;="&amp;EOMONTH('Rev JR'!J$1,0))</f>
        <v>0</v>
      </c>
      <c r="K58" s="523">
        <f>+SUMIFS('Dividendos Extranjero'!$G$7:$G$500,'Dividendos Extranjero'!$B$7:$B$500,'Rev JR'!$A58,'Dividendos Extranjero'!$D$7:$D$500,"&gt;="&amp;'Rev JR'!K$1,'Dividendos Extranjero'!$D$7:$D$500,"&lt;="&amp;EOMONTH('Rev JR'!K$1,0))</f>
        <v>0</v>
      </c>
      <c r="L58" s="523">
        <f>+SUMIFS('Dividendos Extranjero'!$G$7:$G$500,'Dividendos Extranjero'!$B$7:$B$500,'Rev JR'!$A58,'Dividendos Extranjero'!$D$7:$D$500,"&gt;="&amp;'Rev JR'!L$1,'Dividendos Extranjero'!$D$7:$D$500,"&lt;="&amp;EOMONTH('Rev JR'!L$1,0))</f>
        <v>0</v>
      </c>
      <c r="M58" s="523">
        <f>+SUMIFS('Dividendos Extranjero'!$G$7:$G$500,'Dividendos Extranjero'!$B$7:$B$500,'Rev JR'!$A58,'Dividendos Extranjero'!$D$7:$D$500,"&gt;="&amp;'Rev JR'!M$1,'Dividendos Extranjero'!$D$7:$D$500,"&lt;="&amp;EOMONTH('Rev JR'!M$1,0))</f>
        <v>0</v>
      </c>
      <c r="N58" s="523">
        <f>+SUMIFS('Dividendos Extranjero'!$G$7:$G$500,'Dividendos Extranjero'!$B$7:$B$500,'Rev JR'!$A58,'Dividendos Extranjero'!$D$7:$D$500,"&gt;="&amp;'Rev JR'!N$1,'Dividendos Extranjero'!$D$7:$D$500,"&lt;="&amp;EOMONTH('Rev JR'!N$1,0))</f>
        <v>0</v>
      </c>
      <c r="O58" s="523">
        <f t="shared" si="8"/>
        <v>0</v>
      </c>
    </row>
    <row r="59" spans="1:15">
      <c r="A59" s="515"/>
      <c r="B59" s="524" t="s">
        <v>610</v>
      </c>
      <c r="C59" s="525">
        <f t="shared" ref="C59:N59" si="10">SUM(C43:C58)</f>
        <v>146.12</v>
      </c>
      <c r="D59" s="525">
        <f t="shared" si="10"/>
        <v>0</v>
      </c>
      <c r="E59" s="525">
        <f t="shared" si="10"/>
        <v>0</v>
      </c>
      <c r="F59" s="525">
        <f t="shared" si="10"/>
        <v>0</v>
      </c>
      <c r="G59" s="525">
        <f t="shared" si="10"/>
        <v>0</v>
      </c>
      <c r="H59" s="525">
        <f t="shared" si="10"/>
        <v>8284.9599999999991</v>
      </c>
      <c r="I59" s="525">
        <f t="shared" si="10"/>
        <v>0</v>
      </c>
      <c r="J59" s="525">
        <f t="shared" si="10"/>
        <v>0</v>
      </c>
      <c r="K59" s="525">
        <f t="shared" si="10"/>
        <v>6294.4</v>
      </c>
      <c r="L59" s="525">
        <f t="shared" si="10"/>
        <v>0</v>
      </c>
      <c r="M59" s="525">
        <f t="shared" si="10"/>
        <v>0</v>
      </c>
      <c r="N59" s="525">
        <f t="shared" si="10"/>
        <v>4527.92</v>
      </c>
      <c r="O59" s="525">
        <f>SUM(O43:O58)</f>
        <v>19253.400000000001</v>
      </c>
    </row>
    <row r="60" spans="1:15">
      <c r="A60" s="515"/>
      <c r="B60" s="519" t="s">
        <v>592</v>
      </c>
      <c r="C60" s="522"/>
      <c r="D60" s="522"/>
      <c r="E60" s="522"/>
      <c r="F60" s="522"/>
      <c r="G60" s="522"/>
      <c r="H60" s="522"/>
      <c r="I60" s="522"/>
      <c r="J60" s="522"/>
      <c r="K60" s="522"/>
      <c r="L60" s="522"/>
      <c r="M60" s="522"/>
      <c r="N60" s="522"/>
      <c r="O60" s="522"/>
    </row>
    <row r="61" spans="1:15">
      <c r="A61" s="515"/>
      <c r="B61" s="519" t="s">
        <v>611</v>
      </c>
      <c r="C61" s="522"/>
      <c r="D61" s="522"/>
      <c r="E61" s="522"/>
      <c r="F61" s="522"/>
      <c r="G61" s="522"/>
      <c r="H61" s="522"/>
      <c r="I61" s="522"/>
      <c r="J61" s="522"/>
      <c r="K61" s="522"/>
      <c r="L61" s="522"/>
      <c r="M61" s="522"/>
      <c r="N61" s="522"/>
      <c r="O61" s="522"/>
    </row>
    <row r="62" spans="1:15">
      <c r="A62" s="622" t="str">
        <f>+A43</f>
        <v>AR2XXXX3387-0008</v>
      </c>
      <c r="B62" s="519" t="str">
        <f>+CONCATENATE("        CG Acciones y Bonos - ",A62)</f>
        <v xml:space="preserve">        CG Acciones y Bonos - AR2XXXX3387-0008</v>
      </c>
      <c r="C62" s="523">
        <f>+SUMIFS('Ventas Acciones &amp; Bonos'!$AL:$AL,'Ventas Acciones &amp; Bonos'!$B:$B,'Rev JR'!$A62,'Ventas Acciones &amp; Bonos'!$X:$X,"&gt;="&amp;'Rev JR'!C$1,'Ventas Acciones &amp; Bonos'!$X:$X,"&lt;="&amp;EOMONTH('Rev JR'!C$1,0))</f>
        <v>0</v>
      </c>
      <c r="D62" s="523">
        <f>+SUMIFS('Ventas Acciones &amp; Bonos'!$AL:$AL,'Ventas Acciones &amp; Bonos'!$B:$B,'Rev JR'!$A62,'Ventas Acciones &amp; Bonos'!$X:$X,"&gt;="&amp;'Rev JR'!D$1,'Ventas Acciones &amp; Bonos'!$X:$X,"&lt;="&amp;EOMONTH('Rev JR'!D$1,0))</f>
        <v>0</v>
      </c>
      <c r="E62" s="523">
        <f>+SUMIFS('Ventas Acciones &amp; Bonos'!$AL:$AL,'Ventas Acciones &amp; Bonos'!$B:$B,'Rev JR'!$A62,'Ventas Acciones &amp; Bonos'!$X:$X,"&gt;="&amp;'Rev JR'!E$1,'Ventas Acciones &amp; Bonos'!$X:$X,"&lt;="&amp;EOMONTH('Rev JR'!E$1,0))</f>
        <v>0</v>
      </c>
      <c r="F62" s="523">
        <f>+SUMIFS('Ventas Acciones &amp; Bonos'!$AL:$AL,'Ventas Acciones &amp; Bonos'!$B:$B,'Rev JR'!$A62,'Ventas Acciones &amp; Bonos'!$X:$X,"&gt;="&amp;'Rev JR'!F$1,'Ventas Acciones &amp; Bonos'!$X:$X,"&lt;="&amp;EOMONTH('Rev JR'!F$1,0))</f>
        <v>0</v>
      </c>
      <c r="G62" s="523">
        <f>+SUMIFS('Ventas Acciones &amp; Bonos'!$AL:$AL,'Ventas Acciones &amp; Bonos'!$B:$B,'Rev JR'!$A62,'Ventas Acciones &amp; Bonos'!$X:$X,"&gt;="&amp;'Rev JR'!G$1,'Ventas Acciones &amp; Bonos'!$X:$X,"&lt;="&amp;EOMONTH('Rev JR'!G$1,0))</f>
        <v>0</v>
      </c>
      <c r="H62" s="523">
        <f>+SUMIFS('Ventas Acciones &amp; Bonos'!$AL:$AL,'Ventas Acciones &amp; Bonos'!$B:$B,'Rev JR'!$A62,'Ventas Acciones &amp; Bonos'!$X:$X,"&gt;="&amp;'Rev JR'!H$1,'Ventas Acciones &amp; Bonos'!$X:$X,"&lt;="&amp;EOMONTH('Rev JR'!H$1,0))</f>
        <v>0</v>
      </c>
      <c r="I62" s="523">
        <f>+SUMIFS('Ventas Acciones &amp; Bonos'!$AL:$AL,'Ventas Acciones &amp; Bonos'!$B:$B,'Rev JR'!$A62,'Ventas Acciones &amp; Bonos'!$X:$X,"&gt;="&amp;'Rev JR'!I$1,'Ventas Acciones &amp; Bonos'!$X:$X,"&lt;="&amp;EOMONTH('Rev JR'!I$1,0))</f>
        <v>0</v>
      </c>
      <c r="J62" s="523">
        <f>+SUMIFS('Ventas Acciones &amp; Bonos'!$AL:$AL,'Ventas Acciones &amp; Bonos'!$B:$B,'Rev JR'!$A62,'Ventas Acciones &amp; Bonos'!$X:$X,"&gt;="&amp;'Rev JR'!J$1,'Ventas Acciones &amp; Bonos'!$X:$X,"&lt;="&amp;EOMONTH('Rev JR'!J$1,0))</f>
        <v>0</v>
      </c>
      <c r="K62" s="523">
        <f>+SUMIFS('Ventas Acciones &amp; Bonos'!$AL:$AL,'Ventas Acciones &amp; Bonos'!$B:$B,'Rev JR'!$A62,'Ventas Acciones &amp; Bonos'!$X:$X,"&gt;="&amp;'Rev JR'!K$1,'Ventas Acciones &amp; Bonos'!$X:$X,"&lt;="&amp;EOMONTH('Rev JR'!K$1,0))</f>
        <v>0</v>
      </c>
      <c r="L62" s="523">
        <f>+SUMIFS('Ventas Acciones &amp; Bonos'!$AL:$AL,'Ventas Acciones &amp; Bonos'!$B:$B,'Rev JR'!$A62,'Ventas Acciones &amp; Bonos'!$X:$X,"&gt;="&amp;'Rev JR'!L$1,'Ventas Acciones &amp; Bonos'!$X:$X,"&lt;="&amp;EOMONTH('Rev JR'!L$1,0))</f>
        <v>0</v>
      </c>
      <c r="M62" s="523">
        <f>+SUMIFS('Ventas Acciones &amp; Bonos'!$AL:$AL,'Ventas Acciones &amp; Bonos'!$B:$B,'Rev JR'!$A62,'Ventas Acciones &amp; Bonos'!$X:$X,"&gt;="&amp;'Rev JR'!M$1,'Ventas Acciones &amp; Bonos'!$X:$X,"&lt;="&amp;EOMONTH('Rev JR'!M$1,0))</f>
        <v>0</v>
      </c>
      <c r="N62" s="523">
        <f>+SUMIFS('Ventas Acciones &amp; Bonos'!$AL:$AL,'Ventas Acciones &amp; Bonos'!$B:$B,'Rev JR'!$A62,'Ventas Acciones &amp; Bonos'!$X:$X,"&gt;="&amp;'Rev JR'!N$1,'Ventas Acciones &amp; Bonos'!$X:$X,"&lt;="&amp;EOMONTH('Rev JR'!N$1,0))</f>
        <v>0</v>
      </c>
      <c r="O62" s="523">
        <f t="shared" ref="O62:O77" si="11">SUM(C62:N62)</f>
        <v>0</v>
      </c>
    </row>
    <row r="63" spans="1:15">
      <c r="A63" s="622" t="str">
        <f t="shared" ref="A63:A77" si="12">+A44</f>
        <v>AR2XXXX3387-0003</v>
      </c>
      <c r="B63" s="519" t="str">
        <f t="shared" ref="B63:B77" si="13">+CONCATENATE("        CG Acciones y Bonos - ",A63)</f>
        <v xml:space="preserve">        CG Acciones y Bonos - AR2XXXX3387-0003</v>
      </c>
      <c r="C63" s="523">
        <f>+SUMIFS('Ventas Acciones &amp; Bonos'!$AL:$AL,'Ventas Acciones &amp; Bonos'!$B:$B,'Rev JR'!$A63,'Ventas Acciones &amp; Bonos'!$X:$X,"&gt;="&amp;'Rev JR'!C$1,'Ventas Acciones &amp; Bonos'!$X:$X,"&lt;="&amp;EOMONTH('Rev JR'!C$1,0))</f>
        <v>0</v>
      </c>
      <c r="D63" s="523">
        <f>+SUMIFS('Ventas Acciones &amp; Bonos'!$AL:$AL,'Ventas Acciones &amp; Bonos'!$B:$B,'Rev JR'!$A63,'Ventas Acciones &amp; Bonos'!$X:$X,"&gt;="&amp;'Rev JR'!D$1,'Ventas Acciones &amp; Bonos'!$X:$X,"&lt;="&amp;EOMONTH('Rev JR'!D$1,0))</f>
        <v>0</v>
      </c>
      <c r="E63" s="523">
        <f>+SUMIFS('Ventas Acciones &amp; Bonos'!$AL:$AL,'Ventas Acciones &amp; Bonos'!$B:$B,'Rev JR'!$A63,'Ventas Acciones &amp; Bonos'!$X:$X,"&gt;="&amp;'Rev JR'!E$1,'Ventas Acciones &amp; Bonos'!$X:$X,"&lt;="&amp;EOMONTH('Rev JR'!E$1,0))</f>
        <v>0</v>
      </c>
      <c r="F63" s="523">
        <f>+SUMIFS('Ventas Acciones &amp; Bonos'!$AL:$AL,'Ventas Acciones &amp; Bonos'!$B:$B,'Rev JR'!$A63,'Ventas Acciones &amp; Bonos'!$X:$X,"&gt;="&amp;'Rev JR'!F$1,'Ventas Acciones &amp; Bonos'!$X:$X,"&lt;="&amp;EOMONTH('Rev JR'!F$1,0))</f>
        <v>0</v>
      </c>
      <c r="G63" s="523">
        <f>+SUMIFS('Ventas Acciones &amp; Bonos'!$AL:$AL,'Ventas Acciones &amp; Bonos'!$B:$B,'Rev JR'!$A63,'Ventas Acciones &amp; Bonos'!$X:$X,"&gt;="&amp;'Rev JR'!G$1,'Ventas Acciones &amp; Bonos'!$X:$X,"&lt;="&amp;EOMONTH('Rev JR'!G$1,0))</f>
        <v>0</v>
      </c>
      <c r="H63" s="523">
        <f>+SUMIFS('Ventas Acciones &amp; Bonos'!$AL:$AL,'Ventas Acciones &amp; Bonos'!$B:$B,'Rev JR'!$A63,'Ventas Acciones &amp; Bonos'!$X:$X,"&gt;="&amp;'Rev JR'!H$1,'Ventas Acciones &amp; Bonos'!$X:$X,"&lt;="&amp;EOMONTH('Rev JR'!H$1,0))</f>
        <v>0</v>
      </c>
      <c r="I63" s="523">
        <f>+SUMIFS('Ventas Acciones &amp; Bonos'!$AL:$AL,'Ventas Acciones &amp; Bonos'!$B:$B,'Rev JR'!$A63,'Ventas Acciones &amp; Bonos'!$X:$X,"&gt;="&amp;'Rev JR'!I$1,'Ventas Acciones &amp; Bonos'!$X:$X,"&lt;="&amp;EOMONTH('Rev JR'!I$1,0))</f>
        <v>0</v>
      </c>
      <c r="J63" s="523">
        <f>+SUMIFS('Ventas Acciones &amp; Bonos'!$AL:$AL,'Ventas Acciones &amp; Bonos'!$B:$B,'Rev JR'!$A63,'Ventas Acciones &amp; Bonos'!$X:$X,"&gt;="&amp;'Rev JR'!J$1,'Ventas Acciones &amp; Bonos'!$X:$X,"&lt;="&amp;EOMONTH('Rev JR'!J$1,0))</f>
        <v>0</v>
      </c>
      <c r="K63" s="523">
        <f>+SUMIFS('Ventas Acciones &amp; Bonos'!$AL:$AL,'Ventas Acciones &amp; Bonos'!$B:$B,'Rev JR'!$A63,'Ventas Acciones &amp; Bonos'!$X:$X,"&gt;="&amp;'Rev JR'!K$1,'Ventas Acciones &amp; Bonos'!$X:$X,"&lt;="&amp;EOMONTH('Rev JR'!K$1,0))</f>
        <v>0</v>
      </c>
      <c r="L63" s="523">
        <f>+SUMIFS('Ventas Acciones &amp; Bonos'!$AL:$AL,'Ventas Acciones &amp; Bonos'!$B:$B,'Rev JR'!$A63,'Ventas Acciones &amp; Bonos'!$X:$X,"&gt;="&amp;'Rev JR'!L$1,'Ventas Acciones &amp; Bonos'!$X:$X,"&lt;="&amp;EOMONTH('Rev JR'!L$1,0))</f>
        <v>0</v>
      </c>
      <c r="M63" s="523">
        <f>+SUMIFS('Ventas Acciones &amp; Bonos'!$AL:$AL,'Ventas Acciones &amp; Bonos'!$B:$B,'Rev JR'!$A63,'Ventas Acciones &amp; Bonos'!$X:$X,"&gt;="&amp;'Rev JR'!M$1,'Ventas Acciones &amp; Bonos'!$X:$X,"&lt;="&amp;EOMONTH('Rev JR'!M$1,0))</f>
        <v>0</v>
      </c>
      <c r="N63" s="523">
        <f>+SUMIFS('Ventas Acciones &amp; Bonos'!$AL:$AL,'Ventas Acciones &amp; Bonos'!$B:$B,'Rev JR'!$A63,'Ventas Acciones &amp; Bonos'!$X:$X,"&gt;="&amp;'Rev JR'!N$1,'Ventas Acciones &amp; Bonos'!$X:$X,"&lt;="&amp;EOMONTH('Rev JR'!N$1,0))</f>
        <v>0</v>
      </c>
      <c r="O63" s="523">
        <f t="shared" si="11"/>
        <v>0</v>
      </c>
    </row>
    <row r="64" spans="1:15">
      <c r="A64" s="622" t="str">
        <f t="shared" si="12"/>
        <v>029-2XXX1-9</v>
      </c>
      <c r="B64" s="519" t="str">
        <f t="shared" si="13"/>
        <v xml:space="preserve">        CG Acciones y Bonos - 029-2XXX1-9</v>
      </c>
      <c r="C64" s="523">
        <f>+SUMIFS('Ventas Acciones &amp; Bonos'!$AL:$AL,'Ventas Acciones &amp; Bonos'!$B:$B,'Rev JR'!$A64,'Ventas Acciones &amp; Bonos'!$X:$X,"&gt;="&amp;'Rev JR'!C$1,'Ventas Acciones &amp; Bonos'!$X:$X,"&lt;="&amp;EOMONTH('Rev JR'!C$1,0))</f>
        <v>0</v>
      </c>
      <c r="D64" s="523">
        <f>+SUMIFS('Ventas Acciones &amp; Bonos'!$AL:$AL,'Ventas Acciones &amp; Bonos'!$B:$B,'Rev JR'!$A64,'Ventas Acciones &amp; Bonos'!$X:$X,"&gt;="&amp;'Rev JR'!D$1,'Ventas Acciones &amp; Bonos'!$X:$X,"&lt;="&amp;EOMONTH('Rev JR'!D$1,0))</f>
        <v>0</v>
      </c>
      <c r="E64" s="523">
        <f>+SUMIFS('Ventas Acciones &amp; Bonos'!$AL:$AL,'Ventas Acciones &amp; Bonos'!$B:$B,'Rev JR'!$A64,'Ventas Acciones &amp; Bonos'!$X:$X,"&gt;="&amp;'Rev JR'!E$1,'Ventas Acciones &amp; Bonos'!$X:$X,"&lt;="&amp;EOMONTH('Rev JR'!E$1,0))</f>
        <v>0</v>
      </c>
      <c r="F64" s="523">
        <f>+SUMIFS('Ventas Acciones &amp; Bonos'!$AL:$AL,'Ventas Acciones &amp; Bonos'!$B:$B,'Rev JR'!$A64,'Ventas Acciones &amp; Bonos'!$X:$X,"&gt;="&amp;'Rev JR'!F$1,'Ventas Acciones &amp; Bonos'!$X:$X,"&lt;="&amp;EOMONTH('Rev JR'!F$1,0))</f>
        <v>0</v>
      </c>
      <c r="G64" s="523">
        <f>+SUMIFS('Ventas Acciones &amp; Bonos'!$AL:$AL,'Ventas Acciones &amp; Bonos'!$B:$B,'Rev JR'!$A64,'Ventas Acciones &amp; Bonos'!$X:$X,"&gt;="&amp;'Rev JR'!G$1,'Ventas Acciones &amp; Bonos'!$X:$X,"&lt;="&amp;EOMONTH('Rev JR'!G$1,0))</f>
        <v>0</v>
      </c>
      <c r="H64" s="523">
        <f>+SUMIFS('Ventas Acciones &amp; Bonos'!$AL:$AL,'Ventas Acciones &amp; Bonos'!$B:$B,'Rev JR'!$A64,'Ventas Acciones &amp; Bonos'!$X:$X,"&gt;="&amp;'Rev JR'!H$1,'Ventas Acciones &amp; Bonos'!$X:$X,"&lt;="&amp;EOMONTH('Rev JR'!H$1,0))</f>
        <v>0</v>
      </c>
      <c r="I64" s="523">
        <f>+SUMIFS('Ventas Acciones &amp; Bonos'!$AL:$AL,'Ventas Acciones &amp; Bonos'!$B:$B,'Rev JR'!$A64,'Ventas Acciones &amp; Bonos'!$X:$X,"&gt;="&amp;'Rev JR'!I$1,'Ventas Acciones &amp; Bonos'!$X:$X,"&lt;="&amp;EOMONTH('Rev JR'!I$1,0))</f>
        <v>0</v>
      </c>
      <c r="J64" s="523">
        <f>+SUMIFS('Ventas Acciones &amp; Bonos'!$AL:$AL,'Ventas Acciones &amp; Bonos'!$B:$B,'Rev JR'!$A64,'Ventas Acciones &amp; Bonos'!$X:$X,"&gt;="&amp;'Rev JR'!J$1,'Ventas Acciones &amp; Bonos'!$X:$X,"&lt;="&amp;EOMONTH('Rev JR'!J$1,0))</f>
        <v>0</v>
      </c>
      <c r="K64" s="523">
        <f>+SUMIFS('Ventas Acciones &amp; Bonos'!$AL:$AL,'Ventas Acciones &amp; Bonos'!$B:$B,'Rev JR'!$A64,'Ventas Acciones &amp; Bonos'!$X:$X,"&gt;="&amp;'Rev JR'!K$1,'Ventas Acciones &amp; Bonos'!$X:$X,"&lt;="&amp;EOMONTH('Rev JR'!K$1,0))</f>
        <v>0</v>
      </c>
      <c r="L64" s="523">
        <f>+SUMIFS('Ventas Acciones &amp; Bonos'!$AL:$AL,'Ventas Acciones &amp; Bonos'!$B:$B,'Rev JR'!$A64,'Ventas Acciones &amp; Bonos'!$X:$X,"&gt;="&amp;'Rev JR'!L$1,'Ventas Acciones &amp; Bonos'!$X:$X,"&lt;="&amp;EOMONTH('Rev JR'!L$1,0))</f>
        <v>0</v>
      </c>
      <c r="M64" s="523">
        <f>+SUMIFS('Ventas Acciones &amp; Bonos'!$AL:$AL,'Ventas Acciones &amp; Bonos'!$B:$B,'Rev JR'!$A64,'Ventas Acciones &amp; Bonos'!$X:$X,"&gt;="&amp;'Rev JR'!M$1,'Ventas Acciones &amp; Bonos'!$X:$X,"&lt;="&amp;EOMONTH('Rev JR'!M$1,0))</f>
        <v>0</v>
      </c>
      <c r="N64" s="523">
        <f>+SUMIFS('Ventas Acciones &amp; Bonos'!$AL:$AL,'Ventas Acciones &amp; Bonos'!$B:$B,'Rev JR'!$A64,'Ventas Acciones &amp; Bonos'!$X:$X,"&gt;="&amp;'Rev JR'!N$1,'Ventas Acciones &amp; Bonos'!$X:$X,"&lt;="&amp;EOMONTH('Rev JR'!N$1,0))</f>
        <v>0</v>
      </c>
      <c r="O64" s="523">
        <f t="shared" si="11"/>
        <v>0</v>
      </c>
    </row>
    <row r="65" spans="1:15">
      <c r="A65" s="622" t="str">
        <f t="shared" si="12"/>
        <v>029-2XXX2-7</v>
      </c>
      <c r="B65" s="519" t="str">
        <f t="shared" si="13"/>
        <v xml:space="preserve">        CG Acciones y Bonos - 029-2XXX2-7</v>
      </c>
      <c r="C65" s="523">
        <f>+SUMIFS('Ventas Acciones &amp; Bonos'!$AL:$AL,'Ventas Acciones &amp; Bonos'!$B:$B,'Rev JR'!$A65,'Ventas Acciones &amp; Bonos'!$X:$X,"&gt;="&amp;'Rev JR'!C$1,'Ventas Acciones &amp; Bonos'!$X:$X,"&lt;="&amp;EOMONTH('Rev JR'!C$1,0))</f>
        <v>0</v>
      </c>
      <c r="D65" s="523">
        <f>+SUMIFS('Ventas Acciones &amp; Bonos'!$AL:$AL,'Ventas Acciones &amp; Bonos'!$B:$B,'Rev JR'!$A65,'Ventas Acciones &amp; Bonos'!$X:$X,"&gt;="&amp;'Rev JR'!D$1,'Ventas Acciones &amp; Bonos'!$X:$X,"&lt;="&amp;EOMONTH('Rev JR'!D$1,0))</f>
        <v>0</v>
      </c>
      <c r="E65" s="523">
        <f>+SUMIFS('Ventas Acciones &amp; Bonos'!$AL:$AL,'Ventas Acciones &amp; Bonos'!$B:$B,'Rev JR'!$A65,'Ventas Acciones &amp; Bonos'!$X:$X,"&gt;="&amp;'Rev JR'!E$1,'Ventas Acciones &amp; Bonos'!$X:$X,"&lt;="&amp;EOMONTH('Rev JR'!E$1,0))</f>
        <v>0</v>
      </c>
      <c r="F65" s="523">
        <f>+SUMIFS('Ventas Acciones &amp; Bonos'!$AL:$AL,'Ventas Acciones &amp; Bonos'!$B:$B,'Rev JR'!$A65,'Ventas Acciones &amp; Bonos'!$X:$X,"&gt;="&amp;'Rev JR'!F$1,'Ventas Acciones &amp; Bonos'!$X:$X,"&lt;="&amp;EOMONTH('Rev JR'!F$1,0))</f>
        <v>0</v>
      </c>
      <c r="G65" s="523">
        <f>+SUMIFS('Ventas Acciones &amp; Bonos'!$AL:$AL,'Ventas Acciones &amp; Bonos'!$B:$B,'Rev JR'!$A65,'Ventas Acciones &amp; Bonos'!$X:$X,"&gt;="&amp;'Rev JR'!G$1,'Ventas Acciones &amp; Bonos'!$X:$X,"&lt;="&amp;EOMONTH('Rev JR'!G$1,0))</f>
        <v>0</v>
      </c>
      <c r="H65" s="523">
        <f>+SUMIFS('Ventas Acciones &amp; Bonos'!$AL:$AL,'Ventas Acciones &amp; Bonos'!$B:$B,'Rev JR'!$A65,'Ventas Acciones &amp; Bonos'!$X:$X,"&gt;="&amp;'Rev JR'!H$1,'Ventas Acciones &amp; Bonos'!$X:$X,"&lt;="&amp;EOMONTH('Rev JR'!H$1,0))</f>
        <v>0</v>
      </c>
      <c r="I65" s="523">
        <f>+SUMIFS('Ventas Acciones &amp; Bonos'!$AL:$AL,'Ventas Acciones &amp; Bonos'!$B:$B,'Rev JR'!$A65,'Ventas Acciones &amp; Bonos'!$X:$X,"&gt;="&amp;'Rev JR'!I$1,'Ventas Acciones &amp; Bonos'!$X:$X,"&lt;="&amp;EOMONTH('Rev JR'!I$1,0))</f>
        <v>0</v>
      </c>
      <c r="J65" s="523">
        <f>+SUMIFS('Ventas Acciones &amp; Bonos'!$AL:$AL,'Ventas Acciones &amp; Bonos'!$B:$B,'Rev JR'!$A65,'Ventas Acciones &amp; Bonos'!$X:$X,"&gt;="&amp;'Rev JR'!J$1,'Ventas Acciones &amp; Bonos'!$X:$X,"&lt;="&amp;EOMONTH('Rev JR'!J$1,0))</f>
        <v>0</v>
      </c>
      <c r="K65" s="523">
        <f>+SUMIFS('Ventas Acciones &amp; Bonos'!$AL:$AL,'Ventas Acciones &amp; Bonos'!$B:$B,'Rev JR'!$A65,'Ventas Acciones &amp; Bonos'!$X:$X,"&gt;="&amp;'Rev JR'!K$1,'Ventas Acciones &amp; Bonos'!$X:$X,"&lt;="&amp;EOMONTH('Rev JR'!K$1,0))</f>
        <v>0</v>
      </c>
      <c r="L65" s="523">
        <f>+SUMIFS('Ventas Acciones &amp; Bonos'!$AL:$AL,'Ventas Acciones &amp; Bonos'!$B:$B,'Rev JR'!$A65,'Ventas Acciones &amp; Bonos'!$X:$X,"&gt;="&amp;'Rev JR'!L$1,'Ventas Acciones &amp; Bonos'!$X:$X,"&lt;="&amp;EOMONTH('Rev JR'!L$1,0))</f>
        <v>0</v>
      </c>
      <c r="M65" s="523">
        <f>+SUMIFS('Ventas Acciones &amp; Bonos'!$AL:$AL,'Ventas Acciones &amp; Bonos'!$B:$B,'Rev JR'!$A65,'Ventas Acciones &amp; Bonos'!$X:$X,"&gt;="&amp;'Rev JR'!M$1,'Ventas Acciones &amp; Bonos'!$X:$X,"&lt;="&amp;EOMONTH('Rev JR'!M$1,0))</f>
        <v>0</v>
      </c>
      <c r="N65" s="523">
        <f>+SUMIFS('Ventas Acciones &amp; Bonos'!$AL:$AL,'Ventas Acciones &amp; Bonos'!$B:$B,'Rev JR'!$A65,'Ventas Acciones &amp; Bonos'!$X:$X,"&gt;="&amp;'Rev JR'!N$1,'Ventas Acciones &amp; Bonos'!$X:$X,"&lt;="&amp;EOMONTH('Rev JR'!N$1,0))</f>
        <v>0</v>
      </c>
      <c r="O65" s="523">
        <f t="shared" si="11"/>
        <v>0</v>
      </c>
    </row>
    <row r="66" spans="1:15">
      <c r="A66" s="622" t="str">
        <f t="shared" si="12"/>
        <v>029-2XXX3-5</v>
      </c>
      <c r="B66" s="519" t="str">
        <f t="shared" si="13"/>
        <v xml:space="preserve">        CG Acciones y Bonos - 029-2XXX3-5</v>
      </c>
      <c r="C66" s="523">
        <f>+SUMIFS('Ventas Acciones &amp; Bonos'!$AL:$AL,'Ventas Acciones &amp; Bonos'!$B:$B,'Rev JR'!$A66,'Ventas Acciones &amp; Bonos'!$X:$X,"&gt;="&amp;'Rev JR'!C$1,'Ventas Acciones &amp; Bonos'!$X:$X,"&lt;="&amp;EOMONTH('Rev JR'!C$1,0))</f>
        <v>0</v>
      </c>
      <c r="D66" s="523">
        <f>+SUMIFS('Ventas Acciones &amp; Bonos'!$AL:$AL,'Ventas Acciones &amp; Bonos'!$B:$B,'Rev JR'!$A66,'Ventas Acciones &amp; Bonos'!$X:$X,"&gt;="&amp;'Rev JR'!D$1,'Ventas Acciones &amp; Bonos'!$X:$X,"&lt;="&amp;EOMONTH('Rev JR'!D$1,0))</f>
        <v>0</v>
      </c>
      <c r="E66" s="523">
        <f>+SUMIFS('Ventas Acciones &amp; Bonos'!$AL:$AL,'Ventas Acciones &amp; Bonos'!$B:$B,'Rev JR'!$A66,'Ventas Acciones &amp; Bonos'!$X:$X,"&gt;="&amp;'Rev JR'!E$1,'Ventas Acciones &amp; Bonos'!$X:$X,"&lt;="&amp;EOMONTH('Rev JR'!E$1,0))</f>
        <v>0</v>
      </c>
      <c r="F66" s="523">
        <f>+SUMIFS('Ventas Acciones &amp; Bonos'!$AL:$AL,'Ventas Acciones &amp; Bonos'!$B:$B,'Rev JR'!$A66,'Ventas Acciones &amp; Bonos'!$X:$X,"&gt;="&amp;'Rev JR'!F$1,'Ventas Acciones &amp; Bonos'!$X:$X,"&lt;="&amp;EOMONTH('Rev JR'!F$1,0))</f>
        <v>0</v>
      </c>
      <c r="G66" s="523">
        <f>+SUMIFS('Ventas Acciones &amp; Bonos'!$AL:$AL,'Ventas Acciones &amp; Bonos'!$B:$B,'Rev JR'!$A66,'Ventas Acciones &amp; Bonos'!$X:$X,"&gt;="&amp;'Rev JR'!G$1,'Ventas Acciones &amp; Bonos'!$X:$X,"&lt;="&amp;EOMONTH('Rev JR'!G$1,0))</f>
        <v>0</v>
      </c>
      <c r="H66" s="523">
        <f>+SUMIFS('Ventas Acciones &amp; Bonos'!$AL:$AL,'Ventas Acciones &amp; Bonos'!$B:$B,'Rev JR'!$A66,'Ventas Acciones &amp; Bonos'!$X:$X,"&gt;="&amp;'Rev JR'!H$1,'Ventas Acciones &amp; Bonos'!$X:$X,"&lt;="&amp;EOMONTH('Rev JR'!H$1,0))</f>
        <v>0</v>
      </c>
      <c r="I66" s="523">
        <f>+SUMIFS('Ventas Acciones &amp; Bonos'!$AL:$AL,'Ventas Acciones &amp; Bonos'!$B:$B,'Rev JR'!$A66,'Ventas Acciones &amp; Bonos'!$X:$X,"&gt;="&amp;'Rev JR'!I$1,'Ventas Acciones &amp; Bonos'!$X:$X,"&lt;="&amp;EOMONTH('Rev JR'!I$1,0))</f>
        <v>0</v>
      </c>
      <c r="J66" s="523">
        <f>+SUMIFS('Ventas Acciones &amp; Bonos'!$AL:$AL,'Ventas Acciones &amp; Bonos'!$B:$B,'Rev JR'!$A66,'Ventas Acciones &amp; Bonos'!$X:$X,"&gt;="&amp;'Rev JR'!J$1,'Ventas Acciones &amp; Bonos'!$X:$X,"&lt;="&amp;EOMONTH('Rev JR'!J$1,0))</f>
        <v>0</v>
      </c>
      <c r="K66" s="523">
        <f>+SUMIFS('Ventas Acciones &amp; Bonos'!$AL:$AL,'Ventas Acciones &amp; Bonos'!$B:$B,'Rev JR'!$A66,'Ventas Acciones &amp; Bonos'!$X:$X,"&gt;="&amp;'Rev JR'!K$1,'Ventas Acciones &amp; Bonos'!$X:$X,"&lt;="&amp;EOMONTH('Rev JR'!K$1,0))</f>
        <v>0</v>
      </c>
      <c r="L66" s="523">
        <f>+SUMIFS('Ventas Acciones &amp; Bonos'!$AL:$AL,'Ventas Acciones &amp; Bonos'!$B:$B,'Rev JR'!$A66,'Ventas Acciones &amp; Bonos'!$X:$X,"&gt;="&amp;'Rev JR'!L$1,'Ventas Acciones &amp; Bonos'!$X:$X,"&lt;="&amp;EOMONTH('Rev JR'!L$1,0))</f>
        <v>0</v>
      </c>
      <c r="M66" s="523">
        <f>+SUMIFS('Ventas Acciones &amp; Bonos'!$AL:$AL,'Ventas Acciones &amp; Bonos'!$B:$B,'Rev JR'!$A66,'Ventas Acciones &amp; Bonos'!$X:$X,"&gt;="&amp;'Rev JR'!M$1,'Ventas Acciones &amp; Bonos'!$X:$X,"&lt;="&amp;EOMONTH('Rev JR'!M$1,0))</f>
        <v>0</v>
      </c>
      <c r="N66" s="523">
        <f>+SUMIFS('Ventas Acciones &amp; Bonos'!$AL:$AL,'Ventas Acciones &amp; Bonos'!$B:$B,'Rev JR'!$A66,'Ventas Acciones &amp; Bonos'!$X:$X,"&gt;="&amp;'Rev JR'!N$1,'Ventas Acciones &amp; Bonos'!$X:$X,"&lt;="&amp;EOMONTH('Rev JR'!N$1,0))</f>
        <v>0</v>
      </c>
      <c r="O66" s="523">
        <f t="shared" si="11"/>
        <v>0</v>
      </c>
    </row>
    <row r="67" spans="1:15">
      <c r="A67" s="622" t="str">
        <f t="shared" si="12"/>
        <v>F</v>
      </c>
      <c r="B67" s="519" t="str">
        <f t="shared" si="13"/>
        <v xml:space="preserve">        CG Acciones y Bonos - F</v>
      </c>
      <c r="C67" s="523">
        <f>+SUMIFS('Ventas Acciones &amp; Bonos'!$AL:$AL,'Ventas Acciones &amp; Bonos'!$B:$B,'Rev JR'!$A67,'Ventas Acciones &amp; Bonos'!$X:$X,"&gt;="&amp;'Rev JR'!C$1,'Ventas Acciones &amp; Bonos'!$X:$X,"&lt;="&amp;EOMONTH('Rev JR'!C$1,0))</f>
        <v>0</v>
      </c>
      <c r="D67" s="523">
        <f>+SUMIFS('Ventas Acciones &amp; Bonos'!$AL:$AL,'Ventas Acciones &amp; Bonos'!$B:$B,'Rev JR'!$A67,'Ventas Acciones &amp; Bonos'!$X:$X,"&gt;="&amp;'Rev JR'!D$1,'Ventas Acciones &amp; Bonos'!$X:$X,"&lt;="&amp;EOMONTH('Rev JR'!D$1,0))</f>
        <v>0</v>
      </c>
      <c r="E67" s="523">
        <f>+SUMIFS('Ventas Acciones &amp; Bonos'!$AL:$AL,'Ventas Acciones &amp; Bonos'!$B:$B,'Rev JR'!$A67,'Ventas Acciones &amp; Bonos'!$X:$X,"&gt;="&amp;'Rev JR'!E$1,'Ventas Acciones &amp; Bonos'!$X:$X,"&lt;="&amp;EOMONTH('Rev JR'!E$1,0))</f>
        <v>0</v>
      </c>
      <c r="F67" s="523">
        <f>+SUMIFS('Ventas Acciones &amp; Bonos'!$AL:$AL,'Ventas Acciones &amp; Bonos'!$B:$B,'Rev JR'!$A67,'Ventas Acciones &amp; Bonos'!$X:$X,"&gt;="&amp;'Rev JR'!F$1,'Ventas Acciones &amp; Bonos'!$X:$X,"&lt;="&amp;EOMONTH('Rev JR'!F$1,0))</f>
        <v>0</v>
      </c>
      <c r="G67" s="523">
        <f>+SUMIFS('Ventas Acciones &amp; Bonos'!$AL:$AL,'Ventas Acciones &amp; Bonos'!$B:$B,'Rev JR'!$A67,'Ventas Acciones &amp; Bonos'!$X:$X,"&gt;="&amp;'Rev JR'!G$1,'Ventas Acciones &amp; Bonos'!$X:$X,"&lt;="&amp;EOMONTH('Rev JR'!G$1,0))</f>
        <v>0</v>
      </c>
      <c r="H67" s="523">
        <f>+SUMIFS('Ventas Acciones &amp; Bonos'!$AL:$AL,'Ventas Acciones &amp; Bonos'!$B:$B,'Rev JR'!$A67,'Ventas Acciones &amp; Bonos'!$X:$X,"&gt;="&amp;'Rev JR'!H$1,'Ventas Acciones &amp; Bonos'!$X:$X,"&lt;="&amp;EOMONTH('Rev JR'!H$1,0))</f>
        <v>0</v>
      </c>
      <c r="I67" s="523">
        <f>+SUMIFS('Ventas Acciones &amp; Bonos'!$AL:$AL,'Ventas Acciones &amp; Bonos'!$B:$B,'Rev JR'!$A67,'Ventas Acciones &amp; Bonos'!$X:$X,"&gt;="&amp;'Rev JR'!I$1,'Ventas Acciones &amp; Bonos'!$X:$X,"&lt;="&amp;EOMONTH('Rev JR'!I$1,0))</f>
        <v>0</v>
      </c>
      <c r="J67" s="523">
        <f>+SUMIFS('Ventas Acciones &amp; Bonos'!$AL:$AL,'Ventas Acciones &amp; Bonos'!$B:$B,'Rev JR'!$A67,'Ventas Acciones &amp; Bonos'!$X:$X,"&gt;="&amp;'Rev JR'!J$1,'Ventas Acciones &amp; Bonos'!$X:$X,"&lt;="&amp;EOMONTH('Rev JR'!J$1,0))</f>
        <v>0</v>
      </c>
      <c r="K67" s="523">
        <f>+SUMIFS('Ventas Acciones &amp; Bonos'!$AL:$AL,'Ventas Acciones &amp; Bonos'!$B:$B,'Rev JR'!$A67,'Ventas Acciones &amp; Bonos'!$X:$X,"&gt;="&amp;'Rev JR'!K$1,'Ventas Acciones &amp; Bonos'!$X:$X,"&lt;="&amp;EOMONTH('Rev JR'!K$1,0))</f>
        <v>0</v>
      </c>
      <c r="L67" s="523">
        <f>+SUMIFS('Ventas Acciones &amp; Bonos'!$AL:$AL,'Ventas Acciones &amp; Bonos'!$B:$B,'Rev JR'!$A67,'Ventas Acciones &amp; Bonos'!$X:$X,"&gt;="&amp;'Rev JR'!L$1,'Ventas Acciones &amp; Bonos'!$X:$X,"&lt;="&amp;EOMONTH('Rev JR'!L$1,0))</f>
        <v>0</v>
      </c>
      <c r="M67" s="523">
        <f>+SUMIFS('Ventas Acciones &amp; Bonos'!$AL:$AL,'Ventas Acciones &amp; Bonos'!$B:$B,'Rev JR'!$A67,'Ventas Acciones &amp; Bonos'!$X:$X,"&gt;="&amp;'Rev JR'!M$1,'Ventas Acciones &amp; Bonos'!$X:$X,"&lt;="&amp;EOMONTH('Rev JR'!M$1,0))</f>
        <v>0</v>
      </c>
      <c r="N67" s="523">
        <f>+SUMIFS('Ventas Acciones &amp; Bonos'!$AL:$AL,'Ventas Acciones &amp; Bonos'!$B:$B,'Rev JR'!$A67,'Ventas Acciones &amp; Bonos'!$X:$X,"&gt;="&amp;'Rev JR'!N$1,'Ventas Acciones &amp; Bonos'!$X:$X,"&lt;="&amp;EOMONTH('Rev JR'!N$1,0))</f>
        <v>0</v>
      </c>
      <c r="O67" s="523">
        <f t="shared" si="11"/>
        <v>0</v>
      </c>
    </row>
    <row r="68" spans="1:15">
      <c r="A68" s="622" t="str">
        <f t="shared" si="12"/>
        <v>G</v>
      </c>
      <c r="B68" s="519" t="str">
        <f t="shared" si="13"/>
        <v xml:space="preserve">        CG Acciones y Bonos - G</v>
      </c>
      <c r="C68" s="523">
        <f>+SUMIFS('Ventas Acciones &amp; Bonos'!$AL:$AL,'Ventas Acciones &amp; Bonos'!$B:$B,'Rev JR'!$A68,'Ventas Acciones &amp; Bonos'!$X:$X,"&gt;="&amp;'Rev JR'!C$1,'Ventas Acciones &amp; Bonos'!$X:$X,"&lt;="&amp;EOMONTH('Rev JR'!C$1,0))</f>
        <v>0</v>
      </c>
      <c r="D68" s="523">
        <f>+SUMIFS('Ventas Acciones &amp; Bonos'!$AL:$AL,'Ventas Acciones &amp; Bonos'!$B:$B,'Rev JR'!$A68,'Ventas Acciones &amp; Bonos'!$X:$X,"&gt;="&amp;'Rev JR'!D$1,'Ventas Acciones &amp; Bonos'!$X:$X,"&lt;="&amp;EOMONTH('Rev JR'!D$1,0))</f>
        <v>0</v>
      </c>
      <c r="E68" s="523">
        <f>+SUMIFS('Ventas Acciones &amp; Bonos'!$AL:$AL,'Ventas Acciones &amp; Bonos'!$B:$B,'Rev JR'!$A68,'Ventas Acciones &amp; Bonos'!$X:$X,"&gt;="&amp;'Rev JR'!E$1,'Ventas Acciones &amp; Bonos'!$X:$X,"&lt;="&amp;EOMONTH('Rev JR'!E$1,0))</f>
        <v>0</v>
      </c>
      <c r="F68" s="523">
        <f>+SUMIFS('Ventas Acciones &amp; Bonos'!$AL:$AL,'Ventas Acciones &amp; Bonos'!$B:$B,'Rev JR'!$A68,'Ventas Acciones &amp; Bonos'!$X:$X,"&gt;="&amp;'Rev JR'!F$1,'Ventas Acciones &amp; Bonos'!$X:$X,"&lt;="&amp;EOMONTH('Rev JR'!F$1,0))</f>
        <v>0</v>
      </c>
      <c r="G68" s="523">
        <f>+SUMIFS('Ventas Acciones &amp; Bonos'!$AL:$AL,'Ventas Acciones &amp; Bonos'!$B:$B,'Rev JR'!$A68,'Ventas Acciones &amp; Bonos'!$X:$X,"&gt;="&amp;'Rev JR'!G$1,'Ventas Acciones &amp; Bonos'!$X:$X,"&lt;="&amp;EOMONTH('Rev JR'!G$1,0))</f>
        <v>0</v>
      </c>
      <c r="H68" s="523">
        <f>+SUMIFS('Ventas Acciones &amp; Bonos'!$AL:$AL,'Ventas Acciones &amp; Bonos'!$B:$B,'Rev JR'!$A68,'Ventas Acciones &amp; Bonos'!$X:$X,"&gt;="&amp;'Rev JR'!H$1,'Ventas Acciones &amp; Bonos'!$X:$X,"&lt;="&amp;EOMONTH('Rev JR'!H$1,0))</f>
        <v>0</v>
      </c>
      <c r="I68" s="523">
        <f>+SUMIFS('Ventas Acciones &amp; Bonos'!$AL:$AL,'Ventas Acciones &amp; Bonos'!$B:$B,'Rev JR'!$A68,'Ventas Acciones &amp; Bonos'!$X:$X,"&gt;="&amp;'Rev JR'!I$1,'Ventas Acciones &amp; Bonos'!$X:$X,"&lt;="&amp;EOMONTH('Rev JR'!I$1,0))</f>
        <v>0</v>
      </c>
      <c r="J68" s="523">
        <f>+SUMIFS('Ventas Acciones &amp; Bonos'!$AL:$AL,'Ventas Acciones &amp; Bonos'!$B:$B,'Rev JR'!$A68,'Ventas Acciones &amp; Bonos'!$X:$X,"&gt;="&amp;'Rev JR'!J$1,'Ventas Acciones &amp; Bonos'!$X:$X,"&lt;="&amp;EOMONTH('Rev JR'!J$1,0))</f>
        <v>0</v>
      </c>
      <c r="K68" s="523">
        <f>+SUMIFS('Ventas Acciones &amp; Bonos'!$AL:$AL,'Ventas Acciones &amp; Bonos'!$B:$B,'Rev JR'!$A68,'Ventas Acciones &amp; Bonos'!$X:$X,"&gt;="&amp;'Rev JR'!K$1,'Ventas Acciones &amp; Bonos'!$X:$X,"&lt;="&amp;EOMONTH('Rev JR'!K$1,0))</f>
        <v>0</v>
      </c>
      <c r="L68" s="523">
        <f>+SUMIFS('Ventas Acciones &amp; Bonos'!$AL:$AL,'Ventas Acciones &amp; Bonos'!$B:$B,'Rev JR'!$A68,'Ventas Acciones &amp; Bonos'!$X:$X,"&gt;="&amp;'Rev JR'!L$1,'Ventas Acciones &amp; Bonos'!$X:$X,"&lt;="&amp;EOMONTH('Rev JR'!L$1,0))</f>
        <v>0</v>
      </c>
      <c r="M68" s="523">
        <f>+SUMIFS('Ventas Acciones &amp; Bonos'!$AL:$AL,'Ventas Acciones &amp; Bonos'!$B:$B,'Rev JR'!$A68,'Ventas Acciones &amp; Bonos'!$X:$X,"&gt;="&amp;'Rev JR'!M$1,'Ventas Acciones &amp; Bonos'!$X:$X,"&lt;="&amp;EOMONTH('Rev JR'!M$1,0))</f>
        <v>0</v>
      </c>
      <c r="N68" s="523">
        <f>+SUMIFS('Ventas Acciones &amp; Bonos'!$AL:$AL,'Ventas Acciones &amp; Bonos'!$B:$B,'Rev JR'!$A68,'Ventas Acciones &amp; Bonos'!$X:$X,"&gt;="&amp;'Rev JR'!N$1,'Ventas Acciones &amp; Bonos'!$X:$X,"&lt;="&amp;EOMONTH('Rev JR'!N$1,0))</f>
        <v>0</v>
      </c>
      <c r="O68" s="523">
        <f t="shared" si="11"/>
        <v>0</v>
      </c>
    </row>
    <row r="69" spans="1:15">
      <c r="A69" s="622" t="str">
        <f t="shared" si="12"/>
        <v>H</v>
      </c>
      <c r="B69" s="519" t="str">
        <f t="shared" si="13"/>
        <v xml:space="preserve">        CG Acciones y Bonos - H</v>
      </c>
      <c r="C69" s="523">
        <f>+SUMIFS('Ventas Acciones &amp; Bonos'!$AL:$AL,'Ventas Acciones &amp; Bonos'!$B:$B,'Rev JR'!$A69,'Ventas Acciones &amp; Bonos'!$X:$X,"&gt;="&amp;'Rev JR'!C$1,'Ventas Acciones &amp; Bonos'!$X:$X,"&lt;="&amp;EOMONTH('Rev JR'!C$1,0))</f>
        <v>0</v>
      </c>
      <c r="D69" s="523">
        <f>+SUMIFS('Ventas Acciones &amp; Bonos'!$AL:$AL,'Ventas Acciones &amp; Bonos'!$B:$B,'Rev JR'!$A69,'Ventas Acciones &amp; Bonos'!$X:$X,"&gt;="&amp;'Rev JR'!D$1,'Ventas Acciones &amp; Bonos'!$X:$X,"&lt;="&amp;EOMONTH('Rev JR'!D$1,0))</f>
        <v>0</v>
      </c>
      <c r="E69" s="523">
        <f>+SUMIFS('Ventas Acciones &amp; Bonos'!$AL:$AL,'Ventas Acciones &amp; Bonos'!$B:$B,'Rev JR'!$A69,'Ventas Acciones &amp; Bonos'!$X:$X,"&gt;="&amp;'Rev JR'!E$1,'Ventas Acciones &amp; Bonos'!$X:$X,"&lt;="&amp;EOMONTH('Rev JR'!E$1,0))</f>
        <v>0</v>
      </c>
      <c r="F69" s="523">
        <f>+SUMIFS('Ventas Acciones &amp; Bonos'!$AL:$AL,'Ventas Acciones &amp; Bonos'!$B:$B,'Rev JR'!$A69,'Ventas Acciones &amp; Bonos'!$X:$X,"&gt;="&amp;'Rev JR'!F$1,'Ventas Acciones &amp; Bonos'!$X:$X,"&lt;="&amp;EOMONTH('Rev JR'!F$1,0))</f>
        <v>0</v>
      </c>
      <c r="G69" s="523">
        <f>+SUMIFS('Ventas Acciones &amp; Bonos'!$AL:$AL,'Ventas Acciones &amp; Bonos'!$B:$B,'Rev JR'!$A69,'Ventas Acciones &amp; Bonos'!$X:$X,"&gt;="&amp;'Rev JR'!G$1,'Ventas Acciones &amp; Bonos'!$X:$X,"&lt;="&amp;EOMONTH('Rev JR'!G$1,0))</f>
        <v>0</v>
      </c>
      <c r="H69" s="523">
        <f>+SUMIFS('Ventas Acciones &amp; Bonos'!$AL:$AL,'Ventas Acciones &amp; Bonos'!$B:$B,'Rev JR'!$A69,'Ventas Acciones &amp; Bonos'!$X:$X,"&gt;="&amp;'Rev JR'!H$1,'Ventas Acciones &amp; Bonos'!$X:$X,"&lt;="&amp;EOMONTH('Rev JR'!H$1,0))</f>
        <v>0</v>
      </c>
      <c r="I69" s="523">
        <f>+SUMIFS('Ventas Acciones &amp; Bonos'!$AL:$AL,'Ventas Acciones &amp; Bonos'!$B:$B,'Rev JR'!$A69,'Ventas Acciones &amp; Bonos'!$X:$X,"&gt;="&amp;'Rev JR'!I$1,'Ventas Acciones &amp; Bonos'!$X:$X,"&lt;="&amp;EOMONTH('Rev JR'!I$1,0))</f>
        <v>0</v>
      </c>
      <c r="J69" s="523">
        <f>+SUMIFS('Ventas Acciones &amp; Bonos'!$AL:$AL,'Ventas Acciones &amp; Bonos'!$B:$B,'Rev JR'!$A69,'Ventas Acciones &amp; Bonos'!$X:$X,"&gt;="&amp;'Rev JR'!J$1,'Ventas Acciones &amp; Bonos'!$X:$X,"&lt;="&amp;EOMONTH('Rev JR'!J$1,0))</f>
        <v>0</v>
      </c>
      <c r="K69" s="523">
        <f>+SUMIFS('Ventas Acciones &amp; Bonos'!$AL:$AL,'Ventas Acciones &amp; Bonos'!$B:$B,'Rev JR'!$A69,'Ventas Acciones &amp; Bonos'!$X:$X,"&gt;="&amp;'Rev JR'!K$1,'Ventas Acciones &amp; Bonos'!$X:$X,"&lt;="&amp;EOMONTH('Rev JR'!K$1,0))</f>
        <v>0</v>
      </c>
      <c r="L69" s="523">
        <f>+SUMIFS('Ventas Acciones &amp; Bonos'!$AL:$AL,'Ventas Acciones &amp; Bonos'!$B:$B,'Rev JR'!$A69,'Ventas Acciones &amp; Bonos'!$X:$X,"&gt;="&amp;'Rev JR'!L$1,'Ventas Acciones &amp; Bonos'!$X:$X,"&lt;="&amp;EOMONTH('Rev JR'!L$1,0))</f>
        <v>0</v>
      </c>
      <c r="M69" s="523">
        <f>+SUMIFS('Ventas Acciones &amp; Bonos'!$AL:$AL,'Ventas Acciones &amp; Bonos'!$B:$B,'Rev JR'!$A69,'Ventas Acciones &amp; Bonos'!$X:$X,"&gt;="&amp;'Rev JR'!M$1,'Ventas Acciones &amp; Bonos'!$X:$X,"&lt;="&amp;EOMONTH('Rev JR'!M$1,0))</f>
        <v>0</v>
      </c>
      <c r="N69" s="523">
        <f>+SUMIFS('Ventas Acciones &amp; Bonos'!$AL:$AL,'Ventas Acciones &amp; Bonos'!$B:$B,'Rev JR'!$A69,'Ventas Acciones &amp; Bonos'!$X:$X,"&gt;="&amp;'Rev JR'!N$1,'Ventas Acciones &amp; Bonos'!$X:$X,"&lt;="&amp;EOMONTH('Rev JR'!N$1,0))</f>
        <v>0</v>
      </c>
      <c r="O69" s="523">
        <f t="shared" si="11"/>
        <v>0</v>
      </c>
    </row>
    <row r="70" spans="1:15">
      <c r="A70" s="622" t="str">
        <f t="shared" si="12"/>
        <v>I</v>
      </c>
      <c r="B70" s="519" t="str">
        <f t="shared" si="13"/>
        <v xml:space="preserve">        CG Acciones y Bonos - I</v>
      </c>
      <c r="C70" s="523">
        <f>+SUMIFS('Ventas Acciones &amp; Bonos'!$AL:$AL,'Ventas Acciones &amp; Bonos'!$B:$B,'Rev JR'!$A70,'Ventas Acciones &amp; Bonos'!$X:$X,"&gt;="&amp;'Rev JR'!C$1,'Ventas Acciones &amp; Bonos'!$X:$X,"&lt;="&amp;EOMONTH('Rev JR'!C$1,0))</f>
        <v>0</v>
      </c>
      <c r="D70" s="523">
        <f>+SUMIFS('Ventas Acciones &amp; Bonos'!$AL:$AL,'Ventas Acciones &amp; Bonos'!$B:$B,'Rev JR'!$A70,'Ventas Acciones &amp; Bonos'!$X:$X,"&gt;="&amp;'Rev JR'!D$1,'Ventas Acciones &amp; Bonos'!$X:$X,"&lt;="&amp;EOMONTH('Rev JR'!D$1,0))</f>
        <v>0</v>
      </c>
      <c r="E70" s="523">
        <f>+SUMIFS('Ventas Acciones &amp; Bonos'!$AL:$AL,'Ventas Acciones &amp; Bonos'!$B:$B,'Rev JR'!$A70,'Ventas Acciones &amp; Bonos'!$X:$X,"&gt;="&amp;'Rev JR'!E$1,'Ventas Acciones &amp; Bonos'!$X:$X,"&lt;="&amp;EOMONTH('Rev JR'!E$1,0))</f>
        <v>0</v>
      </c>
      <c r="F70" s="523">
        <f>+SUMIFS('Ventas Acciones &amp; Bonos'!$AL:$AL,'Ventas Acciones &amp; Bonos'!$B:$B,'Rev JR'!$A70,'Ventas Acciones &amp; Bonos'!$X:$X,"&gt;="&amp;'Rev JR'!F$1,'Ventas Acciones &amp; Bonos'!$X:$X,"&lt;="&amp;EOMONTH('Rev JR'!F$1,0))</f>
        <v>0</v>
      </c>
      <c r="G70" s="523">
        <f>+SUMIFS('Ventas Acciones &amp; Bonos'!$AL:$AL,'Ventas Acciones &amp; Bonos'!$B:$B,'Rev JR'!$A70,'Ventas Acciones &amp; Bonos'!$X:$X,"&gt;="&amp;'Rev JR'!G$1,'Ventas Acciones &amp; Bonos'!$X:$X,"&lt;="&amp;EOMONTH('Rev JR'!G$1,0))</f>
        <v>0</v>
      </c>
      <c r="H70" s="523">
        <f>+SUMIFS('Ventas Acciones &amp; Bonos'!$AL:$AL,'Ventas Acciones &amp; Bonos'!$B:$B,'Rev JR'!$A70,'Ventas Acciones &amp; Bonos'!$X:$X,"&gt;="&amp;'Rev JR'!H$1,'Ventas Acciones &amp; Bonos'!$X:$X,"&lt;="&amp;EOMONTH('Rev JR'!H$1,0))</f>
        <v>0</v>
      </c>
      <c r="I70" s="523">
        <f>+SUMIFS('Ventas Acciones &amp; Bonos'!$AL:$AL,'Ventas Acciones &amp; Bonos'!$B:$B,'Rev JR'!$A70,'Ventas Acciones &amp; Bonos'!$X:$X,"&gt;="&amp;'Rev JR'!I$1,'Ventas Acciones &amp; Bonos'!$X:$X,"&lt;="&amp;EOMONTH('Rev JR'!I$1,0))</f>
        <v>0</v>
      </c>
      <c r="J70" s="523">
        <f>+SUMIFS('Ventas Acciones &amp; Bonos'!$AL:$AL,'Ventas Acciones &amp; Bonos'!$B:$B,'Rev JR'!$A70,'Ventas Acciones &amp; Bonos'!$X:$X,"&gt;="&amp;'Rev JR'!J$1,'Ventas Acciones &amp; Bonos'!$X:$X,"&lt;="&amp;EOMONTH('Rev JR'!J$1,0))</f>
        <v>0</v>
      </c>
      <c r="K70" s="523">
        <f>+SUMIFS('Ventas Acciones &amp; Bonos'!$AL:$AL,'Ventas Acciones &amp; Bonos'!$B:$B,'Rev JR'!$A70,'Ventas Acciones &amp; Bonos'!$X:$X,"&gt;="&amp;'Rev JR'!K$1,'Ventas Acciones &amp; Bonos'!$X:$X,"&lt;="&amp;EOMONTH('Rev JR'!K$1,0))</f>
        <v>0</v>
      </c>
      <c r="L70" s="523">
        <f>+SUMIFS('Ventas Acciones &amp; Bonos'!$AL:$AL,'Ventas Acciones &amp; Bonos'!$B:$B,'Rev JR'!$A70,'Ventas Acciones &amp; Bonos'!$X:$X,"&gt;="&amp;'Rev JR'!L$1,'Ventas Acciones &amp; Bonos'!$X:$X,"&lt;="&amp;EOMONTH('Rev JR'!L$1,0))</f>
        <v>0</v>
      </c>
      <c r="M70" s="523">
        <f>+SUMIFS('Ventas Acciones &amp; Bonos'!$AL:$AL,'Ventas Acciones &amp; Bonos'!$B:$B,'Rev JR'!$A70,'Ventas Acciones &amp; Bonos'!$X:$X,"&gt;="&amp;'Rev JR'!M$1,'Ventas Acciones &amp; Bonos'!$X:$X,"&lt;="&amp;EOMONTH('Rev JR'!M$1,0))</f>
        <v>0</v>
      </c>
      <c r="N70" s="523">
        <f>+SUMIFS('Ventas Acciones &amp; Bonos'!$AL:$AL,'Ventas Acciones &amp; Bonos'!$B:$B,'Rev JR'!$A70,'Ventas Acciones &amp; Bonos'!$X:$X,"&gt;="&amp;'Rev JR'!N$1,'Ventas Acciones &amp; Bonos'!$X:$X,"&lt;="&amp;EOMONTH('Rev JR'!N$1,0))</f>
        <v>0</v>
      </c>
      <c r="O70" s="523">
        <f t="shared" si="11"/>
        <v>0</v>
      </c>
    </row>
    <row r="71" spans="1:15">
      <c r="A71" s="622" t="str">
        <f t="shared" si="12"/>
        <v>J</v>
      </c>
      <c r="B71" s="519" t="str">
        <f t="shared" si="13"/>
        <v xml:space="preserve">        CG Acciones y Bonos - J</v>
      </c>
      <c r="C71" s="523">
        <f>+SUMIFS('Ventas Acciones &amp; Bonos'!$AL:$AL,'Ventas Acciones &amp; Bonos'!$B:$B,'Rev JR'!$A71,'Ventas Acciones &amp; Bonos'!$X:$X,"&gt;="&amp;'Rev JR'!C$1,'Ventas Acciones &amp; Bonos'!$X:$X,"&lt;="&amp;EOMONTH('Rev JR'!C$1,0))</f>
        <v>0</v>
      </c>
      <c r="D71" s="523">
        <f>+SUMIFS('Ventas Acciones &amp; Bonos'!$AL:$AL,'Ventas Acciones &amp; Bonos'!$B:$B,'Rev JR'!$A71,'Ventas Acciones &amp; Bonos'!$X:$X,"&gt;="&amp;'Rev JR'!D$1,'Ventas Acciones &amp; Bonos'!$X:$X,"&lt;="&amp;EOMONTH('Rev JR'!D$1,0))</f>
        <v>0</v>
      </c>
      <c r="E71" s="523">
        <f>+SUMIFS('Ventas Acciones &amp; Bonos'!$AL:$AL,'Ventas Acciones &amp; Bonos'!$B:$B,'Rev JR'!$A71,'Ventas Acciones &amp; Bonos'!$X:$X,"&gt;="&amp;'Rev JR'!E$1,'Ventas Acciones &amp; Bonos'!$X:$X,"&lt;="&amp;EOMONTH('Rev JR'!E$1,0))</f>
        <v>0</v>
      </c>
      <c r="F71" s="523">
        <f>+SUMIFS('Ventas Acciones &amp; Bonos'!$AL:$AL,'Ventas Acciones &amp; Bonos'!$B:$B,'Rev JR'!$A71,'Ventas Acciones &amp; Bonos'!$X:$X,"&gt;="&amp;'Rev JR'!F$1,'Ventas Acciones &amp; Bonos'!$X:$X,"&lt;="&amp;EOMONTH('Rev JR'!F$1,0))</f>
        <v>0</v>
      </c>
      <c r="G71" s="523">
        <f>+SUMIFS('Ventas Acciones &amp; Bonos'!$AL:$AL,'Ventas Acciones &amp; Bonos'!$B:$B,'Rev JR'!$A71,'Ventas Acciones &amp; Bonos'!$X:$X,"&gt;="&amp;'Rev JR'!G$1,'Ventas Acciones &amp; Bonos'!$X:$X,"&lt;="&amp;EOMONTH('Rev JR'!G$1,0))</f>
        <v>0</v>
      </c>
      <c r="H71" s="523">
        <f>+SUMIFS('Ventas Acciones &amp; Bonos'!$AL:$AL,'Ventas Acciones &amp; Bonos'!$B:$B,'Rev JR'!$A71,'Ventas Acciones &amp; Bonos'!$X:$X,"&gt;="&amp;'Rev JR'!H$1,'Ventas Acciones &amp; Bonos'!$X:$X,"&lt;="&amp;EOMONTH('Rev JR'!H$1,0))</f>
        <v>0</v>
      </c>
      <c r="I71" s="523">
        <f>+SUMIFS('Ventas Acciones &amp; Bonos'!$AL:$AL,'Ventas Acciones &amp; Bonos'!$B:$B,'Rev JR'!$A71,'Ventas Acciones &amp; Bonos'!$X:$X,"&gt;="&amp;'Rev JR'!I$1,'Ventas Acciones &amp; Bonos'!$X:$X,"&lt;="&amp;EOMONTH('Rev JR'!I$1,0))</f>
        <v>0</v>
      </c>
      <c r="J71" s="523">
        <f>+SUMIFS('Ventas Acciones &amp; Bonos'!$AL:$AL,'Ventas Acciones &amp; Bonos'!$B:$B,'Rev JR'!$A71,'Ventas Acciones &amp; Bonos'!$X:$X,"&gt;="&amp;'Rev JR'!J$1,'Ventas Acciones &amp; Bonos'!$X:$X,"&lt;="&amp;EOMONTH('Rev JR'!J$1,0))</f>
        <v>0</v>
      </c>
      <c r="K71" s="523">
        <f>+SUMIFS('Ventas Acciones &amp; Bonos'!$AL:$AL,'Ventas Acciones &amp; Bonos'!$B:$B,'Rev JR'!$A71,'Ventas Acciones &amp; Bonos'!$X:$X,"&gt;="&amp;'Rev JR'!K$1,'Ventas Acciones &amp; Bonos'!$X:$X,"&lt;="&amp;EOMONTH('Rev JR'!K$1,0))</f>
        <v>0</v>
      </c>
      <c r="L71" s="523">
        <f>+SUMIFS('Ventas Acciones &amp; Bonos'!$AL:$AL,'Ventas Acciones &amp; Bonos'!$B:$B,'Rev JR'!$A71,'Ventas Acciones &amp; Bonos'!$X:$X,"&gt;="&amp;'Rev JR'!L$1,'Ventas Acciones &amp; Bonos'!$X:$X,"&lt;="&amp;EOMONTH('Rev JR'!L$1,0))</f>
        <v>0</v>
      </c>
      <c r="M71" s="523">
        <f>+SUMIFS('Ventas Acciones &amp; Bonos'!$AL:$AL,'Ventas Acciones &amp; Bonos'!$B:$B,'Rev JR'!$A71,'Ventas Acciones &amp; Bonos'!$X:$X,"&gt;="&amp;'Rev JR'!M$1,'Ventas Acciones &amp; Bonos'!$X:$X,"&lt;="&amp;EOMONTH('Rev JR'!M$1,0))</f>
        <v>0</v>
      </c>
      <c r="N71" s="523">
        <f>+SUMIFS('Ventas Acciones &amp; Bonos'!$AL:$AL,'Ventas Acciones &amp; Bonos'!$B:$B,'Rev JR'!$A71,'Ventas Acciones &amp; Bonos'!$X:$X,"&gt;="&amp;'Rev JR'!N$1,'Ventas Acciones &amp; Bonos'!$X:$X,"&lt;="&amp;EOMONTH('Rev JR'!N$1,0))</f>
        <v>0</v>
      </c>
      <c r="O71" s="523">
        <f t="shared" si="11"/>
        <v>0</v>
      </c>
    </row>
    <row r="72" spans="1:15">
      <c r="A72" s="622" t="str">
        <f t="shared" si="12"/>
        <v>K</v>
      </c>
      <c r="B72" s="519" t="str">
        <f t="shared" si="13"/>
        <v xml:space="preserve">        CG Acciones y Bonos - K</v>
      </c>
      <c r="C72" s="523">
        <f>+SUMIFS('Ventas Acciones &amp; Bonos'!$AL:$AL,'Ventas Acciones &amp; Bonos'!$B:$B,'Rev JR'!$A72,'Ventas Acciones &amp; Bonos'!$X:$X,"&gt;="&amp;'Rev JR'!C$1,'Ventas Acciones &amp; Bonos'!$X:$X,"&lt;="&amp;EOMONTH('Rev JR'!C$1,0))</f>
        <v>0</v>
      </c>
      <c r="D72" s="523">
        <f>+SUMIFS('Ventas Acciones &amp; Bonos'!$AL:$AL,'Ventas Acciones &amp; Bonos'!$B:$B,'Rev JR'!$A72,'Ventas Acciones &amp; Bonos'!$X:$X,"&gt;="&amp;'Rev JR'!D$1,'Ventas Acciones &amp; Bonos'!$X:$X,"&lt;="&amp;EOMONTH('Rev JR'!D$1,0))</f>
        <v>0</v>
      </c>
      <c r="E72" s="523">
        <f>+SUMIFS('Ventas Acciones &amp; Bonos'!$AL:$AL,'Ventas Acciones &amp; Bonos'!$B:$B,'Rev JR'!$A72,'Ventas Acciones &amp; Bonos'!$X:$X,"&gt;="&amp;'Rev JR'!E$1,'Ventas Acciones &amp; Bonos'!$X:$X,"&lt;="&amp;EOMONTH('Rev JR'!E$1,0))</f>
        <v>0</v>
      </c>
      <c r="F72" s="523">
        <f>+SUMIFS('Ventas Acciones &amp; Bonos'!$AL:$AL,'Ventas Acciones &amp; Bonos'!$B:$B,'Rev JR'!$A72,'Ventas Acciones &amp; Bonos'!$X:$X,"&gt;="&amp;'Rev JR'!F$1,'Ventas Acciones &amp; Bonos'!$X:$X,"&lt;="&amp;EOMONTH('Rev JR'!F$1,0))</f>
        <v>0</v>
      </c>
      <c r="G72" s="523">
        <f>+SUMIFS('Ventas Acciones &amp; Bonos'!$AL:$AL,'Ventas Acciones &amp; Bonos'!$B:$B,'Rev JR'!$A72,'Ventas Acciones &amp; Bonos'!$X:$X,"&gt;="&amp;'Rev JR'!G$1,'Ventas Acciones &amp; Bonos'!$X:$X,"&lt;="&amp;EOMONTH('Rev JR'!G$1,0))</f>
        <v>0</v>
      </c>
      <c r="H72" s="523">
        <f>+SUMIFS('Ventas Acciones &amp; Bonos'!$AL:$AL,'Ventas Acciones &amp; Bonos'!$B:$B,'Rev JR'!$A72,'Ventas Acciones &amp; Bonos'!$X:$X,"&gt;="&amp;'Rev JR'!H$1,'Ventas Acciones &amp; Bonos'!$X:$X,"&lt;="&amp;EOMONTH('Rev JR'!H$1,0))</f>
        <v>0</v>
      </c>
      <c r="I72" s="523">
        <f>+SUMIFS('Ventas Acciones &amp; Bonos'!$AL:$AL,'Ventas Acciones &amp; Bonos'!$B:$B,'Rev JR'!$A72,'Ventas Acciones &amp; Bonos'!$X:$X,"&gt;="&amp;'Rev JR'!I$1,'Ventas Acciones &amp; Bonos'!$X:$X,"&lt;="&amp;EOMONTH('Rev JR'!I$1,0))</f>
        <v>0</v>
      </c>
      <c r="J72" s="523">
        <f>+SUMIFS('Ventas Acciones &amp; Bonos'!$AL:$AL,'Ventas Acciones &amp; Bonos'!$B:$B,'Rev JR'!$A72,'Ventas Acciones &amp; Bonos'!$X:$X,"&gt;="&amp;'Rev JR'!J$1,'Ventas Acciones &amp; Bonos'!$X:$X,"&lt;="&amp;EOMONTH('Rev JR'!J$1,0))</f>
        <v>0</v>
      </c>
      <c r="K72" s="523">
        <f>+SUMIFS('Ventas Acciones &amp; Bonos'!$AL:$AL,'Ventas Acciones &amp; Bonos'!$B:$B,'Rev JR'!$A72,'Ventas Acciones &amp; Bonos'!$X:$X,"&gt;="&amp;'Rev JR'!K$1,'Ventas Acciones &amp; Bonos'!$X:$X,"&lt;="&amp;EOMONTH('Rev JR'!K$1,0))</f>
        <v>0</v>
      </c>
      <c r="L72" s="523">
        <f>+SUMIFS('Ventas Acciones &amp; Bonos'!$AL:$AL,'Ventas Acciones &amp; Bonos'!$B:$B,'Rev JR'!$A72,'Ventas Acciones &amp; Bonos'!$X:$X,"&gt;="&amp;'Rev JR'!L$1,'Ventas Acciones &amp; Bonos'!$X:$X,"&lt;="&amp;EOMONTH('Rev JR'!L$1,0))</f>
        <v>0</v>
      </c>
      <c r="M72" s="523">
        <f>+SUMIFS('Ventas Acciones &amp; Bonos'!$AL:$AL,'Ventas Acciones &amp; Bonos'!$B:$B,'Rev JR'!$A72,'Ventas Acciones &amp; Bonos'!$X:$X,"&gt;="&amp;'Rev JR'!M$1,'Ventas Acciones &amp; Bonos'!$X:$X,"&lt;="&amp;EOMONTH('Rev JR'!M$1,0))</f>
        <v>0</v>
      </c>
      <c r="N72" s="523">
        <f>+SUMIFS('Ventas Acciones &amp; Bonos'!$AL:$AL,'Ventas Acciones &amp; Bonos'!$B:$B,'Rev JR'!$A72,'Ventas Acciones &amp; Bonos'!$X:$X,"&gt;="&amp;'Rev JR'!N$1,'Ventas Acciones &amp; Bonos'!$X:$X,"&lt;="&amp;EOMONTH('Rev JR'!N$1,0))</f>
        <v>0</v>
      </c>
      <c r="O72" s="523">
        <f t="shared" si="11"/>
        <v>0</v>
      </c>
    </row>
    <row r="73" spans="1:15">
      <c r="A73" s="622" t="str">
        <f t="shared" si="12"/>
        <v>L</v>
      </c>
      <c r="B73" s="519" t="str">
        <f t="shared" si="13"/>
        <v xml:space="preserve">        CG Acciones y Bonos - L</v>
      </c>
      <c r="C73" s="523">
        <f>+SUMIFS('Ventas Acciones &amp; Bonos'!$AL:$AL,'Ventas Acciones &amp; Bonos'!$B:$B,'Rev JR'!$A73,'Ventas Acciones &amp; Bonos'!$X:$X,"&gt;="&amp;'Rev JR'!C$1,'Ventas Acciones &amp; Bonos'!$X:$X,"&lt;="&amp;EOMONTH('Rev JR'!C$1,0))</f>
        <v>0</v>
      </c>
      <c r="D73" s="523">
        <f>+SUMIFS('Ventas Acciones &amp; Bonos'!$AL:$AL,'Ventas Acciones &amp; Bonos'!$B:$B,'Rev JR'!$A73,'Ventas Acciones &amp; Bonos'!$X:$X,"&gt;="&amp;'Rev JR'!D$1,'Ventas Acciones &amp; Bonos'!$X:$X,"&lt;="&amp;EOMONTH('Rev JR'!D$1,0))</f>
        <v>0</v>
      </c>
      <c r="E73" s="523">
        <f>+SUMIFS('Ventas Acciones &amp; Bonos'!$AL:$AL,'Ventas Acciones &amp; Bonos'!$B:$B,'Rev JR'!$A73,'Ventas Acciones &amp; Bonos'!$X:$X,"&gt;="&amp;'Rev JR'!E$1,'Ventas Acciones &amp; Bonos'!$X:$X,"&lt;="&amp;EOMONTH('Rev JR'!E$1,0))</f>
        <v>0</v>
      </c>
      <c r="F73" s="523">
        <f>+SUMIFS('Ventas Acciones &amp; Bonos'!$AL:$AL,'Ventas Acciones &amp; Bonos'!$B:$B,'Rev JR'!$A73,'Ventas Acciones &amp; Bonos'!$X:$X,"&gt;="&amp;'Rev JR'!F$1,'Ventas Acciones &amp; Bonos'!$X:$X,"&lt;="&amp;EOMONTH('Rev JR'!F$1,0))</f>
        <v>0</v>
      </c>
      <c r="G73" s="523">
        <f>+SUMIFS('Ventas Acciones &amp; Bonos'!$AL:$AL,'Ventas Acciones &amp; Bonos'!$B:$B,'Rev JR'!$A73,'Ventas Acciones &amp; Bonos'!$X:$X,"&gt;="&amp;'Rev JR'!G$1,'Ventas Acciones &amp; Bonos'!$X:$X,"&lt;="&amp;EOMONTH('Rev JR'!G$1,0))</f>
        <v>0</v>
      </c>
      <c r="H73" s="523">
        <f>+SUMIFS('Ventas Acciones &amp; Bonos'!$AL:$AL,'Ventas Acciones &amp; Bonos'!$B:$B,'Rev JR'!$A73,'Ventas Acciones &amp; Bonos'!$X:$X,"&gt;="&amp;'Rev JR'!H$1,'Ventas Acciones &amp; Bonos'!$X:$X,"&lt;="&amp;EOMONTH('Rev JR'!H$1,0))</f>
        <v>0</v>
      </c>
      <c r="I73" s="523">
        <f>+SUMIFS('Ventas Acciones &amp; Bonos'!$AL:$AL,'Ventas Acciones &amp; Bonos'!$B:$B,'Rev JR'!$A73,'Ventas Acciones &amp; Bonos'!$X:$X,"&gt;="&amp;'Rev JR'!I$1,'Ventas Acciones &amp; Bonos'!$X:$X,"&lt;="&amp;EOMONTH('Rev JR'!I$1,0))</f>
        <v>0</v>
      </c>
      <c r="J73" s="523">
        <f>+SUMIFS('Ventas Acciones &amp; Bonos'!$AL:$AL,'Ventas Acciones &amp; Bonos'!$B:$B,'Rev JR'!$A73,'Ventas Acciones &amp; Bonos'!$X:$X,"&gt;="&amp;'Rev JR'!J$1,'Ventas Acciones &amp; Bonos'!$X:$X,"&lt;="&amp;EOMONTH('Rev JR'!J$1,0))</f>
        <v>0</v>
      </c>
      <c r="K73" s="523">
        <f>+SUMIFS('Ventas Acciones &amp; Bonos'!$AL:$AL,'Ventas Acciones &amp; Bonos'!$B:$B,'Rev JR'!$A73,'Ventas Acciones &amp; Bonos'!$X:$X,"&gt;="&amp;'Rev JR'!K$1,'Ventas Acciones &amp; Bonos'!$X:$X,"&lt;="&amp;EOMONTH('Rev JR'!K$1,0))</f>
        <v>0</v>
      </c>
      <c r="L73" s="523">
        <f>+SUMIFS('Ventas Acciones &amp; Bonos'!$AL:$AL,'Ventas Acciones &amp; Bonos'!$B:$B,'Rev JR'!$A73,'Ventas Acciones &amp; Bonos'!$X:$X,"&gt;="&amp;'Rev JR'!L$1,'Ventas Acciones &amp; Bonos'!$X:$X,"&lt;="&amp;EOMONTH('Rev JR'!L$1,0))</f>
        <v>0</v>
      </c>
      <c r="M73" s="523">
        <f>+SUMIFS('Ventas Acciones &amp; Bonos'!$AL:$AL,'Ventas Acciones &amp; Bonos'!$B:$B,'Rev JR'!$A73,'Ventas Acciones &amp; Bonos'!$X:$X,"&gt;="&amp;'Rev JR'!M$1,'Ventas Acciones &amp; Bonos'!$X:$X,"&lt;="&amp;EOMONTH('Rev JR'!M$1,0))</f>
        <v>0</v>
      </c>
      <c r="N73" s="523">
        <f>+SUMIFS('Ventas Acciones &amp; Bonos'!$AL:$AL,'Ventas Acciones &amp; Bonos'!$B:$B,'Rev JR'!$A73,'Ventas Acciones &amp; Bonos'!$X:$X,"&gt;="&amp;'Rev JR'!N$1,'Ventas Acciones &amp; Bonos'!$X:$X,"&lt;="&amp;EOMONTH('Rev JR'!N$1,0))</f>
        <v>0</v>
      </c>
      <c r="O73" s="523">
        <f t="shared" si="11"/>
        <v>0</v>
      </c>
    </row>
    <row r="74" spans="1:15">
      <c r="A74" s="622" t="str">
        <f t="shared" si="12"/>
        <v>M</v>
      </c>
      <c r="B74" s="519" t="str">
        <f t="shared" si="13"/>
        <v xml:space="preserve">        CG Acciones y Bonos - M</v>
      </c>
      <c r="C74" s="523">
        <f>+SUMIFS('Ventas Acciones &amp; Bonos'!$AL:$AL,'Ventas Acciones &amp; Bonos'!$B:$B,'Rev JR'!$A74,'Ventas Acciones &amp; Bonos'!$X:$X,"&gt;="&amp;'Rev JR'!C$1,'Ventas Acciones &amp; Bonos'!$X:$X,"&lt;="&amp;EOMONTH('Rev JR'!C$1,0))</f>
        <v>0</v>
      </c>
      <c r="D74" s="523">
        <f>+SUMIFS('Ventas Acciones &amp; Bonos'!$AL:$AL,'Ventas Acciones &amp; Bonos'!$B:$B,'Rev JR'!$A74,'Ventas Acciones &amp; Bonos'!$X:$X,"&gt;="&amp;'Rev JR'!D$1,'Ventas Acciones &amp; Bonos'!$X:$X,"&lt;="&amp;EOMONTH('Rev JR'!D$1,0))</f>
        <v>0</v>
      </c>
      <c r="E74" s="523">
        <f>+SUMIFS('Ventas Acciones &amp; Bonos'!$AL:$AL,'Ventas Acciones &amp; Bonos'!$B:$B,'Rev JR'!$A74,'Ventas Acciones &amp; Bonos'!$X:$X,"&gt;="&amp;'Rev JR'!E$1,'Ventas Acciones &amp; Bonos'!$X:$X,"&lt;="&amp;EOMONTH('Rev JR'!E$1,0))</f>
        <v>0</v>
      </c>
      <c r="F74" s="523">
        <f>+SUMIFS('Ventas Acciones &amp; Bonos'!$AL:$AL,'Ventas Acciones &amp; Bonos'!$B:$B,'Rev JR'!$A74,'Ventas Acciones &amp; Bonos'!$X:$X,"&gt;="&amp;'Rev JR'!F$1,'Ventas Acciones &amp; Bonos'!$X:$X,"&lt;="&amp;EOMONTH('Rev JR'!F$1,0))</f>
        <v>0</v>
      </c>
      <c r="G74" s="523">
        <f>+SUMIFS('Ventas Acciones &amp; Bonos'!$AL:$AL,'Ventas Acciones &amp; Bonos'!$B:$B,'Rev JR'!$A74,'Ventas Acciones &amp; Bonos'!$X:$X,"&gt;="&amp;'Rev JR'!G$1,'Ventas Acciones &amp; Bonos'!$X:$X,"&lt;="&amp;EOMONTH('Rev JR'!G$1,0))</f>
        <v>0</v>
      </c>
      <c r="H74" s="523">
        <f>+SUMIFS('Ventas Acciones &amp; Bonos'!$AL:$AL,'Ventas Acciones &amp; Bonos'!$B:$B,'Rev JR'!$A74,'Ventas Acciones &amp; Bonos'!$X:$X,"&gt;="&amp;'Rev JR'!H$1,'Ventas Acciones &amp; Bonos'!$X:$X,"&lt;="&amp;EOMONTH('Rev JR'!H$1,0))</f>
        <v>0</v>
      </c>
      <c r="I74" s="523">
        <f>+SUMIFS('Ventas Acciones &amp; Bonos'!$AL:$AL,'Ventas Acciones &amp; Bonos'!$B:$B,'Rev JR'!$A74,'Ventas Acciones &amp; Bonos'!$X:$X,"&gt;="&amp;'Rev JR'!I$1,'Ventas Acciones &amp; Bonos'!$X:$X,"&lt;="&amp;EOMONTH('Rev JR'!I$1,0))</f>
        <v>0</v>
      </c>
      <c r="J74" s="523">
        <f>+SUMIFS('Ventas Acciones &amp; Bonos'!$AL:$AL,'Ventas Acciones &amp; Bonos'!$B:$B,'Rev JR'!$A74,'Ventas Acciones &amp; Bonos'!$X:$X,"&gt;="&amp;'Rev JR'!J$1,'Ventas Acciones &amp; Bonos'!$X:$X,"&lt;="&amp;EOMONTH('Rev JR'!J$1,0))</f>
        <v>0</v>
      </c>
      <c r="K74" s="523">
        <f>+SUMIFS('Ventas Acciones &amp; Bonos'!$AL:$AL,'Ventas Acciones &amp; Bonos'!$B:$B,'Rev JR'!$A74,'Ventas Acciones &amp; Bonos'!$X:$X,"&gt;="&amp;'Rev JR'!K$1,'Ventas Acciones &amp; Bonos'!$X:$X,"&lt;="&amp;EOMONTH('Rev JR'!K$1,0))</f>
        <v>0</v>
      </c>
      <c r="L74" s="523">
        <f>+SUMIFS('Ventas Acciones &amp; Bonos'!$AL:$AL,'Ventas Acciones &amp; Bonos'!$B:$B,'Rev JR'!$A74,'Ventas Acciones &amp; Bonos'!$X:$X,"&gt;="&amp;'Rev JR'!L$1,'Ventas Acciones &amp; Bonos'!$X:$X,"&lt;="&amp;EOMONTH('Rev JR'!L$1,0))</f>
        <v>0</v>
      </c>
      <c r="M74" s="523">
        <f>+SUMIFS('Ventas Acciones &amp; Bonos'!$AL:$AL,'Ventas Acciones &amp; Bonos'!$B:$B,'Rev JR'!$A74,'Ventas Acciones &amp; Bonos'!$X:$X,"&gt;="&amp;'Rev JR'!M$1,'Ventas Acciones &amp; Bonos'!$X:$X,"&lt;="&amp;EOMONTH('Rev JR'!M$1,0))</f>
        <v>0</v>
      </c>
      <c r="N74" s="523">
        <f>+SUMIFS('Ventas Acciones &amp; Bonos'!$AL:$AL,'Ventas Acciones &amp; Bonos'!$B:$B,'Rev JR'!$A74,'Ventas Acciones &amp; Bonos'!$X:$X,"&gt;="&amp;'Rev JR'!N$1,'Ventas Acciones &amp; Bonos'!$X:$X,"&lt;="&amp;EOMONTH('Rev JR'!N$1,0))</f>
        <v>0</v>
      </c>
      <c r="O74" s="523">
        <f t="shared" si="11"/>
        <v>0</v>
      </c>
    </row>
    <row r="75" spans="1:15">
      <c r="A75" s="622" t="str">
        <f t="shared" si="12"/>
        <v>N</v>
      </c>
      <c r="B75" s="519" t="str">
        <f t="shared" si="13"/>
        <v xml:space="preserve">        CG Acciones y Bonos - N</v>
      </c>
      <c r="C75" s="523">
        <f>+SUMIFS('Ventas Acciones &amp; Bonos'!$AL:$AL,'Ventas Acciones &amp; Bonos'!$B:$B,'Rev JR'!$A75,'Ventas Acciones &amp; Bonos'!$X:$X,"&gt;="&amp;'Rev JR'!C$1,'Ventas Acciones &amp; Bonos'!$X:$X,"&lt;="&amp;EOMONTH('Rev JR'!C$1,0))</f>
        <v>0</v>
      </c>
      <c r="D75" s="523">
        <f>+SUMIFS('Ventas Acciones &amp; Bonos'!$AL:$AL,'Ventas Acciones &amp; Bonos'!$B:$B,'Rev JR'!$A75,'Ventas Acciones &amp; Bonos'!$X:$X,"&gt;="&amp;'Rev JR'!D$1,'Ventas Acciones &amp; Bonos'!$X:$X,"&lt;="&amp;EOMONTH('Rev JR'!D$1,0))</f>
        <v>0</v>
      </c>
      <c r="E75" s="523">
        <f>+SUMIFS('Ventas Acciones &amp; Bonos'!$AL:$AL,'Ventas Acciones &amp; Bonos'!$B:$B,'Rev JR'!$A75,'Ventas Acciones &amp; Bonos'!$X:$X,"&gt;="&amp;'Rev JR'!E$1,'Ventas Acciones &amp; Bonos'!$X:$X,"&lt;="&amp;EOMONTH('Rev JR'!E$1,0))</f>
        <v>0</v>
      </c>
      <c r="F75" s="523">
        <f>+SUMIFS('Ventas Acciones &amp; Bonos'!$AL:$AL,'Ventas Acciones &amp; Bonos'!$B:$B,'Rev JR'!$A75,'Ventas Acciones &amp; Bonos'!$X:$X,"&gt;="&amp;'Rev JR'!F$1,'Ventas Acciones &amp; Bonos'!$X:$X,"&lt;="&amp;EOMONTH('Rev JR'!F$1,0))</f>
        <v>0</v>
      </c>
      <c r="G75" s="523">
        <f>+SUMIFS('Ventas Acciones &amp; Bonos'!$AL:$AL,'Ventas Acciones &amp; Bonos'!$B:$B,'Rev JR'!$A75,'Ventas Acciones &amp; Bonos'!$X:$X,"&gt;="&amp;'Rev JR'!G$1,'Ventas Acciones &amp; Bonos'!$X:$X,"&lt;="&amp;EOMONTH('Rev JR'!G$1,0))</f>
        <v>0</v>
      </c>
      <c r="H75" s="523">
        <f>+SUMIFS('Ventas Acciones &amp; Bonos'!$AL:$AL,'Ventas Acciones &amp; Bonos'!$B:$B,'Rev JR'!$A75,'Ventas Acciones &amp; Bonos'!$X:$X,"&gt;="&amp;'Rev JR'!H$1,'Ventas Acciones &amp; Bonos'!$X:$X,"&lt;="&amp;EOMONTH('Rev JR'!H$1,0))</f>
        <v>0</v>
      </c>
      <c r="I75" s="523">
        <f>+SUMIFS('Ventas Acciones &amp; Bonos'!$AL:$AL,'Ventas Acciones &amp; Bonos'!$B:$B,'Rev JR'!$A75,'Ventas Acciones &amp; Bonos'!$X:$X,"&gt;="&amp;'Rev JR'!I$1,'Ventas Acciones &amp; Bonos'!$X:$X,"&lt;="&amp;EOMONTH('Rev JR'!I$1,0))</f>
        <v>0</v>
      </c>
      <c r="J75" s="523">
        <f>+SUMIFS('Ventas Acciones &amp; Bonos'!$AL:$AL,'Ventas Acciones &amp; Bonos'!$B:$B,'Rev JR'!$A75,'Ventas Acciones &amp; Bonos'!$X:$X,"&gt;="&amp;'Rev JR'!J$1,'Ventas Acciones &amp; Bonos'!$X:$X,"&lt;="&amp;EOMONTH('Rev JR'!J$1,0))</f>
        <v>0</v>
      </c>
      <c r="K75" s="523">
        <f>+SUMIFS('Ventas Acciones &amp; Bonos'!$AL:$AL,'Ventas Acciones &amp; Bonos'!$B:$B,'Rev JR'!$A75,'Ventas Acciones &amp; Bonos'!$X:$X,"&gt;="&amp;'Rev JR'!K$1,'Ventas Acciones &amp; Bonos'!$X:$X,"&lt;="&amp;EOMONTH('Rev JR'!K$1,0))</f>
        <v>0</v>
      </c>
      <c r="L75" s="523">
        <f>+SUMIFS('Ventas Acciones &amp; Bonos'!$AL:$AL,'Ventas Acciones &amp; Bonos'!$B:$B,'Rev JR'!$A75,'Ventas Acciones &amp; Bonos'!$X:$X,"&gt;="&amp;'Rev JR'!L$1,'Ventas Acciones &amp; Bonos'!$X:$X,"&lt;="&amp;EOMONTH('Rev JR'!L$1,0))</f>
        <v>0</v>
      </c>
      <c r="M75" s="523">
        <f>+SUMIFS('Ventas Acciones &amp; Bonos'!$AL:$AL,'Ventas Acciones &amp; Bonos'!$B:$B,'Rev JR'!$A75,'Ventas Acciones &amp; Bonos'!$X:$X,"&gt;="&amp;'Rev JR'!M$1,'Ventas Acciones &amp; Bonos'!$X:$X,"&lt;="&amp;EOMONTH('Rev JR'!M$1,0))</f>
        <v>0</v>
      </c>
      <c r="N75" s="523">
        <f>+SUMIFS('Ventas Acciones &amp; Bonos'!$AL:$AL,'Ventas Acciones &amp; Bonos'!$B:$B,'Rev JR'!$A75,'Ventas Acciones &amp; Bonos'!$X:$X,"&gt;="&amp;'Rev JR'!N$1,'Ventas Acciones &amp; Bonos'!$X:$X,"&lt;="&amp;EOMONTH('Rev JR'!N$1,0))</f>
        <v>0</v>
      </c>
      <c r="O75" s="523">
        <f t="shared" si="11"/>
        <v>0</v>
      </c>
    </row>
    <row r="76" spans="1:15">
      <c r="A76" s="622" t="str">
        <f t="shared" si="12"/>
        <v>O</v>
      </c>
      <c r="B76" s="519" t="str">
        <f t="shared" si="13"/>
        <v xml:space="preserve">        CG Acciones y Bonos - O</v>
      </c>
      <c r="C76" s="523">
        <f>+SUMIFS('Ventas Acciones &amp; Bonos'!$AL:$AL,'Ventas Acciones &amp; Bonos'!$B:$B,'Rev JR'!$A76,'Ventas Acciones &amp; Bonos'!$X:$X,"&gt;="&amp;'Rev JR'!C$1,'Ventas Acciones &amp; Bonos'!$X:$X,"&lt;="&amp;EOMONTH('Rev JR'!C$1,0))</f>
        <v>0</v>
      </c>
      <c r="D76" s="523">
        <f>+SUMIFS('Ventas Acciones &amp; Bonos'!$AL:$AL,'Ventas Acciones &amp; Bonos'!$B:$B,'Rev JR'!$A76,'Ventas Acciones &amp; Bonos'!$X:$X,"&gt;="&amp;'Rev JR'!D$1,'Ventas Acciones &amp; Bonos'!$X:$X,"&lt;="&amp;EOMONTH('Rev JR'!D$1,0))</f>
        <v>0</v>
      </c>
      <c r="E76" s="523">
        <f>+SUMIFS('Ventas Acciones &amp; Bonos'!$AL:$AL,'Ventas Acciones &amp; Bonos'!$B:$B,'Rev JR'!$A76,'Ventas Acciones &amp; Bonos'!$X:$X,"&gt;="&amp;'Rev JR'!E$1,'Ventas Acciones &amp; Bonos'!$X:$X,"&lt;="&amp;EOMONTH('Rev JR'!E$1,0))</f>
        <v>0</v>
      </c>
      <c r="F76" s="523">
        <f>+SUMIFS('Ventas Acciones &amp; Bonos'!$AL:$AL,'Ventas Acciones &amp; Bonos'!$B:$B,'Rev JR'!$A76,'Ventas Acciones &amp; Bonos'!$X:$X,"&gt;="&amp;'Rev JR'!F$1,'Ventas Acciones &amp; Bonos'!$X:$X,"&lt;="&amp;EOMONTH('Rev JR'!F$1,0))</f>
        <v>0</v>
      </c>
      <c r="G76" s="523">
        <f>+SUMIFS('Ventas Acciones &amp; Bonos'!$AL:$AL,'Ventas Acciones &amp; Bonos'!$B:$B,'Rev JR'!$A76,'Ventas Acciones &amp; Bonos'!$X:$X,"&gt;="&amp;'Rev JR'!G$1,'Ventas Acciones &amp; Bonos'!$X:$X,"&lt;="&amp;EOMONTH('Rev JR'!G$1,0))</f>
        <v>0</v>
      </c>
      <c r="H76" s="523">
        <f>+SUMIFS('Ventas Acciones &amp; Bonos'!$AL:$AL,'Ventas Acciones &amp; Bonos'!$B:$B,'Rev JR'!$A76,'Ventas Acciones &amp; Bonos'!$X:$X,"&gt;="&amp;'Rev JR'!H$1,'Ventas Acciones &amp; Bonos'!$X:$X,"&lt;="&amp;EOMONTH('Rev JR'!H$1,0))</f>
        <v>0</v>
      </c>
      <c r="I76" s="523">
        <f>+SUMIFS('Ventas Acciones &amp; Bonos'!$AL:$AL,'Ventas Acciones &amp; Bonos'!$B:$B,'Rev JR'!$A76,'Ventas Acciones &amp; Bonos'!$X:$X,"&gt;="&amp;'Rev JR'!I$1,'Ventas Acciones &amp; Bonos'!$X:$X,"&lt;="&amp;EOMONTH('Rev JR'!I$1,0))</f>
        <v>0</v>
      </c>
      <c r="J76" s="523">
        <f>+SUMIFS('Ventas Acciones &amp; Bonos'!$AL:$AL,'Ventas Acciones &amp; Bonos'!$B:$B,'Rev JR'!$A76,'Ventas Acciones &amp; Bonos'!$X:$X,"&gt;="&amp;'Rev JR'!J$1,'Ventas Acciones &amp; Bonos'!$X:$X,"&lt;="&amp;EOMONTH('Rev JR'!J$1,0))</f>
        <v>0</v>
      </c>
      <c r="K76" s="523">
        <f>+SUMIFS('Ventas Acciones &amp; Bonos'!$AL:$AL,'Ventas Acciones &amp; Bonos'!$B:$B,'Rev JR'!$A76,'Ventas Acciones &amp; Bonos'!$X:$X,"&gt;="&amp;'Rev JR'!K$1,'Ventas Acciones &amp; Bonos'!$X:$X,"&lt;="&amp;EOMONTH('Rev JR'!K$1,0))</f>
        <v>0</v>
      </c>
      <c r="L76" s="523">
        <f>+SUMIFS('Ventas Acciones &amp; Bonos'!$AL:$AL,'Ventas Acciones &amp; Bonos'!$B:$B,'Rev JR'!$A76,'Ventas Acciones &amp; Bonos'!$X:$X,"&gt;="&amp;'Rev JR'!L$1,'Ventas Acciones &amp; Bonos'!$X:$X,"&lt;="&amp;EOMONTH('Rev JR'!L$1,0))</f>
        <v>0</v>
      </c>
      <c r="M76" s="523">
        <f>+SUMIFS('Ventas Acciones &amp; Bonos'!$AL:$AL,'Ventas Acciones &amp; Bonos'!$B:$B,'Rev JR'!$A76,'Ventas Acciones &amp; Bonos'!$X:$X,"&gt;="&amp;'Rev JR'!M$1,'Ventas Acciones &amp; Bonos'!$X:$X,"&lt;="&amp;EOMONTH('Rev JR'!M$1,0))</f>
        <v>0</v>
      </c>
      <c r="N76" s="523">
        <f>+SUMIFS('Ventas Acciones &amp; Bonos'!$AL:$AL,'Ventas Acciones &amp; Bonos'!$B:$B,'Rev JR'!$A76,'Ventas Acciones &amp; Bonos'!$X:$X,"&gt;="&amp;'Rev JR'!N$1,'Ventas Acciones &amp; Bonos'!$X:$X,"&lt;="&amp;EOMONTH('Rev JR'!N$1,0))</f>
        <v>0</v>
      </c>
      <c r="O76" s="523">
        <f t="shared" si="11"/>
        <v>0</v>
      </c>
    </row>
    <row r="77" spans="1:15">
      <c r="A77" s="622" t="str">
        <f t="shared" si="12"/>
        <v>P</v>
      </c>
      <c r="B77" s="519" t="str">
        <f t="shared" si="13"/>
        <v xml:space="preserve">        CG Acciones y Bonos - P</v>
      </c>
      <c r="C77" s="523">
        <f>+SUMIFS('Ventas Acciones &amp; Bonos'!$AL:$AL,'Ventas Acciones &amp; Bonos'!$B:$B,'Rev JR'!$A77,'Ventas Acciones &amp; Bonos'!$X:$X,"&gt;="&amp;'Rev JR'!C$1,'Ventas Acciones &amp; Bonos'!$X:$X,"&lt;="&amp;EOMONTH('Rev JR'!C$1,0))</f>
        <v>0</v>
      </c>
      <c r="D77" s="523">
        <f>+SUMIFS('Ventas Acciones &amp; Bonos'!$AL:$AL,'Ventas Acciones &amp; Bonos'!$B:$B,'Rev JR'!$A77,'Ventas Acciones &amp; Bonos'!$X:$X,"&gt;="&amp;'Rev JR'!D$1,'Ventas Acciones &amp; Bonos'!$X:$X,"&lt;="&amp;EOMONTH('Rev JR'!D$1,0))</f>
        <v>0</v>
      </c>
      <c r="E77" s="523">
        <f>+SUMIFS('Ventas Acciones &amp; Bonos'!$AL:$AL,'Ventas Acciones &amp; Bonos'!$B:$B,'Rev JR'!$A77,'Ventas Acciones &amp; Bonos'!$X:$X,"&gt;="&amp;'Rev JR'!E$1,'Ventas Acciones &amp; Bonos'!$X:$X,"&lt;="&amp;EOMONTH('Rev JR'!E$1,0))</f>
        <v>0</v>
      </c>
      <c r="F77" s="523">
        <f>+SUMIFS('Ventas Acciones &amp; Bonos'!$AL:$AL,'Ventas Acciones &amp; Bonos'!$B:$B,'Rev JR'!$A77,'Ventas Acciones &amp; Bonos'!$X:$X,"&gt;="&amp;'Rev JR'!F$1,'Ventas Acciones &amp; Bonos'!$X:$X,"&lt;="&amp;EOMONTH('Rev JR'!F$1,0))</f>
        <v>0</v>
      </c>
      <c r="G77" s="523">
        <f>+SUMIFS('Ventas Acciones &amp; Bonos'!$AL:$AL,'Ventas Acciones &amp; Bonos'!$B:$B,'Rev JR'!$A77,'Ventas Acciones &amp; Bonos'!$X:$X,"&gt;="&amp;'Rev JR'!G$1,'Ventas Acciones &amp; Bonos'!$X:$X,"&lt;="&amp;EOMONTH('Rev JR'!G$1,0))</f>
        <v>0</v>
      </c>
      <c r="H77" s="523">
        <f>+SUMIFS('Ventas Acciones &amp; Bonos'!$AL:$AL,'Ventas Acciones &amp; Bonos'!$B:$B,'Rev JR'!$A77,'Ventas Acciones &amp; Bonos'!$X:$X,"&gt;="&amp;'Rev JR'!H$1,'Ventas Acciones &amp; Bonos'!$X:$X,"&lt;="&amp;EOMONTH('Rev JR'!H$1,0))</f>
        <v>0</v>
      </c>
      <c r="I77" s="523">
        <f>+SUMIFS('Ventas Acciones &amp; Bonos'!$AL:$AL,'Ventas Acciones &amp; Bonos'!$B:$B,'Rev JR'!$A77,'Ventas Acciones &amp; Bonos'!$X:$X,"&gt;="&amp;'Rev JR'!I$1,'Ventas Acciones &amp; Bonos'!$X:$X,"&lt;="&amp;EOMONTH('Rev JR'!I$1,0))</f>
        <v>0</v>
      </c>
      <c r="J77" s="523">
        <f>+SUMIFS('Ventas Acciones &amp; Bonos'!$AL:$AL,'Ventas Acciones &amp; Bonos'!$B:$B,'Rev JR'!$A77,'Ventas Acciones &amp; Bonos'!$X:$X,"&gt;="&amp;'Rev JR'!J$1,'Ventas Acciones &amp; Bonos'!$X:$X,"&lt;="&amp;EOMONTH('Rev JR'!J$1,0))</f>
        <v>0</v>
      </c>
      <c r="K77" s="523">
        <f>+SUMIFS('Ventas Acciones &amp; Bonos'!$AL:$AL,'Ventas Acciones &amp; Bonos'!$B:$B,'Rev JR'!$A77,'Ventas Acciones &amp; Bonos'!$X:$X,"&gt;="&amp;'Rev JR'!K$1,'Ventas Acciones &amp; Bonos'!$X:$X,"&lt;="&amp;EOMONTH('Rev JR'!K$1,0))</f>
        <v>0</v>
      </c>
      <c r="L77" s="523">
        <f>+SUMIFS('Ventas Acciones &amp; Bonos'!$AL:$AL,'Ventas Acciones &amp; Bonos'!$B:$B,'Rev JR'!$A77,'Ventas Acciones &amp; Bonos'!$X:$X,"&gt;="&amp;'Rev JR'!L$1,'Ventas Acciones &amp; Bonos'!$X:$X,"&lt;="&amp;EOMONTH('Rev JR'!L$1,0))</f>
        <v>0</v>
      </c>
      <c r="M77" s="523">
        <f>+SUMIFS('Ventas Acciones &amp; Bonos'!$AL:$AL,'Ventas Acciones &amp; Bonos'!$B:$B,'Rev JR'!$A77,'Ventas Acciones &amp; Bonos'!$X:$X,"&gt;="&amp;'Rev JR'!M$1,'Ventas Acciones &amp; Bonos'!$X:$X,"&lt;="&amp;EOMONTH('Rev JR'!M$1,0))</f>
        <v>0</v>
      </c>
      <c r="N77" s="523">
        <f>+SUMIFS('Ventas Acciones &amp; Bonos'!$AL:$AL,'Ventas Acciones &amp; Bonos'!$B:$B,'Rev JR'!$A77,'Ventas Acciones &amp; Bonos'!$X:$X,"&gt;="&amp;'Rev JR'!N$1,'Ventas Acciones &amp; Bonos'!$X:$X,"&lt;="&amp;EOMONTH('Rev JR'!N$1,0))</f>
        <v>0</v>
      </c>
      <c r="O77" s="523">
        <f t="shared" si="11"/>
        <v>0</v>
      </c>
    </row>
    <row r="78" spans="1:15">
      <c r="A78" s="515"/>
      <c r="B78" s="524" t="s">
        <v>612</v>
      </c>
      <c r="C78" s="525">
        <f t="shared" ref="C78:N78" si="14">SUM(C62:C77)</f>
        <v>0</v>
      </c>
      <c r="D78" s="525">
        <f t="shared" si="14"/>
        <v>0</v>
      </c>
      <c r="E78" s="525">
        <f t="shared" si="14"/>
        <v>0</v>
      </c>
      <c r="F78" s="525">
        <f t="shared" si="14"/>
        <v>0</v>
      </c>
      <c r="G78" s="525">
        <f t="shared" si="14"/>
        <v>0</v>
      </c>
      <c r="H78" s="525">
        <f t="shared" si="14"/>
        <v>0</v>
      </c>
      <c r="I78" s="525">
        <f t="shared" si="14"/>
        <v>0</v>
      </c>
      <c r="J78" s="525">
        <f t="shared" si="14"/>
        <v>0</v>
      </c>
      <c r="K78" s="525">
        <f t="shared" si="14"/>
        <v>0</v>
      </c>
      <c r="L78" s="525">
        <f t="shared" si="14"/>
        <v>0</v>
      </c>
      <c r="M78" s="525">
        <f t="shared" si="14"/>
        <v>0</v>
      </c>
      <c r="N78" s="525">
        <f t="shared" si="14"/>
        <v>0</v>
      </c>
      <c r="O78" s="525">
        <f>SUM(O62:O77)</f>
        <v>0</v>
      </c>
    </row>
    <row r="79" spans="1:15">
      <c r="A79" s="515"/>
      <c r="B79" s="519" t="s">
        <v>592</v>
      </c>
      <c r="C79" s="522"/>
      <c r="D79" s="522"/>
      <c r="E79" s="522"/>
      <c r="F79" s="522"/>
      <c r="G79" s="522"/>
      <c r="H79" s="522"/>
      <c r="I79" s="522"/>
      <c r="J79" s="522"/>
      <c r="K79" s="522"/>
      <c r="L79" s="522"/>
      <c r="M79" s="522"/>
      <c r="N79" s="522"/>
      <c r="O79" s="522"/>
    </row>
    <row r="80" spans="1:15">
      <c r="A80" s="515"/>
      <c r="B80" s="519" t="s">
        <v>613</v>
      </c>
      <c r="C80" s="522"/>
      <c r="D80" s="522"/>
      <c r="E80" s="522"/>
      <c r="F80" s="522"/>
      <c r="G80" s="522"/>
      <c r="H80" s="522"/>
      <c r="I80" s="522"/>
      <c r="J80" s="522"/>
      <c r="K80" s="522"/>
      <c r="L80" s="522"/>
      <c r="M80" s="522"/>
      <c r="N80" s="522"/>
      <c r="O80" s="522"/>
    </row>
    <row r="81" spans="1:15">
      <c r="A81" s="622" t="str">
        <f>+A62</f>
        <v>AR2XXXX3387-0008</v>
      </c>
      <c r="B81" s="519" t="str">
        <f>+CONCATENATE("        CG OFD - ",A81)</f>
        <v xml:space="preserve">        CG OFD - AR2XXXX3387-0008</v>
      </c>
      <c r="C81" s="523">
        <f>+SUMIFS('Ventas OFD'!$AK:$AK,'Ventas OFD'!$B:$B,'Rev JR'!$A81,'Ventas OFD'!$W:$W,"&gt;="&amp;'Rev JR'!C$1,'Ventas OFD'!$W:$W,"&lt;="&amp;EOMONTH('Rev JR'!C$1,0))</f>
        <v>0</v>
      </c>
      <c r="D81" s="523">
        <f>+SUMIFS('Ventas OFD'!$AK:$AK,'Ventas OFD'!$B:$B,'Rev JR'!$A81,'Ventas OFD'!$W:$W,"&gt;="&amp;'Rev JR'!D$1,'Ventas OFD'!$W:$W,"&lt;="&amp;EOMONTH('Rev JR'!D$1,0))</f>
        <v>0</v>
      </c>
      <c r="E81" s="523">
        <f>+SUMIFS('Ventas OFD'!$AK:$AK,'Ventas OFD'!$B:$B,'Rev JR'!$A81,'Ventas OFD'!$W:$W,"&gt;="&amp;'Rev JR'!E$1,'Ventas OFD'!$W:$W,"&lt;="&amp;EOMONTH('Rev JR'!E$1,0))</f>
        <v>0</v>
      </c>
      <c r="F81" s="523">
        <f>+SUMIFS('Ventas OFD'!$AK:$AK,'Ventas OFD'!$B:$B,'Rev JR'!$A81,'Ventas OFD'!$W:$W,"&gt;="&amp;'Rev JR'!F$1,'Ventas OFD'!$W:$W,"&lt;="&amp;EOMONTH('Rev JR'!F$1,0))</f>
        <v>0</v>
      </c>
      <c r="G81" s="523">
        <f>+SUMIFS('Ventas OFD'!$AK:$AK,'Ventas OFD'!$B:$B,'Rev JR'!$A81,'Ventas OFD'!$W:$W,"&gt;="&amp;'Rev JR'!G$1,'Ventas OFD'!$W:$W,"&lt;="&amp;EOMONTH('Rev JR'!G$1,0))</f>
        <v>0</v>
      </c>
      <c r="H81" s="523">
        <f>+SUMIFS('Ventas OFD'!$AK:$AK,'Ventas OFD'!$B:$B,'Rev JR'!$A81,'Ventas OFD'!$W:$W,"&gt;="&amp;'Rev JR'!H$1,'Ventas OFD'!$W:$W,"&lt;="&amp;EOMONTH('Rev JR'!H$1,0))</f>
        <v>0</v>
      </c>
      <c r="I81" s="523">
        <f>+SUMIFS('Ventas OFD'!$AK:$AK,'Ventas OFD'!$B:$B,'Rev JR'!$A81,'Ventas OFD'!$W:$W,"&gt;="&amp;'Rev JR'!I$1,'Ventas OFD'!$W:$W,"&lt;="&amp;EOMONTH('Rev JR'!I$1,0))</f>
        <v>0</v>
      </c>
      <c r="J81" s="523">
        <f>+SUMIFS('Ventas OFD'!$AK:$AK,'Ventas OFD'!$B:$B,'Rev JR'!$A81,'Ventas OFD'!$W:$W,"&gt;="&amp;'Rev JR'!J$1,'Ventas OFD'!$W:$W,"&lt;="&amp;EOMONTH('Rev JR'!J$1,0))</f>
        <v>0</v>
      </c>
      <c r="K81" s="523">
        <f>+SUMIFS('Ventas OFD'!$AK:$AK,'Ventas OFD'!$B:$B,'Rev JR'!$A81,'Ventas OFD'!$W:$W,"&gt;="&amp;'Rev JR'!K$1,'Ventas OFD'!$W:$W,"&lt;="&amp;EOMONTH('Rev JR'!K$1,0))</f>
        <v>0</v>
      </c>
      <c r="L81" s="523">
        <f>+SUMIFS('Ventas OFD'!$AK:$AK,'Ventas OFD'!$B:$B,'Rev JR'!$A81,'Ventas OFD'!$W:$W,"&gt;="&amp;'Rev JR'!L$1,'Ventas OFD'!$W:$W,"&lt;="&amp;EOMONTH('Rev JR'!L$1,0))</f>
        <v>0</v>
      </c>
      <c r="M81" s="523">
        <f>+SUMIFS('Ventas OFD'!$AK:$AK,'Ventas OFD'!$B:$B,'Rev JR'!$A81,'Ventas OFD'!$W:$W,"&gt;="&amp;'Rev JR'!M$1,'Ventas OFD'!$W:$W,"&lt;="&amp;EOMONTH('Rev JR'!M$1,0))</f>
        <v>0</v>
      </c>
      <c r="N81" s="523">
        <f>+SUMIFS('Ventas OFD'!$AK:$AK,'Ventas OFD'!$B:$B,'Rev JR'!$A81,'Ventas OFD'!$W:$W,"&gt;="&amp;'Rev JR'!N$1,'Ventas OFD'!$W:$W,"&lt;="&amp;EOMONTH('Rev JR'!N$1,0))</f>
        <v>0</v>
      </c>
      <c r="O81" s="523">
        <f t="shared" ref="O81:O96" si="15">SUM(C81:N81)</f>
        <v>0</v>
      </c>
    </row>
    <row r="82" spans="1:15">
      <c r="A82" s="622" t="str">
        <f t="shared" ref="A82:A96" si="16">+A63</f>
        <v>AR2XXXX3387-0003</v>
      </c>
      <c r="B82" s="519" t="str">
        <f t="shared" ref="B82:B96" si="17">+CONCATENATE("        CG OFD - ",A82)</f>
        <v xml:space="preserve">        CG OFD - AR2XXXX3387-0003</v>
      </c>
      <c r="C82" s="523">
        <f>+SUMIFS('Ventas OFD'!$AK:$AK,'Ventas OFD'!$B:$B,'Rev JR'!$A82,'Ventas OFD'!$W:$W,"&gt;="&amp;'Rev JR'!C$1,'Ventas OFD'!$W:$W,"&lt;="&amp;EOMONTH('Rev JR'!C$1,0))</f>
        <v>0</v>
      </c>
      <c r="D82" s="523">
        <f>+SUMIFS('Ventas OFD'!$AK:$AK,'Ventas OFD'!$B:$B,'Rev JR'!$A82,'Ventas OFD'!$W:$W,"&gt;="&amp;'Rev JR'!D$1,'Ventas OFD'!$W:$W,"&lt;="&amp;EOMONTH('Rev JR'!D$1,0))</f>
        <v>0</v>
      </c>
      <c r="E82" s="523">
        <f>+SUMIFS('Ventas OFD'!$AK:$AK,'Ventas OFD'!$B:$B,'Rev JR'!$A82,'Ventas OFD'!$W:$W,"&gt;="&amp;'Rev JR'!E$1,'Ventas OFD'!$W:$W,"&lt;="&amp;EOMONTH('Rev JR'!E$1,0))</f>
        <v>0</v>
      </c>
      <c r="F82" s="523">
        <f>+SUMIFS('Ventas OFD'!$AK:$AK,'Ventas OFD'!$B:$B,'Rev JR'!$A82,'Ventas OFD'!$W:$W,"&gt;="&amp;'Rev JR'!F$1,'Ventas OFD'!$W:$W,"&lt;="&amp;EOMONTH('Rev JR'!F$1,0))</f>
        <v>0</v>
      </c>
      <c r="G82" s="523">
        <f>+SUMIFS('Ventas OFD'!$AK:$AK,'Ventas OFD'!$B:$B,'Rev JR'!$A82,'Ventas OFD'!$W:$W,"&gt;="&amp;'Rev JR'!G$1,'Ventas OFD'!$W:$W,"&lt;="&amp;EOMONTH('Rev JR'!G$1,0))</f>
        <v>0</v>
      </c>
      <c r="H82" s="523">
        <f>+SUMIFS('Ventas OFD'!$AK:$AK,'Ventas OFD'!$B:$B,'Rev JR'!$A82,'Ventas OFD'!$W:$W,"&gt;="&amp;'Rev JR'!H$1,'Ventas OFD'!$W:$W,"&lt;="&amp;EOMONTH('Rev JR'!H$1,0))</f>
        <v>0</v>
      </c>
      <c r="I82" s="523">
        <f>+SUMIFS('Ventas OFD'!$AK:$AK,'Ventas OFD'!$B:$B,'Rev JR'!$A82,'Ventas OFD'!$W:$W,"&gt;="&amp;'Rev JR'!I$1,'Ventas OFD'!$W:$W,"&lt;="&amp;EOMONTH('Rev JR'!I$1,0))</f>
        <v>0</v>
      </c>
      <c r="J82" s="523">
        <f>+SUMIFS('Ventas OFD'!$AK:$AK,'Ventas OFD'!$B:$B,'Rev JR'!$A82,'Ventas OFD'!$W:$W,"&gt;="&amp;'Rev JR'!J$1,'Ventas OFD'!$W:$W,"&lt;="&amp;EOMONTH('Rev JR'!J$1,0))</f>
        <v>0</v>
      </c>
      <c r="K82" s="523">
        <f>+SUMIFS('Ventas OFD'!$AK:$AK,'Ventas OFD'!$B:$B,'Rev JR'!$A82,'Ventas OFD'!$W:$W,"&gt;="&amp;'Rev JR'!K$1,'Ventas OFD'!$W:$W,"&lt;="&amp;EOMONTH('Rev JR'!K$1,0))</f>
        <v>0</v>
      </c>
      <c r="L82" s="523">
        <f>+SUMIFS('Ventas OFD'!$AK:$AK,'Ventas OFD'!$B:$B,'Rev JR'!$A82,'Ventas OFD'!$W:$W,"&gt;="&amp;'Rev JR'!L$1,'Ventas OFD'!$W:$W,"&lt;="&amp;EOMONTH('Rev JR'!L$1,0))</f>
        <v>0</v>
      </c>
      <c r="M82" s="523">
        <f>+SUMIFS('Ventas OFD'!$AK:$AK,'Ventas OFD'!$B:$B,'Rev JR'!$A82,'Ventas OFD'!$W:$W,"&gt;="&amp;'Rev JR'!M$1,'Ventas OFD'!$W:$W,"&lt;="&amp;EOMONTH('Rev JR'!M$1,0))</f>
        <v>0</v>
      </c>
      <c r="N82" s="523">
        <f>+SUMIFS('Ventas OFD'!$AK:$AK,'Ventas OFD'!$B:$B,'Rev JR'!$A82,'Ventas OFD'!$W:$W,"&gt;="&amp;'Rev JR'!N$1,'Ventas OFD'!$W:$W,"&lt;="&amp;EOMONTH('Rev JR'!N$1,0))</f>
        <v>0</v>
      </c>
      <c r="O82" s="523">
        <f t="shared" si="15"/>
        <v>0</v>
      </c>
    </row>
    <row r="83" spans="1:15">
      <c r="A83" s="622" t="str">
        <f t="shared" si="16"/>
        <v>029-2XXX1-9</v>
      </c>
      <c r="B83" s="519" t="str">
        <f t="shared" si="17"/>
        <v xml:space="preserve">        CG OFD - 029-2XXX1-9</v>
      </c>
      <c r="C83" s="523">
        <f>+SUMIFS('Ventas OFD'!$AK:$AK,'Ventas OFD'!$B:$B,'Rev JR'!$A83,'Ventas OFD'!$W:$W,"&gt;="&amp;'Rev JR'!C$1,'Ventas OFD'!$W:$W,"&lt;="&amp;EOMONTH('Rev JR'!C$1,0))</f>
        <v>10369.09</v>
      </c>
      <c r="D83" s="523">
        <f>+SUMIFS('Ventas OFD'!$AK:$AK,'Ventas OFD'!$B:$B,'Rev JR'!$A83,'Ventas OFD'!$W:$W,"&gt;="&amp;'Rev JR'!D$1,'Ventas OFD'!$W:$W,"&lt;="&amp;EOMONTH('Rev JR'!D$1,0))</f>
        <v>3130.23</v>
      </c>
      <c r="E83" s="523">
        <f>+SUMIFS('Ventas OFD'!$AK:$AK,'Ventas OFD'!$B:$B,'Rev JR'!$A83,'Ventas OFD'!$W:$W,"&gt;="&amp;'Rev JR'!E$1,'Ventas OFD'!$W:$W,"&lt;="&amp;EOMONTH('Rev JR'!E$1,0))</f>
        <v>15370.22</v>
      </c>
      <c r="F83" s="523">
        <f>+SUMIFS('Ventas OFD'!$AK:$AK,'Ventas OFD'!$B:$B,'Rev JR'!$A83,'Ventas OFD'!$W:$W,"&gt;="&amp;'Rev JR'!F$1,'Ventas OFD'!$W:$W,"&lt;="&amp;EOMONTH('Rev JR'!F$1,0))</f>
        <v>13467.810000000001</v>
      </c>
      <c r="G83" s="523">
        <f>+SUMIFS('Ventas OFD'!$AK:$AK,'Ventas OFD'!$B:$B,'Rev JR'!$A83,'Ventas OFD'!$W:$W,"&gt;="&amp;'Rev JR'!G$1,'Ventas OFD'!$W:$W,"&lt;="&amp;EOMONTH('Rev JR'!G$1,0))</f>
        <v>-9764.93</v>
      </c>
      <c r="H83" s="523">
        <f>+SUMIFS('Ventas OFD'!$AK:$AK,'Ventas OFD'!$B:$B,'Rev JR'!$A83,'Ventas OFD'!$W:$W,"&gt;="&amp;'Rev JR'!H$1,'Ventas OFD'!$W:$W,"&lt;="&amp;EOMONTH('Rev JR'!H$1,0))</f>
        <v>-9623.7599999999966</v>
      </c>
      <c r="I83" s="523">
        <f>+SUMIFS('Ventas OFD'!$AK:$AK,'Ventas OFD'!$B:$B,'Rev JR'!$A83,'Ventas OFD'!$W:$W,"&gt;="&amp;'Rev JR'!I$1,'Ventas OFD'!$W:$W,"&lt;="&amp;EOMONTH('Rev JR'!I$1,0))</f>
        <v>4180.34</v>
      </c>
      <c r="J83" s="523">
        <f>+SUMIFS('Ventas OFD'!$AK:$AK,'Ventas OFD'!$B:$B,'Rev JR'!$A83,'Ventas OFD'!$W:$W,"&gt;="&amp;'Rev JR'!J$1,'Ventas OFD'!$W:$W,"&lt;="&amp;EOMONTH('Rev JR'!J$1,0))</f>
        <v>30735.71</v>
      </c>
      <c r="K83" s="523">
        <f>+SUMIFS('Ventas OFD'!$AK:$AK,'Ventas OFD'!$B:$B,'Rev JR'!$A83,'Ventas OFD'!$W:$W,"&gt;="&amp;'Rev JR'!K$1,'Ventas OFD'!$W:$W,"&lt;="&amp;EOMONTH('Rev JR'!K$1,0))</f>
        <v>11.669999999999163</v>
      </c>
      <c r="L83" s="523">
        <f>+SUMIFS('Ventas OFD'!$AK:$AK,'Ventas OFD'!$B:$B,'Rev JR'!$A83,'Ventas OFD'!$W:$W,"&gt;="&amp;'Rev JR'!L$1,'Ventas OFD'!$W:$W,"&lt;="&amp;EOMONTH('Rev JR'!L$1,0))</f>
        <v>3332.9299999999989</v>
      </c>
      <c r="M83" s="523">
        <f>+SUMIFS('Ventas OFD'!$AK:$AK,'Ventas OFD'!$B:$B,'Rev JR'!$A83,'Ventas OFD'!$W:$W,"&gt;="&amp;'Rev JR'!M$1,'Ventas OFD'!$W:$W,"&lt;="&amp;EOMONTH('Rev JR'!M$1,0))</f>
        <v>22669.100000000002</v>
      </c>
      <c r="N83" s="523">
        <f>+SUMIFS('Ventas OFD'!$AK:$AK,'Ventas OFD'!$B:$B,'Rev JR'!$A83,'Ventas OFD'!$W:$W,"&gt;="&amp;'Rev JR'!N$1,'Ventas OFD'!$W:$W,"&lt;="&amp;EOMONTH('Rev JR'!N$1,0))</f>
        <v>14175.560000000001</v>
      </c>
      <c r="O83" s="523">
        <f t="shared" si="15"/>
        <v>98053.97</v>
      </c>
    </row>
    <row r="84" spans="1:15">
      <c r="A84" s="622" t="str">
        <f t="shared" si="16"/>
        <v>029-2XXX2-7</v>
      </c>
      <c r="B84" s="519" t="str">
        <f t="shared" si="17"/>
        <v xml:space="preserve">        CG OFD - 029-2XXX2-7</v>
      </c>
      <c r="C84" s="523">
        <f>+SUMIFS('Ventas OFD'!$AK:$AK,'Ventas OFD'!$B:$B,'Rev JR'!$A84,'Ventas OFD'!$W:$W,"&gt;="&amp;'Rev JR'!C$1,'Ventas OFD'!$W:$W,"&lt;="&amp;EOMONTH('Rev JR'!C$1,0))</f>
        <v>0</v>
      </c>
      <c r="D84" s="523">
        <f>+SUMIFS('Ventas OFD'!$AK:$AK,'Ventas OFD'!$B:$B,'Rev JR'!$A84,'Ventas OFD'!$W:$W,"&gt;="&amp;'Rev JR'!D$1,'Ventas OFD'!$W:$W,"&lt;="&amp;EOMONTH('Rev JR'!D$1,0))</f>
        <v>0</v>
      </c>
      <c r="E84" s="523">
        <f>+SUMIFS('Ventas OFD'!$AK:$AK,'Ventas OFD'!$B:$B,'Rev JR'!$A84,'Ventas OFD'!$W:$W,"&gt;="&amp;'Rev JR'!E$1,'Ventas OFD'!$W:$W,"&lt;="&amp;EOMONTH('Rev JR'!E$1,0))</f>
        <v>0</v>
      </c>
      <c r="F84" s="523">
        <f>+SUMIFS('Ventas OFD'!$AK:$AK,'Ventas OFD'!$B:$B,'Rev JR'!$A84,'Ventas OFD'!$W:$W,"&gt;="&amp;'Rev JR'!F$1,'Ventas OFD'!$W:$W,"&lt;="&amp;EOMONTH('Rev JR'!F$1,0))</f>
        <v>0</v>
      </c>
      <c r="G84" s="523">
        <f>+SUMIFS('Ventas OFD'!$AK:$AK,'Ventas OFD'!$B:$B,'Rev JR'!$A84,'Ventas OFD'!$W:$W,"&gt;="&amp;'Rev JR'!G$1,'Ventas OFD'!$W:$W,"&lt;="&amp;EOMONTH('Rev JR'!G$1,0))</f>
        <v>0</v>
      </c>
      <c r="H84" s="523">
        <f>+SUMIFS('Ventas OFD'!$AK:$AK,'Ventas OFD'!$B:$B,'Rev JR'!$A84,'Ventas OFD'!$W:$W,"&gt;="&amp;'Rev JR'!H$1,'Ventas OFD'!$W:$W,"&lt;="&amp;EOMONTH('Rev JR'!H$1,0))</f>
        <v>0</v>
      </c>
      <c r="I84" s="523">
        <f>+SUMIFS('Ventas OFD'!$AK:$AK,'Ventas OFD'!$B:$B,'Rev JR'!$A84,'Ventas OFD'!$W:$W,"&gt;="&amp;'Rev JR'!I$1,'Ventas OFD'!$W:$W,"&lt;="&amp;EOMONTH('Rev JR'!I$1,0))</f>
        <v>0</v>
      </c>
      <c r="J84" s="523">
        <f>+SUMIFS('Ventas OFD'!$AK:$AK,'Ventas OFD'!$B:$B,'Rev JR'!$A84,'Ventas OFD'!$W:$W,"&gt;="&amp;'Rev JR'!J$1,'Ventas OFD'!$W:$W,"&lt;="&amp;EOMONTH('Rev JR'!J$1,0))</f>
        <v>0</v>
      </c>
      <c r="K84" s="523">
        <f>+SUMIFS('Ventas OFD'!$AK:$AK,'Ventas OFD'!$B:$B,'Rev JR'!$A84,'Ventas OFD'!$W:$W,"&gt;="&amp;'Rev JR'!K$1,'Ventas OFD'!$W:$W,"&lt;="&amp;EOMONTH('Rev JR'!K$1,0))</f>
        <v>0</v>
      </c>
      <c r="L84" s="523">
        <f>+SUMIFS('Ventas OFD'!$AK:$AK,'Ventas OFD'!$B:$B,'Rev JR'!$A84,'Ventas OFD'!$W:$W,"&gt;="&amp;'Rev JR'!L$1,'Ventas OFD'!$W:$W,"&lt;="&amp;EOMONTH('Rev JR'!L$1,0))</f>
        <v>0</v>
      </c>
      <c r="M84" s="523">
        <f>+SUMIFS('Ventas OFD'!$AK:$AK,'Ventas OFD'!$B:$B,'Rev JR'!$A84,'Ventas OFD'!$W:$W,"&gt;="&amp;'Rev JR'!M$1,'Ventas OFD'!$W:$W,"&lt;="&amp;EOMONTH('Rev JR'!M$1,0))</f>
        <v>0</v>
      </c>
      <c r="N84" s="523">
        <f>+SUMIFS('Ventas OFD'!$AK:$AK,'Ventas OFD'!$B:$B,'Rev JR'!$A84,'Ventas OFD'!$W:$W,"&gt;="&amp;'Rev JR'!N$1,'Ventas OFD'!$W:$W,"&lt;="&amp;EOMONTH('Rev JR'!N$1,0))</f>
        <v>0</v>
      </c>
      <c r="O84" s="523">
        <f t="shared" si="15"/>
        <v>0</v>
      </c>
    </row>
    <row r="85" spans="1:15">
      <c r="A85" s="622" t="str">
        <f t="shared" si="16"/>
        <v>029-2XXX3-5</v>
      </c>
      <c r="B85" s="519" t="str">
        <f t="shared" si="17"/>
        <v xml:space="preserve">        CG OFD - 029-2XXX3-5</v>
      </c>
      <c r="C85" s="523">
        <f>+SUMIFS('Ventas OFD'!$AK:$AK,'Ventas OFD'!$B:$B,'Rev JR'!$A85,'Ventas OFD'!$W:$W,"&gt;="&amp;'Rev JR'!C$1,'Ventas OFD'!$W:$W,"&lt;="&amp;EOMONTH('Rev JR'!C$1,0))</f>
        <v>0</v>
      </c>
      <c r="D85" s="523">
        <f>+SUMIFS('Ventas OFD'!$AK:$AK,'Ventas OFD'!$B:$B,'Rev JR'!$A85,'Ventas OFD'!$W:$W,"&gt;="&amp;'Rev JR'!D$1,'Ventas OFD'!$W:$W,"&lt;="&amp;EOMONTH('Rev JR'!D$1,0))</f>
        <v>0</v>
      </c>
      <c r="E85" s="523">
        <f>+SUMIFS('Ventas OFD'!$AK:$AK,'Ventas OFD'!$B:$B,'Rev JR'!$A85,'Ventas OFD'!$W:$W,"&gt;="&amp;'Rev JR'!E$1,'Ventas OFD'!$W:$W,"&lt;="&amp;EOMONTH('Rev JR'!E$1,0))</f>
        <v>0</v>
      </c>
      <c r="F85" s="523">
        <f>+SUMIFS('Ventas OFD'!$AK:$AK,'Ventas OFD'!$B:$B,'Rev JR'!$A85,'Ventas OFD'!$W:$W,"&gt;="&amp;'Rev JR'!F$1,'Ventas OFD'!$W:$W,"&lt;="&amp;EOMONTH('Rev JR'!F$1,0))</f>
        <v>0</v>
      </c>
      <c r="G85" s="523">
        <f>+SUMIFS('Ventas OFD'!$AK:$AK,'Ventas OFD'!$B:$B,'Rev JR'!$A85,'Ventas OFD'!$W:$W,"&gt;="&amp;'Rev JR'!G$1,'Ventas OFD'!$W:$W,"&lt;="&amp;EOMONTH('Rev JR'!G$1,0))</f>
        <v>0</v>
      </c>
      <c r="H85" s="523">
        <f>+SUMIFS('Ventas OFD'!$AK:$AK,'Ventas OFD'!$B:$B,'Rev JR'!$A85,'Ventas OFD'!$W:$W,"&gt;="&amp;'Rev JR'!H$1,'Ventas OFD'!$W:$W,"&lt;="&amp;EOMONTH('Rev JR'!H$1,0))</f>
        <v>0</v>
      </c>
      <c r="I85" s="523">
        <f>+SUMIFS('Ventas OFD'!$AK:$AK,'Ventas OFD'!$B:$B,'Rev JR'!$A85,'Ventas OFD'!$W:$W,"&gt;="&amp;'Rev JR'!I$1,'Ventas OFD'!$W:$W,"&lt;="&amp;EOMONTH('Rev JR'!I$1,0))</f>
        <v>0</v>
      </c>
      <c r="J85" s="523">
        <f>+SUMIFS('Ventas OFD'!$AK:$AK,'Ventas OFD'!$B:$B,'Rev JR'!$A85,'Ventas OFD'!$W:$W,"&gt;="&amp;'Rev JR'!J$1,'Ventas OFD'!$W:$W,"&lt;="&amp;EOMONTH('Rev JR'!J$1,0))</f>
        <v>0</v>
      </c>
      <c r="K85" s="523">
        <f>+SUMIFS('Ventas OFD'!$AK:$AK,'Ventas OFD'!$B:$B,'Rev JR'!$A85,'Ventas OFD'!$W:$W,"&gt;="&amp;'Rev JR'!K$1,'Ventas OFD'!$W:$W,"&lt;="&amp;EOMONTH('Rev JR'!K$1,0))</f>
        <v>0</v>
      </c>
      <c r="L85" s="523">
        <f>+SUMIFS('Ventas OFD'!$AK:$AK,'Ventas OFD'!$B:$B,'Rev JR'!$A85,'Ventas OFD'!$W:$W,"&gt;="&amp;'Rev JR'!L$1,'Ventas OFD'!$W:$W,"&lt;="&amp;EOMONTH('Rev JR'!L$1,0))</f>
        <v>0</v>
      </c>
      <c r="M85" s="523">
        <f>+SUMIFS('Ventas OFD'!$AK:$AK,'Ventas OFD'!$B:$B,'Rev JR'!$A85,'Ventas OFD'!$W:$W,"&gt;="&amp;'Rev JR'!M$1,'Ventas OFD'!$W:$W,"&lt;="&amp;EOMONTH('Rev JR'!M$1,0))</f>
        <v>0</v>
      </c>
      <c r="N85" s="523">
        <f>+SUMIFS('Ventas OFD'!$AK:$AK,'Ventas OFD'!$B:$B,'Rev JR'!$A85,'Ventas OFD'!$W:$W,"&gt;="&amp;'Rev JR'!N$1,'Ventas OFD'!$W:$W,"&lt;="&amp;EOMONTH('Rev JR'!N$1,0))</f>
        <v>0</v>
      </c>
      <c r="O85" s="523">
        <f t="shared" si="15"/>
        <v>0</v>
      </c>
    </row>
    <row r="86" spans="1:15">
      <c r="A86" s="622" t="str">
        <f t="shared" si="16"/>
        <v>F</v>
      </c>
      <c r="B86" s="519" t="str">
        <f t="shared" si="17"/>
        <v xml:space="preserve">        CG OFD - F</v>
      </c>
      <c r="C86" s="523">
        <f>+SUMIFS('Ventas OFD'!$AK:$AK,'Ventas OFD'!$B:$B,'Rev JR'!$A86,'Ventas OFD'!$W:$W,"&gt;="&amp;'Rev JR'!C$1,'Ventas OFD'!$W:$W,"&lt;="&amp;EOMONTH('Rev JR'!C$1,0))</f>
        <v>0</v>
      </c>
      <c r="D86" s="523">
        <f>+SUMIFS('Ventas OFD'!$AK:$AK,'Ventas OFD'!$B:$B,'Rev JR'!$A86,'Ventas OFD'!$W:$W,"&gt;="&amp;'Rev JR'!D$1,'Ventas OFD'!$W:$W,"&lt;="&amp;EOMONTH('Rev JR'!D$1,0))</f>
        <v>0</v>
      </c>
      <c r="E86" s="523">
        <f>+SUMIFS('Ventas OFD'!$AK:$AK,'Ventas OFD'!$B:$B,'Rev JR'!$A86,'Ventas OFD'!$W:$W,"&gt;="&amp;'Rev JR'!E$1,'Ventas OFD'!$W:$W,"&lt;="&amp;EOMONTH('Rev JR'!E$1,0))</f>
        <v>0</v>
      </c>
      <c r="F86" s="523">
        <f>+SUMIFS('Ventas OFD'!$AK:$AK,'Ventas OFD'!$B:$B,'Rev JR'!$A86,'Ventas OFD'!$W:$W,"&gt;="&amp;'Rev JR'!F$1,'Ventas OFD'!$W:$W,"&lt;="&amp;EOMONTH('Rev JR'!F$1,0))</f>
        <v>0</v>
      </c>
      <c r="G86" s="523">
        <f>+SUMIFS('Ventas OFD'!$AK:$AK,'Ventas OFD'!$B:$B,'Rev JR'!$A86,'Ventas OFD'!$W:$W,"&gt;="&amp;'Rev JR'!G$1,'Ventas OFD'!$W:$W,"&lt;="&amp;EOMONTH('Rev JR'!G$1,0))</f>
        <v>0</v>
      </c>
      <c r="H86" s="523">
        <f>+SUMIFS('Ventas OFD'!$AK:$AK,'Ventas OFD'!$B:$B,'Rev JR'!$A86,'Ventas OFD'!$W:$W,"&gt;="&amp;'Rev JR'!H$1,'Ventas OFD'!$W:$W,"&lt;="&amp;EOMONTH('Rev JR'!H$1,0))</f>
        <v>0</v>
      </c>
      <c r="I86" s="523">
        <f>+SUMIFS('Ventas OFD'!$AK:$AK,'Ventas OFD'!$B:$B,'Rev JR'!$A86,'Ventas OFD'!$W:$W,"&gt;="&amp;'Rev JR'!I$1,'Ventas OFD'!$W:$W,"&lt;="&amp;EOMONTH('Rev JR'!I$1,0))</f>
        <v>0</v>
      </c>
      <c r="J86" s="523">
        <f>+SUMIFS('Ventas OFD'!$AK:$AK,'Ventas OFD'!$B:$B,'Rev JR'!$A86,'Ventas OFD'!$W:$W,"&gt;="&amp;'Rev JR'!J$1,'Ventas OFD'!$W:$W,"&lt;="&amp;EOMONTH('Rev JR'!J$1,0))</f>
        <v>0</v>
      </c>
      <c r="K86" s="523">
        <f>+SUMIFS('Ventas OFD'!$AK:$AK,'Ventas OFD'!$B:$B,'Rev JR'!$A86,'Ventas OFD'!$W:$W,"&gt;="&amp;'Rev JR'!K$1,'Ventas OFD'!$W:$W,"&lt;="&amp;EOMONTH('Rev JR'!K$1,0))</f>
        <v>0</v>
      </c>
      <c r="L86" s="523">
        <f>+SUMIFS('Ventas OFD'!$AK:$AK,'Ventas OFD'!$B:$B,'Rev JR'!$A86,'Ventas OFD'!$W:$W,"&gt;="&amp;'Rev JR'!L$1,'Ventas OFD'!$W:$W,"&lt;="&amp;EOMONTH('Rev JR'!L$1,0))</f>
        <v>0</v>
      </c>
      <c r="M86" s="523">
        <f>+SUMIFS('Ventas OFD'!$AK:$AK,'Ventas OFD'!$B:$B,'Rev JR'!$A86,'Ventas OFD'!$W:$W,"&gt;="&amp;'Rev JR'!M$1,'Ventas OFD'!$W:$W,"&lt;="&amp;EOMONTH('Rev JR'!M$1,0))</f>
        <v>0</v>
      </c>
      <c r="N86" s="523">
        <f>+SUMIFS('Ventas OFD'!$AK:$AK,'Ventas OFD'!$B:$B,'Rev JR'!$A86,'Ventas OFD'!$W:$W,"&gt;="&amp;'Rev JR'!N$1,'Ventas OFD'!$W:$W,"&lt;="&amp;EOMONTH('Rev JR'!N$1,0))</f>
        <v>0</v>
      </c>
      <c r="O86" s="523">
        <f t="shared" si="15"/>
        <v>0</v>
      </c>
    </row>
    <row r="87" spans="1:15">
      <c r="A87" s="622" t="str">
        <f t="shared" si="16"/>
        <v>G</v>
      </c>
      <c r="B87" s="519" t="str">
        <f t="shared" si="17"/>
        <v xml:space="preserve">        CG OFD - G</v>
      </c>
      <c r="C87" s="523">
        <f>+SUMIFS('Ventas OFD'!$AK:$AK,'Ventas OFD'!$B:$B,'Rev JR'!$A87,'Ventas OFD'!$W:$W,"&gt;="&amp;'Rev JR'!C$1,'Ventas OFD'!$W:$W,"&lt;="&amp;EOMONTH('Rev JR'!C$1,0))</f>
        <v>0</v>
      </c>
      <c r="D87" s="523">
        <f>+SUMIFS('Ventas OFD'!$AK:$AK,'Ventas OFD'!$B:$B,'Rev JR'!$A87,'Ventas OFD'!$W:$W,"&gt;="&amp;'Rev JR'!D$1,'Ventas OFD'!$W:$W,"&lt;="&amp;EOMONTH('Rev JR'!D$1,0))</f>
        <v>0</v>
      </c>
      <c r="E87" s="523">
        <f>+SUMIFS('Ventas OFD'!$AK:$AK,'Ventas OFD'!$B:$B,'Rev JR'!$A87,'Ventas OFD'!$W:$W,"&gt;="&amp;'Rev JR'!E$1,'Ventas OFD'!$W:$W,"&lt;="&amp;EOMONTH('Rev JR'!E$1,0))</f>
        <v>0</v>
      </c>
      <c r="F87" s="523">
        <f>+SUMIFS('Ventas OFD'!$AK:$AK,'Ventas OFD'!$B:$B,'Rev JR'!$A87,'Ventas OFD'!$W:$W,"&gt;="&amp;'Rev JR'!F$1,'Ventas OFD'!$W:$W,"&lt;="&amp;EOMONTH('Rev JR'!F$1,0))</f>
        <v>0</v>
      </c>
      <c r="G87" s="523">
        <f>+SUMIFS('Ventas OFD'!$AK:$AK,'Ventas OFD'!$B:$B,'Rev JR'!$A87,'Ventas OFD'!$W:$W,"&gt;="&amp;'Rev JR'!G$1,'Ventas OFD'!$W:$W,"&lt;="&amp;EOMONTH('Rev JR'!G$1,0))</f>
        <v>0</v>
      </c>
      <c r="H87" s="523">
        <f>+SUMIFS('Ventas OFD'!$AK:$AK,'Ventas OFD'!$B:$B,'Rev JR'!$A87,'Ventas OFD'!$W:$W,"&gt;="&amp;'Rev JR'!H$1,'Ventas OFD'!$W:$W,"&lt;="&amp;EOMONTH('Rev JR'!H$1,0))</f>
        <v>0</v>
      </c>
      <c r="I87" s="523">
        <f>+SUMIFS('Ventas OFD'!$AK:$AK,'Ventas OFD'!$B:$B,'Rev JR'!$A87,'Ventas OFD'!$W:$W,"&gt;="&amp;'Rev JR'!I$1,'Ventas OFD'!$W:$W,"&lt;="&amp;EOMONTH('Rev JR'!I$1,0))</f>
        <v>0</v>
      </c>
      <c r="J87" s="523">
        <f>+SUMIFS('Ventas OFD'!$AK:$AK,'Ventas OFD'!$B:$B,'Rev JR'!$A87,'Ventas OFD'!$W:$W,"&gt;="&amp;'Rev JR'!J$1,'Ventas OFD'!$W:$W,"&lt;="&amp;EOMONTH('Rev JR'!J$1,0))</f>
        <v>0</v>
      </c>
      <c r="K87" s="523">
        <f>+SUMIFS('Ventas OFD'!$AK:$AK,'Ventas OFD'!$B:$B,'Rev JR'!$A87,'Ventas OFD'!$W:$W,"&gt;="&amp;'Rev JR'!K$1,'Ventas OFD'!$W:$W,"&lt;="&amp;EOMONTH('Rev JR'!K$1,0))</f>
        <v>0</v>
      </c>
      <c r="L87" s="523">
        <f>+SUMIFS('Ventas OFD'!$AK:$AK,'Ventas OFD'!$B:$B,'Rev JR'!$A87,'Ventas OFD'!$W:$W,"&gt;="&amp;'Rev JR'!L$1,'Ventas OFD'!$W:$W,"&lt;="&amp;EOMONTH('Rev JR'!L$1,0))</f>
        <v>0</v>
      </c>
      <c r="M87" s="523">
        <f>+SUMIFS('Ventas OFD'!$AK:$AK,'Ventas OFD'!$B:$B,'Rev JR'!$A87,'Ventas OFD'!$W:$W,"&gt;="&amp;'Rev JR'!M$1,'Ventas OFD'!$W:$W,"&lt;="&amp;EOMONTH('Rev JR'!M$1,0))</f>
        <v>0</v>
      </c>
      <c r="N87" s="523">
        <f>+SUMIFS('Ventas OFD'!$AK:$AK,'Ventas OFD'!$B:$B,'Rev JR'!$A87,'Ventas OFD'!$W:$W,"&gt;="&amp;'Rev JR'!N$1,'Ventas OFD'!$W:$W,"&lt;="&amp;EOMONTH('Rev JR'!N$1,0))</f>
        <v>0</v>
      </c>
      <c r="O87" s="523">
        <f t="shared" si="15"/>
        <v>0</v>
      </c>
    </row>
    <row r="88" spans="1:15">
      <c r="A88" s="622" t="str">
        <f t="shared" si="16"/>
        <v>H</v>
      </c>
      <c r="B88" s="519" t="str">
        <f t="shared" si="17"/>
        <v xml:space="preserve">        CG OFD - H</v>
      </c>
      <c r="C88" s="523">
        <f>+SUMIFS('Ventas OFD'!$AK:$AK,'Ventas OFD'!$B:$B,'Rev JR'!$A88,'Ventas OFD'!$W:$W,"&gt;="&amp;'Rev JR'!C$1,'Ventas OFD'!$W:$W,"&lt;="&amp;EOMONTH('Rev JR'!C$1,0))</f>
        <v>0</v>
      </c>
      <c r="D88" s="523">
        <f>+SUMIFS('Ventas OFD'!$AK:$AK,'Ventas OFD'!$B:$B,'Rev JR'!$A88,'Ventas OFD'!$W:$W,"&gt;="&amp;'Rev JR'!D$1,'Ventas OFD'!$W:$W,"&lt;="&amp;EOMONTH('Rev JR'!D$1,0))</f>
        <v>0</v>
      </c>
      <c r="E88" s="523">
        <f>+SUMIFS('Ventas OFD'!$AK:$AK,'Ventas OFD'!$B:$B,'Rev JR'!$A88,'Ventas OFD'!$W:$W,"&gt;="&amp;'Rev JR'!E$1,'Ventas OFD'!$W:$W,"&lt;="&amp;EOMONTH('Rev JR'!E$1,0))</f>
        <v>0</v>
      </c>
      <c r="F88" s="523">
        <f>+SUMIFS('Ventas OFD'!$AK:$AK,'Ventas OFD'!$B:$B,'Rev JR'!$A88,'Ventas OFD'!$W:$W,"&gt;="&amp;'Rev JR'!F$1,'Ventas OFD'!$W:$W,"&lt;="&amp;EOMONTH('Rev JR'!F$1,0))</f>
        <v>0</v>
      </c>
      <c r="G88" s="523">
        <f>+SUMIFS('Ventas OFD'!$AK:$AK,'Ventas OFD'!$B:$B,'Rev JR'!$A88,'Ventas OFD'!$W:$W,"&gt;="&amp;'Rev JR'!G$1,'Ventas OFD'!$W:$W,"&lt;="&amp;EOMONTH('Rev JR'!G$1,0))</f>
        <v>0</v>
      </c>
      <c r="H88" s="523">
        <f>+SUMIFS('Ventas OFD'!$AK:$AK,'Ventas OFD'!$B:$B,'Rev JR'!$A88,'Ventas OFD'!$W:$W,"&gt;="&amp;'Rev JR'!H$1,'Ventas OFD'!$W:$W,"&lt;="&amp;EOMONTH('Rev JR'!H$1,0))</f>
        <v>0</v>
      </c>
      <c r="I88" s="523">
        <f>+SUMIFS('Ventas OFD'!$AK:$AK,'Ventas OFD'!$B:$B,'Rev JR'!$A88,'Ventas OFD'!$W:$W,"&gt;="&amp;'Rev JR'!I$1,'Ventas OFD'!$W:$W,"&lt;="&amp;EOMONTH('Rev JR'!I$1,0))</f>
        <v>0</v>
      </c>
      <c r="J88" s="523">
        <f>+SUMIFS('Ventas OFD'!$AK:$AK,'Ventas OFD'!$B:$B,'Rev JR'!$A88,'Ventas OFD'!$W:$W,"&gt;="&amp;'Rev JR'!J$1,'Ventas OFD'!$W:$W,"&lt;="&amp;EOMONTH('Rev JR'!J$1,0))</f>
        <v>0</v>
      </c>
      <c r="K88" s="523">
        <f>+SUMIFS('Ventas OFD'!$AK:$AK,'Ventas OFD'!$B:$B,'Rev JR'!$A88,'Ventas OFD'!$W:$W,"&gt;="&amp;'Rev JR'!K$1,'Ventas OFD'!$W:$W,"&lt;="&amp;EOMONTH('Rev JR'!K$1,0))</f>
        <v>0</v>
      </c>
      <c r="L88" s="523">
        <f>+SUMIFS('Ventas OFD'!$AK:$AK,'Ventas OFD'!$B:$B,'Rev JR'!$A88,'Ventas OFD'!$W:$W,"&gt;="&amp;'Rev JR'!L$1,'Ventas OFD'!$W:$W,"&lt;="&amp;EOMONTH('Rev JR'!L$1,0))</f>
        <v>0</v>
      </c>
      <c r="M88" s="523">
        <f>+SUMIFS('Ventas OFD'!$AK:$AK,'Ventas OFD'!$B:$B,'Rev JR'!$A88,'Ventas OFD'!$W:$W,"&gt;="&amp;'Rev JR'!M$1,'Ventas OFD'!$W:$W,"&lt;="&amp;EOMONTH('Rev JR'!M$1,0))</f>
        <v>0</v>
      </c>
      <c r="N88" s="523">
        <f>+SUMIFS('Ventas OFD'!$AK:$AK,'Ventas OFD'!$B:$B,'Rev JR'!$A88,'Ventas OFD'!$W:$W,"&gt;="&amp;'Rev JR'!N$1,'Ventas OFD'!$W:$W,"&lt;="&amp;EOMONTH('Rev JR'!N$1,0))</f>
        <v>0</v>
      </c>
      <c r="O88" s="523">
        <f t="shared" si="15"/>
        <v>0</v>
      </c>
    </row>
    <row r="89" spans="1:15">
      <c r="A89" s="622" t="str">
        <f t="shared" si="16"/>
        <v>I</v>
      </c>
      <c r="B89" s="519" t="str">
        <f t="shared" si="17"/>
        <v xml:space="preserve">        CG OFD - I</v>
      </c>
      <c r="C89" s="523">
        <f>+SUMIFS('Ventas OFD'!$AK:$AK,'Ventas OFD'!$B:$B,'Rev JR'!$A89,'Ventas OFD'!$W:$W,"&gt;="&amp;'Rev JR'!C$1,'Ventas OFD'!$W:$W,"&lt;="&amp;EOMONTH('Rev JR'!C$1,0))</f>
        <v>0</v>
      </c>
      <c r="D89" s="523">
        <f>+SUMIFS('Ventas OFD'!$AK:$AK,'Ventas OFD'!$B:$B,'Rev JR'!$A89,'Ventas OFD'!$W:$W,"&gt;="&amp;'Rev JR'!D$1,'Ventas OFD'!$W:$W,"&lt;="&amp;EOMONTH('Rev JR'!D$1,0))</f>
        <v>0</v>
      </c>
      <c r="E89" s="523">
        <f>+SUMIFS('Ventas OFD'!$AK:$AK,'Ventas OFD'!$B:$B,'Rev JR'!$A89,'Ventas OFD'!$W:$W,"&gt;="&amp;'Rev JR'!E$1,'Ventas OFD'!$W:$W,"&lt;="&amp;EOMONTH('Rev JR'!E$1,0))</f>
        <v>0</v>
      </c>
      <c r="F89" s="523">
        <f>+SUMIFS('Ventas OFD'!$AK:$AK,'Ventas OFD'!$B:$B,'Rev JR'!$A89,'Ventas OFD'!$W:$W,"&gt;="&amp;'Rev JR'!F$1,'Ventas OFD'!$W:$W,"&lt;="&amp;EOMONTH('Rev JR'!F$1,0))</f>
        <v>0</v>
      </c>
      <c r="G89" s="523">
        <f>+SUMIFS('Ventas OFD'!$AK:$AK,'Ventas OFD'!$B:$B,'Rev JR'!$A89,'Ventas OFD'!$W:$W,"&gt;="&amp;'Rev JR'!G$1,'Ventas OFD'!$W:$W,"&lt;="&amp;EOMONTH('Rev JR'!G$1,0))</f>
        <v>0</v>
      </c>
      <c r="H89" s="523">
        <f>+SUMIFS('Ventas OFD'!$AK:$AK,'Ventas OFD'!$B:$B,'Rev JR'!$A89,'Ventas OFD'!$W:$W,"&gt;="&amp;'Rev JR'!H$1,'Ventas OFD'!$W:$W,"&lt;="&amp;EOMONTH('Rev JR'!H$1,0))</f>
        <v>0</v>
      </c>
      <c r="I89" s="523">
        <f>+SUMIFS('Ventas OFD'!$AK:$AK,'Ventas OFD'!$B:$B,'Rev JR'!$A89,'Ventas OFD'!$W:$W,"&gt;="&amp;'Rev JR'!I$1,'Ventas OFD'!$W:$W,"&lt;="&amp;EOMONTH('Rev JR'!I$1,0))</f>
        <v>0</v>
      </c>
      <c r="J89" s="523">
        <f>+SUMIFS('Ventas OFD'!$AK:$AK,'Ventas OFD'!$B:$B,'Rev JR'!$A89,'Ventas OFD'!$W:$W,"&gt;="&amp;'Rev JR'!J$1,'Ventas OFD'!$W:$W,"&lt;="&amp;EOMONTH('Rev JR'!J$1,0))</f>
        <v>0</v>
      </c>
      <c r="K89" s="523">
        <f>+SUMIFS('Ventas OFD'!$AK:$AK,'Ventas OFD'!$B:$B,'Rev JR'!$A89,'Ventas OFD'!$W:$W,"&gt;="&amp;'Rev JR'!K$1,'Ventas OFD'!$W:$W,"&lt;="&amp;EOMONTH('Rev JR'!K$1,0))</f>
        <v>0</v>
      </c>
      <c r="L89" s="523">
        <f>+SUMIFS('Ventas OFD'!$AK:$AK,'Ventas OFD'!$B:$B,'Rev JR'!$A89,'Ventas OFD'!$W:$W,"&gt;="&amp;'Rev JR'!L$1,'Ventas OFD'!$W:$W,"&lt;="&amp;EOMONTH('Rev JR'!L$1,0))</f>
        <v>0</v>
      </c>
      <c r="M89" s="523">
        <f>+SUMIFS('Ventas OFD'!$AK:$AK,'Ventas OFD'!$B:$B,'Rev JR'!$A89,'Ventas OFD'!$W:$W,"&gt;="&amp;'Rev JR'!M$1,'Ventas OFD'!$W:$W,"&lt;="&amp;EOMONTH('Rev JR'!M$1,0))</f>
        <v>0</v>
      </c>
      <c r="N89" s="523">
        <f>+SUMIFS('Ventas OFD'!$AK:$AK,'Ventas OFD'!$B:$B,'Rev JR'!$A89,'Ventas OFD'!$W:$W,"&gt;="&amp;'Rev JR'!N$1,'Ventas OFD'!$W:$W,"&lt;="&amp;EOMONTH('Rev JR'!N$1,0))</f>
        <v>0</v>
      </c>
      <c r="O89" s="523">
        <f t="shared" si="15"/>
        <v>0</v>
      </c>
    </row>
    <row r="90" spans="1:15">
      <c r="A90" s="622" t="str">
        <f t="shared" si="16"/>
        <v>J</v>
      </c>
      <c r="B90" s="519" t="str">
        <f t="shared" si="17"/>
        <v xml:space="preserve">        CG OFD - J</v>
      </c>
      <c r="C90" s="523">
        <f>+SUMIFS('Ventas OFD'!$AK:$AK,'Ventas OFD'!$B:$B,'Rev JR'!$A90,'Ventas OFD'!$W:$W,"&gt;="&amp;'Rev JR'!C$1,'Ventas OFD'!$W:$W,"&lt;="&amp;EOMONTH('Rev JR'!C$1,0))</f>
        <v>0</v>
      </c>
      <c r="D90" s="523">
        <f>+SUMIFS('Ventas OFD'!$AK:$AK,'Ventas OFD'!$B:$B,'Rev JR'!$A90,'Ventas OFD'!$W:$W,"&gt;="&amp;'Rev JR'!D$1,'Ventas OFD'!$W:$W,"&lt;="&amp;EOMONTH('Rev JR'!D$1,0))</f>
        <v>0</v>
      </c>
      <c r="E90" s="523">
        <f>+SUMIFS('Ventas OFD'!$AK:$AK,'Ventas OFD'!$B:$B,'Rev JR'!$A90,'Ventas OFD'!$W:$W,"&gt;="&amp;'Rev JR'!E$1,'Ventas OFD'!$W:$W,"&lt;="&amp;EOMONTH('Rev JR'!E$1,0))</f>
        <v>0</v>
      </c>
      <c r="F90" s="523">
        <f>+SUMIFS('Ventas OFD'!$AK:$AK,'Ventas OFD'!$B:$B,'Rev JR'!$A90,'Ventas OFD'!$W:$W,"&gt;="&amp;'Rev JR'!F$1,'Ventas OFD'!$W:$W,"&lt;="&amp;EOMONTH('Rev JR'!F$1,0))</f>
        <v>0</v>
      </c>
      <c r="G90" s="523">
        <f>+SUMIFS('Ventas OFD'!$AK:$AK,'Ventas OFD'!$B:$B,'Rev JR'!$A90,'Ventas OFD'!$W:$W,"&gt;="&amp;'Rev JR'!G$1,'Ventas OFD'!$W:$W,"&lt;="&amp;EOMONTH('Rev JR'!G$1,0))</f>
        <v>0</v>
      </c>
      <c r="H90" s="523">
        <f>+SUMIFS('Ventas OFD'!$AK:$AK,'Ventas OFD'!$B:$B,'Rev JR'!$A90,'Ventas OFD'!$W:$W,"&gt;="&amp;'Rev JR'!H$1,'Ventas OFD'!$W:$W,"&lt;="&amp;EOMONTH('Rev JR'!H$1,0))</f>
        <v>0</v>
      </c>
      <c r="I90" s="523">
        <f>+SUMIFS('Ventas OFD'!$AK:$AK,'Ventas OFD'!$B:$B,'Rev JR'!$A90,'Ventas OFD'!$W:$W,"&gt;="&amp;'Rev JR'!I$1,'Ventas OFD'!$W:$W,"&lt;="&amp;EOMONTH('Rev JR'!I$1,0))</f>
        <v>0</v>
      </c>
      <c r="J90" s="523">
        <f>+SUMIFS('Ventas OFD'!$AK:$AK,'Ventas OFD'!$B:$B,'Rev JR'!$A90,'Ventas OFD'!$W:$W,"&gt;="&amp;'Rev JR'!J$1,'Ventas OFD'!$W:$W,"&lt;="&amp;EOMONTH('Rev JR'!J$1,0))</f>
        <v>0</v>
      </c>
      <c r="K90" s="523">
        <f>+SUMIFS('Ventas OFD'!$AK:$AK,'Ventas OFD'!$B:$B,'Rev JR'!$A90,'Ventas OFD'!$W:$W,"&gt;="&amp;'Rev JR'!K$1,'Ventas OFD'!$W:$W,"&lt;="&amp;EOMONTH('Rev JR'!K$1,0))</f>
        <v>0</v>
      </c>
      <c r="L90" s="523">
        <f>+SUMIFS('Ventas OFD'!$AK:$AK,'Ventas OFD'!$B:$B,'Rev JR'!$A90,'Ventas OFD'!$W:$W,"&gt;="&amp;'Rev JR'!L$1,'Ventas OFD'!$W:$W,"&lt;="&amp;EOMONTH('Rev JR'!L$1,0))</f>
        <v>0</v>
      </c>
      <c r="M90" s="523">
        <f>+SUMIFS('Ventas OFD'!$AK:$AK,'Ventas OFD'!$B:$B,'Rev JR'!$A90,'Ventas OFD'!$W:$W,"&gt;="&amp;'Rev JR'!M$1,'Ventas OFD'!$W:$W,"&lt;="&amp;EOMONTH('Rev JR'!M$1,0))</f>
        <v>0</v>
      </c>
      <c r="N90" s="523">
        <f>+SUMIFS('Ventas OFD'!$AK:$AK,'Ventas OFD'!$B:$B,'Rev JR'!$A90,'Ventas OFD'!$W:$W,"&gt;="&amp;'Rev JR'!N$1,'Ventas OFD'!$W:$W,"&lt;="&amp;EOMONTH('Rev JR'!N$1,0))</f>
        <v>0</v>
      </c>
      <c r="O90" s="523">
        <f t="shared" si="15"/>
        <v>0</v>
      </c>
    </row>
    <row r="91" spans="1:15">
      <c r="A91" s="622" t="str">
        <f t="shared" si="16"/>
        <v>K</v>
      </c>
      <c r="B91" s="519" t="str">
        <f t="shared" si="17"/>
        <v xml:space="preserve">        CG OFD - K</v>
      </c>
      <c r="C91" s="523">
        <f>+SUMIFS('Ventas OFD'!$AK:$AK,'Ventas OFD'!$B:$B,'Rev JR'!$A91,'Ventas OFD'!$W:$W,"&gt;="&amp;'Rev JR'!C$1,'Ventas OFD'!$W:$W,"&lt;="&amp;EOMONTH('Rev JR'!C$1,0))</f>
        <v>0</v>
      </c>
      <c r="D91" s="523">
        <f>+SUMIFS('Ventas OFD'!$AK:$AK,'Ventas OFD'!$B:$B,'Rev JR'!$A91,'Ventas OFD'!$W:$W,"&gt;="&amp;'Rev JR'!D$1,'Ventas OFD'!$W:$W,"&lt;="&amp;EOMONTH('Rev JR'!D$1,0))</f>
        <v>0</v>
      </c>
      <c r="E91" s="523">
        <f>+SUMIFS('Ventas OFD'!$AK:$AK,'Ventas OFD'!$B:$B,'Rev JR'!$A91,'Ventas OFD'!$W:$W,"&gt;="&amp;'Rev JR'!E$1,'Ventas OFD'!$W:$W,"&lt;="&amp;EOMONTH('Rev JR'!E$1,0))</f>
        <v>0</v>
      </c>
      <c r="F91" s="523">
        <f>+SUMIFS('Ventas OFD'!$AK:$AK,'Ventas OFD'!$B:$B,'Rev JR'!$A91,'Ventas OFD'!$W:$W,"&gt;="&amp;'Rev JR'!F$1,'Ventas OFD'!$W:$W,"&lt;="&amp;EOMONTH('Rev JR'!F$1,0))</f>
        <v>0</v>
      </c>
      <c r="G91" s="523">
        <f>+SUMIFS('Ventas OFD'!$AK:$AK,'Ventas OFD'!$B:$B,'Rev JR'!$A91,'Ventas OFD'!$W:$W,"&gt;="&amp;'Rev JR'!G$1,'Ventas OFD'!$W:$W,"&lt;="&amp;EOMONTH('Rev JR'!G$1,0))</f>
        <v>0</v>
      </c>
      <c r="H91" s="523">
        <f>+SUMIFS('Ventas OFD'!$AK:$AK,'Ventas OFD'!$B:$B,'Rev JR'!$A91,'Ventas OFD'!$W:$W,"&gt;="&amp;'Rev JR'!H$1,'Ventas OFD'!$W:$W,"&lt;="&amp;EOMONTH('Rev JR'!H$1,0))</f>
        <v>0</v>
      </c>
      <c r="I91" s="523">
        <f>+SUMIFS('Ventas OFD'!$AK:$AK,'Ventas OFD'!$B:$B,'Rev JR'!$A91,'Ventas OFD'!$W:$W,"&gt;="&amp;'Rev JR'!I$1,'Ventas OFD'!$W:$W,"&lt;="&amp;EOMONTH('Rev JR'!I$1,0))</f>
        <v>0</v>
      </c>
      <c r="J91" s="523">
        <f>+SUMIFS('Ventas OFD'!$AK:$AK,'Ventas OFD'!$B:$B,'Rev JR'!$A91,'Ventas OFD'!$W:$W,"&gt;="&amp;'Rev JR'!J$1,'Ventas OFD'!$W:$W,"&lt;="&amp;EOMONTH('Rev JR'!J$1,0))</f>
        <v>0</v>
      </c>
      <c r="K91" s="523">
        <f>+SUMIFS('Ventas OFD'!$AK:$AK,'Ventas OFD'!$B:$B,'Rev JR'!$A91,'Ventas OFD'!$W:$W,"&gt;="&amp;'Rev JR'!K$1,'Ventas OFD'!$W:$W,"&lt;="&amp;EOMONTH('Rev JR'!K$1,0))</f>
        <v>0</v>
      </c>
      <c r="L91" s="523">
        <f>+SUMIFS('Ventas OFD'!$AK:$AK,'Ventas OFD'!$B:$B,'Rev JR'!$A91,'Ventas OFD'!$W:$W,"&gt;="&amp;'Rev JR'!L$1,'Ventas OFD'!$W:$W,"&lt;="&amp;EOMONTH('Rev JR'!L$1,0))</f>
        <v>0</v>
      </c>
      <c r="M91" s="523">
        <f>+SUMIFS('Ventas OFD'!$AK:$AK,'Ventas OFD'!$B:$B,'Rev JR'!$A91,'Ventas OFD'!$W:$W,"&gt;="&amp;'Rev JR'!M$1,'Ventas OFD'!$W:$W,"&lt;="&amp;EOMONTH('Rev JR'!M$1,0))</f>
        <v>0</v>
      </c>
      <c r="N91" s="523">
        <f>+SUMIFS('Ventas OFD'!$AK:$AK,'Ventas OFD'!$B:$B,'Rev JR'!$A91,'Ventas OFD'!$W:$W,"&gt;="&amp;'Rev JR'!N$1,'Ventas OFD'!$W:$W,"&lt;="&amp;EOMONTH('Rev JR'!N$1,0))</f>
        <v>0</v>
      </c>
      <c r="O91" s="523">
        <f t="shared" si="15"/>
        <v>0</v>
      </c>
    </row>
    <row r="92" spans="1:15">
      <c r="A92" s="622" t="str">
        <f t="shared" si="16"/>
        <v>L</v>
      </c>
      <c r="B92" s="519" t="str">
        <f t="shared" si="17"/>
        <v xml:space="preserve">        CG OFD - L</v>
      </c>
      <c r="C92" s="523">
        <f>+SUMIFS('Ventas OFD'!$AK:$AK,'Ventas OFD'!$B:$B,'Rev JR'!$A92,'Ventas OFD'!$W:$W,"&gt;="&amp;'Rev JR'!C$1,'Ventas OFD'!$W:$W,"&lt;="&amp;EOMONTH('Rev JR'!C$1,0))</f>
        <v>0</v>
      </c>
      <c r="D92" s="523">
        <f>+SUMIFS('Ventas OFD'!$AK:$AK,'Ventas OFD'!$B:$B,'Rev JR'!$A92,'Ventas OFD'!$W:$W,"&gt;="&amp;'Rev JR'!D$1,'Ventas OFD'!$W:$W,"&lt;="&amp;EOMONTH('Rev JR'!D$1,0))</f>
        <v>0</v>
      </c>
      <c r="E92" s="523">
        <f>+SUMIFS('Ventas OFD'!$AK:$AK,'Ventas OFD'!$B:$B,'Rev JR'!$A92,'Ventas OFD'!$W:$W,"&gt;="&amp;'Rev JR'!E$1,'Ventas OFD'!$W:$W,"&lt;="&amp;EOMONTH('Rev JR'!E$1,0))</f>
        <v>0</v>
      </c>
      <c r="F92" s="523">
        <f>+SUMIFS('Ventas OFD'!$AK:$AK,'Ventas OFD'!$B:$B,'Rev JR'!$A92,'Ventas OFD'!$W:$W,"&gt;="&amp;'Rev JR'!F$1,'Ventas OFD'!$W:$W,"&lt;="&amp;EOMONTH('Rev JR'!F$1,0))</f>
        <v>0</v>
      </c>
      <c r="G92" s="523">
        <f>+SUMIFS('Ventas OFD'!$AK:$AK,'Ventas OFD'!$B:$B,'Rev JR'!$A92,'Ventas OFD'!$W:$W,"&gt;="&amp;'Rev JR'!G$1,'Ventas OFD'!$W:$W,"&lt;="&amp;EOMONTH('Rev JR'!G$1,0))</f>
        <v>0</v>
      </c>
      <c r="H92" s="523">
        <f>+SUMIFS('Ventas OFD'!$AK:$AK,'Ventas OFD'!$B:$B,'Rev JR'!$A92,'Ventas OFD'!$W:$W,"&gt;="&amp;'Rev JR'!H$1,'Ventas OFD'!$W:$W,"&lt;="&amp;EOMONTH('Rev JR'!H$1,0))</f>
        <v>0</v>
      </c>
      <c r="I92" s="523">
        <f>+SUMIFS('Ventas OFD'!$AK:$AK,'Ventas OFD'!$B:$B,'Rev JR'!$A92,'Ventas OFD'!$W:$W,"&gt;="&amp;'Rev JR'!I$1,'Ventas OFD'!$W:$W,"&lt;="&amp;EOMONTH('Rev JR'!I$1,0))</f>
        <v>0</v>
      </c>
      <c r="J92" s="523">
        <f>+SUMIFS('Ventas OFD'!$AK:$AK,'Ventas OFD'!$B:$B,'Rev JR'!$A92,'Ventas OFD'!$W:$W,"&gt;="&amp;'Rev JR'!J$1,'Ventas OFD'!$W:$W,"&lt;="&amp;EOMONTH('Rev JR'!J$1,0))</f>
        <v>0</v>
      </c>
      <c r="K92" s="523">
        <f>+SUMIFS('Ventas OFD'!$AK:$AK,'Ventas OFD'!$B:$B,'Rev JR'!$A92,'Ventas OFD'!$W:$W,"&gt;="&amp;'Rev JR'!K$1,'Ventas OFD'!$W:$W,"&lt;="&amp;EOMONTH('Rev JR'!K$1,0))</f>
        <v>0</v>
      </c>
      <c r="L92" s="523">
        <f>+SUMIFS('Ventas OFD'!$AK:$AK,'Ventas OFD'!$B:$B,'Rev JR'!$A92,'Ventas OFD'!$W:$W,"&gt;="&amp;'Rev JR'!L$1,'Ventas OFD'!$W:$W,"&lt;="&amp;EOMONTH('Rev JR'!L$1,0))</f>
        <v>0</v>
      </c>
      <c r="M92" s="523">
        <f>+SUMIFS('Ventas OFD'!$AK:$AK,'Ventas OFD'!$B:$B,'Rev JR'!$A92,'Ventas OFD'!$W:$W,"&gt;="&amp;'Rev JR'!M$1,'Ventas OFD'!$W:$W,"&lt;="&amp;EOMONTH('Rev JR'!M$1,0))</f>
        <v>0</v>
      </c>
      <c r="N92" s="523">
        <f>+SUMIFS('Ventas OFD'!$AK:$AK,'Ventas OFD'!$B:$B,'Rev JR'!$A92,'Ventas OFD'!$W:$W,"&gt;="&amp;'Rev JR'!N$1,'Ventas OFD'!$W:$W,"&lt;="&amp;EOMONTH('Rev JR'!N$1,0))</f>
        <v>0</v>
      </c>
      <c r="O92" s="523">
        <f t="shared" si="15"/>
        <v>0</v>
      </c>
    </row>
    <row r="93" spans="1:15">
      <c r="A93" s="622" t="str">
        <f t="shared" si="16"/>
        <v>M</v>
      </c>
      <c r="B93" s="519" t="str">
        <f t="shared" si="17"/>
        <v xml:space="preserve">        CG OFD - M</v>
      </c>
      <c r="C93" s="523">
        <f>+SUMIFS('Ventas OFD'!$AK:$AK,'Ventas OFD'!$B:$B,'Rev JR'!$A93,'Ventas OFD'!$W:$W,"&gt;="&amp;'Rev JR'!C$1,'Ventas OFD'!$W:$W,"&lt;="&amp;EOMONTH('Rev JR'!C$1,0))</f>
        <v>0</v>
      </c>
      <c r="D93" s="523">
        <f>+SUMIFS('Ventas OFD'!$AK:$AK,'Ventas OFD'!$B:$B,'Rev JR'!$A93,'Ventas OFD'!$W:$W,"&gt;="&amp;'Rev JR'!D$1,'Ventas OFD'!$W:$W,"&lt;="&amp;EOMONTH('Rev JR'!D$1,0))</f>
        <v>0</v>
      </c>
      <c r="E93" s="523">
        <f>+SUMIFS('Ventas OFD'!$AK:$AK,'Ventas OFD'!$B:$B,'Rev JR'!$A93,'Ventas OFD'!$W:$W,"&gt;="&amp;'Rev JR'!E$1,'Ventas OFD'!$W:$W,"&lt;="&amp;EOMONTH('Rev JR'!E$1,0))</f>
        <v>0</v>
      </c>
      <c r="F93" s="523">
        <f>+SUMIFS('Ventas OFD'!$AK:$AK,'Ventas OFD'!$B:$B,'Rev JR'!$A93,'Ventas OFD'!$W:$W,"&gt;="&amp;'Rev JR'!F$1,'Ventas OFD'!$W:$W,"&lt;="&amp;EOMONTH('Rev JR'!F$1,0))</f>
        <v>0</v>
      </c>
      <c r="G93" s="523">
        <f>+SUMIFS('Ventas OFD'!$AK:$AK,'Ventas OFD'!$B:$B,'Rev JR'!$A93,'Ventas OFD'!$W:$W,"&gt;="&amp;'Rev JR'!G$1,'Ventas OFD'!$W:$W,"&lt;="&amp;EOMONTH('Rev JR'!G$1,0))</f>
        <v>0</v>
      </c>
      <c r="H93" s="523">
        <f>+SUMIFS('Ventas OFD'!$AK:$AK,'Ventas OFD'!$B:$B,'Rev JR'!$A93,'Ventas OFD'!$W:$W,"&gt;="&amp;'Rev JR'!H$1,'Ventas OFD'!$W:$W,"&lt;="&amp;EOMONTH('Rev JR'!H$1,0))</f>
        <v>0</v>
      </c>
      <c r="I93" s="523">
        <f>+SUMIFS('Ventas OFD'!$AK:$AK,'Ventas OFD'!$B:$B,'Rev JR'!$A93,'Ventas OFD'!$W:$W,"&gt;="&amp;'Rev JR'!I$1,'Ventas OFD'!$W:$W,"&lt;="&amp;EOMONTH('Rev JR'!I$1,0))</f>
        <v>0</v>
      </c>
      <c r="J93" s="523">
        <f>+SUMIFS('Ventas OFD'!$AK:$AK,'Ventas OFD'!$B:$B,'Rev JR'!$A93,'Ventas OFD'!$W:$W,"&gt;="&amp;'Rev JR'!J$1,'Ventas OFD'!$W:$W,"&lt;="&amp;EOMONTH('Rev JR'!J$1,0))</f>
        <v>0</v>
      </c>
      <c r="K93" s="523">
        <f>+SUMIFS('Ventas OFD'!$AK:$AK,'Ventas OFD'!$B:$B,'Rev JR'!$A93,'Ventas OFD'!$W:$W,"&gt;="&amp;'Rev JR'!K$1,'Ventas OFD'!$W:$W,"&lt;="&amp;EOMONTH('Rev JR'!K$1,0))</f>
        <v>0</v>
      </c>
      <c r="L93" s="523">
        <f>+SUMIFS('Ventas OFD'!$AK:$AK,'Ventas OFD'!$B:$B,'Rev JR'!$A93,'Ventas OFD'!$W:$W,"&gt;="&amp;'Rev JR'!L$1,'Ventas OFD'!$W:$W,"&lt;="&amp;EOMONTH('Rev JR'!L$1,0))</f>
        <v>0</v>
      </c>
      <c r="M93" s="523">
        <f>+SUMIFS('Ventas OFD'!$AK:$AK,'Ventas OFD'!$B:$B,'Rev JR'!$A93,'Ventas OFD'!$W:$W,"&gt;="&amp;'Rev JR'!M$1,'Ventas OFD'!$W:$W,"&lt;="&amp;EOMONTH('Rev JR'!M$1,0))</f>
        <v>0</v>
      </c>
      <c r="N93" s="523">
        <f>+SUMIFS('Ventas OFD'!$AK:$AK,'Ventas OFD'!$B:$B,'Rev JR'!$A93,'Ventas OFD'!$W:$W,"&gt;="&amp;'Rev JR'!N$1,'Ventas OFD'!$W:$W,"&lt;="&amp;EOMONTH('Rev JR'!N$1,0))</f>
        <v>0</v>
      </c>
      <c r="O93" s="523">
        <f t="shared" si="15"/>
        <v>0</v>
      </c>
    </row>
    <row r="94" spans="1:15">
      <c r="A94" s="622" t="str">
        <f t="shared" si="16"/>
        <v>N</v>
      </c>
      <c r="B94" s="519" t="str">
        <f t="shared" si="17"/>
        <v xml:space="preserve">        CG OFD - N</v>
      </c>
      <c r="C94" s="523">
        <f>+SUMIFS('Ventas OFD'!$AK:$AK,'Ventas OFD'!$B:$B,'Rev JR'!$A94,'Ventas OFD'!$W:$W,"&gt;="&amp;'Rev JR'!C$1,'Ventas OFD'!$W:$W,"&lt;="&amp;EOMONTH('Rev JR'!C$1,0))</f>
        <v>0</v>
      </c>
      <c r="D94" s="523">
        <f>+SUMIFS('Ventas OFD'!$AK:$AK,'Ventas OFD'!$B:$B,'Rev JR'!$A94,'Ventas OFD'!$W:$W,"&gt;="&amp;'Rev JR'!D$1,'Ventas OFD'!$W:$W,"&lt;="&amp;EOMONTH('Rev JR'!D$1,0))</f>
        <v>0</v>
      </c>
      <c r="E94" s="523">
        <f>+SUMIFS('Ventas OFD'!$AK:$AK,'Ventas OFD'!$B:$B,'Rev JR'!$A94,'Ventas OFD'!$W:$W,"&gt;="&amp;'Rev JR'!E$1,'Ventas OFD'!$W:$W,"&lt;="&amp;EOMONTH('Rev JR'!E$1,0))</f>
        <v>0</v>
      </c>
      <c r="F94" s="523">
        <f>+SUMIFS('Ventas OFD'!$AK:$AK,'Ventas OFD'!$B:$B,'Rev JR'!$A94,'Ventas OFD'!$W:$W,"&gt;="&amp;'Rev JR'!F$1,'Ventas OFD'!$W:$W,"&lt;="&amp;EOMONTH('Rev JR'!F$1,0))</f>
        <v>0</v>
      </c>
      <c r="G94" s="523">
        <f>+SUMIFS('Ventas OFD'!$AK:$AK,'Ventas OFD'!$B:$B,'Rev JR'!$A94,'Ventas OFD'!$W:$W,"&gt;="&amp;'Rev JR'!G$1,'Ventas OFD'!$W:$W,"&lt;="&amp;EOMONTH('Rev JR'!G$1,0))</f>
        <v>0</v>
      </c>
      <c r="H94" s="523">
        <f>+SUMIFS('Ventas OFD'!$AK:$AK,'Ventas OFD'!$B:$B,'Rev JR'!$A94,'Ventas OFD'!$W:$W,"&gt;="&amp;'Rev JR'!H$1,'Ventas OFD'!$W:$W,"&lt;="&amp;EOMONTH('Rev JR'!H$1,0))</f>
        <v>0</v>
      </c>
      <c r="I94" s="523">
        <f>+SUMIFS('Ventas OFD'!$AK:$AK,'Ventas OFD'!$B:$B,'Rev JR'!$A94,'Ventas OFD'!$W:$W,"&gt;="&amp;'Rev JR'!I$1,'Ventas OFD'!$W:$W,"&lt;="&amp;EOMONTH('Rev JR'!I$1,0))</f>
        <v>0</v>
      </c>
      <c r="J94" s="523">
        <f>+SUMIFS('Ventas OFD'!$AK:$AK,'Ventas OFD'!$B:$B,'Rev JR'!$A94,'Ventas OFD'!$W:$W,"&gt;="&amp;'Rev JR'!J$1,'Ventas OFD'!$W:$W,"&lt;="&amp;EOMONTH('Rev JR'!J$1,0))</f>
        <v>0</v>
      </c>
      <c r="K94" s="523">
        <f>+SUMIFS('Ventas OFD'!$AK:$AK,'Ventas OFD'!$B:$B,'Rev JR'!$A94,'Ventas OFD'!$W:$W,"&gt;="&amp;'Rev JR'!K$1,'Ventas OFD'!$W:$W,"&lt;="&amp;EOMONTH('Rev JR'!K$1,0))</f>
        <v>0</v>
      </c>
      <c r="L94" s="523">
        <f>+SUMIFS('Ventas OFD'!$AK:$AK,'Ventas OFD'!$B:$B,'Rev JR'!$A94,'Ventas OFD'!$W:$W,"&gt;="&amp;'Rev JR'!L$1,'Ventas OFD'!$W:$W,"&lt;="&amp;EOMONTH('Rev JR'!L$1,0))</f>
        <v>0</v>
      </c>
      <c r="M94" s="523">
        <f>+SUMIFS('Ventas OFD'!$AK:$AK,'Ventas OFD'!$B:$B,'Rev JR'!$A94,'Ventas OFD'!$W:$W,"&gt;="&amp;'Rev JR'!M$1,'Ventas OFD'!$W:$W,"&lt;="&amp;EOMONTH('Rev JR'!M$1,0))</f>
        <v>0</v>
      </c>
      <c r="N94" s="523">
        <f>+SUMIFS('Ventas OFD'!$AK:$AK,'Ventas OFD'!$B:$B,'Rev JR'!$A94,'Ventas OFD'!$W:$W,"&gt;="&amp;'Rev JR'!N$1,'Ventas OFD'!$W:$W,"&lt;="&amp;EOMONTH('Rev JR'!N$1,0))</f>
        <v>0</v>
      </c>
      <c r="O94" s="523">
        <f t="shared" si="15"/>
        <v>0</v>
      </c>
    </row>
    <row r="95" spans="1:15">
      <c r="A95" s="622" t="str">
        <f t="shared" si="16"/>
        <v>O</v>
      </c>
      <c r="B95" s="519" t="str">
        <f t="shared" si="17"/>
        <v xml:space="preserve">        CG OFD - O</v>
      </c>
      <c r="C95" s="523">
        <f>+SUMIFS('Ventas OFD'!$AK:$AK,'Ventas OFD'!$B:$B,'Rev JR'!$A95,'Ventas OFD'!$W:$W,"&gt;="&amp;'Rev JR'!C$1,'Ventas OFD'!$W:$W,"&lt;="&amp;EOMONTH('Rev JR'!C$1,0))</f>
        <v>0</v>
      </c>
      <c r="D95" s="523">
        <f>+SUMIFS('Ventas OFD'!$AK:$AK,'Ventas OFD'!$B:$B,'Rev JR'!$A95,'Ventas OFD'!$W:$W,"&gt;="&amp;'Rev JR'!D$1,'Ventas OFD'!$W:$W,"&lt;="&amp;EOMONTH('Rev JR'!D$1,0))</f>
        <v>0</v>
      </c>
      <c r="E95" s="523">
        <f>+SUMIFS('Ventas OFD'!$AK:$AK,'Ventas OFD'!$B:$B,'Rev JR'!$A95,'Ventas OFD'!$W:$W,"&gt;="&amp;'Rev JR'!E$1,'Ventas OFD'!$W:$W,"&lt;="&amp;EOMONTH('Rev JR'!E$1,0))</f>
        <v>0</v>
      </c>
      <c r="F95" s="523">
        <f>+SUMIFS('Ventas OFD'!$AK:$AK,'Ventas OFD'!$B:$B,'Rev JR'!$A95,'Ventas OFD'!$W:$W,"&gt;="&amp;'Rev JR'!F$1,'Ventas OFD'!$W:$W,"&lt;="&amp;EOMONTH('Rev JR'!F$1,0))</f>
        <v>0</v>
      </c>
      <c r="G95" s="523">
        <f>+SUMIFS('Ventas OFD'!$AK:$AK,'Ventas OFD'!$B:$B,'Rev JR'!$A95,'Ventas OFD'!$W:$W,"&gt;="&amp;'Rev JR'!G$1,'Ventas OFD'!$W:$W,"&lt;="&amp;EOMONTH('Rev JR'!G$1,0))</f>
        <v>0</v>
      </c>
      <c r="H95" s="523">
        <f>+SUMIFS('Ventas OFD'!$AK:$AK,'Ventas OFD'!$B:$B,'Rev JR'!$A95,'Ventas OFD'!$W:$W,"&gt;="&amp;'Rev JR'!H$1,'Ventas OFD'!$W:$W,"&lt;="&amp;EOMONTH('Rev JR'!H$1,0))</f>
        <v>0</v>
      </c>
      <c r="I95" s="523">
        <f>+SUMIFS('Ventas OFD'!$AK:$AK,'Ventas OFD'!$B:$B,'Rev JR'!$A95,'Ventas OFD'!$W:$W,"&gt;="&amp;'Rev JR'!I$1,'Ventas OFD'!$W:$W,"&lt;="&amp;EOMONTH('Rev JR'!I$1,0))</f>
        <v>0</v>
      </c>
      <c r="J95" s="523">
        <f>+SUMIFS('Ventas OFD'!$AK:$AK,'Ventas OFD'!$B:$B,'Rev JR'!$A95,'Ventas OFD'!$W:$W,"&gt;="&amp;'Rev JR'!J$1,'Ventas OFD'!$W:$W,"&lt;="&amp;EOMONTH('Rev JR'!J$1,0))</f>
        <v>0</v>
      </c>
      <c r="K95" s="523">
        <f>+SUMIFS('Ventas OFD'!$AK:$AK,'Ventas OFD'!$B:$B,'Rev JR'!$A95,'Ventas OFD'!$W:$W,"&gt;="&amp;'Rev JR'!K$1,'Ventas OFD'!$W:$W,"&lt;="&amp;EOMONTH('Rev JR'!K$1,0))</f>
        <v>0</v>
      </c>
      <c r="L95" s="523">
        <f>+SUMIFS('Ventas OFD'!$AK:$AK,'Ventas OFD'!$B:$B,'Rev JR'!$A95,'Ventas OFD'!$W:$W,"&gt;="&amp;'Rev JR'!L$1,'Ventas OFD'!$W:$W,"&lt;="&amp;EOMONTH('Rev JR'!L$1,0))</f>
        <v>0</v>
      </c>
      <c r="M95" s="523">
        <f>+SUMIFS('Ventas OFD'!$AK:$AK,'Ventas OFD'!$B:$B,'Rev JR'!$A95,'Ventas OFD'!$W:$W,"&gt;="&amp;'Rev JR'!M$1,'Ventas OFD'!$W:$W,"&lt;="&amp;EOMONTH('Rev JR'!M$1,0))</f>
        <v>0</v>
      </c>
      <c r="N95" s="523">
        <f>+SUMIFS('Ventas OFD'!$AK:$AK,'Ventas OFD'!$B:$B,'Rev JR'!$A95,'Ventas OFD'!$W:$W,"&gt;="&amp;'Rev JR'!N$1,'Ventas OFD'!$W:$W,"&lt;="&amp;EOMONTH('Rev JR'!N$1,0))</f>
        <v>0</v>
      </c>
      <c r="O95" s="523">
        <f t="shared" si="15"/>
        <v>0</v>
      </c>
    </row>
    <row r="96" spans="1:15">
      <c r="A96" s="622" t="str">
        <f t="shared" si="16"/>
        <v>P</v>
      </c>
      <c r="B96" s="519" t="str">
        <f t="shared" si="17"/>
        <v xml:space="preserve">        CG OFD - P</v>
      </c>
      <c r="C96" s="523">
        <f>+SUMIFS('Ventas OFD'!$AK:$AK,'Ventas OFD'!$B:$B,'Rev JR'!$A96,'Ventas OFD'!$W:$W,"&gt;="&amp;'Rev JR'!C$1,'Ventas OFD'!$W:$W,"&lt;="&amp;EOMONTH('Rev JR'!C$1,0))</f>
        <v>0</v>
      </c>
      <c r="D96" s="523">
        <f>+SUMIFS('Ventas OFD'!$AK:$AK,'Ventas OFD'!$B:$B,'Rev JR'!$A96,'Ventas OFD'!$W:$W,"&gt;="&amp;'Rev JR'!D$1,'Ventas OFD'!$W:$W,"&lt;="&amp;EOMONTH('Rev JR'!D$1,0))</f>
        <v>0</v>
      </c>
      <c r="E96" s="523">
        <f>+SUMIFS('Ventas OFD'!$AK:$AK,'Ventas OFD'!$B:$B,'Rev JR'!$A96,'Ventas OFD'!$W:$W,"&gt;="&amp;'Rev JR'!E$1,'Ventas OFD'!$W:$W,"&lt;="&amp;EOMONTH('Rev JR'!E$1,0))</f>
        <v>0</v>
      </c>
      <c r="F96" s="523">
        <f>+SUMIFS('Ventas OFD'!$AK:$AK,'Ventas OFD'!$B:$B,'Rev JR'!$A96,'Ventas OFD'!$W:$W,"&gt;="&amp;'Rev JR'!F$1,'Ventas OFD'!$W:$W,"&lt;="&amp;EOMONTH('Rev JR'!F$1,0))</f>
        <v>0</v>
      </c>
      <c r="G96" s="523">
        <f>+SUMIFS('Ventas OFD'!$AK:$AK,'Ventas OFD'!$B:$B,'Rev JR'!$A96,'Ventas OFD'!$W:$W,"&gt;="&amp;'Rev JR'!G$1,'Ventas OFD'!$W:$W,"&lt;="&amp;EOMONTH('Rev JR'!G$1,0))</f>
        <v>0</v>
      </c>
      <c r="H96" s="523">
        <f>+SUMIFS('Ventas OFD'!$AK:$AK,'Ventas OFD'!$B:$B,'Rev JR'!$A96,'Ventas OFD'!$W:$W,"&gt;="&amp;'Rev JR'!H$1,'Ventas OFD'!$W:$W,"&lt;="&amp;EOMONTH('Rev JR'!H$1,0))</f>
        <v>0</v>
      </c>
      <c r="I96" s="523">
        <f>+SUMIFS('Ventas OFD'!$AK:$AK,'Ventas OFD'!$B:$B,'Rev JR'!$A96,'Ventas OFD'!$W:$W,"&gt;="&amp;'Rev JR'!I$1,'Ventas OFD'!$W:$W,"&lt;="&amp;EOMONTH('Rev JR'!I$1,0))</f>
        <v>0</v>
      </c>
      <c r="J96" s="523">
        <f>+SUMIFS('Ventas OFD'!$AK:$AK,'Ventas OFD'!$B:$B,'Rev JR'!$A96,'Ventas OFD'!$W:$W,"&gt;="&amp;'Rev JR'!J$1,'Ventas OFD'!$W:$W,"&lt;="&amp;EOMONTH('Rev JR'!J$1,0))</f>
        <v>0</v>
      </c>
      <c r="K96" s="523">
        <f>+SUMIFS('Ventas OFD'!$AK:$AK,'Ventas OFD'!$B:$B,'Rev JR'!$A96,'Ventas OFD'!$W:$W,"&gt;="&amp;'Rev JR'!K$1,'Ventas OFD'!$W:$W,"&lt;="&amp;EOMONTH('Rev JR'!K$1,0))</f>
        <v>0</v>
      </c>
      <c r="L96" s="523">
        <f>+SUMIFS('Ventas OFD'!$AK:$AK,'Ventas OFD'!$B:$B,'Rev JR'!$A96,'Ventas OFD'!$W:$W,"&gt;="&amp;'Rev JR'!L$1,'Ventas OFD'!$W:$W,"&lt;="&amp;EOMONTH('Rev JR'!L$1,0))</f>
        <v>0</v>
      </c>
      <c r="M96" s="523">
        <f>+SUMIFS('Ventas OFD'!$AK:$AK,'Ventas OFD'!$B:$B,'Rev JR'!$A96,'Ventas OFD'!$W:$W,"&gt;="&amp;'Rev JR'!M$1,'Ventas OFD'!$W:$W,"&lt;="&amp;EOMONTH('Rev JR'!M$1,0))</f>
        <v>0</v>
      </c>
      <c r="N96" s="523">
        <f>+SUMIFS('Ventas OFD'!$AK:$AK,'Ventas OFD'!$B:$B,'Rev JR'!$A96,'Ventas OFD'!$W:$W,"&gt;="&amp;'Rev JR'!N$1,'Ventas OFD'!$W:$W,"&lt;="&amp;EOMONTH('Rev JR'!N$1,0))</f>
        <v>0</v>
      </c>
      <c r="O96" s="523">
        <f t="shared" si="15"/>
        <v>0</v>
      </c>
    </row>
    <row r="97" spans="1:15">
      <c r="A97" s="515"/>
      <c r="B97" s="524" t="s">
        <v>614</v>
      </c>
      <c r="C97" s="525">
        <f t="shared" ref="C97:O97" si="18">SUM(C81:C96)</f>
        <v>10369.09</v>
      </c>
      <c r="D97" s="525">
        <f t="shared" si="18"/>
        <v>3130.23</v>
      </c>
      <c r="E97" s="525">
        <f t="shared" si="18"/>
        <v>15370.22</v>
      </c>
      <c r="F97" s="525">
        <f t="shared" si="18"/>
        <v>13467.810000000001</v>
      </c>
      <c r="G97" s="525">
        <f t="shared" si="18"/>
        <v>-9764.93</v>
      </c>
      <c r="H97" s="525">
        <f t="shared" si="18"/>
        <v>-9623.7599999999966</v>
      </c>
      <c r="I97" s="525">
        <f t="shared" si="18"/>
        <v>4180.34</v>
      </c>
      <c r="J97" s="525">
        <f t="shared" si="18"/>
        <v>30735.71</v>
      </c>
      <c r="K97" s="525">
        <f t="shared" si="18"/>
        <v>11.669999999999163</v>
      </c>
      <c r="L97" s="525">
        <f t="shared" si="18"/>
        <v>3332.9299999999989</v>
      </c>
      <c r="M97" s="525">
        <f t="shared" si="18"/>
        <v>22669.100000000002</v>
      </c>
      <c r="N97" s="525">
        <f t="shared" si="18"/>
        <v>14175.560000000001</v>
      </c>
      <c r="O97" s="525">
        <f t="shared" si="18"/>
        <v>98053.97</v>
      </c>
    </row>
    <row r="98" spans="1:15">
      <c r="A98" s="515"/>
      <c r="B98" s="519" t="s">
        <v>592</v>
      </c>
      <c r="C98" s="522"/>
      <c r="D98" s="522"/>
      <c r="E98" s="522"/>
      <c r="F98" s="522"/>
      <c r="G98" s="522"/>
      <c r="H98" s="522"/>
      <c r="I98" s="522"/>
      <c r="J98" s="522"/>
      <c r="K98" s="522"/>
      <c r="L98" s="522"/>
      <c r="M98" s="522"/>
      <c r="N98" s="522"/>
      <c r="O98" s="522"/>
    </row>
    <row r="99" spans="1:15">
      <c r="A99" s="515"/>
      <c r="B99" s="519" t="s">
        <v>615</v>
      </c>
      <c r="C99" s="523"/>
      <c r="D99" s="523"/>
      <c r="E99" s="523"/>
      <c r="F99" s="523"/>
      <c r="G99" s="523"/>
      <c r="H99" s="523"/>
      <c r="I99" s="523"/>
      <c r="J99" s="523"/>
      <c r="K99" s="523"/>
      <c r="L99" s="523"/>
      <c r="M99" s="523"/>
      <c r="N99" s="523"/>
      <c r="O99" s="523"/>
    </row>
    <row r="100" spans="1:15">
      <c r="A100" s="622" t="str">
        <f>+A81</f>
        <v>AR2XXXX3387-0008</v>
      </c>
      <c r="B100" s="519" t="str">
        <f>+CONCATENATE("        Otros Ingresos - ",A100)</f>
        <v xml:space="preserve">        Otros Ingresos - AR2XXXX3387-0008</v>
      </c>
      <c r="C100" s="523">
        <f>+SUMIFS('Otros Ingresos'!$G$7:$G$500,'Otros Ingresos'!$B$7:$B$500,'Rev JR'!$A100,'Otros Ingresos'!$D$7:$D$500,"&gt;="&amp;'Rev JR'!C$1,'Otros Ingresos'!$D$7:$D$500,"&lt;="&amp;EOMONTH('Rev JR'!C$1,0))</f>
        <v>0</v>
      </c>
      <c r="D100" s="523">
        <f>+SUMIFS('Otros Ingresos'!$G$7:$G$500,'Otros Ingresos'!$B$7:$B$500,'Rev JR'!$A100,'Otros Ingresos'!$D$7:$D$500,"&gt;="&amp;'Rev JR'!D$1,'Otros Ingresos'!$D$7:$D$500,"&lt;="&amp;EOMONTH('Rev JR'!D$1,0))</f>
        <v>0</v>
      </c>
      <c r="E100" s="523">
        <f>+SUMIFS('Otros Ingresos'!$G$7:$G$500,'Otros Ingresos'!$B$7:$B$500,'Rev JR'!$A100,'Otros Ingresos'!$D$7:$D$500,"&gt;="&amp;'Rev JR'!E$1,'Otros Ingresos'!$D$7:$D$500,"&lt;="&amp;EOMONTH('Rev JR'!E$1,0))</f>
        <v>0</v>
      </c>
      <c r="F100" s="523">
        <f>+SUMIFS('Otros Ingresos'!$G$7:$G$500,'Otros Ingresos'!$B$7:$B$500,'Rev JR'!$A100,'Otros Ingresos'!$D$7:$D$500,"&gt;="&amp;'Rev JR'!F$1,'Otros Ingresos'!$D$7:$D$500,"&lt;="&amp;EOMONTH('Rev JR'!F$1,0))</f>
        <v>0</v>
      </c>
      <c r="G100" s="523">
        <f>+SUMIFS('Otros Ingresos'!$G$7:$G$500,'Otros Ingresos'!$B$7:$B$500,'Rev JR'!$A100,'Otros Ingresos'!$D$7:$D$500,"&gt;="&amp;'Rev JR'!G$1,'Otros Ingresos'!$D$7:$D$500,"&lt;="&amp;EOMONTH('Rev JR'!G$1,0))</f>
        <v>0</v>
      </c>
      <c r="H100" s="523">
        <f>+SUMIFS('Otros Ingresos'!$G$7:$G$500,'Otros Ingresos'!$B$7:$B$500,'Rev JR'!$A100,'Otros Ingresos'!$D$7:$D$500,"&gt;="&amp;'Rev JR'!H$1,'Otros Ingresos'!$D$7:$D$500,"&lt;="&amp;EOMONTH('Rev JR'!H$1,0))</f>
        <v>0</v>
      </c>
      <c r="I100" s="523">
        <f>+SUMIFS('Otros Ingresos'!$G$7:$G$500,'Otros Ingresos'!$B$7:$B$500,'Rev JR'!$A100,'Otros Ingresos'!$D$7:$D$500,"&gt;="&amp;'Rev JR'!I$1,'Otros Ingresos'!$D$7:$D$500,"&lt;="&amp;EOMONTH('Rev JR'!I$1,0))</f>
        <v>0</v>
      </c>
      <c r="J100" s="523">
        <f>+SUMIFS('Otros Ingresos'!$G$7:$G$500,'Otros Ingresos'!$B$7:$B$500,'Rev JR'!$A100,'Otros Ingresos'!$D$7:$D$500,"&gt;="&amp;'Rev JR'!J$1,'Otros Ingresos'!$D$7:$D$500,"&lt;="&amp;EOMONTH('Rev JR'!J$1,0))</f>
        <v>0</v>
      </c>
      <c r="K100" s="523">
        <f>+SUMIFS('Otros Ingresos'!$G$7:$G$500,'Otros Ingresos'!$B$7:$B$500,'Rev JR'!$A100,'Otros Ingresos'!$D$7:$D$500,"&gt;="&amp;'Rev JR'!K$1,'Otros Ingresos'!$D$7:$D$500,"&lt;="&amp;EOMONTH('Rev JR'!K$1,0))</f>
        <v>0</v>
      </c>
      <c r="L100" s="523">
        <f>+SUMIFS('Otros Ingresos'!$G$7:$G$500,'Otros Ingresos'!$B$7:$B$500,'Rev JR'!$A100,'Otros Ingresos'!$D$7:$D$500,"&gt;="&amp;'Rev JR'!L$1,'Otros Ingresos'!$D$7:$D$500,"&lt;="&amp;EOMONTH('Rev JR'!L$1,0))</f>
        <v>0</v>
      </c>
      <c r="M100" s="523">
        <f>+SUMIFS('Otros Ingresos'!$G$7:$G$500,'Otros Ingresos'!$B$7:$B$500,'Rev JR'!$A100,'Otros Ingresos'!$D$7:$D$500,"&gt;="&amp;'Rev JR'!M$1,'Otros Ingresos'!$D$7:$D$500,"&lt;="&amp;EOMONTH('Rev JR'!M$1,0))</f>
        <v>0</v>
      </c>
      <c r="N100" s="523">
        <f>+SUMIFS('Otros Ingresos'!$G$7:$G$500,'Otros Ingresos'!$B$7:$B$500,'Rev JR'!$A100,'Otros Ingresos'!$D$7:$D$500,"&gt;="&amp;'Rev JR'!N$1,'Otros Ingresos'!$D$7:$D$500,"&lt;="&amp;EOMONTH('Rev JR'!N$1,0))</f>
        <v>0</v>
      </c>
      <c r="O100" s="523">
        <f t="shared" ref="O100:O115" si="19">SUM(C100:N100)</f>
        <v>0</v>
      </c>
    </row>
    <row r="101" spans="1:15">
      <c r="A101" s="622" t="str">
        <f t="shared" ref="A101:A115" si="20">+A82</f>
        <v>AR2XXXX3387-0003</v>
      </c>
      <c r="B101" s="519" t="str">
        <f t="shared" ref="B101:B115" si="21">+CONCATENATE("        Otros Ingresos - ",A101)</f>
        <v xml:space="preserve">        Otros Ingresos - AR2XXXX3387-0003</v>
      </c>
      <c r="C101" s="523">
        <f>+SUMIFS('Otros Ingresos'!$G$7:$G$500,'Otros Ingresos'!$B$7:$B$500,'Rev JR'!$A101,'Otros Ingresos'!$D$7:$D$500,"&gt;="&amp;'Rev JR'!C$1,'Otros Ingresos'!$D$7:$D$500,"&lt;="&amp;EOMONTH('Rev JR'!C$1,0))</f>
        <v>0</v>
      </c>
      <c r="D101" s="523">
        <f>+SUMIFS('Otros Ingresos'!$G$7:$G$500,'Otros Ingresos'!$B$7:$B$500,'Rev JR'!$A101,'Otros Ingresos'!$D$7:$D$500,"&gt;="&amp;'Rev JR'!D$1,'Otros Ingresos'!$D$7:$D$500,"&lt;="&amp;EOMONTH('Rev JR'!D$1,0))</f>
        <v>0</v>
      </c>
      <c r="E101" s="523">
        <f>+SUMIFS('Otros Ingresos'!$G$7:$G$500,'Otros Ingresos'!$B$7:$B$500,'Rev JR'!$A101,'Otros Ingresos'!$D$7:$D$500,"&gt;="&amp;'Rev JR'!E$1,'Otros Ingresos'!$D$7:$D$500,"&lt;="&amp;EOMONTH('Rev JR'!E$1,0))</f>
        <v>0</v>
      </c>
      <c r="F101" s="523">
        <f>+SUMIFS('Otros Ingresos'!$G$7:$G$500,'Otros Ingresos'!$B$7:$B$500,'Rev JR'!$A101,'Otros Ingresos'!$D$7:$D$500,"&gt;="&amp;'Rev JR'!F$1,'Otros Ingresos'!$D$7:$D$500,"&lt;="&amp;EOMONTH('Rev JR'!F$1,0))</f>
        <v>0</v>
      </c>
      <c r="G101" s="523">
        <f>+SUMIFS('Otros Ingresos'!$G$7:$G$500,'Otros Ingresos'!$B$7:$B$500,'Rev JR'!$A101,'Otros Ingresos'!$D$7:$D$500,"&gt;="&amp;'Rev JR'!G$1,'Otros Ingresos'!$D$7:$D$500,"&lt;="&amp;EOMONTH('Rev JR'!G$1,0))</f>
        <v>0</v>
      </c>
      <c r="H101" s="523">
        <f>+SUMIFS('Otros Ingresos'!$G$7:$G$500,'Otros Ingresos'!$B$7:$B$500,'Rev JR'!$A101,'Otros Ingresos'!$D$7:$D$500,"&gt;="&amp;'Rev JR'!H$1,'Otros Ingresos'!$D$7:$D$500,"&lt;="&amp;EOMONTH('Rev JR'!H$1,0))</f>
        <v>0</v>
      </c>
      <c r="I101" s="523">
        <f>+SUMIFS('Otros Ingresos'!$G$7:$G$500,'Otros Ingresos'!$B$7:$B$500,'Rev JR'!$A101,'Otros Ingresos'!$D$7:$D$500,"&gt;="&amp;'Rev JR'!I$1,'Otros Ingresos'!$D$7:$D$500,"&lt;="&amp;EOMONTH('Rev JR'!I$1,0))</f>
        <v>0</v>
      </c>
      <c r="J101" s="523">
        <f>+SUMIFS('Otros Ingresos'!$G$7:$G$500,'Otros Ingresos'!$B$7:$B$500,'Rev JR'!$A101,'Otros Ingresos'!$D$7:$D$500,"&gt;="&amp;'Rev JR'!J$1,'Otros Ingresos'!$D$7:$D$500,"&lt;="&amp;EOMONTH('Rev JR'!J$1,0))</f>
        <v>0</v>
      </c>
      <c r="K101" s="523">
        <f>+SUMIFS('Otros Ingresos'!$G$7:$G$500,'Otros Ingresos'!$B$7:$B$500,'Rev JR'!$A101,'Otros Ingresos'!$D$7:$D$500,"&gt;="&amp;'Rev JR'!K$1,'Otros Ingresos'!$D$7:$D$500,"&lt;="&amp;EOMONTH('Rev JR'!K$1,0))</f>
        <v>0</v>
      </c>
      <c r="L101" s="523">
        <f>+SUMIFS('Otros Ingresos'!$G$7:$G$500,'Otros Ingresos'!$B$7:$B$500,'Rev JR'!$A101,'Otros Ingresos'!$D$7:$D$500,"&gt;="&amp;'Rev JR'!L$1,'Otros Ingresos'!$D$7:$D$500,"&lt;="&amp;EOMONTH('Rev JR'!L$1,0))</f>
        <v>0</v>
      </c>
      <c r="M101" s="523">
        <f>+SUMIFS('Otros Ingresos'!$G$7:$G$500,'Otros Ingresos'!$B$7:$B$500,'Rev JR'!$A101,'Otros Ingresos'!$D$7:$D$500,"&gt;="&amp;'Rev JR'!M$1,'Otros Ingresos'!$D$7:$D$500,"&lt;="&amp;EOMONTH('Rev JR'!M$1,0))</f>
        <v>0</v>
      </c>
      <c r="N101" s="523">
        <f>+SUMIFS('Otros Ingresos'!$G$7:$G$500,'Otros Ingresos'!$B$7:$B$500,'Rev JR'!$A101,'Otros Ingresos'!$D$7:$D$500,"&gt;="&amp;'Rev JR'!N$1,'Otros Ingresos'!$D$7:$D$500,"&lt;="&amp;EOMONTH('Rev JR'!N$1,0))</f>
        <v>0</v>
      </c>
      <c r="O101" s="523">
        <f t="shared" si="19"/>
        <v>0</v>
      </c>
    </row>
    <row r="102" spans="1:15">
      <c r="A102" s="622" t="str">
        <f t="shared" si="20"/>
        <v>029-2XXX1-9</v>
      </c>
      <c r="B102" s="519" t="str">
        <f t="shared" si="21"/>
        <v xml:space="preserve">        Otros Ingresos - 029-2XXX1-9</v>
      </c>
      <c r="C102" s="523">
        <f>+SUMIFS('Otros Ingresos'!$G$7:$G$500,'Otros Ingresos'!$B$7:$B$500,'Rev JR'!$A102,'Otros Ingresos'!$D$7:$D$500,"&gt;="&amp;'Rev JR'!C$1,'Otros Ingresos'!$D$7:$D$500,"&lt;="&amp;EOMONTH('Rev JR'!C$1,0))</f>
        <v>0</v>
      </c>
      <c r="D102" s="523">
        <f>+SUMIFS('Otros Ingresos'!$G$7:$G$500,'Otros Ingresos'!$B$7:$B$500,'Rev JR'!$A102,'Otros Ingresos'!$D$7:$D$500,"&gt;="&amp;'Rev JR'!D$1,'Otros Ingresos'!$D$7:$D$500,"&lt;="&amp;EOMONTH('Rev JR'!D$1,0))</f>
        <v>0</v>
      </c>
      <c r="E102" s="523">
        <f>+SUMIFS('Otros Ingresos'!$G$7:$G$500,'Otros Ingresos'!$B$7:$B$500,'Rev JR'!$A102,'Otros Ingresos'!$D$7:$D$500,"&gt;="&amp;'Rev JR'!E$1,'Otros Ingresos'!$D$7:$D$500,"&lt;="&amp;EOMONTH('Rev JR'!E$1,0))</f>
        <v>0</v>
      </c>
      <c r="F102" s="523">
        <f>+SUMIFS('Otros Ingresos'!$G$7:$G$500,'Otros Ingresos'!$B$7:$B$500,'Rev JR'!$A102,'Otros Ingresos'!$D$7:$D$500,"&gt;="&amp;'Rev JR'!F$1,'Otros Ingresos'!$D$7:$D$500,"&lt;="&amp;EOMONTH('Rev JR'!F$1,0))</f>
        <v>0</v>
      </c>
      <c r="G102" s="523">
        <f>+SUMIFS('Otros Ingresos'!$G$7:$G$500,'Otros Ingresos'!$B$7:$B$500,'Rev JR'!$A102,'Otros Ingresos'!$D$7:$D$500,"&gt;="&amp;'Rev JR'!G$1,'Otros Ingresos'!$D$7:$D$500,"&lt;="&amp;EOMONTH('Rev JR'!G$1,0))</f>
        <v>0</v>
      </c>
      <c r="H102" s="523">
        <f>+SUMIFS('Otros Ingresos'!$G$7:$G$500,'Otros Ingresos'!$B$7:$B$500,'Rev JR'!$A102,'Otros Ingresos'!$D$7:$D$500,"&gt;="&amp;'Rev JR'!H$1,'Otros Ingresos'!$D$7:$D$500,"&lt;="&amp;EOMONTH('Rev JR'!H$1,0))</f>
        <v>0</v>
      </c>
      <c r="I102" s="523">
        <f>+SUMIFS('Otros Ingresos'!$G$7:$G$500,'Otros Ingresos'!$B$7:$B$500,'Rev JR'!$A102,'Otros Ingresos'!$D$7:$D$500,"&gt;="&amp;'Rev JR'!I$1,'Otros Ingresos'!$D$7:$D$500,"&lt;="&amp;EOMONTH('Rev JR'!I$1,0))</f>
        <v>0</v>
      </c>
      <c r="J102" s="523">
        <f>+SUMIFS('Otros Ingresos'!$G$7:$G$500,'Otros Ingresos'!$B$7:$B$500,'Rev JR'!$A102,'Otros Ingresos'!$D$7:$D$500,"&gt;="&amp;'Rev JR'!J$1,'Otros Ingresos'!$D$7:$D$500,"&lt;="&amp;EOMONTH('Rev JR'!J$1,0))</f>
        <v>0</v>
      </c>
      <c r="K102" s="523">
        <f>+SUMIFS('Otros Ingresos'!$G$7:$G$500,'Otros Ingresos'!$B$7:$B$500,'Rev JR'!$A102,'Otros Ingresos'!$D$7:$D$500,"&gt;="&amp;'Rev JR'!K$1,'Otros Ingresos'!$D$7:$D$500,"&lt;="&amp;EOMONTH('Rev JR'!K$1,0))</f>
        <v>0</v>
      </c>
      <c r="L102" s="523">
        <f>+SUMIFS('Otros Ingresos'!$G$7:$G$500,'Otros Ingresos'!$B$7:$B$500,'Rev JR'!$A102,'Otros Ingresos'!$D$7:$D$500,"&gt;="&amp;'Rev JR'!L$1,'Otros Ingresos'!$D$7:$D$500,"&lt;="&amp;EOMONTH('Rev JR'!L$1,0))</f>
        <v>0</v>
      </c>
      <c r="M102" s="523">
        <f>+SUMIFS('Otros Ingresos'!$G$7:$G$500,'Otros Ingresos'!$B$7:$B$500,'Rev JR'!$A102,'Otros Ingresos'!$D$7:$D$500,"&gt;="&amp;'Rev JR'!M$1,'Otros Ingresos'!$D$7:$D$500,"&lt;="&amp;EOMONTH('Rev JR'!M$1,0))</f>
        <v>0</v>
      </c>
      <c r="N102" s="523">
        <f>+SUMIFS('Otros Ingresos'!$G$7:$G$500,'Otros Ingresos'!$B$7:$B$500,'Rev JR'!$A102,'Otros Ingresos'!$D$7:$D$500,"&gt;="&amp;'Rev JR'!N$1,'Otros Ingresos'!$D$7:$D$500,"&lt;="&amp;EOMONTH('Rev JR'!N$1,0))</f>
        <v>0</v>
      </c>
      <c r="O102" s="523">
        <f t="shared" si="19"/>
        <v>0</v>
      </c>
    </row>
    <row r="103" spans="1:15">
      <c r="A103" s="622" t="str">
        <f t="shared" si="20"/>
        <v>029-2XXX2-7</v>
      </c>
      <c r="B103" s="519" t="str">
        <f t="shared" si="21"/>
        <v xml:space="preserve">        Otros Ingresos - 029-2XXX2-7</v>
      </c>
      <c r="C103" s="523">
        <f>+SUMIFS('Otros Ingresos'!$G$7:$G$500,'Otros Ingresos'!$B$7:$B$500,'Rev JR'!$A103,'Otros Ingresos'!$D$7:$D$500,"&gt;="&amp;'Rev JR'!C$1,'Otros Ingresos'!$D$7:$D$500,"&lt;="&amp;EOMONTH('Rev JR'!C$1,0))</f>
        <v>0</v>
      </c>
      <c r="D103" s="523">
        <f>+SUMIFS('Otros Ingresos'!$G$7:$G$500,'Otros Ingresos'!$B$7:$B$500,'Rev JR'!$A103,'Otros Ingresos'!$D$7:$D$500,"&gt;="&amp;'Rev JR'!D$1,'Otros Ingresos'!$D$7:$D$500,"&lt;="&amp;EOMONTH('Rev JR'!D$1,0))</f>
        <v>0</v>
      </c>
      <c r="E103" s="523">
        <f>+SUMIFS('Otros Ingresos'!$G$7:$G$500,'Otros Ingresos'!$B$7:$B$500,'Rev JR'!$A103,'Otros Ingresos'!$D$7:$D$500,"&gt;="&amp;'Rev JR'!E$1,'Otros Ingresos'!$D$7:$D$500,"&lt;="&amp;EOMONTH('Rev JR'!E$1,0))</f>
        <v>0</v>
      </c>
      <c r="F103" s="523">
        <f>+SUMIFS('Otros Ingresos'!$G$7:$G$500,'Otros Ingresos'!$B$7:$B$500,'Rev JR'!$A103,'Otros Ingresos'!$D$7:$D$500,"&gt;="&amp;'Rev JR'!F$1,'Otros Ingresos'!$D$7:$D$500,"&lt;="&amp;EOMONTH('Rev JR'!F$1,0))</f>
        <v>0</v>
      </c>
      <c r="G103" s="523">
        <f>+SUMIFS('Otros Ingresos'!$G$7:$G$500,'Otros Ingresos'!$B$7:$B$500,'Rev JR'!$A103,'Otros Ingresos'!$D$7:$D$500,"&gt;="&amp;'Rev JR'!G$1,'Otros Ingresos'!$D$7:$D$500,"&lt;="&amp;EOMONTH('Rev JR'!G$1,0))</f>
        <v>0</v>
      </c>
      <c r="H103" s="523">
        <f>+SUMIFS('Otros Ingresos'!$G$7:$G$500,'Otros Ingresos'!$B$7:$B$500,'Rev JR'!$A103,'Otros Ingresos'!$D$7:$D$500,"&gt;="&amp;'Rev JR'!H$1,'Otros Ingresos'!$D$7:$D$500,"&lt;="&amp;EOMONTH('Rev JR'!H$1,0))</f>
        <v>0</v>
      </c>
      <c r="I103" s="523">
        <f>+SUMIFS('Otros Ingresos'!$G$7:$G$500,'Otros Ingresos'!$B$7:$B$500,'Rev JR'!$A103,'Otros Ingresos'!$D$7:$D$500,"&gt;="&amp;'Rev JR'!I$1,'Otros Ingresos'!$D$7:$D$500,"&lt;="&amp;EOMONTH('Rev JR'!I$1,0))</f>
        <v>0</v>
      </c>
      <c r="J103" s="523">
        <f>+SUMIFS('Otros Ingresos'!$G$7:$G$500,'Otros Ingresos'!$B$7:$B$500,'Rev JR'!$A103,'Otros Ingresos'!$D$7:$D$500,"&gt;="&amp;'Rev JR'!J$1,'Otros Ingresos'!$D$7:$D$500,"&lt;="&amp;EOMONTH('Rev JR'!J$1,0))</f>
        <v>0</v>
      </c>
      <c r="K103" s="523">
        <f>+SUMIFS('Otros Ingresos'!$G$7:$G$500,'Otros Ingresos'!$B$7:$B$500,'Rev JR'!$A103,'Otros Ingresos'!$D$7:$D$500,"&gt;="&amp;'Rev JR'!K$1,'Otros Ingresos'!$D$7:$D$500,"&lt;="&amp;EOMONTH('Rev JR'!K$1,0))</f>
        <v>0</v>
      </c>
      <c r="L103" s="523">
        <f>+SUMIFS('Otros Ingresos'!$G$7:$G$500,'Otros Ingresos'!$B$7:$B$500,'Rev JR'!$A103,'Otros Ingresos'!$D$7:$D$500,"&gt;="&amp;'Rev JR'!L$1,'Otros Ingresos'!$D$7:$D$500,"&lt;="&amp;EOMONTH('Rev JR'!L$1,0))</f>
        <v>0</v>
      </c>
      <c r="M103" s="523">
        <f>+SUMIFS('Otros Ingresos'!$G$7:$G$500,'Otros Ingresos'!$B$7:$B$500,'Rev JR'!$A103,'Otros Ingresos'!$D$7:$D$500,"&gt;="&amp;'Rev JR'!M$1,'Otros Ingresos'!$D$7:$D$500,"&lt;="&amp;EOMONTH('Rev JR'!M$1,0))</f>
        <v>0</v>
      </c>
      <c r="N103" s="523">
        <f>+SUMIFS('Otros Ingresos'!$G$7:$G$500,'Otros Ingresos'!$B$7:$B$500,'Rev JR'!$A103,'Otros Ingresos'!$D$7:$D$500,"&gt;="&amp;'Rev JR'!N$1,'Otros Ingresos'!$D$7:$D$500,"&lt;="&amp;EOMONTH('Rev JR'!N$1,0))</f>
        <v>0</v>
      </c>
      <c r="O103" s="523">
        <f t="shared" si="19"/>
        <v>0</v>
      </c>
    </row>
    <row r="104" spans="1:15">
      <c r="A104" s="622" t="str">
        <f t="shared" si="20"/>
        <v>029-2XXX3-5</v>
      </c>
      <c r="B104" s="519" t="str">
        <f t="shared" si="21"/>
        <v xml:space="preserve">        Otros Ingresos - 029-2XXX3-5</v>
      </c>
      <c r="C104" s="523">
        <f>+SUMIFS('Otros Ingresos'!$G$7:$G$500,'Otros Ingresos'!$B$7:$B$500,'Rev JR'!$A104,'Otros Ingresos'!$D$7:$D$500,"&gt;="&amp;'Rev JR'!C$1,'Otros Ingresos'!$D$7:$D$500,"&lt;="&amp;EOMONTH('Rev JR'!C$1,0))</f>
        <v>0</v>
      </c>
      <c r="D104" s="523">
        <f>+SUMIFS('Otros Ingresos'!$G$7:$G$500,'Otros Ingresos'!$B$7:$B$500,'Rev JR'!$A104,'Otros Ingresos'!$D$7:$D$500,"&gt;="&amp;'Rev JR'!D$1,'Otros Ingresos'!$D$7:$D$500,"&lt;="&amp;EOMONTH('Rev JR'!D$1,0))</f>
        <v>0</v>
      </c>
      <c r="E104" s="523">
        <f>+SUMIFS('Otros Ingresos'!$G$7:$G$500,'Otros Ingresos'!$B$7:$B$500,'Rev JR'!$A104,'Otros Ingresos'!$D$7:$D$500,"&gt;="&amp;'Rev JR'!E$1,'Otros Ingresos'!$D$7:$D$500,"&lt;="&amp;EOMONTH('Rev JR'!E$1,0))</f>
        <v>0</v>
      </c>
      <c r="F104" s="523">
        <f>+SUMIFS('Otros Ingresos'!$G$7:$G$500,'Otros Ingresos'!$B$7:$B$500,'Rev JR'!$A104,'Otros Ingresos'!$D$7:$D$500,"&gt;="&amp;'Rev JR'!F$1,'Otros Ingresos'!$D$7:$D$500,"&lt;="&amp;EOMONTH('Rev JR'!F$1,0))</f>
        <v>0</v>
      </c>
      <c r="G104" s="523">
        <f>+SUMIFS('Otros Ingresos'!$G$7:$G$500,'Otros Ingresos'!$B$7:$B$500,'Rev JR'!$A104,'Otros Ingresos'!$D$7:$D$500,"&gt;="&amp;'Rev JR'!G$1,'Otros Ingresos'!$D$7:$D$500,"&lt;="&amp;EOMONTH('Rev JR'!G$1,0))</f>
        <v>0</v>
      </c>
      <c r="H104" s="523">
        <f>+SUMIFS('Otros Ingresos'!$G$7:$G$500,'Otros Ingresos'!$B$7:$B$500,'Rev JR'!$A104,'Otros Ingresos'!$D$7:$D$500,"&gt;="&amp;'Rev JR'!H$1,'Otros Ingresos'!$D$7:$D$500,"&lt;="&amp;EOMONTH('Rev JR'!H$1,0))</f>
        <v>0</v>
      </c>
      <c r="I104" s="523">
        <f>+SUMIFS('Otros Ingresos'!$G$7:$G$500,'Otros Ingresos'!$B$7:$B$500,'Rev JR'!$A104,'Otros Ingresos'!$D$7:$D$500,"&gt;="&amp;'Rev JR'!I$1,'Otros Ingresos'!$D$7:$D$500,"&lt;="&amp;EOMONTH('Rev JR'!I$1,0))</f>
        <v>0</v>
      </c>
      <c r="J104" s="523">
        <f>+SUMIFS('Otros Ingresos'!$G$7:$G$500,'Otros Ingresos'!$B$7:$B$500,'Rev JR'!$A104,'Otros Ingresos'!$D$7:$D$500,"&gt;="&amp;'Rev JR'!J$1,'Otros Ingresos'!$D$7:$D$500,"&lt;="&amp;EOMONTH('Rev JR'!J$1,0))</f>
        <v>0</v>
      </c>
      <c r="K104" s="523">
        <f>+SUMIFS('Otros Ingresos'!$G$7:$G$500,'Otros Ingresos'!$B$7:$B$500,'Rev JR'!$A104,'Otros Ingresos'!$D$7:$D$500,"&gt;="&amp;'Rev JR'!K$1,'Otros Ingresos'!$D$7:$D$500,"&lt;="&amp;EOMONTH('Rev JR'!K$1,0))</f>
        <v>0</v>
      </c>
      <c r="L104" s="523">
        <f>+SUMIFS('Otros Ingresos'!$G$7:$G$500,'Otros Ingresos'!$B$7:$B$500,'Rev JR'!$A104,'Otros Ingresos'!$D$7:$D$500,"&gt;="&amp;'Rev JR'!L$1,'Otros Ingresos'!$D$7:$D$500,"&lt;="&amp;EOMONTH('Rev JR'!L$1,0))</f>
        <v>0</v>
      </c>
      <c r="M104" s="523">
        <f>+SUMIFS('Otros Ingresos'!$G$7:$G$500,'Otros Ingresos'!$B$7:$B$500,'Rev JR'!$A104,'Otros Ingresos'!$D$7:$D$500,"&gt;="&amp;'Rev JR'!M$1,'Otros Ingresos'!$D$7:$D$500,"&lt;="&amp;EOMONTH('Rev JR'!M$1,0))</f>
        <v>0</v>
      </c>
      <c r="N104" s="523">
        <f>+SUMIFS('Otros Ingresos'!$G$7:$G$500,'Otros Ingresos'!$B$7:$B$500,'Rev JR'!$A104,'Otros Ingresos'!$D$7:$D$500,"&gt;="&amp;'Rev JR'!N$1,'Otros Ingresos'!$D$7:$D$500,"&lt;="&amp;EOMONTH('Rev JR'!N$1,0))</f>
        <v>0</v>
      </c>
      <c r="O104" s="523">
        <f t="shared" si="19"/>
        <v>0</v>
      </c>
    </row>
    <row r="105" spans="1:15">
      <c r="A105" s="622" t="str">
        <f t="shared" si="20"/>
        <v>F</v>
      </c>
      <c r="B105" s="519" t="str">
        <f t="shared" si="21"/>
        <v xml:space="preserve">        Otros Ingresos - F</v>
      </c>
      <c r="C105" s="523">
        <f>+SUMIFS('Otros Ingresos'!$G$7:$G$500,'Otros Ingresos'!$B$7:$B$500,'Rev JR'!$A105,'Otros Ingresos'!$D$7:$D$500,"&gt;="&amp;'Rev JR'!C$1,'Otros Ingresos'!$D$7:$D$500,"&lt;="&amp;EOMONTH('Rev JR'!C$1,0))</f>
        <v>0</v>
      </c>
      <c r="D105" s="523">
        <f>+SUMIFS('Otros Ingresos'!$G$7:$G$500,'Otros Ingresos'!$B$7:$B$500,'Rev JR'!$A105,'Otros Ingresos'!$D$7:$D$500,"&gt;="&amp;'Rev JR'!D$1,'Otros Ingresos'!$D$7:$D$500,"&lt;="&amp;EOMONTH('Rev JR'!D$1,0))</f>
        <v>0</v>
      </c>
      <c r="E105" s="523">
        <f>+SUMIFS('Otros Ingresos'!$G$7:$G$500,'Otros Ingresos'!$B$7:$B$500,'Rev JR'!$A105,'Otros Ingresos'!$D$7:$D$500,"&gt;="&amp;'Rev JR'!E$1,'Otros Ingresos'!$D$7:$D$500,"&lt;="&amp;EOMONTH('Rev JR'!E$1,0))</f>
        <v>0</v>
      </c>
      <c r="F105" s="523">
        <f>+SUMIFS('Otros Ingresos'!$G$7:$G$500,'Otros Ingresos'!$B$7:$B$500,'Rev JR'!$A105,'Otros Ingresos'!$D$7:$D$500,"&gt;="&amp;'Rev JR'!F$1,'Otros Ingresos'!$D$7:$D$500,"&lt;="&amp;EOMONTH('Rev JR'!F$1,0))</f>
        <v>0</v>
      </c>
      <c r="G105" s="523">
        <f>+SUMIFS('Otros Ingresos'!$G$7:$G$500,'Otros Ingresos'!$B$7:$B$500,'Rev JR'!$A105,'Otros Ingresos'!$D$7:$D$500,"&gt;="&amp;'Rev JR'!G$1,'Otros Ingresos'!$D$7:$D$500,"&lt;="&amp;EOMONTH('Rev JR'!G$1,0))</f>
        <v>0</v>
      </c>
      <c r="H105" s="523">
        <f>+SUMIFS('Otros Ingresos'!$G$7:$G$500,'Otros Ingresos'!$B$7:$B$500,'Rev JR'!$A105,'Otros Ingresos'!$D$7:$D$500,"&gt;="&amp;'Rev JR'!H$1,'Otros Ingresos'!$D$7:$D$500,"&lt;="&amp;EOMONTH('Rev JR'!H$1,0))</f>
        <v>0</v>
      </c>
      <c r="I105" s="523">
        <f>+SUMIFS('Otros Ingresos'!$G$7:$G$500,'Otros Ingresos'!$B$7:$B$500,'Rev JR'!$A105,'Otros Ingresos'!$D$7:$D$500,"&gt;="&amp;'Rev JR'!I$1,'Otros Ingresos'!$D$7:$D$500,"&lt;="&amp;EOMONTH('Rev JR'!I$1,0))</f>
        <v>0</v>
      </c>
      <c r="J105" s="523">
        <f>+SUMIFS('Otros Ingresos'!$G$7:$G$500,'Otros Ingresos'!$B$7:$B$500,'Rev JR'!$A105,'Otros Ingresos'!$D$7:$D$500,"&gt;="&amp;'Rev JR'!J$1,'Otros Ingresos'!$D$7:$D$500,"&lt;="&amp;EOMONTH('Rev JR'!J$1,0))</f>
        <v>0</v>
      </c>
      <c r="K105" s="523">
        <f>+SUMIFS('Otros Ingresos'!$G$7:$G$500,'Otros Ingresos'!$B$7:$B$500,'Rev JR'!$A105,'Otros Ingresos'!$D$7:$D$500,"&gt;="&amp;'Rev JR'!K$1,'Otros Ingresos'!$D$7:$D$500,"&lt;="&amp;EOMONTH('Rev JR'!K$1,0))</f>
        <v>0</v>
      </c>
      <c r="L105" s="523">
        <f>+SUMIFS('Otros Ingresos'!$G$7:$G$500,'Otros Ingresos'!$B$7:$B$500,'Rev JR'!$A105,'Otros Ingresos'!$D$7:$D$500,"&gt;="&amp;'Rev JR'!L$1,'Otros Ingresos'!$D$7:$D$500,"&lt;="&amp;EOMONTH('Rev JR'!L$1,0))</f>
        <v>0</v>
      </c>
      <c r="M105" s="523">
        <f>+SUMIFS('Otros Ingresos'!$G$7:$G$500,'Otros Ingresos'!$B$7:$B$500,'Rev JR'!$A105,'Otros Ingresos'!$D$7:$D$500,"&gt;="&amp;'Rev JR'!M$1,'Otros Ingresos'!$D$7:$D$500,"&lt;="&amp;EOMONTH('Rev JR'!M$1,0))</f>
        <v>0</v>
      </c>
      <c r="N105" s="523">
        <f>+SUMIFS('Otros Ingresos'!$G$7:$G$500,'Otros Ingresos'!$B$7:$B$500,'Rev JR'!$A105,'Otros Ingresos'!$D$7:$D$500,"&gt;="&amp;'Rev JR'!N$1,'Otros Ingresos'!$D$7:$D$500,"&lt;="&amp;EOMONTH('Rev JR'!N$1,0))</f>
        <v>0</v>
      </c>
      <c r="O105" s="523">
        <f t="shared" si="19"/>
        <v>0</v>
      </c>
    </row>
    <row r="106" spans="1:15">
      <c r="A106" s="622" t="str">
        <f t="shared" si="20"/>
        <v>G</v>
      </c>
      <c r="B106" s="519" t="str">
        <f t="shared" si="21"/>
        <v xml:space="preserve">        Otros Ingresos - G</v>
      </c>
      <c r="C106" s="523">
        <f>+SUMIFS('Otros Ingresos'!$G$7:$G$500,'Otros Ingresos'!$B$7:$B$500,'Rev JR'!$A106,'Otros Ingresos'!$D$7:$D$500,"&gt;="&amp;'Rev JR'!C$1,'Otros Ingresos'!$D$7:$D$500,"&lt;="&amp;EOMONTH('Rev JR'!C$1,0))</f>
        <v>0</v>
      </c>
      <c r="D106" s="523">
        <f>+SUMIFS('Otros Ingresos'!$G$7:$G$500,'Otros Ingresos'!$B$7:$B$500,'Rev JR'!$A106,'Otros Ingresos'!$D$7:$D$500,"&gt;="&amp;'Rev JR'!D$1,'Otros Ingresos'!$D$7:$D$500,"&lt;="&amp;EOMONTH('Rev JR'!D$1,0))</f>
        <v>0</v>
      </c>
      <c r="E106" s="523">
        <f>+SUMIFS('Otros Ingresos'!$G$7:$G$500,'Otros Ingresos'!$B$7:$B$500,'Rev JR'!$A106,'Otros Ingresos'!$D$7:$D$500,"&gt;="&amp;'Rev JR'!E$1,'Otros Ingresos'!$D$7:$D$500,"&lt;="&amp;EOMONTH('Rev JR'!E$1,0))</f>
        <v>0</v>
      </c>
      <c r="F106" s="523">
        <f>+SUMIFS('Otros Ingresos'!$G$7:$G$500,'Otros Ingresos'!$B$7:$B$500,'Rev JR'!$A106,'Otros Ingresos'!$D$7:$D$500,"&gt;="&amp;'Rev JR'!F$1,'Otros Ingresos'!$D$7:$D$500,"&lt;="&amp;EOMONTH('Rev JR'!F$1,0))</f>
        <v>0</v>
      </c>
      <c r="G106" s="523">
        <f>+SUMIFS('Otros Ingresos'!$G$7:$G$500,'Otros Ingresos'!$B$7:$B$500,'Rev JR'!$A106,'Otros Ingresos'!$D$7:$D$500,"&gt;="&amp;'Rev JR'!G$1,'Otros Ingresos'!$D$7:$D$500,"&lt;="&amp;EOMONTH('Rev JR'!G$1,0))</f>
        <v>0</v>
      </c>
      <c r="H106" s="523">
        <f>+SUMIFS('Otros Ingresos'!$G$7:$G$500,'Otros Ingresos'!$B$7:$B$500,'Rev JR'!$A106,'Otros Ingresos'!$D$7:$D$500,"&gt;="&amp;'Rev JR'!H$1,'Otros Ingresos'!$D$7:$D$500,"&lt;="&amp;EOMONTH('Rev JR'!H$1,0))</f>
        <v>0</v>
      </c>
      <c r="I106" s="523">
        <f>+SUMIFS('Otros Ingresos'!$G$7:$G$500,'Otros Ingresos'!$B$7:$B$500,'Rev JR'!$A106,'Otros Ingresos'!$D$7:$D$500,"&gt;="&amp;'Rev JR'!I$1,'Otros Ingresos'!$D$7:$D$500,"&lt;="&amp;EOMONTH('Rev JR'!I$1,0))</f>
        <v>0</v>
      </c>
      <c r="J106" s="523">
        <f>+SUMIFS('Otros Ingresos'!$G$7:$G$500,'Otros Ingresos'!$B$7:$B$500,'Rev JR'!$A106,'Otros Ingresos'!$D$7:$D$500,"&gt;="&amp;'Rev JR'!J$1,'Otros Ingresos'!$D$7:$D$500,"&lt;="&amp;EOMONTH('Rev JR'!J$1,0))</f>
        <v>0</v>
      </c>
      <c r="K106" s="523">
        <f>+SUMIFS('Otros Ingresos'!$G$7:$G$500,'Otros Ingresos'!$B$7:$B$500,'Rev JR'!$A106,'Otros Ingresos'!$D$7:$D$500,"&gt;="&amp;'Rev JR'!K$1,'Otros Ingresos'!$D$7:$D$500,"&lt;="&amp;EOMONTH('Rev JR'!K$1,0))</f>
        <v>0</v>
      </c>
      <c r="L106" s="523">
        <f>+SUMIFS('Otros Ingresos'!$G$7:$G$500,'Otros Ingresos'!$B$7:$B$500,'Rev JR'!$A106,'Otros Ingresos'!$D$7:$D$500,"&gt;="&amp;'Rev JR'!L$1,'Otros Ingresos'!$D$7:$D$500,"&lt;="&amp;EOMONTH('Rev JR'!L$1,0))</f>
        <v>0</v>
      </c>
      <c r="M106" s="523">
        <f>+SUMIFS('Otros Ingresos'!$G$7:$G$500,'Otros Ingresos'!$B$7:$B$500,'Rev JR'!$A106,'Otros Ingresos'!$D$7:$D$500,"&gt;="&amp;'Rev JR'!M$1,'Otros Ingresos'!$D$7:$D$500,"&lt;="&amp;EOMONTH('Rev JR'!M$1,0))</f>
        <v>0</v>
      </c>
      <c r="N106" s="523">
        <f>+SUMIFS('Otros Ingresos'!$G$7:$G$500,'Otros Ingresos'!$B$7:$B$500,'Rev JR'!$A106,'Otros Ingresos'!$D$7:$D$500,"&gt;="&amp;'Rev JR'!N$1,'Otros Ingresos'!$D$7:$D$500,"&lt;="&amp;EOMONTH('Rev JR'!N$1,0))</f>
        <v>0</v>
      </c>
      <c r="O106" s="523">
        <f t="shared" si="19"/>
        <v>0</v>
      </c>
    </row>
    <row r="107" spans="1:15">
      <c r="A107" s="622" t="str">
        <f t="shared" si="20"/>
        <v>H</v>
      </c>
      <c r="B107" s="519" t="str">
        <f t="shared" si="21"/>
        <v xml:space="preserve">        Otros Ingresos - H</v>
      </c>
      <c r="C107" s="523">
        <f>+SUMIFS('Otros Ingresos'!$G$7:$G$500,'Otros Ingresos'!$B$7:$B$500,'Rev JR'!$A107,'Otros Ingresos'!$D$7:$D$500,"&gt;="&amp;'Rev JR'!C$1,'Otros Ingresos'!$D$7:$D$500,"&lt;="&amp;EOMONTH('Rev JR'!C$1,0))</f>
        <v>0</v>
      </c>
      <c r="D107" s="523">
        <f>+SUMIFS('Otros Ingresos'!$G$7:$G$500,'Otros Ingresos'!$B$7:$B$500,'Rev JR'!$A107,'Otros Ingresos'!$D$7:$D$500,"&gt;="&amp;'Rev JR'!D$1,'Otros Ingresos'!$D$7:$D$500,"&lt;="&amp;EOMONTH('Rev JR'!D$1,0))</f>
        <v>0</v>
      </c>
      <c r="E107" s="523">
        <f>+SUMIFS('Otros Ingresos'!$G$7:$G$500,'Otros Ingresos'!$B$7:$B$500,'Rev JR'!$A107,'Otros Ingresos'!$D$7:$D$500,"&gt;="&amp;'Rev JR'!E$1,'Otros Ingresos'!$D$7:$D$500,"&lt;="&amp;EOMONTH('Rev JR'!E$1,0))</f>
        <v>0</v>
      </c>
      <c r="F107" s="523">
        <f>+SUMIFS('Otros Ingresos'!$G$7:$G$500,'Otros Ingresos'!$B$7:$B$500,'Rev JR'!$A107,'Otros Ingresos'!$D$7:$D$500,"&gt;="&amp;'Rev JR'!F$1,'Otros Ingresos'!$D$7:$D$500,"&lt;="&amp;EOMONTH('Rev JR'!F$1,0))</f>
        <v>0</v>
      </c>
      <c r="G107" s="523">
        <f>+SUMIFS('Otros Ingresos'!$G$7:$G$500,'Otros Ingresos'!$B$7:$B$500,'Rev JR'!$A107,'Otros Ingresos'!$D$7:$D$500,"&gt;="&amp;'Rev JR'!G$1,'Otros Ingresos'!$D$7:$D$500,"&lt;="&amp;EOMONTH('Rev JR'!G$1,0))</f>
        <v>0</v>
      </c>
      <c r="H107" s="523">
        <f>+SUMIFS('Otros Ingresos'!$G$7:$G$500,'Otros Ingresos'!$B$7:$B$500,'Rev JR'!$A107,'Otros Ingresos'!$D$7:$D$500,"&gt;="&amp;'Rev JR'!H$1,'Otros Ingresos'!$D$7:$D$500,"&lt;="&amp;EOMONTH('Rev JR'!H$1,0))</f>
        <v>0</v>
      </c>
      <c r="I107" s="523">
        <f>+SUMIFS('Otros Ingresos'!$G$7:$G$500,'Otros Ingresos'!$B$7:$B$500,'Rev JR'!$A107,'Otros Ingresos'!$D$7:$D$500,"&gt;="&amp;'Rev JR'!I$1,'Otros Ingresos'!$D$7:$D$500,"&lt;="&amp;EOMONTH('Rev JR'!I$1,0))</f>
        <v>0</v>
      </c>
      <c r="J107" s="523">
        <f>+SUMIFS('Otros Ingresos'!$G$7:$G$500,'Otros Ingresos'!$B$7:$B$500,'Rev JR'!$A107,'Otros Ingresos'!$D$7:$D$500,"&gt;="&amp;'Rev JR'!J$1,'Otros Ingresos'!$D$7:$D$500,"&lt;="&amp;EOMONTH('Rev JR'!J$1,0))</f>
        <v>0</v>
      </c>
      <c r="K107" s="523">
        <f>+SUMIFS('Otros Ingresos'!$G$7:$G$500,'Otros Ingresos'!$B$7:$B$500,'Rev JR'!$A107,'Otros Ingresos'!$D$7:$D$500,"&gt;="&amp;'Rev JR'!K$1,'Otros Ingresos'!$D$7:$D$500,"&lt;="&amp;EOMONTH('Rev JR'!K$1,0))</f>
        <v>0</v>
      </c>
      <c r="L107" s="523">
        <f>+SUMIFS('Otros Ingresos'!$G$7:$G$500,'Otros Ingresos'!$B$7:$B$500,'Rev JR'!$A107,'Otros Ingresos'!$D$7:$D$500,"&gt;="&amp;'Rev JR'!L$1,'Otros Ingresos'!$D$7:$D$500,"&lt;="&amp;EOMONTH('Rev JR'!L$1,0))</f>
        <v>0</v>
      </c>
      <c r="M107" s="523">
        <f>+SUMIFS('Otros Ingresos'!$G$7:$G$500,'Otros Ingresos'!$B$7:$B$500,'Rev JR'!$A107,'Otros Ingresos'!$D$7:$D$500,"&gt;="&amp;'Rev JR'!M$1,'Otros Ingresos'!$D$7:$D$500,"&lt;="&amp;EOMONTH('Rev JR'!M$1,0))</f>
        <v>0</v>
      </c>
      <c r="N107" s="523">
        <f>+SUMIFS('Otros Ingresos'!$G$7:$G$500,'Otros Ingresos'!$B$7:$B$500,'Rev JR'!$A107,'Otros Ingresos'!$D$7:$D$500,"&gt;="&amp;'Rev JR'!N$1,'Otros Ingresos'!$D$7:$D$500,"&lt;="&amp;EOMONTH('Rev JR'!N$1,0))</f>
        <v>0</v>
      </c>
      <c r="O107" s="523">
        <f t="shared" si="19"/>
        <v>0</v>
      </c>
    </row>
    <row r="108" spans="1:15">
      <c r="A108" s="622" t="str">
        <f t="shared" si="20"/>
        <v>I</v>
      </c>
      <c r="B108" s="519" t="str">
        <f t="shared" si="21"/>
        <v xml:space="preserve">        Otros Ingresos - I</v>
      </c>
      <c r="C108" s="523">
        <f>+SUMIFS('Otros Ingresos'!$G$7:$G$500,'Otros Ingresos'!$B$7:$B$500,'Rev JR'!$A108,'Otros Ingresos'!$D$7:$D$500,"&gt;="&amp;'Rev JR'!C$1,'Otros Ingresos'!$D$7:$D$500,"&lt;="&amp;EOMONTH('Rev JR'!C$1,0))</f>
        <v>0</v>
      </c>
      <c r="D108" s="523">
        <f>+SUMIFS('Otros Ingresos'!$G$7:$G$500,'Otros Ingresos'!$B$7:$B$500,'Rev JR'!$A108,'Otros Ingresos'!$D$7:$D$500,"&gt;="&amp;'Rev JR'!D$1,'Otros Ingresos'!$D$7:$D$500,"&lt;="&amp;EOMONTH('Rev JR'!D$1,0))</f>
        <v>0</v>
      </c>
      <c r="E108" s="523">
        <f>+SUMIFS('Otros Ingresos'!$G$7:$G$500,'Otros Ingresos'!$B$7:$B$500,'Rev JR'!$A108,'Otros Ingresos'!$D$7:$D$500,"&gt;="&amp;'Rev JR'!E$1,'Otros Ingresos'!$D$7:$D$500,"&lt;="&amp;EOMONTH('Rev JR'!E$1,0))</f>
        <v>0</v>
      </c>
      <c r="F108" s="523">
        <f>+SUMIFS('Otros Ingresos'!$G$7:$G$500,'Otros Ingresos'!$B$7:$B$500,'Rev JR'!$A108,'Otros Ingresos'!$D$7:$D$500,"&gt;="&amp;'Rev JR'!F$1,'Otros Ingresos'!$D$7:$D$500,"&lt;="&amp;EOMONTH('Rev JR'!F$1,0))</f>
        <v>0</v>
      </c>
      <c r="G108" s="523">
        <f>+SUMIFS('Otros Ingresos'!$G$7:$G$500,'Otros Ingresos'!$B$7:$B$500,'Rev JR'!$A108,'Otros Ingresos'!$D$7:$D$500,"&gt;="&amp;'Rev JR'!G$1,'Otros Ingresos'!$D$7:$D$500,"&lt;="&amp;EOMONTH('Rev JR'!G$1,0))</f>
        <v>0</v>
      </c>
      <c r="H108" s="523">
        <f>+SUMIFS('Otros Ingresos'!$G$7:$G$500,'Otros Ingresos'!$B$7:$B$500,'Rev JR'!$A108,'Otros Ingresos'!$D$7:$D$500,"&gt;="&amp;'Rev JR'!H$1,'Otros Ingresos'!$D$7:$D$500,"&lt;="&amp;EOMONTH('Rev JR'!H$1,0))</f>
        <v>0</v>
      </c>
      <c r="I108" s="523">
        <f>+SUMIFS('Otros Ingresos'!$G$7:$G$500,'Otros Ingresos'!$B$7:$B$500,'Rev JR'!$A108,'Otros Ingresos'!$D$7:$D$500,"&gt;="&amp;'Rev JR'!I$1,'Otros Ingresos'!$D$7:$D$500,"&lt;="&amp;EOMONTH('Rev JR'!I$1,0))</f>
        <v>0</v>
      </c>
      <c r="J108" s="523">
        <f>+SUMIFS('Otros Ingresos'!$G$7:$G$500,'Otros Ingresos'!$B$7:$B$500,'Rev JR'!$A108,'Otros Ingresos'!$D$7:$D$500,"&gt;="&amp;'Rev JR'!J$1,'Otros Ingresos'!$D$7:$D$500,"&lt;="&amp;EOMONTH('Rev JR'!J$1,0))</f>
        <v>0</v>
      </c>
      <c r="K108" s="523">
        <f>+SUMIFS('Otros Ingresos'!$G$7:$G$500,'Otros Ingresos'!$B$7:$B$500,'Rev JR'!$A108,'Otros Ingresos'!$D$7:$D$500,"&gt;="&amp;'Rev JR'!K$1,'Otros Ingresos'!$D$7:$D$500,"&lt;="&amp;EOMONTH('Rev JR'!K$1,0))</f>
        <v>0</v>
      </c>
      <c r="L108" s="523">
        <f>+SUMIFS('Otros Ingresos'!$G$7:$G$500,'Otros Ingresos'!$B$7:$B$500,'Rev JR'!$A108,'Otros Ingresos'!$D$7:$D$500,"&gt;="&amp;'Rev JR'!L$1,'Otros Ingresos'!$D$7:$D$500,"&lt;="&amp;EOMONTH('Rev JR'!L$1,0))</f>
        <v>0</v>
      </c>
      <c r="M108" s="523">
        <f>+SUMIFS('Otros Ingresos'!$G$7:$G$500,'Otros Ingresos'!$B$7:$B$500,'Rev JR'!$A108,'Otros Ingresos'!$D$7:$D$500,"&gt;="&amp;'Rev JR'!M$1,'Otros Ingresos'!$D$7:$D$500,"&lt;="&amp;EOMONTH('Rev JR'!M$1,0))</f>
        <v>0</v>
      </c>
      <c r="N108" s="523">
        <f>+SUMIFS('Otros Ingresos'!$G$7:$G$500,'Otros Ingresos'!$B$7:$B$500,'Rev JR'!$A108,'Otros Ingresos'!$D$7:$D$500,"&gt;="&amp;'Rev JR'!N$1,'Otros Ingresos'!$D$7:$D$500,"&lt;="&amp;EOMONTH('Rev JR'!N$1,0))</f>
        <v>0</v>
      </c>
      <c r="O108" s="523">
        <f t="shared" si="19"/>
        <v>0</v>
      </c>
    </row>
    <row r="109" spans="1:15">
      <c r="A109" s="622" t="str">
        <f t="shared" si="20"/>
        <v>J</v>
      </c>
      <c r="B109" s="519" t="str">
        <f t="shared" si="21"/>
        <v xml:space="preserve">        Otros Ingresos - J</v>
      </c>
      <c r="C109" s="523">
        <f>+SUMIFS('Otros Ingresos'!$G$7:$G$500,'Otros Ingresos'!$B$7:$B$500,'Rev JR'!$A109,'Otros Ingresos'!$D$7:$D$500,"&gt;="&amp;'Rev JR'!C$1,'Otros Ingresos'!$D$7:$D$500,"&lt;="&amp;EOMONTH('Rev JR'!C$1,0))</f>
        <v>0</v>
      </c>
      <c r="D109" s="523">
        <f>+SUMIFS('Otros Ingresos'!$G$7:$G$500,'Otros Ingresos'!$B$7:$B$500,'Rev JR'!$A109,'Otros Ingresos'!$D$7:$D$500,"&gt;="&amp;'Rev JR'!D$1,'Otros Ingresos'!$D$7:$D$500,"&lt;="&amp;EOMONTH('Rev JR'!D$1,0))</f>
        <v>0</v>
      </c>
      <c r="E109" s="523">
        <f>+SUMIFS('Otros Ingresos'!$G$7:$G$500,'Otros Ingresos'!$B$7:$B$500,'Rev JR'!$A109,'Otros Ingresos'!$D$7:$D$500,"&gt;="&amp;'Rev JR'!E$1,'Otros Ingresos'!$D$7:$D$500,"&lt;="&amp;EOMONTH('Rev JR'!E$1,0))</f>
        <v>0</v>
      </c>
      <c r="F109" s="523">
        <f>+SUMIFS('Otros Ingresos'!$G$7:$G$500,'Otros Ingresos'!$B$7:$B$500,'Rev JR'!$A109,'Otros Ingresos'!$D$7:$D$500,"&gt;="&amp;'Rev JR'!F$1,'Otros Ingresos'!$D$7:$D$500,"&lt;="&amp;EOMONTH('Rev JR'!F$1,0))</f>
        <v>0</v>
      </c>
      <c r="G109" s="523">
        <f>+SUMIFS('Otros Ingresos'!$G$7:$G$500,'Otros Ingresos'!$B$7:$B$500,'Rev JR'!$A109,'Otros Ingresos'!$D$7:$D$500,"&gt;="&amp;'Rev JR'!G$1,'Otros Ingresos'!$D$7:$D$500,"&lt;="&amp;EOMONTH('Rev JR'!G$1,0))</f>
        <v>0</v>
      </c>
      <c r="H109" s="523">
        <f>+SUMIFS('Otros Ingresos'!$G$7:$G$500,'Otros Ingresos'!$B$7:$B$500,'Rev JR'!$A109,'Otros Ingresos'!$D$7:$D$500,"&gt;="&amp;'Rev JR'!H$1,'Otros Ingresos'!$D$7:$D$500,"&lt;="&amp;EOMONTH('Rev JR'!H$1,0))</f>
        <v>0</v>
      </c>
      <c r="I109" s="523">
        <f>+SUMIFS('Otros Ingresos'!$G$7:$G$500,'Otros Ingresos'!$B$7:$B$500,'Rev JR'!$A109,'Otros Ingresos'!$D$7:$D$500,"&gt;="&amp;'Rev JR'!I$1,'Otros Ingresos'!$D$7:$D$500,"&lt;="&amp;EOMONTH('Rev JR'!I$1,0))</f>
        <v>0</v>
      </c>
      <c r="J109" s="523">
        <f>+SUMIFS('Otros Ingresos'!$G$7:$G$500,'Otros Ingresos'!$B$7:$B$500,'Rev JR'!$A109,'Otros Ingresos'!$D$7:$D$500,"&gt;="&amp;'Rev JR'!J$1,'Otros Ingresos'!$D$7:$D$500,"&lt;="&amp;EOMONTH('Rev JR'!J$1,0))</f>
        <v>0</v>
      </c>
      <c r="K109" s="523">
        <f>+SUMIFS('Otros Ingresos'!$G$7:$G$500,'Otros Ingresos'!$B$7:$B$500,'Rev JR'!$A109,'Otros Ingresos'!$D$7:$D$500,"&gt;="&amp;'Rev JR'!K$1,'Otros Ingresos'!$D$7:$D$500,"&lt;="&amp;EOMONTH('Rev JR'!K$1,0))</f>
        <v>0</v>
      </c>
      <c r="L109" s="523">
        <f>+SUMIFS('Otros Ingresos'!$G$7:$G$500,'Otros Ingresos'!$B$7:$B$500,'Rev JR'!$A109,'Otros Ingresos'!$D$7:$D$500,"&gt;="&amp;'Rev JR'!L$1,'Otros Ingresos'!$D$7:$D$500,"&lt;="&amp;EOMONTH('Rev JR'!L$1,0))</f>
        <v>0</v>
      </c>
      <c r="M109" s="523">
        <f>+SUMIFS('Otros Ingresos'!$G$7:$G$500,'Otros Ingresos'!$B$7:$B$500,'Rev JR'!$A109,'Otros Ingresos'!$D$7:$D$500,"&gt;="&amp;'Rev JR'!M$1,'Otros Ingresos'!$D$7:$D$500,"&lt;="&amp;EOMONTH('Rev JR'!M$1,0))</f>
        <v>0</v>
      </c>
      <c r="N109" s="523">
        <f>+SUMIFS('Otros Ingresos'!$G$7:$G$500,'Otros Ingresos'!$B$7:$B$500,'Rev JR'!$A109,'Otros Ingresos'!$D$7:$D$500,"&gt;="&amp;'Rev JR'!N$1,'Otros Ingresos'!$D$7:$D$500,"&lt;="&amp;EOMONTH('Rev JR'!N$1,0))</f>
        <v>0</v>
      </c>
      <c r="O109" s="523">
        <f t="shared" si="19"/>
        <v>0</v>
      </c>
    </row>
    <row r="110" spans="1:15">
      <c r="A110" s="622" t="str">
        <f t="shared" si="20"/>
        <v>K</v>
      </c>
      <c r="B110" s="519" t="str">
        <f t="shared" si="21"/>
        <v xml:space="preserve">        Otros Ingresos - K</v>
      </c>
      <c r="C110" s="523">
        <f>+SUMIFS('Otros Ingresos'!$G$7:$G$500,'Otros Ingresos'!$B$7:$B$500,'Rev JR'!$A110,'Otros Ingresos'!$D$7:$D$500,"&gt;="&amp;'Rev JR'!C$1,'Otros Ingresos'!$D$7:$D$500,"&lt;="&amp;EOMONTH('Rev JR'!C$1,0))</f>
        <v>0</v>
      </c>
      <c r="D110" s="523">
        <f>+SUMIFS('Otros Ingresos'!$G$7:$G$500,'Otros Ingresos'!$B$7:$B$500,'Rev JR'!$A110,'Otros Ingresos'!$D$7:$D$500,"&gt;="&amp;'Rev JR'!D$1,'Otros Ingresos'!$D$7:$D$500,"&lt;="&amp;EOMONTH('Rev JR'!D$1,0))</f>
        <v>0</v>
      </c>
      <c r="E110" s="523">
        <f>+SUMIFS('Otros Ingresos'!$G$7:$G$500,'Otros Ingresos'!$B$7:$B$500,'Rev JR'!$A110,'Otros Ingresos'!$D$7:$D$500,"&gt;="&amp;'Rev JR'!E$1,'Otros Ingresos'!$D$7:$D$500,"&lt;="&amp;EOMONTH('Rev JR'!E$1,0))</f>
        <v>0</v>
      </c>
      <c r="F110" s="523">
        <f>+SUMIFS('Otros Ingresos'!$G$7:$G$500,'Otros Ingresos'!$B$7:$B$500,'Rev JR'!$A110,'Otros Ingresos'!$D$7:$D$500,"&gt;="&amp;'Rev JR'!F$1,'Otros Ingresos'!$D$7:$D$500,"&lt;="&amp;EOMONTH('Rev JR'!F$1,0))</f>
        <v>0</v>
      </c>
      <c r="G110" s="523">
        <f>+SUMIFS('Otros Ingresos'!$G$7:$G$500,'Otros Ingresos'!$B$7:$B$500,'Rev JR'!$A110,'Otros Ingresos'!$D$7:$D$500,"&gt;="&amp;'Rev JR'!G$1,'Otros Ingresos'!$D$7:$D$500,"&lt;="&amp;EOMONTH('Rev JR'!G$1,0))</f>
        <v>0</v>
      </c>
      <c r="H110" s="523">
        <f>+SUMIFS('Otros Ingresos'!$G$7:$G$500,'Otros Ingresos'!$B$7:$B$500,'Rev JR'!$A110,'Otros Ingresos'!$D$7:$D$500,"&gt;="&amp;'Rev JR'!H$1,'Otros Ingresos'!$D$7:$D$500,"&lt;="&amp;EOMONTH('Rev JR'!H$1,0))</f>
        <v>0</v>
      </c>
      <c r="I110" s="523">
        <f>+SUMIFS('Otros Ingresos'!$G$7:$G$500,'Otros Ingresos'!$B$7:$B$500,'Rev JR'!$A110,'Otros Ingresos'!$D$7:$D$500,"&gt;="&amp;'Rev JR'!I$1,'Otros Ingresos'!$D$7:$D$500,"&lt;="&amp;EOMONTH('Rev JR'!I$1,0))</f>
        <v>0</v>
      </c>
      <c r="J110" s="523">
        <f>+SUMIFS('Otros Ingresos'!$G$7:$G$500,'Otros Ingresos'!$B$7:$B$500,'Rev JR'!$A110,'Otros Ingresos'!$D$7:$D$500,"&gt;="&amp;'Rev JR'!J$1,'Otros Ingresos'!$D$7:$D$500,"&lt;="&amp;EOMONTH('Rev JR'!J$1,0))</f>
        <v>0</v>
      </c>
      <c r="K110" s="523">
        <f>+SUMIFS('Otros Ingresos'!$G$7:$G$500,'Otros Ingresos'!$B$7:$B$500,'Rev JR'!$A110,'Otros Ingresos'!$D$7:$D$500,"&gt;="&amp;'Rev JR'!K$1,'Otros Ingresos'!$D$7:$D$500,"&lt;="&amp;EOMONTH('Rev JR'!K$1,0))</f>
        <v>0</v>
      </c>
      <c r="L110" s="523">
        <f>+SUMIFS('Otros Ingresos'!$G$7:$G$500,'Otros Ingresos'!$B$7:$B$500,'Rev JR'!$A110,'Otros Ingresos'!$D$7:$D$500,"&gt;="&amp;'Rev JR'!L$1,'Otros Ingresos'!$D$7:$D$500,"&lt;="&amp;EOMONTH('Rev JR'!L$1,0))</f>
        <v>0</v>
      </c>
      <c r="M110" s="523">
        <f>+SUMIFS('Otros Ingresos'!$G$7:$G$500,'Otros Ingresos'!$B$7:$B$500,'Rev JR'!$A110,'Otros Ingresos'!$D$7:$D$500,"&gt;="&amp;'Rev JR'!M$1,'Otros Ingresos'!$D$7:$D$500,"&lt;="&amp;EOMONTH('Rev JR'!M$1,0))</f>
        <v>0</v>
      </c>
      <c r="N110" s="523">
        <f>+SUMIFS('Otros Ingresos'!$G$7:$G$500,'Otros Ingresos'!$B$7:$B$500,'Rev JR'!$A110,'Otros Ingresos'!$D$7:$D$500,"&gt;="&amp;'Rev JR'!N$1,'Otros Ingresos'!$D$7:$D$500,"&lt;="&amp;EOMONTH('Rev JR'!N$1,0))</f>
        <v>0</v>
      </c>
      <c r="O110" s="523">
        <f t="shared" si="19"/>
        <v>0</v>
      </c>
    </row>
    <row r="111" spans="1:15">
      <c r="A111" s="622" t="str">
        <f t="shared" si="20"/>
        <v>L</v>
      </c>
      <c r="B111" s="519" t="str">
        <f t="shared" si="21"/>
        <v xml:space="preserve">        Otros Ingresos - L</v>
      </c>
      <c r="C111" s="523">
        <f>+SUMIFS('Otros Ingresos'!$G$7:$G$500,'Otros Ingresos'!$B$7:$B$500,'Rev JR'!$A111,'Otros Ingresos'!$D$7:$D$500,"&gt;="&amp;'Rev JR'!C$1,'Otros Ingresos'!$D$7:$D$500,"&lt;="&amp;EOMONTH('Rev JR'!C$1,0))</f>
        <v>0</v>
      </c>
      <c r="D111" s="523">
        <f>+SUMIFS('Otros Ingresos'!$G$7:$G$500,'Otros Ingresos'!$B$7:$B$500,'Rev JR'!$A111,'Otros Ingresos'!$D$7:$D$500,"&gt;="&amp;'Rev JR'!D$1,'Otros Ingresos'!$D$7:$D$500,"&lt;="&amp;EOMONTH('Rev JR'!D$1,0))</f>
        <v>0</v>
      </c>
      <c r="E111" s="523">
        <f>+SUMIFS('Otros Ingresos'!$G$7:$G$500,'Otros Ingresos'!$B$7:$B$500,'Rev JR'!$A111,'Otros Ingresos'!$D$7:$D$500,"&gt;="&amp;'Rev JR'!E$1,'Otros Ingresos'!$D$7:$D$500,"&lt;="&amp;EOMONTH('Rev JR'!E$1,0))</f>
        <v>0</v>
      </c>
      <c r="F111" s="523">
        <f>+SUMIFS('Otros Ingresos'!$G$7:$G$500,'Otros Ingresos'!$B$7:$B$500,'Rev JR'!$A111,'Otros Ingresos'!$D$7:$D$500,"&gt;="&amp;'Rev JR'!F$1,'Otros Ingresos'!$D$7:$D$500,"&lt;="&amp;EOMONTH('Rev JR'!F$1,0))</f>
        <v>0</v>
      </c>
      <c r="G111" s="523">
        <f>+SUMIFS('Otros Ingresos'!$G$7:$G$500,'Otros Ingresos'!$B$7:$B$500,'Rev JR'!$A111,'Otros Ingresos'!$D$7:$D$500,"&gt;="&amp;'Rev JR'!G$1,'Otros Ingresos'!$D$7:$D$500,"&lt;="&amp;EOMONTH('Rev JR'!G$1,0))</f>
        <v>0</v>
      </c>
      <c r="H111" s="523">
        <f>+SUMIFS('Otros Ingresos'!$G$7:$G$500,'Otros Ingresos'!$B$7:$B$500,'Rev JR'!$A111,'Otros Ingresos'!$D$7:$D$500,"&gt;="&amp;'Rev JR'!H$1,'Otros Ingresos'!$D$7:$D$500,"&lt;="&amp;EOMONTH('Rev JR'!H$1,0))</f>
        <v>0</v>
      </c>
      <c r="I111" s="523">
        <f>+SUMIFS('Otros Ingresos'!$G$7:$G$500,'Otros Ingresos'!$B$7:$B$500,'Rev JR'!$A111,'Otros Ingresos'!$D$7:$D$500,"&gt;="&amp;'Rev JR'!I$1,'Otros Ingresos'!$D$7:$D$500,"&lt;="&amp;EOMONTH('Rev JR'!I$1,0))</f>
        <v>0</v>
      </c>
      <c r="J111" s="523">
        <f>+SUMIFS('Otros Ingresos'!$G$7:$G$500,'Otros Ingresos'!$B$7:$B$500,'Rev JR'!$A111,'Otros Ingresos'!$D$7:$D$500,"&gt;="&amp;'Rev JR'!J$1,'Otros Ingresos'!$D$7:$D$500,"&lt;="&amp;EOMONTH('Rev JR'!J$1,0))</f>
        <v>0</v>
      </c>
      <c r="K111" s="523">
        <f>+SUMIFS('Otros Ingresos'!$G$7:$G$500,'Otros Ingresos'!$B$7:$B$500,'Rev JR'!$A111,'Otros Ingresos'!$D$7:$D$500,"&gt;="&amp;'Rev JR'!K$1,'Otros Ingresos'!$D$7:$D$500,"&lt;="&amp;EOMONTH('Rev JR'!K$1,0))</f>
        <v>0</v>
      </c>
      <c r="L111" s="523">
        <f>+SUMIFS('Otros Ingresos'!$G$7:$G$500,'Otros Ingresos'!$B$7:$B$500,'Rev JR'!$A111,'Otros Ingresos'!$D$7:$D$500,"&gt;="&amp;'Rev JR'!L$1,'Otros Ingresos'!$D$7:$D$500,"&lt;="&amp;EOMONTH('Rev JR'!L$1,0))</f>
        <v>0</v>
      </c>
      <c r="M111" s="523">
        <f>+SUMIFS('Otros Ingresos'!$G$7:$G$500,'Otros Ingresos'!$B$7:$B$500,'Rev JR'!$A111,'Otros Ingresos'!$D$7:$D$500,"&gt;="&amp;'Rev JR'!M$1,'Otros Ingresos'!$D$7:$D$500,"&lt;="&amp;EOMONTH('Rev JR'!M$1,0))</f>
        <v>0</v>
      </c>
      <c r="N111" s="523">
        <f>+SUMIFS('Otros Ingresos'!$G$7:$G$500,'Otros Ingresos'!$B$7:$B$500,'Rev JR'!$A111,'Otros Ingresos'!$D$7:$D$500,"&gt;="&amp;'Rev JR'!N$1,'Otros Ingresos'!$D$7:$D$500,"&lt;="&amp;EOMONTH('Rev JR'!N$1,0))</f>
        <v>0</v>
      </c>
      <c r="O111" s="523">
        <f t="shared" si="19"/>
        <v>0</v>
      </c>
    </row>
    <row r="112" spans="1:15">
      <c r="A112" s="622" t="str">
        <f t="shared" si="20"/>
        <v>M</v>
      </c>
      <c r="B112" s="519" t="str">
        <f t="shared" si="21"/>
        <v xml:space="preserve">        Otros Ingresos - M</v>
      </c>
      <c r="C112" s="523">
        <f>+SUMIFS('Otros Ingresos'!$G$7:$G$500,'Otros Ingresos'!$B$7:$B$500,'Rev JR'!$A112,'Otros Ingresos'!$D$7:$D$500,"&gt;="&amp;'Rev JR'!C$1,'Otros Ingresos'!$D$7:$D$500,"&lt;="&amp;EOMONTH('Rev JR'!C$1,0))</f>
        <v>0</v>
      </c>
      <c r="D112" s="523">
        <f>+SUMIFS('Otros Ingresos'!$G$7:$G$500,'Otros Ingresos'!$B$7:$B$500,'Rev JR'!$A112,'Otros Ingresos'!$D$7:$D$500,"&gt;="&amp;'Rev JR'!D$1,'Otros Ingresos'!$D$7:$D$500,"&lt;="&amp;EOMONTH('Rev JR'!D$1,0))</f>
        <v>0</v>
      </c>
      <c r="E112" s="523">
        <f>+SUMIFS('Otros Ingresos'!$G$7:$G$500,'Otros Ingresos'!$B$7:$B$500,'Rev JR'!$A112,'Otros Ingresos'!$D$7:$D$500,"&gt;="&amp;'Rev JR'!E$1,'Otros Ingresos'!$D$7:$D$500,"&lt;="&amp;EOMONTH('Rev JR'!E$1,0))</f>
        <v>0</v>
      </c>
      <c r="F112" s="523">
        <f>+SUMIFS('Otros Ingresos'!$G$7:$G$500,'Otros Ingresos'!$B$7:$B$500,'Rev JR'!$A112,'Otros Ingresos'!$D$7:$D$500,"&gt;="&amp;'Rev JR'!F$1,'Otros Ingresos'!$D$7:$D$500,"&lt;="&amp;EOMONTH('Rev JR'!F$1,0))</f>
        <v>0</v>
      </c>
      <c r="G112" s="523">
        <f>+SUMIFS('Otros Ingresos'!$G$7:$G$500,'Otros Ingresos'!$B$7:$B$500,'Rev JR'!$A112,'Otros Ingresos'!$D$7:$D$500,"&gt;="&amp;'Rev JR'!G$1,'Otros Ingresos'!$D$7:$D$500,"&lt;="&amp;EOMONTH('Rev JR'!G$1,0))</f>
        <v>0</v>
      </c>
      <c r="H112" s="523">
        <f>+SUMIFS('Otros Ingresos'!$G$7:$G$500,'Otros Ingresos'!$B$7:$B$500,'Rev JR'!$A112,'Otros Ingresos'!$D$7:$D$500,"&gt;="&amp;'Rev JR'!H$1,'Otros Ingresos'!$D$7:$D$500,"&lt;="&amp;EOMONTH('Rev JR'!H$1,0))</f>
        <v>0</v>
      </c>
      <c r="I112" s="523">
        <f>+SUMIFS('Otros Ingresos'!$G$7:$G$500,'Otros Ingresos'!$B$7:$B$500,'Rev JR'!$A112,'Otros Ingresos'!$D$7:$D$500,"&gt;="&amp;'Rev JR'!I$1,'Otros Ingresos'!$D$7:$D$500,"&lt;="&amp;EOMONTH('Rev JR'!I$1,0))</f>
        <v>0</v>
      </c>
      <c r="J112" s="523">
        <f>+SUMIFS('Otros Ingresos'!$G$7:$G$500,'Otros Ingresos'!$B$7:$B$500,'Rev JR'!$A112,'Otros Ingresos'!$D$7:$D$500,"&gt;="&amp;'Rev JR'!J$1,'Otros Ingresos'!$D$7:$D$500,"&lt;="&amp;EOMONTH('Rev JR'!J$1,0))</f>
        <v>0</v>
      </c>
      <c r="K112" s="523">
        <f>+SUMIFS('Otros Ingresos'!$G$7:$G$500,'Otros Ingresos'!$B$7:$B$500,'Rev JR'!$A112,'Otros Ingresos'!$D$7:$D$500,"&gt;="&amp;'Rev JR'!K$1,'Otros Ingresos'!$D$7:$D$500,"&lt;="&amp;EOMONTH('Rev JR'!K$1,0))</f>
        <v>0</v>
      </c>
      <c r="L112" s="523">
        <f>+SUMIFS('Otros Ingresos'!$G$7:$G$500,'Otros Ingresos'!$B$7:$B$500,'Rev JR'!$A112,'Otros Ingresos'!$D$7:$D$500,"&gt;="&amp;'Rev JR'!L$1,'Otros Ingresos'!$D$7:$D$500,"&lt;="&amp;EOMONTH('Rev JR'!L$1,0))</f>
        <v>0</v>
      </c>
      <c r="M112" s="523">
        <f>+SUMIFS('Otros Ingresos'!$G$7:$G$500,'Otros Ingresos'!$B$7:$B$500,'Rev JR'!$A112,'Otros Ingresos'!$D$7:$D$500,"&gt;="&amp;'Rev JR'!M$1,'Otros Ingresos'!$D$7:$D$500,"&lt;="&amp;EOMONTH('Rev JR'!M$1,0))</f>
        <v>0</v>
      </c>
      <c r="N112" s="523">
        <f>+SUMIFS('Otros Ingresos'!$G$7:$G$500,'Otros Ingresos'!$B$7:$B$500,'Rev JR'!$A112,'Otros Ingresos'!$D$7:$D$500,"&gt;="&amp;'Rev JR'!N$1,'Otros Ingresos'!$D$7:$D$500,"&lt;="&amp;EOMONTH('Rev JR'!N$1,0))</f>
        <v>0</v>
      </c>
      <c r="O112" s="523">
        <f t="shared" si="19"/>
        <v>0</v>
      </c>
    </row>
    <row r="113" spans="1:15">
      <c r="A113" s="622" t="str">
        <f t="shared" si="20"/>
        <v>N</v>
      </c>
      <c r="B113" s="519" t="str">
        <f t="shared" si="21"/>
        <v xml:space="preserve">        Otros Ingresos - N</v>
      </c>
      <c r="C113" s="523">
        <f>+SUMIFS('Otros Ingresos'!$G$7:$G$500,'Otros Ingresos'!$B$7:$B$500,'Rev JR'!$A113,'Otros Ingresos'!$D$7:$D$500,"&gt;="&amp;'Rev JR'!C$1,'Otros Ingresos'!$D$7:$D$500,"&lt;="&amp;EOMONTH('Rev JR'!C$1,0))</f>
        <v>0</v>
      </c>
      <c r="D113" s="523">
        <f>+SUMIFS('Otros Ingresos'!$G$7:$G$500,'Otros Ingresos'!$B$7:$B$500,'Rev JR'!$A113,'Otros Ingresos'!$D$7:$D$500,"&gt;="&amp;'Rev JR'!D$1,'Otros Ingresos'!$D$7:$D$500,"&lt;="&amp;EOMONTH('Rev JR'!D$1,0))</f>
        <v>0</v>
      </c>
      <c r="E113" s="523">
        <f>+SUMIFS('Otros Ingresos'!$G$7:$G$500,'Otros Ingresos'!$B$7:$B$500,'Rev JR'!$A113,'Otros Ingresos'!$D$7:$D$500,"&gt;="&amp;'Rev JR'!E$1,'Otros Ingresos'!$D$7:$D$500,"&lt;="&amp;EOMONTH('Rev JR'!E$1,0))</f>
        <v>0</v>
      </c>
      <c r="F113" s="523">
        <f>+SUMIFS('Otros Ingresos'!$G$7:$G$500,'Otros Ingresos'!$B$7:$B$500,'Rev JR'!$A113,'Otros Ingresos'!$D$7:$D$500,"&gt;="&amp;'Rev JR'!F$1,'Otros Ingresos'!$D$7:$D$500,"&lt;="&amp;EOMONTH('Rev JR'!F$1,0))</f>
        <v>0</v>
      </c>
      <c r="G113" s="523">
        <f>+SUMIFS('Otros Ingresos'!$G$7:$G$500,'Otros Ingresos'!$B$7:$B$500,'Rev JR'!$A113,'Otros Ingresos'!$D$7:$D$500,"&gt;="&amp;'Rev JR'!G$1,'Otros Ingresos'!$D$7:$D$500,"&lt;="&amp;EOMONTH('Rev JR'!G$1,0))</f>
        <v>0</v>
      </c>
      <c r="H113" s="523">
        <f>+SUMIFS('Otros Ingresos'!$G$7:$G$500,'Otros Ingresos'!$B$7:$B$500,'Rev JR'!$A113,'Otros Ingresos'!$D$7:$D$500,"&gt;="&amp;'Rev JR'!H$1,'Otros Ingresos'!$D$7:$D$500,"&lt;="&amp;EOMONTH('Rev JR'!H$1,0))</f>
        <v>0</v>
      </c>
      <c r="I113" s="523">
        <f>+SUMIFS('Otros Ingresos'!$G$7:$G$500,'Otros Ingresos'!$B$7:$B$500,'Rev JR'!$A113,'Otros Ingresos'!$D$7:$D$500,"&gt;="&amp;'Rev JR'!I$1,'Otros Ingresos'!$D$7:$D$500,"&lt;="&amp;EOMONTH('Rev JR'!I$1,0))</f>
        <v>0</v>
      </c>
      <c r="J113" s="523">
        <f>+SUMIFS('Otros Ingresos'!$G$7:$G$500,'Otros Ingresos'!$B$7:$B$500,'Rev JR'!$A113,'Otros Ingresos'!$D$7:$D$500,"&gt;="&amp;'Rev JR'!J$1,'Otros Ingresos'!$D$7:$D$500,"&lt;="&amp;EOMONTH('Rev JR'!J$1,0))</f>
        <v>0</v>
      </c>
      <c r="K113" s="523">
        <f>+SUMIFS('Otros Ingresos'!$G$7:$G$500,'Otros Ingresos'!$B$7:$B$500,'Rev JR'!$A113,'Otros Ingresos'!$D$7:$D$500,"&gt;="&amp;'Rev JR'!K$1,'Otros Ingresos'!$D$7:$D$500,"&lt;="&amp;EOMONTH('Rev JR'!K$1,0))</f>
        <v>0</v>
      </c>
      <c r="L113" s="523">
        <f>+SUMIFS('Otros Ingresos'!$G$7:$G$500,'Otros Ingresos'!$B$7:$B$500,'Rev JR'!$A113,'Otros Ingresos'!$D$7:$D$500,"&gt;="&amp;'Rev JR'!L$1,'Otros Ingresos'!$D$7:$D$500,"&lt;="&amp;EOMONTH('Rev JR'!L$1,0))</f>
        <v>0</v>
      </c>
      <c r="M113" s="523">
        <f>+SUMIFS('Otros Ingresos'!$G$7:$G$500,'Otros Ingresos'!$B$7:$B$500,'Rev JR'!$A113,'Otros Ingresos'!$D$7:$D$500,"&gt;="&amp;'Rev JR'!M$1,'Otros Ingresos'!$D$7:$D$500,"&lt;="&amp;EOMONTH('Rev JR'!M$1,0))</f>
        <v>0</v>
      </c>
      <c r="N113" s="523">
        <f>+SUMIFS('Otros Ingresos'!$G$7:$G$500,'Otros Ingresos'!$B$7:$B$500,'Rev JR'!$A113,'Otros Ingresos'!$D$7:$D$500,"&gt;="&amp;'Rev JR'!N$1,'Otros Ingresos'!$D$7:$D$500,"&lt;="&amp;EOMONTH('Rev JR'!N$1,0))</f>
        <v>0</v>
      </c>
      <c r="O113" s="523">
        <f t="shared" si="19"/>
        <v>0</v>
      </c>
    </row>
    <row r="114" spans="1:15">
      <c r="A114" s="622" t="str">
        <f t="shared" si="20"/>
        <v>O</v>
      </c>
      <c r="B114" s="519" t="str">
        <f t="shared" si="21"/>
        <v xml:space="preserve">        Otros Ingresos - O</v>
      </c>
      <c r="C114" s="523">
        <f>+SUMIFS('Otros Ingresos'!$G$7:$G$500,'Otros Ingresos'!$B$7:$B$500,'Rev JR'!$A114,'Otros Ingresos'!$D$7:$D$500,"&gt;="&amp;'Rev JR'!C$1,'Otros Ingresos'!$D$7:$D$500,"&lt;="&amp;EOMONTH('Rev JR'!C$1,0))</f>
        <v>0</v>
      </c>
      <c r="D114" s="523">
        <f>+SUMIFS('Otros Ingresos'!$G$7:$G$500,'Otros Ingresos'!$B$7:$B$500,'Rev JR'!$A114,'Otros Ingresos'!$D$7:$D$500,"&gt;="&amp;'Rev JR'!D$1,'Otros Ingresos'!$D$7:$D$500,"&lt;="&amp;EOMONTH('Rev JR'!D$1,0))</f>
        <v>0</v>
      </c>
      <c r="E114" s="523">
        <f>+SUMIFS('Otros Ingresos'!$G$7:$G$500,'Otros Ingresos'!$B$7:$B$500,'Rev JR'!$A114,'Otros Ingresos'!$D$7:$D$500,"&gt;="&amp;'Rev JR'!E$1,'Otros Ingresos'!$D$7:$D$500,"&lt;="&amp;EOMONTH('Rev JR'!E$1,0))</f>
        <v>0</v>
      </c>
      <c r="F114" s="523">
        <f>+SUMIFS('Otros Ingresos'!$G$7:$G$500,'Otros Ingresos'!$B$7:$B$500,'Rev JR'!$A114,'Otros Ingresos'!$D$7:$D$500,"&gt;="&amp;'Rev JR'!F$1,'Otros Ingresos'!$D$7:$D$500,"&lt;="&amp;EOMONTH('Rev JR'!F$1,0))</f>
        <v>0</v>
      </c>
      <c r="G114" s="523">
        <f>+SUMIFS('Otros Ingresos'!$G$7:$G$500,'Otros Ingresos'!$B$7:$B$500,'Rev JR'!$A114,'Otros Ingresos'!$D$7:$D$500,"&gt;="&amp;'Rev JR'!G$1,'Otros Ingresos'!$D$7:$D$500,"&lt;="&amp;EOMONTH('Rev JR'!G$1,0))</f>
        <v>0</v>
      </c>
      <c r="H114" s="523">
        <f>+SUMIFS('Otros Ingresos'!$G$7:$G$500,'Otros Ingresos'!$B$7:$B$500,'Rev JR'!$A114,'Otros Ingresos'!$D$7:$D$500,"&gt;="&amp;'Rev JR'!H$1,'Otros Ingresos'!$D$7:$D$500,"&lt;="&amp;EOMONTH('Rev JR'!H$1,0))</f>
        <v>0</v>
      </c>
      <c r="I114" s="523">
        <f>+SUMIFS('Otros Ingresos'!$G$7:$G$500,'Otros Ingresos'!$B$7:$B$500,'Rev JR'!$A114,'Otros Ingresos'!$D$7:$D$500,"&gt;="&amp;'Rev JR'!I$1,'Otros Ingresos'!$D$7:$D$500,"&lt;="&amp;EOMONTH('Rev JR'!I$1,0))</f>
        <v>0</v>
      </c>
      <c r="J114" s="523">
        <f>+SUMIFS('Otros Ingresos'!$G$7:$G$500,'Otros Ingresos'!$B$7:$B$500,'Rev JR'!$A114,'Otros Ingresos'!$D$7:$D$500,"&gt;="&amp;'Rev JR'!J$1,'Otros Ingresos'!$D$7:$D$500,"&lt;="&amp;EOMONTH('Rev JR'!J$1,0))</f>
        <v>0</v>
      </c>
      <c r="K114" s="523">
        <f>+SUMIFS('Otros Ingresos'!$G$7:$G$500,'Otros Ingresos'!$B$7:$B$500,'Rev JR'!$A114,'Otros Ingresos'!$D$7:$D$500,"&gt;="&amp;'Rev JR'!K$1,'Otros Ingresos'!$D$7:$D$500,"&lt;="&amp;EOMONTH('Rev JR'!K$1,0))</f>
        <v>0</v>
      </c>
      <c r="L114" s="523">
        <f>+SUMIFS('Otros Ingresos'!$G$7:$G$500,'Otros Ingresos'!$B$7:$B$500,'Rev JR'!$A114,'Otros Ingresos'!$D$7:$D$500,"&gt;="&amp;'Rev JR'!L$1,'Otros Ingresos'!$D$7:$D$500,"&lt;="&amp;EOMONTH('Rev JR'!L$1,0))</f>
        <v>0</v>
      </c>
      <c r="M114" s="523">
        <f>+SUMIFS('Otros Ingresos'!$G$7:$G$500,'Otros Ingresos'!$B$7:$B$500,'Rev JR'!$A114,'Otros Ingresos'!$D$7:$D$500,"&gt;="&amp;'Rev JR'!M$1,'Otros Ingresos'!$D$7:$D$500,"&lt;="&amp;EOMONTH('Rev JR'!M$1,0))</f>
        <v>0</v>
      </c>
      <c r="N114" s="523">
        <f>+SUMIFS('Otros Ingresos'!$G$7:$G$500,'Otros Ingresos'!$B$7:$B$500,'Rev JR'!$A114,'Otros Ingresos'!$D$7:$D$500,"&gt;="&amp;'Rev JR'!N$1,'Otros Ingresos'!$D$7:$D$500,"&lt;="&amp;EOMONTH('Rev JR'!N$1,0))</f>
        <v>0</v>
      </c>
      <c r="O114" s="523">
        <f t="shared" si="19"/>
        <v>0</v>
      </c>
    </row>
    <row r="115" spans="1:15">
      <c r="A115" s="622" t="str">
        <f t="shared" si="20"/>
        <v>P</v>
      </c>
      <c r="B115" s="519" t="str">
        <f t="shared" si="21"/>
        <v xml:space="preserve">        Otros Ingresos - P</v>
      </c>
      <c r="C115" s="523">
        <f>+SUMIFS('Otros Ingresos'!$G$7:$G$500,'Otros Ingresos'!$B$7:$B$500,'Rev JR'!$A115,'Otros Ingresos'!$D$7:$D$500,"&gt;="&amp;'Rev JR'!C$1,'Otros Ingresos'!$D$7:$D$500,"&lt;="&amp;EOMONTH('Rev JR'!C$1,0))</f>
        <v>0</v>
      </c>
      <c r="D115" s="523">
        <f>+SUMIFS('Otros Ingresos'!$G$7:$G$500,'Otros Ingresos'!$B$7:$B$500,'Rev JR'!$A115,'Otros Ingresos'!$D$7:$D$500,"&gt;="&amp;'Rev JR'!D$1,'Otros Ingresos'!$D$7:$D$500,"&lt;="&amp;EOMONTH('Rev JR'!D$1,0))</f>
        <v>0</v>
      </c>
      <c r="E115" s="523">
        <f>+SUMIFS('Otros Ingresos'!$G$7:$G$500,'Otros Ingresos'!$B$7:$B$500,'Rev JR'!$A115,'Otros Ingresos'!$D$7:$D$500,"&gt;="&amp;'Rev JR'!E$1,'Otros Ingresos'!$D$7:$D$500,"&lt;="&amp;EOMONTH('Rev JR'!E$1,0))</f>
        <v>0</v>
      </c>
      <c r="F115" s="523">
        <f>+SUMIFS('Otros Ingresos'!$G$7:$G$500,'Otros Ingresos'!$B$7:$B$500,'Rev JR'!$A115,'Otros Ingresos'!$D$7:$D$500,"&gt;="&amp;'Rev JR'!F$1,'Otros Ingresos'!$D$7:$D$500,"&lt;="&amp;EOMONTH('Rev JR'!F$1,0))</f>
        <v>0</v>
      </c>
      <c r="G115" s="523">
        <f>+SUMIFS('Otros Ingresos'!$G$7:$G$500,'Otros Ingresos'!$B$7:$B$500,'Rev JR'!$A115,'Otros Ingresos'!$D$7:$D$500,"&gt;="&amp;'Rev JR'!G$1,'Otros Ingresos'!$D$7:$D$500,"&lt;="&amp;EOMONTH('Rev JR'!G$1,0))</f>
        <v>0</v>
      </c>
      <c r="H115" s="523">
        <f>+SUMIFS('Otros Ingresos'!$G$7:$G$500,'Otros Ingresos'!$B$7:$B$500,'Rev JR'!$A115,'Otros Ingresos'!$D$7:$D$500,"&gt;="&amp;'Rev JR'!H$1,'Otros Ingresos'!$D$7:$D$500,"&lt;="&amp;EOMONTH('Rev JR'!H$1,0))</f>
        <v>0</v>
      </c>
      <c r="I115" s="523">
        <f>+SUMIFS('Otros Ingresos'!$G$7:$G$500,'Otros Ingresos'!$B$7:$B$500,'Rev JR'!$A115,'Otros Ingresos'!$D$7:$D$500,"&gt;="&amp;'Rev JR'!I$1,'Otros Ingresos'!$D$7:$D$500,"&lt;="&amp;EOMONTH('Rev JR'!I$1,0))</f>
        <v>0</v>
      </c>
      <c r="J115" s="523">
        <f>+SUMIFS('Otros Ingresos'!$G$7:$G$500,'Otros Ingresos'!$B$7:$B$500,'Rev JR'!$A115,'Otros Ingresos'!$D$7:$D$500,"&gt;="&amp;'Rev JR'!J$1,'Otros Ingresos'!$D$7:$D$500,"&lt;="&amp;EOMONTH('Rev JR'!J$1,0))</f>
        <v>0</v>
      </c>
      <c r="K115" s="523">
        <f>+SUMIFS('Otros Ingresos'!$G$7:$G$500,'Otros Ingresos'!$B$7:$B$500,'Rev JR'!$A115,'Otros Ingresos'!$D$7:$D$500,"&gt;="&amp;'Rev JR'!K$1,'Otros Ingresos'!$D$7:$D$500,"&lt;="&amp;EOMONTH('Rev JR'!K$1,0))</f>
        <v>0</v>
      </c>
      <c r="L115" s="523">
        <f>+SUMIFS('Otros Ingresos'!$G$7:$G$500,'Otros Ingresos'!$B$7:$B$500,'Rev JR'!$A115,'Otros Ingresos'!$D$7:$D$500,"&gt;="&amp;'Rev JR'!L$1,'Otros Ingresos'!$D$7:$D$500,"&lt;="&amp;EOMONTH('Rev JR'!L$1,0))</f>
        <v>0</v>
      </c>
      <c r="M115" s="523">
        <f>+SUMIFS('Otros Ingresos'!$G$7:$G$500,'Otros Ingresos'!$B$7:$B$500,'Rev JR'!$A115,'Otros Ingresos'!$D$7:$D$500,"&gt;="&amp;'Rev JR'!M$1,'Otros Ingresos'!$D$7:$D$500,"&lt;="&amp;EOMONTH('Rev JR'!M$1,0))</f>
        <v>0</v>
      </c>
      <c r="N115" s="523">
        <f>+SUMIFS('Otros Ingresos'!$G$7:$G$500,'Otros Ingresos'!$B$7:$B$500,'Rev JR'!$A115,'Otros Ingresos'!$D$7:$D$500,"&gt;="&amp;'Rev JR'!N$1,'Otros Ingresos'!$D$7:$D$500,"&lt;="&amp;EOMONTH('Rev JR'!N$1,0))</f>
        <v>0</v>
      </c>
      <c r="O115" s="523">
        <f t="shared" si="19"/>
        <v>0</v>
      </c>
    </row>
    <row r="116" spans="1:15">
      <c r="A116" s="515"/>
      <c r="B116" s="524" t="s">
        <v>616</v>
      </c>
      <c r="C116" s="525">
        <f t="shared" ref="C116:N116" si="22">SUM(C100:C115)</f>
        <v>0</v>
      </c>
      <c r="D116" s="525">
        <f t="shared" si="22"/>
        <v>0</v>
      </c>
      <c r="E116" s="525">
        <f t="shared" si="22"/>
        <v>0</v>
      </c>
      <c r="F116" s="525">
        <f t="shared" si="22"/>
        <v>0</v>
      </c>
      <c r="G116" s="525">
        <f t="shared" si="22"/>
        <v>0</v>
      </c>
      <c r="H116" s="525">
        <f t="shared" si="22"/>
        <v>0</v>
      </c>
      <c r="I116" s="525">
        <f t="shared" si="22"/>
        <v>0</v>
      </c>
      <c r="J116" s="525">
        <f t="shared" si="22"/>
        <v>0</v>
      </c>
      <c r="K116" s="525">
        <f t="shared" si="22"/>
        <v>0</v>
      </c>
      <c r="L116" s="525">
        <f t="shared" si="22"/>
        <v>0</v>
      </c>
      <c r="M116" s="525">
        <f t="shared" si="22"/>
        <v>0</v>
      </c>
      <c r="N116" s="525">
        <f t="shared" si="22"/>
        <v>0</v>
      </c>
      <c r="O116" s="525">
        <f>SUM(O100:O115)</f>
        <v>0</v>
      </c>
    </row>
    <row r="117" spans="1:15">
      <c r="A117" s="515"/>
      <c r="B117" s="526"/>
      <c r="C117" s="527"/>
      <c r="D117" s="527"/>
      <c r="E117" s="527"/>
      <c r="F117" s="527"/>
      <c r="G117" s="527"/>
      <c r="H117" s="527"/>
      <c r="I117" s="527"/>
      <c r="J117" s="527"/>
      <c r="K117" s="527"/>
      <c r="L117" s="527"/>
      <c r="M117" s="527"/>
      <c r="N117" s="527"/>
      <c r="O117" s="527"/>
    </row>
    <row r="118" spans="1:15">
      <c r="A118" s="515"/>
      <c r="B118" s="519" t="s">
        <v>617</v>
      </c>
      <c r="C118" s="523"/>
      <c r="D118" s="523"/>
      <c r="E118" s="523"/>
      <c r="F118" s="523"/>
      <c r="G118" s="523"/>
      <c r="H118" s="523"/>
      <c r="I118" s="523"/>
      <c r="J118" s="523"/>
      <c r="K118" s="523"/>
      <c r="L118" s="523"/>
      <c r="M118" s="523"/>
      <c r="N118" s="523"/>
      <c r="O118" s="523"/>
    </row>
    <row r="119" spans="1:15">
      <c r="A119" s="622" t="str">
        <f>+A100</f>
        <v>AR2XXXX3387-0008</v>
      </c>
      <c r="B119" s="519" t="str">
        <f>+CONCATENATE("        Tax Withheld on Dividend  - ",A119)</f>
        <v xml:space="preserve">        Tax Withheld on Dividend  - AR2XXXX3387-0008</v>
      </c>
      <c r="C119" s="523">
        <f>+SUMIFS('Dividendos Extranjeros - Ret'!$G$8:$G$500,'Dividendos Extranjeros - Ret'!$B$8:$B$500,'Rev JR'!$A119,'Dividendos Extranjeros - Ret'!$D$8:$D$500,"&gt;="&amp;'Rev JR'!C$1,'Dividendos Extranjeros - Ret'!$D$8:$D$500,"&lt;="&amp;EOMONTH('Rev JR'!C$1,0))</f>
        <v>0</v>
      </c>
      <c r="D119" s="523">
        <f>+SUMIFS('Dividendos Extranjeros - Ret'!$G$8:$G$500,'Dividendos Extranjeros - Ret'!$B$8:$B$500,'Rev JR'!$A119,'Dividendos Extranjeros - Ret'!$D$8:$D$500,"&gt;="&amp;'Rev JR'!D$1,'Dividendos Extranjeros - Ret'!$D$8:$D$500,"&lt;="&amp;EOMONTH('Rev JR'!D$1,0))</f>
        <v>0</v>
      </c>
      <c r="E119" s="523">
        <f>+SUMIFS('Dividendos Extranjeros - Ret'!$G$8:$G$500,'Dividendos Extranjeros - Ret'!$B$8:$B$500,'Rev JR'!$A119,'Dividendos Extranjeros - Ret'!$D$8:$D$500,"&gt;="&amp;'Rev JR'!E$1,'Dividendos Extranjeros - Ret'!$D$8:$D$500,"&lt;="&amp;EOMONTH('Rev JR'!E$1,0))</f>
        <v>0</v>
      </c>
      <c r="F119" s="523">
        <f>+SUMIFS('Dividendos Extranjeros - Ret'!$G$8:$G$500,'Dividendos Extranjeros - Ret'!$B$8:$B$500,'Rev JR'!$A119,'Dividendos Extranjeros - Ret'!$D$8:$D$500,"&gt;="&amp;'Rev JR'!F$1,'Dividendos Extranjeros - Ret'!$D$8:$D$500,"&lt;="&amp;EOMONTH('Rev JR'!F$1,0))</f>
        <v>0</v>
      </c>
      <c r="G119" s="523">
        <f>+SUMIFS('Dividendos Extranjeros - Ret'!$G$8:$G$500,'Dividendos Extranjeros - Ret'!$B$8:$B$500,'Rev JR'!$A119,'Dividendos Extranjeros - Ret'!$D$8:$D$500,"&gt;="&amp;'Rev JR'!G$1,'Dividendos Extranjeros - Ret'!$D$8:$D$500,"&lt;="&amp;EOMONTH('Rev JR'!G$1,0))</f>
        <v>0</v>
      </c>
      <c r="H119" s="523">
        <f>+SUMIFS('Dividendos Extranjeros - Ret'!$G$8:$G$500,'Dividendos Extranjeros - Ret'!$B$8:$B$500,'Rev JR'!$A119,'Dividendos Extranjeros - Ret'!$D$8:$D$500,"&gt;="&amp;'Rev JR'!H$1,'Dividendos Extranjeros - Ret'!$D$8:$D$500,"&lt;="&amp;EOMONTH('Rev JR'!H$1,0))</f>
        <v>0</v>
      </c>
      <c r="I119" s="523">
        <f>+SUMIFS('Dividendos Extranjeros - Ret'!$G$8:$G$500,'Dividendos Extranjeros - Ret'!$B$8:$B$500,'Rev JR'!$A119,'Dividendos Extranjeros - Ret'!$D$8:$D$500,"&gt;="&amp;'Rev JR'!I$1,'Dividendos Extranjeros - Ret'!$D$8:$D$500,"&lt;="&amp;EOMONTH('Rev JR'!I$1,0))</f>
        <v>0</v>
      </c>
      <c r="J119" s="523">
        <f>+SUMIFS('Dividendos Extranjeros - Ret'!$G$8:$G$500,'Dividendos Extranjeros - Ret'!$B$8:$B$500,'Rev JR'!$A119,'Dividendos Extranjeros - Ret'!$D$8:$D$500,"&gt;="&amp;'Rev JR'!J$1,'Dividendos Extranjeros - Ret'!$D$8:$D$500,"&lt;="&amp;EOMONTH('Rev JR'!J$1,0))</f>
        <v>0</v>
      </c>
      <c r="K119" s="523">
        <f>+SUMIFS('Dividendos Extranjeros - Ret'!$G$8:$G$500,'Dividendos Extranjeros - Ret'!$B$8:$B$500,'Rev JR'!$A119,'Dividendos Extranjeros - Ret'!$D$8:$D$500,"&gt;="&amp;'Rev JR'!K$1,'Dividendos Extranjeros - Ret'!$D$8:$D$500,"&lt;="&amp;EOMONTH('Rev JR'!K$1,0))</f>
        <v>0</v>
      </c>
      <c r="L119" s="523">
        <f>+SUMIFS('Dividendos Extranjeros - Ret'!$G$8:$G$500,'Dividendos Extranjeros - Ret'!$B$8:$B$500,'Rev JR'!$A119,'Dividendos Extranjeros - Ret'!$D$8:$D$500,"&gt;="&amp;'Rev JR'!L$1,'Dividendos Extranjeros - Ret'!$D$8:$D$500,"&lt;="&amp;EOMONTH('Rev JR'!L$1,0))</f>
        <v>0</v>
      </c>
      <c r="M119" s="523">
        <f>+SUMIFS('Dividendos Extranjeros - Ret'!$G$8:$G$500,'Dividendos Extranjeros - Ret'!$B$8:$B$500,'Rev JR'!$A119,'Dividendos Extranjeros - Ret'!$D$8:$D$500,"&gt;="&amp;'Rev JR'!M$1,'Dividendos Extranjeros - Ret'!$D$8:$D$500,"&lt;="&amp;EOMONTH('Rev JR'!M$1,0))</f>
        <v>0</v>
      </c>
      <c r="N119" s="523">
        <f>+SUMIFS('Dividendos Extranjeros - Ret'!$G$8:$G$500,'Dividendos Extranjeros - Ret'!$B$8:$B$500,'Rev JR'!$A119,'Dividendos Extranjeros - Ret'!$D$8:$D$500,"&gt;="&amp;'Rev JR'!N$1,'Dividendos Extranjeros - Ret'!$D$8:$D$500,"&lt;="&amp;EOMONTH('Rev JR'!N$1,0))</f>
        <v>0</v>
      </c>
      <c r="O119" s="523">
        <f>SUM(C119:N119)</f>
        <v>0</v>
      </c>
    </row>
    <row r="120" spans="1:15">
      <c r="A120" s="622" t="str">
        <f t="shared" ref="A120:A134" si="23">+A101</f>
        <v>AR2XXXX3387-0003</v>
      </c>
      <c r="B120" s="519" t="str">
        <f t="shared" ref="B120:B134" si="24">+CONCATENATE("        Tax Withheld on Dividend  - ",A120)</f>
        <v xml:space="preserve">        Tax Withheld on Dividend  - AR2XXXX3387-0003</v>
      </c>
      <c r="C120" s="523">
        <f>+SUMIFS('Dividendos Extranjeros - Ret'!$G$8:$G$500,'Dividendos Extranjeros - Ret'!$B$8:$B$500,'Rev JR'!$A120,'Dividendos Extranjeros - Ret'!$D$8:$D$500,"&gt;="&amp;'Rev JR'!C$1,'Dividendos Extranjeros - Ret'!$D$8:$D$500,"&lt;="&amp;EOMONTH('Rev JR'!C$1,0))</f>
        <v>0</v>
      </c>
      <c r="D120" s="523">
        <f>+SUMIFS('Dividendos Extranjeros - Ret'!$G$8:$G$500,'Dividendos Extranjeros - Ret'!$B$8:$B$500,'Rev JR'!$A120,'Dividendos Extranjeros - Ret'!$D$8:$D$500,"&gt;="&amp;'Rev JR'!D$1,'Dividendos Extranjeros - Ret'!$D$8:$D$500,"&lt;="&amp;EOMONTH('Rev JR'!D$1,0))</f>
        <v>0</v>
      </c>
      <c r="E120" s="523">
        <f>+SUMIFS('Dividendos Extranjeros - Ret'!$G$8:$G$500,'Dividendos Extranjeros - Ret'!$B$8:$B$500,'Rev JR'!$A120,'Dividendos Extranjeros - Ret'!$D$8:$D$500,"&gt;="&amp;'Rev JR'!E$1,'Dividendos Extranjeros - Ret'!$D$8:$D$500,"&lt;="&amp;EOMONTH('Rev JR'!E$1,0))</f>
        <v>0</v>
      </c>
      <c r="F120" s="523">
        <f>+SUMIFS('Dividendos Extranjeros - Ret'!$G$8:$G$500,'Dividendos Extranjeros - Ret'!$B$8:$B$500,'Rev JR'!$A120,'Dividendos Extranjeros - Ret'!$D$8:$D$500,"&gt;="&amp;'Rev JR'!F$1,'Dividendos Extranjeros - Ret'!$D$8:$D$500,"&lt;="&amp;EOMONTH('Rev JR'!F$1,0))</f>
        <v>0</v>
      </c>
      <c r="G120" s="523">
        <f>+SUMIFS('Dividendos Extranjeros - Ret'!$G$8:$G$500,'Dividendos Extranjeros - Ret'!$B$8:$B$500,'Rev JR'!$A120,'Dividendos Extranjeros - Ret'!$D$8:$D$500,"&gt;="&amp;'Rev JR'!G$1,'Dividendos Extranjeros - Ret'!$D$8:$D$500,"&lt;="&amp;EOMONTH('Rev JR'!G$1,0))</f>
        <v>0</v>
      </c>
      <c r="H120" s="523">
        <f>+SUMIFS('Dividendos Extranjeros - Ret'!$G$8:$G$500,'Dividendos Extranjeros - Ret'!$B$8:$B$500,'Rev JR'!$A120,'Dividendos Extranjeros - Ret'!$D$8:$D$500,"&gt;="&amp;'Rev JR'!H$1,'Dividendos Extranjeros - Ret'!$D$8:$D$500,"&lt;="&amp;EOMONTH('Rev JR'!H$1,0))</f>
        <v>1985.9</v>
      </c>
      <c r="I120" s="523">
        <f>+SUMIFS('Dividendos Extranjeros - Ret'!$G$8:$G$500,'Dividendos Extranjeros - Ret'!$B$8:$B$500,'Rev JR'!$A120,'Dividendos Extranjeros - Ret'!$D$8:$D$500,"&gt;="&amp;'Rev JR'!I$1,'Dividendos Extranjeros - Ret'!$D$8:$D$500,"&lt;="&amp;EOMONTH('Rev JR'!I$1,0))</f>
        <v>0</v>
      </c>
      <c r="J120" s="523">
        <f>+SUMIFS('Dividendos Extranjeros - Ret'!$G$8:$G$500,'Dividendos Extranjeros - Ret'!$B$8:$B$500,'Rev JR'!$A120,'Dividendos Extranjeros - Ret'!$D$8:$D$500,"&gt;="&amp;'Rev JR'!J$1,'Dividendos Extranjeros - Ret'!$D$8:$D$500,"&lt;="&amp;EOMONTH('Rev JR'!J$1,0))</f>
        <v>0</v>
      </c>
      <c r="K120" s="523">
        <f>+SUMIFS('Dividendos Extranjeros - Ret'!$G$8:$G$500,'Dividendos Extranjeros - Ret'!$B$8:$B$500,'Rev JR'!$A120,'Dividendos Extranjeros - Ret'!$D$8:$D$500,"&gt;="&amp;'Rev JR'!K$1,'Dividendos Extranjeros - Ret'!$D$8:$D$500,"&lt;="&amp;EOMONTH('Rev JR'!K$1,0))</f>
        <v>1888.32</v>
      </c>
      <c r="L120" s="523">
        <f>+SUMIFS('Dividendos Extranjeros - Ret'!$G$8:$G$500,'Dividendos Extranjeros - Ret'!$B$8:$B$500,'Rev JR'!$A120,'Dividendos Extranjeros - Ret'!$D$8:$D$500,"&gt;="&amp;'Rev JR'!L$1,'Dividendos Extranjeros - Ret'!$D$8:$D$500,"&lt;="&amp;EOMONTH('Rev JR'!L$1,0))</f>
        <v>0</v>
      </c>
      <c r="M120" s="523">
        <f>+SUMIFS('Dividendos Extranjeros - Ret'!$G$8:$G$500,'Dividendos Extranjeros - Ret'!$B$8:$B$500,'Rev JR'!$A120,'Dividendos Extranjeros - Ret'!$D$8:$D$500,"&gt;="&amp;'Rev JR'!M$1,'Dividendos Extranjeros - Ret'!$D$8:$D$500,"&lt;="&amp;EOMONTH('Rev JR'!M$1,0))</f>
        <v>0</v>
      </c>
      <c r="N120" s="523">
        <f>+SUMIFS('Dividendos Extranjeros - Ret'!$G$8:$G$500,'Dividendos Extranjeros - Ret'!$B$8:$B$500,'Rev JR'!$A120,'Dividendos Extranjeros - Ret'!$D$8:$D$500,"&gt;="&amp;'Rev JR'!N$1,'Dividendos Extranjeros - Ret'!$D$8:$D$500,"&lt;="&amp;EOMONTH('Rev JR'!N$1,0))</f>
        <v>789.84</v>
      </c>
      <c r="O120" s="523">
        <f t="shared" ref="O120:O134" si="25">SUM(C120:N120)</f>
        <v>4664.0600000000004</v>
      </c>
    </row>
    <row r="121" spans="1:15">
      <c r="A121" s="622" t="str">
        <f t="shared" si="23"/>
        <v>029-2XXX1-9</v>
      </c>
      <c r="B121" s="519" t="str">
        <f t="shared" si="24"/>
        <v xml:space="preserve">        Tax Withheld on Dividend  - 029-2XXX1-9</v>
      </c>
      <c r="C121" s="523">
        <f>+SUMIFS('Dividendos Extranjeros - Ret'!$G$8:$G$500,'Dividendos Extranjeros - Ret'!$B$8:$B$500,'Rev JR'!$A121,'Dividendos Extranjeros - Ret'!$D$8:$D$500,"&gt;="&amp;'Rev JR'!C$1,'Dividendos Extranjeros - Ret'!$D$8:$D$500,"&lt;="&amp;EOMONTH('Rev JR'!C$1,0))</f>
        <v>0</v>
      </c>
      <c r="D121" s="523">
        <f>+SUMIFS('Dividendos Extranjeros - Ret'!$G$8:$G$500,'Dividendos Extranjeros - Ret'!$B$8:$B$500,'Rev JR'!$A121,'Dividendos Extranjeros - Ret'!$D$8:$D$500,"&gt;="&amp;'Rev JR'!D$1,'Dividendos Extranjeros - Ret'!$D$8:$D$500,"&lt;="&amp;EOMONTH('Rev JR'!D$1,0))</f>
        <v>0</v>
      </c>
      <c r="E121" s="523">
        <f>+SUMIFS('Dividendos Extranjeros - Ret'!$G$8:$G$500,'Dividendos Extranjeros - Ret'!$B$8:$B$500,'Rev JR'!$A121,'Dividendos Extranjeros - Ret'!$D$8:$D$500,"&gt;="&amp;'Rev JR'!E$1,'Dividendos Extranjeros - Ret'!$D$8:$D$500,"&lt;="&amp;EOMONTH('Rev JR'!E$1,0))</f>
        <v>0</v>
      </c>
      <c r="F121" s="523">
        <f>+SUMIFS('Dividendos Extranjeros - Ret'!$G$8:$G$500,'Dividendos Extranjeros - Ret'!$B$8:$B$500,'Rev JR'!$A121,'Dividendos Extranjeros - Ret'!$D$8:$D$500,"&gt;="&amp;'Rev JR'!F$1,'Dividendos Extranjeros - Ret'!$D$8:$D$500,"&lt;="&amp;EOMONTH('Rev JR'!F$1,0))</f>
        <v>0</v>
      </c>
      <c r="G121" s="523">
        <f>+SUMIFS('Dividendos Extranjeros - Ret'!$G$8:$G$500,'Dividendos Extranjeros - Ret'!$B$8:$B$500,'Rev JR'!$A121,'Dividendos Extranjeros - Ret'!$D$8:$D$500,"&gt;="&amp;'Rev JR'!G$1,'Dividendos Extranjeros - Ret'!$D$8:$D$500,"&lt;="&amp;EOMONTH('Rev JR'!G$1,0))</f>
        <v>0</v>
      </c>
      <c r="H121" s="523">
        <f>+SUMIFS('Dividendos Extranjeros - Ret'!$G$8:$G$500,'Dividendos Extranjeros - Ret'!$B$8:$B$500,'Rev JR'!$A121,'Dividendos Extranjeros - Ret'!$D$8:$D$500,"&gt;="&amp;'Rev JR'!H$1,'Dividendos Extranjeros - Ret'!$D$8:$D$500,"&lt;="&amp;EOMONTH('Rev JR'!H$1,0))</f>
        <v>0</v>
      </c>
      <c r="I121" s="523">
        <f>+SUMIFS('Dividendos Extranjeros - Ret'!$G$8:$G$500,'Dividendos Extranjeros - Ret'!$B$8:$B$500,'Rev JR'!$A121,'Dividendos Extranjeros - Ret'!$D$8:$D$500,"&gt;="&amp;'Rev JR'!I$1,'Dividendos Extranjeros - Ret'!$D$8:$D$500,"&lt;="&amp;EOMONTH('Rev JR'!I$1,0))</f>
        <v>0</v>
      </c>
      <c r="J121" s="523">
        <f>+SUMIFS('Dividendos Extranjeros - Ret'!$G$8:$G$500,'Dividendos Extranjeros - Ret'!$B$8:$B$500,'Rev JR'!$A121,'Dividendos Extranjeros - Ret'!$D$8:$D$500,"&gt;="&amp;'Rev JR'!J$1,'Dividendos Extranjeros - Ret'!$D$8:$D$500,"&lt;="&amp;EOMONTH('Rev JR'!J$1,0))</f>
        <v>0</v>
      </c>
      <c r="K121" s="523">
        <f>+SUMIFS('Dividendos Extranjeros - Ret'!$G$8:$G$500,'Dividendos Extranjeros - Ret'!$B$8:$B$500,'Rev JR'!$A121,'Dividendos Extranjeros - Ret'!$D$8:$D$500,"&gt;="&amp;'Rev JR'!K$1,'Dividendos Extranjeros - Ret'!$D$8:$D$500,"&lt;="&amp;EOMONTH('Rev JR'!K$1,0))</f>
        <v>0</v>
      </c>
      <c r="L121" s="523">
        <f>+SUMIFS('Dividendos Extranjeros - Ret'!$G$8:$G$500,'Dividendos Extranjeros - Ret'!$B$8:$B$500,'Rev JR'!$A121,'Dividendos Extranjeros - Ret'!$D$8:$D$500,"&gt;="&amp;'Rev JR'!L$1,'Dividendos Extranjeros - Ret'!$D$8:$D$500,"&lt;="&amp;EOMONTH('Rev JR'!L$1,0))</f>
        <v>0</v>
      </c>
      <c r="M121" s="523">
        <f>+SUMIFS('Dividendos Extranjeros - Ret'!$G$8:$G$500,'Dividendos Extranjeros - Ret'!$B$8:$B$500,'Rev JR'!$A121,'Dividendos Extranjeros - Ret'!$D$8:$D$500,"&gt;="&amp;'Rev JR'!M$1,'Dividendos Extranjeros - Ret'!$D$8:$D$500,"&lt;="&amp;EOMONTH('Rev JR'!M$1,0))</f>
        <v>0</v>
      </c>
      <c r="N121" s="523">
        <f>+SUMIFS('Dividendos Extranjeros - Ret'!$G$8:$G$500,'Dividendos Extranjeros - Ret'!$B$8:$B$500,'Rev JR'!$A121,'Dividendos Extranjeros - Ret'!$D$8:$D$500,"&gt;="&amp;'Rev JR'!N$1,'Dividendos Extranjeros - Ret'!$D$8:$D$500,"&lt;="&amp;EOMONTH('Rev JR'!N$1,0))</f>
        <v>0</v>
      </c>
      <c r="O121" s="523">
        <f t="shared" si="25"/>
        <v>0</v>
      </c>
    </row>
    <row r="122" spans="1:15">
      <c r="A122" s="622" t="str">
        <f t="shared" si="23"/>
        <v>029-2XXX2-7</v>
      </c>
      <c r="B122" s="519" t="str">
        <f t="shared" si="24"/>
        <v xml:space="preserve">        Tax Withheld on Dividend  - 029-2XXX2-7</v>
      </c>
      <c r="C122" s="523">
        <f>+SUMIFS('Dividendos Extranjeros - Ret'!$G$8:$G$500,'Dividendos Extranjeros - Ret'!$B$8:$B$500,'Rev JR'!$A122,'Dividendos Extranjeros - Ret'!$D$8:$D$500,"&gt;="&amp;'Rev JR'!C$1,'Dividendos Extranjeros - Ret'!$D$8:$D$500,"&lt;="&amp;EOMONTH('Rev JR'!C$1,0))</f>
        <v>0</v>
      </c>
      <c r="D122" s="523">
        <f>+SUMIFS('Dividendos Extranjeros - Ret'!$G$8:$G$500,'Dividendos Extranjeros - Ret'!$B$8:$B$500,'Rev JR'!$A122,'Dividendos Extranjeros - Ret'!$D$8:$D$500,"&gt;="&amp;'Rev JR'!D$1,'Dividendos Extranjeros - Ret'!$D$8:$D$500,"&lt;="&amp;EOMONTH('Rev JR'!D$1,0))</f>
        <v>0</v>
      </c>
      <c r="E122" s="523">
        <f>+SUMIFS('Dividendos Extranjeros - Ret'!$G$8:$G$500,'Dividendos Extranjeros - Ret'!$B$8:$B$500,'Rev JR'!$A122,'Dividendos Extranjeros - Ret'!$D$8:$D$500,"&gt;="&amp;'Rev JR'!E$1,'Dividendos Extranjeros - Ret'!$D$8:$D$500,"&lt;="&amp;EOMONTH('Rev JR'!E$1,0))</f>
        <v>0</v>
      </c>
      <c r="F122" s="523">
        <f>+SUMIFS('Dividendos Extranjeros - Ret'!$G$8:$G$500,'Dividendos Extranjeros - Ret'!$B$8:$B$500,'Rev JR'!$A122,'Dividendos Extranjeros - Ret'!$D$8:$D$500,"&gt;="&amp;'Rev JR'!F$1,'Dividendos Extranjeros - Ret'!$D$8:$D$500,"&lt;="&amp;EOMONTH('Rev JR'!F$1,0))</f>
        <v>0</v>
      </c>
      <c r="G122" s="523">
        <f>+SUMIFS('Dividendos Extranjeros - Ret'!$G$8:$G$500,'Dividendos Extranjeros - Ret'!$B$8:$B$500,'Rev JR'!$A122,'Dividendos Extranjeros - Ret'!$D$8:$D$500,"&gt;="&amp;'Rev JR'!G$1,'Dividendos Extranjeros - Ret'!$D$8:$D$500,"&lt;="&amp;EOMONTH('Rev JR'!G$1,0))</f>
        <v>0</v>
      </c>
      <c r="H122" s="523">
        <f>+SUMIFS('Dividendos Extranjeros - Ret'!$G$8:$G$500,'Dividendos Extranjeros - Ret'!$B$8:$B$500,'Rev JR'!$A122,'Dividendos Extranjeros - Ret'!$D$8:$D$500,"&gt;="&amp;'Rev JR'!H$1,'Dividendos Extranjeros - Ret'!$D$8:$D$500,"&lt;="&amp;EOMONTH('Rev JR'!H$1,0))</f>
        <v>0</v>
      </c>
      <c r="I122" s="523">
        <f>+SUMIFS('Dividendos Extranjeros - Ret'!$G$8:$G$500,'Dividendos Extranjeros - Ret'!$B$8:$B$500,'Rev JR'!$A122,'Dividendos Extranjeros - Ret'!$D$8:$D$500,"&gt;="&amp;'Rev JR'!I$1,'Dividendos Extranjeros - Ret'!$D$8:$D$500,"&lt;="&amp;EOMONTH('Rev JR'!I$1,0))</f>
        <v>0</v>
      </c>
      <c r="J122" s="523">
        <f>+SUMIFS('Dividendos Extranjeros - Ret'!$G$8:$G$500,'Dividendos Extranjeros - Ret'!$B$8:$B$500,'Rev JR'!$A122,'Dividendos Extranjeros - Ret'!$D$8:$D$500,"&gt;="&amp;'Rev JR'!J$1,'Dividendos Extranjeros - Ret'!$D$8:$D$500,"&lt;="&amp;EOMONTH('Rev JR'!J$1,0))</f>
        <v>0</v>
      </c>
      <c r="K122" s="523">
        <f>+SUMIFS('Dividendos Extranjeros - Ret'!$G$8:$G$500,'Dividendos Extranjeros - Ret'!$B$8:$B$500,'Rev JR'!$A122,'Dividendos Extranjeros - Ret'!$D$8:$D$500,"&gt;="&amp;'Rev JR'!K$1,'Dividendos Extranjeros - Ret'!$D$8:$D$500,"&lt;="&amp;EOMONTH('Rev JR'!K$1,0))</f>
        <v>0</v>
      </c>
      <c r="L122" s="523">
        <f>+SUMIFS('Dividendos Extranjeros - Ret'!$G$8:$G$500,'Dividendos Extranjeros - Ret'!$B$8:$B$500,'Rev JR'!$A122,'Dividendos Extranjeros - Ret'!$D$8:$D$500,"&gt;="&amp;'Rev JR'!L$1,'Dividendos Extranjeros - Ret'!$D$8:$D$500,"&lt;="&amp;EOMONTH('Rev JR'!L$1,0))</f>
        <v>0</v>
      </c>
      <c r="M122" s="523">
        <f>+SUMIFS('Dividendos Extranjeros - Ret'!$G$8:$G$500,'Dividendos Extranjeros - Ret'!$B$8:$B$500,'Rev JR'!$A122,'Dividendos Extranjeros - Ret'!$D$8:$D$500,"&gt;="&amp;'Rev JR'!M$1,'Dividendos Extranjeros - Ret'!$D$8:$D$500,"&lt;="&amp;EOMONTH('Rev JR'!M$1,0))</f>
        <v>0</v>
      </c>
      <c r="N122" s="523">
        <f>+SUMIFS('Dividendos Extranjeros - Ret'!$G$8:$G$500,'Dividendos Extranjeros - Ret'!$B$8:$B$500,'Rev JR'!$A122,'Dividendos Extranjeros - Ret'!$D$8:$D$500,"&gt;="&amp;'Rev JR'!N$1,'Dividendos Extranjeros - Ret'!$D$8:$D$500,"&lt;="&amp;EOMONTH('Rev JR'!N$1,0))</f>
        <v>0</v>
      </c>
      <c r="O122" s="523">
        <f t="shared" si="25"/>
        <v>0</v>
      </c>
    </row>
    <row r="123" spans="1:15">
      <c r="A123" s="622" t="str">
        <f t="shared" si="23"/>
        <v>029-2XXX3-5</v>
      </c>
      <c r="B123" s="519" t="str">
        <f t="shared" si="24"/>
        <v xml:space="preserve">        Tax Withheld on Dividend  - 029-2XXX3-5</v>
      </c>
      <c r="C123" s="523">
        <f>+SUMIFS('Dividendos Extranjeros - Ret'!$G$8:$G$500,'Dividendos Extranjeros - Ret'!$B$8:$B$500,'Rev JR'!$A123,'Dividendos Extranjeros - Ret'!$D$8:$D$500,"&gt;="&amp;'Rev JR'!C$1,'Dividendos Extranjeros - Ret'!$D$8:$D$500,"&lt;="&amp;EOMONTH('Rev JR'!C$1,0))</f>
        <v>0</v>
      </c>
      <c r="D123" s="523">
        <f>+SUMIFS('Dividendos Extranjeros - Ret'!$G$8:$G$500,'Dividendos Extranjeros - Ret'!$B$8:$B$500,'Rev JR'!$A123,'Dividendos Extranjeros - Ret'!$D$8:$D$500,"&gt;="&amp;'Rev JR'!D$1,'Dividendos Extranjeros - Ret'!$D$8:$D$500,"&lt;="&amp;EOMONTH('Rev JR'!D$1,0))</f>
        <v>0</v>
      </c>
      <c r="E123" s="523">
        <f>+SUMIFS('Dividendos Extranjeros - Ret'!$G$8:$G$500,'Dividendos Extranjeros - Ret'!$B$8:$B$500,'Rev JR'!$A123,'Dividendos Extranjeros - Ret'!$D$8:$D$500,"&gt;="&amp;'Rev JR'!E$1,'Dividendos Extranjeros - Ret'!$D$8:$D$500,"&lt;="&amp;EOMONTH('Rev JR'!E$1,0))</f>
        <v>0</v>
      </c>
      <c r="F123" s="523">
        <f>+SUMIFS('Dividendos Extranjeros - Ret'!$G$8:$G$500,'Dividendos Extranjeros - Ret'!$B$8:$B$500,'Rev JR'!$A123,'Dividendos Extranjeros - Ret'!$D$8:$D$500,"&gt;="&amp;'Rev JR'!F$1,'Dividendos Extranjeros - Ret'!$D$8:$D$500,"&lt;="&amp;EOMONTH('Rev JR'!F$1,0))</f>
        <v>0</v>
      </c>
      <c r="G123" s="523">
        <f>+SUMIFS('Dividendos Extranjeros - Ret'!$G$8:$G$500,'Dividendos Extranjeros - Ret'!$B$8:$B$500,'Rev JR'!$A123,'Dividendos Extranjeros - Ret'!$D$8:$D$500,"&gt;="&amp;'Rev JR'!G$1,'Dividendos Extranjeros - Ret'!$D$8:$D$500,"&lt;="&amp;EOMONTH('Rev JR'!G$1,0))</f>
        <v>0</v>
      </c>
      <c r="H123" s="523">
        <f>+SUMIFS('Dividendos Extranjeros - Ret'!$G$8:$G$500,'Dividendos Extranjeros - Ret'!$B$8:$B$500,'Rev JR'!$A123,'Dividendos Extranjeros - Ret'!$D$8:$D$500,"&gt;="&amp;'Rev JR'!H$1,'Dividendos Extranjeros - Ret'!$D$8:$D$500,"&lt;="&amp;EOMONTH('Rev JR'!H$1,0))</f>
        <v>0</v>
      </c>
      <c r="I123" s="523">
        <f>+SUMIFS('Dividendos Extranjeros - Ret'!$G$8:$G$500,'Dividendos Extranjeros - Ret'!$B$8:$B$500,'Rev JR'!$A123,'Dividendos Extranjeros - Ret'!$D$8:$D$500,"&gt;="&amp;'Rev JR'!I$1,'Dividendos Extranjeros - Ret'!$D$8:$D$500,"&lt;="&amp;EOMONTH('Rev JR'!I$1,0))</f>
        <v>0</v>
      </c>
      <c r="J123" s="523">
        <f>+SUMIFS('Dividendos Extranjeros - Ret'!$G$8:$G$500,'Dividendos Extranjeros - Ret'!$B$8:$B$500,'Rev JR'!$A123,'Dividendos Extranjeros - Ret'!$D$8:$D$500,"&gt;="&amp;'Rev JR'!J$1,'Dividendos Extranjeros - Ret'!$D$8:$D$500,"&lt;="&amp;EOMONTH('Rev JR'!J$1,0))</f>
        <v>0</v>
      </c>
      <c r="K123" s="523">
        <f>+SUMIFS('Dividendos Extranjeros - Ret'!$G$8:$G$500,'Dividendos Extranjeros - Ret'!$B$8:$B$500,'Rev JR'!$A123,'Dividendos Extranjeros - Ret'!$D$8:$D$500,"&gt;="&amp;'Rev JR'!K$1,'Dividendos Extranjeros - Ret'!$D$8:$D$500,"&lt;="&amp;EOMONTH('Rev JR'!K$1,0))</f>
        <v>0</v>
      </c>
      <c r="L123" s="523">
        <f>+SUMIFS('Dividendos Extranjeros - Ret'!$G$8:$G$500,'Dividendos Extranjeros - Ret'!$B$8:$B$500,'Rev JR'!$A123,'Dividendos Extranjeros - Ret'!$D$8:$D$500,"&gt;="&amp;'Rev JR'!L$1,'Dividendos Extranjeros - Ret'!$D$8:$D$500,"&lt;="&amp;EOMONTH('Rev JR'!L$1,0))</f>
        <v>0</v>
      </c>
      <c r="M123" s="523">
        <f>+SUMIFS('Dividendos Extranjeros - Ret'!$G$8:$G$500,'Dividendos Extranjeros - Ret'!$B$8:$B$500,'Rev JR'!$A123,'Dividendos Extranjeros - Ret'!$D$8:$D$500,"&gt;="&amp;'Rev JR'!M$1,'Dividendos Extranjeros - Ret'!$D$8:$D$500,"&lt;="&amp;EOMONTH('Rev JR'!M$1,0))</f>
        <v>0</v>
      </c>
      <c r="N123" s="523">
        <f>+SUMIFS('Dividendos Extranjeros - Ret'!$G$8:$G$500,'Dividendos Extranjeros - Ret'!$B$8:$B$500,'Rev JR'!$A123,'Dividendos Extranjeros - Ret'!$D$8:$D$500,"&gt;="&amp;'Rev JR'!N$1,'Dividendos Extranjeros - Ret'!$D$8:$D$500,"&lt;="&amp;EOMONTH('Rev JR'!N$1,0))</f>
        <v>0</v>
      </c>
      <c r="O123" s="523">
        <f t="shared" si="25"/>
        <v>0</v>
      </c>
    </row>
    <row r="124" spans="1:15">
      <c r="A124" s="622" t="str">
        <f t="shared" si="23"/>
        <v>F</v>
      </c>
      <c r="B124" s="519" t="str">
        <f t="shared" si="24"/>
        <v xml:space="preserve">        Tax Withheld on Dividend  - F</v>
      </c>
      <c r="C124" s="523">
        <f>+SUMIFS('Dividendos Extranjeros - Ret'!$G$8:$G$500,'Dividendos Extranjeros - Ret'!$B$8:$B$500,'Rev JR'!$A124,'Dividendos Extranjeros - Ret'!$D$8:$D$500,"&gt;="&amp;'Rev JR'!C$1,'Dividendos Extranjeros - Ret'!$D$8:$D$500,"&lt;="&amp;EOMONTH('Rev JR'!C$1,0))</f>
        <v>0</v>
      </c>
      <c r="D124" s="523">
        <f>+SUMIFS('Dividendos Extranjeros - Ret'!$G$8:$G$500,'Dividendos Extranjeros - Ret'!$B$8:$B$500,'Rev JR'!$A124,'Dividendos Extranjeros - Ret'!$D$8:$D$500,"&gt;="&amp;'Rev JR'!D$1,'Dividendos Extranjeros - Ret'!$D$8:$D$500,"&lt;="&amp;EOMONTH('Rev JR'!D$1,0))</f>
        <v>0</v>
      </c>
      <c r="E124" s="523">
        <f>+SUMIFS('Dividendos Extranjeros - Ret'!$G$8:$G$500,'Dividendos Extranjeros - Ret'!$B$8:$B$500,'Rev JR'!$A124,'Dividendos Extranjeros - Ret'!$D$8:$D$500,"&gt;="&amp;'Rev JR'!E$1,'Dividendos Extranjeros - Ret'!$D$8:$D$500,"&lt;="&amp;EOMONTH('Rev JR'!E$1,0))</f>
        <v>0</v>
      </c>
      <c r="F124" s="523">
        <f>+SUMIFS('Dividendos Extranjeros - Ret'!$G$8:$G$500,'Dividendos Extranjeros - Ret'!$B$8:$B$500,'Rev JR'!$A124,'Dividendos Extranjeros - Ret'!$D$8:$D$500,"&gt;="&amp;'Rev JR'!F$1,'Dividendos Extranjeros - Ret'!$D$8:$D$500,"&lt;="&amp;EOMONTH('Rev JR'!F$1,0))</f>
        <v>0</v>
      </c>
      <c r="G124" s="523">
        <f>+SUMIFS('Dividendos Extranjeros - Ret'!$G$8:$G$500,'Dividendos Extranjeros - Ret'!$B$8:$B$500,'Rev JR'!$A124,'Dividendos Extranjeros - Ret'!$D$8:$D$500,"&gt;="&amp;'Rev JR'!G$1,'Dividendos Extranjeros - Ret'!$D$8:$D$500,"&lt;="&amp;EOMONTH('Rev JR'!G$1,0))</f>
        <v>0</v>
      </c>
      <c r="H124" s="523">
        <f>+SUMIFS('Dividendos Extranjeros - Ret'!$G$8:$G$500,'Dividendos Extranjeros - Ret'!$B$8:$B$500,'Rev JR'!$A124,'Dividendos Extranjeros - Ret'!$D$8:$D$500,"&gt;="&amp;'Rev JR'!H$1,'Dividendos Extranjeros - Ret'!$D$8:$D$500,"&lt;="&amp;EOMONTH('Rev JR'!H$1,0))</f>
        <v>0</v>
      </c>
      <c r="I124" s="523">
        <f>+SUMIFS('Dividendos Extranjeros - Ret'!$G$8:$G$500,'Dividendos Extranjeros - Ret'!$B$8:$B$500,'Rev JR'!$A124,'Dividendos Extranjeros - Ret'!$D$8:$D$500,"&gt;="&amp;'Rev JR'!I$1,'Dividendos Extranjeros - Ret'!$D$8:$D$500,"&lt;="&amp;EOMONTH('Rev JR'!I$1,0))</f>
        <v>0</v>
      </c>
      <c r="J124" s="523">
        <f>+SUMIFS('Dividendos Extranjeros - Ret'!$G$8:$G$500,'Dividendos Extranjeros - Ret'!$B$8:$B$500,'Rev JR'!$A124,'Dividendos Extranjeros - Ret'!$D$8:$D$500,"&gt;="&amp;'Rev JR'!J$1,'Dividendos Extranjeros - Ret'!$D$8:$D$500,"&lt;="&amp;EOMONTH('Rev JR'!J$1,0))</f>
        <v>0</v>
      </c>
      <c r="K124" s="523">
        <f>+SUMIFS('Dividendos Extranjeros - Ret'!$G$8:$G$500,'Dividendos Extranjeros - Ret'!$B$8:$B$500,'Rev JR'!$A124,'Dividendos Extranjeros - Ret'!$D$8:$D$500,"&gt;="&amp;'Rev JR'!K$1,'Dividendos Extranjeros - Ret'!$D$8:$D$500,"&lt;="&amp;EOMONTH('Rev JR'!K$1,0))</f>
        <v>0</v>
      </c>
      <c r="L124" s="523">
        <f>+SUMIFS('Dividendos Extranjeros - Ret'!$G$8:$G$500,'Dividendos Extranjeros - Ret'!$B$8:$B$500,'Rev JR'!$A124,'Dividendos Extranjeros - Ret'!$D$8:$D$500,"&gt;="&amp;'Rev JR'!L$1,'Dividendos Extranjeros - Ret'!$D$8:$D$500,"&lt;="&amp;EOMONTH('Rev JR'!L$1,0))</f>
        <v>0</v>
      </c>
      <c r="M124" s="523">
        <f>+SUMIFS('Dividendos Extranjeros - Ret'!$G$8:$G$500,'Dividendos Extranjeros - Ret'!$B$8:$B$500,'Rev JR'!$A124,'Dividendos Extranjeros - Ret'!$D$8:$D$500,"&gt;="&amp;'Rev JR'!M$1,'Dividendos Extranjeros - Ret'!$D$8:$D$500,"&lt;="&amp;EOMONTH('Rev JR'!M$1,0))</f>
        <v>0</v>
      </c>
      <c r="N124" s="523">
        <f>+SUMIFS('Dividendos Extranjeros - Ret'!$G$8:$G$500,'Dividendos Extranjeros - Ret'!$B$8:$B$500,'Rev JR'!$A124,'Dividendos Extranjeros - Ret'!$D$8:$D$500,"&gt;="&amp;'Rev JR'!N$1,'Dividendos Extranjeros - Ret'!$D$8:$D$500,"&lt;="&amp;EOMONTH('Rev JR'!N$1,0))</f>
        <v>0</v>
      </c>
      <c r="O124" s="523">
        <f t="shared" si="25"/>
        <v>0</v>
      </c>
    </row>
    <row r="125" spans="1:15">
      <c r="A125" s="622" t="str">
        <f t="shared" si="23"/>
        <v>G</v>
      </c>
      <c r="B125" s="519" t="str">
        <f t="shared" si="24"/>
        <v xml:space="preserve">        Tax Withheld on Dividend  - G</v>
      </c>
      <c r="C125" s="523">
        <f>+SUMIFS('Dividendos Extranjeros - Ret'!$G$8:$G$500,'Dividendos Extranjeros - Ret'!$B$8:$B$500,'Rev JR'!$A125,'Dividendos Extranjeros - Ret'!$D$8:$D$500,"&gt;="&amp;'Rev JR'!C$1,'Dividendos Extranjeros - Ret'!$D$8:$D$500,"&lt;="&amp;EOMONTH('Rev JR'!C$1,0))</f>
        <v>0</v>
      </c>
      <c r="D125" s="523">
        <f>+SUMIFS('Dividendos Extranjeros - Ret'!$G$8:$G$500,'Dividendos Extranjeros - Ret'!$B$8:$B$500,'Rev JR'!$A125,'Dividendos Extranjeros - Ret'!$D$8:$D$500,"&gt;="&amp;'Rev JR'!D$1,'Dividendos Extranjeros - Ret'!$D$8:$D$500,"&lt;="&amp;EOMONTH('Rev JR'!D$1,0))</f>
        <v>0</v>
      </c>
      <c r="E125" s="523">
        <f>+SUMIFS('Dividendos Extranjeros - Ret'!$G$8:$G$500,'Dividendos Extranjeros - Ret'!$B$8:$B$500,'Rev JR'!$A125,'Dividendos Extranjeros - Ret'!$D$8:$D$500,"&gt;="&amp;'Rev JR'!E$1,'Dividendos Extranjeros - Ret'!$D$8:$D$500,"&lt;="&amp;EOMONTH('Rev JR'!E$1,0))</f>
        <v>0</v>
      </c>
      <c r="F125" s="523">
        <f>+SUMIFS('Dividendos Extranjeros - Ret'!$G$8:$G$500,'Dividendos Extranjeros - Ret'!$B$8:$B$500,'Rev JR'!$A125,'Dividendos Extranjeros - Ret'!$D$8:$D$500,"&gt;="&amp;'Rev JR'!F$1,'Dividendos Extranjeros - Ret'!$D$8:$D$500,"&lt;="&amp;EOMONTH('Rev JR'!F$1,0))</f>
        <v>0</v>
      </c>
      <c r="G125" s="523">
        <f>+SUMIFS('Dividendos Extranjeros - Ret'!$G$8:$G$500,'Dividendos Extranjeros - Ret'!$B$8:$B$500,'Rev JR'!$A125,'Dividendos Extranjeros - Ret'!$D$8:$D$500,"&gt;="&amp;'Rev JR'!G$1,'Dividendos Extranjeros - Ret'!$D$8:$D$500,"&lt;="&amp;EOMONTH('Rev JR'!G$1,0))</f>
        <v>0</v>
      </c>
      <c r="H125" s="523">
        <f>+SUMIFS('Dividendos Extranjeros - Ret'!$G$8:$G$500,'Dividendos Extranjeros - Ret'!$B$8:$B$500,'Rev JR'!$A125,'Dividendos Extranjeros - Ret'!$D$8:$D$500,"&gt;="&amp;'Rev JR'!H$1,'Dividendos Extranjeros - Ret'!$D$8:$D$500,"&lt;="&amp;EOMONTH('Rev JR'!H$1,0))</f>
        <v>0</v>
      </c>
      <c r="I125" s="523">
        <f>+SUMIFS('Dividendos Extranjeros - Ret'!$G$8:$G$500,'Dividendos Extranjeros - Ret'!$B$8:$B$500,'Rev JR'!$A125,'Dividendos Extranjeros - Ret'!$D$8:$D$500,"&gt;="&amp;'Rev JR'!I$1,'Dividendos Extranjeros - Ret'!$D$8:$D$500,"&lt;="&amp;EOMONTH('Rev JR'!I$1,0))</f>
        <v>0</v>
      </c>
      <c r="J125" s="523">
        <f>+SUMIFS('Dividendos Extranjeros - Ret'!$G$8:$G$500,'Dividendos Extranjeros - Ret'!$B$8:$B$500,'Rev JR'!$A125,'Dividendos Extranjeros - Ret'!$D$8:$D$500,"&gt;="&amp;'Rev JR'!J$1,'Dividendos Extranjeros - Ret'!$D$8:$D$500,"&lt;="&amp;EOMONTH('Rev JR'!J$1,0))</f>
        <v>0</v>
      </c>
      <c r="K125" s="523">
        <f>+SUMIFS('Dividendos Extranjeros - Ret'!$G$8:$G$500,'Dividendos Extranjeros - Ret'!$B$8:$B$500,'Rev JR'!$A125,'Dividendos Extranjeros - Ret'!$D$8:$D$500,"&gt;="&amp;'Rev JR'!K$1,'Dividendos Extranjeros - Ret'!$D$8:$D$500,"&lt;="&amp;EOMONTH('Rev JR'!K$1,0))</f>
        <v>0</v>
      </c>
      <c r="L125" s="523">
        <f>+SUMIFS('Dividendos Extranjeros - Ret'!$G$8:$G$500,'Dividendos Extranjeros - Ret'!$B$8:$B$500,'Rev JR'!$A125,'Dividendos Extranjeros - Ret'!$D$8:$D$500,"&gt;="&amp;'Rev JR'!L$1,'Dividendos Extranjeros - Ret'!$D$8:$D$500,"&lt;="&amp;EOMONTH('Rev JR'!L$1,0))</f>
        <v>0</v>
      </c>
      <c r="M125" s="523">
        <f>+SUMIFS('Dividendos Extranjeros - Ret'!$G$8:$G$500,'Dividendos Extranjeros - Ret'!$B$8:$B$500,'Rev JR'!$A125,'Dividendos Extranjeros - Ret'!$D$8:$D$500,"&gt;="&amp;'Rev JR'!M$1,'Dividendos Extranjeros - Ret'!$D$8:$D$500,"&lt;="&amp;EOMONTH('Rev JR'!M$1,0))</f>
        <v>0</v>
      </c>
      <c r="N125" s="523">
        <f>+SUMIFS('Dividendos Extranjeros - Ret'!$G$8:$G$500,'Dividendos Extranjeros - Ret'!$B$8:$B$500,'Rev JR'!$A125,'Dividendos Extranjeros - Ret'!$D$8:$D$500,"&gt;="&amp;'Rev JR'!N$1,'Dividendos Extranjeros - Ret'!$D$8:$D$500,"&lt;="&amp;EOMONTH('Rev JR'!N$1,0))</f>
        <v>0</v>
      </c>
      <c r="O125" s="523">
        <f t="shared" si="25"/>
        <v>0</v>
      </c>
    </row>
    <row r="126" spans="1:15">
      <c r="A126" s="622" t="str">
        <f t="shared" si="23"/>
        <v>H</v>
      </c>
      <c r="B126" s="519" t="str">
        <f t="shared" si="24"/>
        <v xml:space="preserve">        Tax Withheld on Dividend  - H</v>
      </c>
      <c r="C126" s="523">
        <f>+SUMIFS('Dividendos Extranjeros - Ret'!$G$8:$G$500,'Dividendos Extranjeros - Ret'!$B$8:$B$500,'Rev JR'!$A126,'Dividendos Extranjeros - Ret'!$D$8:$D$500,"&gt;="&amp;'Rev JR'!C$1,'Dividendos Extranjeros - Ret'!$D$8:$D$500,"&lt;="&amp;EOMONTH('Rev JR'!C$1,0))</f>
        <v>0</v>
      </c>
      <c r="D126" s="523">
        <f>+SUMIFS('Dividendos Extranjeros - Ret'!$G$8:$G$500,'Dividendos Extranjeros - Ret'!$B$8:$B$500,'Rev JR'!$A126,'Dividendos Extranjeros - Ret'!$D$8:$D$500,"&gt;="&amp;'Rev JR'!D$1,'Dividendos Extranjeros - Ret'!$D$8:$D$500,"&lt;="&amp;EOMONTH('Rev JR'!D$1,0))</f>
        <v>0</v>
      </c>
      <c r="E126" s="523">
        <f>+SUMIFS('Dividendos Extranjeros - Ret'!$G$8:$G$500,'Dividendos Extranjeros - Ret'!$B$8:$B$500,'Rev JR'!$A126,'Dividendos Extranjeros - Ret'!$D$8:$D$500,"&gt;="&amp;'Rev JR'!E$1,'Dividendos Extranjeros - Ret'!$D$8:$D$500,"&lt;="&amp;EOMONTH('Rev JR'!E$1,0))</f>
        <v>0</v>
      </c>
      <c r="F126" s="523">
        <f>+SUMIFS('Dividendos Extranjeros - Ret'!$G$8:$G$500,'Dividendos Extranjeros - Ret'!$B$8:$B$500,'Rev JR'!$A126,'Dividendos Extranjeros - Ret'!$D$8:$D$500,"&gt;="&amp;'Rev JR'!F$1,'Dividendos Extranjeros - Ret'!$D$8:$D$500,"&lt;="&amp;EOMONTH('Rev JR'!F$1,0))</f>
        <v>0</v>
      </c>
      <c r="G126" s="523">
        <f>+SUMIFS('Dividendos Extranjeros - Ret'!$G$8:$G$500,'Dividendos Extranjeros - Ret'!$B$8:$B$500,'Rev JR'!$A126,'Dividendos Extranjeros - Ret'!$D$8:$D$500,"&gt;="&amp;'Rev JR'!G$1,'Dividendos Extranjeros - Ret'!$D$8:$D$500,"&lt;="&amp;EOMONTH('Rev JR'!G$1,0))</f>
        <v>0</v>
      </c>
      <c r="H126" s="523">
        <f>+SUMIFS('Dividendos Extranjeros - Ret'!$G$8:$G$500,'Dividendos Extranjeros - Ret'!$B$8:$B$500,'Rev JR'!$A126,'Dividendos Extranjeros - Ret'!$D$8:$D$500,"&gt;="&amp;'Rev JR'!H$1,'Dividendos Extranjeros - Ret'!$D$8:$D$500,"&lt;="&amp;EOMONTH('Rev JR'!H$1,0))</f>
        <v>0</v>
      </c>
      <c r="I126" s="523">
        <f>+SUMIFS('Dividendos Extranjeros - Ret'!$G$8:$G$500,'Dividendos Extranjeros - Ret'!$B$8:$B$500,'Rev JR'!$A126,'Dividendos Extranjeros - Ret'!$D$8:$D$500,"&gt;="&amp;'Rev JR'!I$1,'Dividendos Extranjeros - Ret'!$D$8:$D$500,"&lt;="&amp;EOMONTH('Rev JR'!I$1,0))</f>
        <v>0</v>
      </c>
      <c r="J126" s="523">
        <f>+SUMIFS('Dividendos Extranjeros - Ret'!$G$8:$G$500,'Dividendos Extranjeros - Ret'!$B$8:$B$500,'Rev JR'!$A126,'Dividendos Extranjeros - Ret'!$D$8:$D$500,"&gt;="&amp;'Rev JR'!J$1,'Dividendos Extranjeros - Ret'!$D$8:$D$500,"&lt;="&amp;EOMONTH('Rev JR'!J$1,0))</f>
        <v>0</v>
      </c>
      <c r="K126" s="523">
        <f>+SUMIFS('Dividendos Extranjeros - Ret'!$G$8:$G$500,'Dividendos Extranjeros - Ret'!$B$8:$B$500,'Rev JR'!$A126,'Dividendos Extranjeros - Ret'!$D$8:$D$500,"&gt;="&amp;'Rev JR'!K$1,'Dividendos Extranjeros - Ret'!$D$8:$D$500,"&lt;="&amp;EOMONTH('Rev JR'!K$1,0))</f>
        <v>0</v>
      </c>
      <c r="L126" s="523">
        <f>+SUMIFS('Dividendos Extranjeros - Ret'!$G$8:$G$500,'Dividendos Extranjeros - Ret'!$B$8:$B$500,'Rev JR'!$A126,'Dividendos Extranjeros - Ret'!$D$8:$D$500,"&gt;="&amp;'Rev JR'!L$1,'Dividendos Extranjeros - Ret'!$D$8:$D$500,"&lt;="&amp;EOMONTH('Rev JR'!L$1,0))</f>
        <v>0</v>
      </c>
      <c r="M126" s="523">
        <f>+SUMIFS('Dividendos Extranjeros - Ret'!$G$8:$G$500,'Dividendos Extranjeros - Ret'!$B$8:$B$500,'Rev JR'!$A126,'Dividendos Extranjeros - Ret'!$D$8:$D$500,"&gt;="&amp;'Rev JR'!M$1,'Dividendos Extranjeros - Ret'!$D$8:$D$500,"&lt;="&amp;EOMONTH('Rev JR'!M$1,0))</f>
        <v>0</v>
      </c>
      <c r="N126" s="523">
        <f>+SUMIFS('Dividendos Extranjeros - Ret'!$G$8:$G$500,'Dividendos Extranjeros - Ret'!$B$8:$B$500,'Rev JR'!$A126,'Dividendos Extranjeros - Ret'!$D$8:$D$500,"&gt;="&amp;'Rev JR'!N$1,'Dividendos Extranjeros - Ret'!$D$8:$D$500,"&lt;="&amp;EOMONTH('Rev JR'!N$1,0))</f>
        <v>0</v>
      </c>
      <c r="O126" s="523">
        <f t="shared" si="25"/>
        <v>0</v>
      </c>
    </row>
    <row r="127" spans="1:15">
      <c r="A127" s="622" t="str">
        <f t="shared" si="23"/>
        <v>I</v>
      </c>
      <c r="B127" s="519" t="str">
        <f t="shared" si="24"/>
        <v xml:space="preserve">        Tax Withheld on Dividend  - I</v>
      </c>
      <c r="C127" s="523">
        <f>+SUMIFS('Dividendos Extranjeros - Ret'!$G$8:$G$500,'Dividendos Extranjeros - Ret'!$B$8:$B$500,'Rev JR'!$A127,'Dividendos Extranjeros - Ret'!$D$8:$D$500,"&gt;="&amp;'Rev JR'!C$1,'Dividendos Extranjeros - Ret'!$D$8:$D$500,"&lt;="&amp;EOMONTH('Rev JR'!C$1,0))</f>
        <v>0</v>
      </c>
      <c r="D127" s="523">
        <f>+SUMIFS('Dividendos Extranjeros - Ret'!$G$8:$G$500,'Dividendos Extranjeros - Ret'!$B$8:$B$500,'Rev JR'!$A127,'Dividendos Extranjeros - Ret'!$D$8:$D$500,"&gt;="&amp;'Rev JR'!D$1,'Dividendos Extranjeros - Ret'!$D$8:$D$500,"&lt;="&amp;EOMONTH('Rev JR'!D$1,0))</f>
        <v>0</v>
      </c>
      <c r="E127" s="523">
        <f>+SUMIFS('Dividendos Extranjeros - Ret'!$G$8:$G$500,'Dividendos Extranjeros - Ret'!$B$8:$B$500,'Rev JR'!$A127,'Dividendos Extranjeros - Ret'!$D$8:$D$500,"&gt;="&amp;'Rev JR'!E$1,'Dividendos Extranjeros - Ret'!$D$8:$D$500,"&lt;="&amp;EOMONTH('Rev JR'!E$1,0))</f>
        <v>0</v>
      </c>
      <c r="F127" s="523">
        <f>+SUMIFS('Dividendos Extranjeros - Ret'!$G$8:$G$500,'Dividendos Extranjeros - Ret'!$B$8:$B$500,'Rev JR'!$A127,'Dividendos Extranjeros - Ret'!$D$8:$D$500,"&gt;="&amp;'Rev JR'!F$1,'Dividendos Extranjeros - Ret'!$D$8:$D$500,"&lt;="&amp;EOMONTH('Rev JR'!F$1,0))</f>
        <v>0</v>
      </c>
      <c r="G127" s="523">
        <f>+SUMIFS('Dividendos Extranjeros - Ret'!$G$8:$G$500,'Dividendos Extranjeros - Ret'!$B$8:$B$500,'Rev JR'!$A127,'Dividendos Extranjeros - Ret'!$D$8:$D$500,"&gt;="&amp;'Rev JR'!G$1,'Dividendos Extranjeros - Ret'!$D$8:$D$500,"&lt;="&amp;EOMONTH('Rev JR'!G$1,0))</f>
        <v>0</v>
      </c>
      <c r="H127" s="523">
        <f>+SUMIFS('Dividendos Extranjeros - Ret'!$G$8:$G$500,'Dividendos Extranjeros - Ret'!$B$8:$B$500,'Rev JR'!$A127,'Dividendos Extranjeros - Ret'!$D$8:$D$500,"&gt;="&amp;'Rev JR'!H$1,'Dividendos Extranjeros - Ret'!$D$8:$D$500,"&lt;="&amp;EOMONTH('Rev JR'!H$1,0))</f>
        <v>0</v>
      </c>
      <c r="I127" s="523">
        <f>+SUMIFS('Dividendos Extranjeros - Ret'!$G$8:$G$500,'Dividendos Extranjeros - Ret'!$B$8:$B$500,'Rev JR'!$A127,'Dividendos Extranjeros - Ret'!$D$8:$D$500,"&gt;="&amp;'Rev JR'!I$1,'Dividendos Extranjeros - Ret'!$D$8:$D$500,"&lt;="&amp;EOMONTH('Rev JR'!I$1,0))</f>
        <v>0</v>
      </c>
      <c r="J127" s="523">
        <f>+SUMIFS('Dividendos Extranjeros - Ret'!$G$8:$G$500,'Dividendos Extranjeros - Ret'!$B$8:$B$500,'Rev JR'!$A127,'Dividendos Extranjeros - Ret'!$D$8:$D$500,"&gt;="&amp;'Rev JR'!J$1,'Dividendos Extranjeros - Ret'!$D$8:$D$500,"&lt;="&amp;EOMONTH('Rev JR'!J$1,0))</f>
        <v>0</v>
      </c>
      <c r="K127" s="523">
        <f>+SUMIFS('Dividendos Extranjeros - Ret'!$G$8:$G$500,'Dividendos Extranjeros - Ret'!$B$8:$B$500,'Rev JR'!$A127,'Dividendos Extranjeros - Ret'!$D$8:$D$500,"&gt;="&amp;'Rev JR'!K$1,'Dividendos Extranjeros - Ret'!$D$8:$D$500,"&lt;="&amp;EOMONTH('Rev JR'!K$1,0))</f>
        <v>0</v>
      </c>
      <c r="L127" s="523">
        <f>+SUMIFS('Dividendos Extranjeros - Ret'!$G$8:$G$500,'Dividendos Extranjeros - Ret'!$B$8:$B$500,'Rev JR'!$A127,'Dividendos Extranjeros - Ret'!$D$8:$D$500,"&gt;="&amp;'Rev JR'!L$1,'Dividendos Extranjeros - Ret'!$D$8:$D$500,"&lt;="&amp;EOMONTH('Rev JR'!L$1,0))</f>
        <v>0</v>
      </c>
      <c r="M127" s="523">
        <f>+SUMIFS('Dividendos Extranjeros - Ret'!$G$8:$G$500,'Dividendos Extranjeros - Ret'!$B$8:$B$500,'Rev JR'!$A127,'Dividendos Extranjeros - Ret'!$D$8:$D$500,"&gt;="&amp;'Rev JR'!M$1,'Dividendos Extranjeros - Ret'!$D$8:$D$500,"&lt;="&amp;EOMONTH('Rev JR'!M$1,0))</f>
        <v>0</v>
      </c>
      <c r="N127" s="523">
        <f>+SUMIFS('Dividendos Extranjeros - Ret'!$G$8:$G$500,'Dividendos Extranjeros - Ret'!$B$8:$B$500,'Rev JR'!$A127,'Dividendos Extranjeros - Ret'!$D$8:$D$500,"&gt;="&amp;'Rev JR'!N$1,'Dividendos Extranjeros - Ret'!$D$8:$D$500,"&lt;="&amp;EOMONTH('Rev JR'!N$1,0))</f>
        <v>0</v>
      </c>
      <c r="O127" s="523">
        <f t="shared" si="25"/>
        <v>0</v>
      </c>
    </row>
    <row r="128" spans="1:15">
      <c r="A128" s="622" t="str">
        <f t="shared" si="23"/>
        <v>J</v>
      </c>
      <c r="B128" s="519" t="str">
        <f t="shared" si="24"/>
        <v xml:space="preserve">        Tax Withheld on Dividend  - J</v>
      </c>
      <c r="C128" s="523">
        <f>+SUMIFS('Dividendos Extranjeros - Ret'!$G$8:$G$500,'Dividendos Extranjeros - Ret'!$B$8:$B$500,'Rev JR'!$A128,'Dividendos Extranjeros - Ret'!$D$8:$D$500,"&gt;="&amp;'Rev JR'!C$1,'Dividendos Extranjeros - Ret'!$D$8:$D$500,"&lt;="&amp;EOMONTH('Rev JR'!C$1,0))</f>
        <v>0</v>
      </c>
      <c r="D128" s="523">
        <f>+SUMIFS('Dividendos Extranjeros - Ret'!$G$8:$G$500,'Dividendos Extranjeros - Ret'!$B$8:$B$500,'Rev JR'!$A128,'Dividendos Extranjeros - Ret'!$D$8:$D$500,"&gt;="&amp;'Rev JR'!D$1,'Dividendos Extranjeros - Ret'!$D$8:$D$500,"&lt;="&amp;EOMONTH('Rev JR'!D$1,0))</f>
        <v>0</v>
      </c>
      <c r="E128" s="523">
        <f>+SUMIFS('Dividendos Extranjeros - Ret'!$G$8:$G$500,'Dividendos Extranjeros - Ret'!$B$8:$B$500,'Rev JR'!$A128,'Dividendos Extranjeros - Ret'!$D$8:$D$500,"&gt;="&amp;'Rev JR'!E$1,'Dividendos Extranjeros - Ret'!$D$8:$D$500,"&lt;="&amp;EOMONTH('Rev JR'!E$1,0))</f>
        <v>0</v>
      </c>
      <c r="F128" s="523">
        <f>+SUMIFS('Dividendos Extranjeros - Ret'!$G$8:$G$500,'Dividendos Extranjeros - Ret'!$B$8:$B$500,'Rev JR'!$A128,'Dividendos Extranjeros - Ret'!$D$8:$D$500,"&gt;="&amp;'Rev JR'!F$1,'Dividendos Extranjeros - Ret'!$D$8:$D$500,"&lt;="&amp;EOMONTH('Rev JR'!F$1,0))</f>
        <v>0</v>
      </c>
      <c r="G128" s="523">
        <f>+SUMIFS('Dividendos Extranjeros - Ret'!$G$8:$G$500,'Dividendos Extranjeros - Ret'!$B$8:$B$500,'Rev JR'!$A128,'Dividendos Extranjeros - Ret'!$D$8:$D$500,"&gt;="&amp;'Rev JR'!G$1,'Dividendos Extranjeros - Ret'!$D$8:$D$500,"&lt;="&amp;EOMONTH('Rev JR'!G$1,0))</f>
        <v>0</v>
      </c>
      <c r="H128" s="523">
        <f>+SUMIFS('Dividendos Extranjeros - Ret'!$G$8:$G$500,'Dividendos Extranjeros - Ret'!$B$8:$B$500,'Rev JR'!$A128,'Dividendos Extranjeros - Ret'!$D$8:$D$500,"&gt;="&amp;'Rev JR'!H$1,'Dividendos Extranjeros - Ret'!$D$8:$D$500,"&lt;="&amp;EOMONTH('Rev JR'!H$1,0))</f>
        <v>0</v>
      </c>
      <c r="I128" s="523">
        <f>+SUMIFS('Dividendos Extranjeros - Ret'!$G$8:$G$500,'Dividendos Extranjeros - Ret'!$B$8:$B$500,'Rev JR'!$A128,'Dividendos Extranjeros - Ret'!$D$8:$D$500,"&gt;="&amp;'Rev JR'!I$1,'Dividendos Extranjeros - Ret'!$D$8:$D$500,"&lt;="&amp;EOMONTH('Rev JR'!I$1,0))</f>
        <v>0</v>
      </c>
      <c r="J128" s="523">
        <f>+SUMIFS('Dividendos Extranjeros - Ret'!$G$8:$G$500,'Dividendos Extranjeros - Ret'!$B$8:$B$500,'Rev JR'!$A128,'Dividendos Extranjeros - Ret'!$D$8:$D$500,"&gt;="&amp;'Rev JR'!J$1,'Dividendos Extranjeros - Ret'!$D$8:$D$500,"&lt;="&amp;EOMONTH('Rev JR'!J$1,0))</f>
        <v>0</v>
      </c>
      <c r="K128" s="523">
        <f>+SUMIFS('Dividendos Extranjeros - Ret'!$G$8:$G$500,'Dividendos Extranjeros - Ret'!$B$8:$B$500,'Rev JR'!$A128,'Dividendos Extranjeros - Ret'!$D$8:$D$500,"&gt;="&amp;'Rev JR'!K$1,'Dividendos Extranjeros - Ret'!$D$8:$D$500,"&lt;="&amp;EOMONTH('Rev JR'!K$1,0))</f>
        <v>0</v>
      </c>
      <c r="L128" s="523">
        <f>+SUMIFS('Dividendos Extranjeros - Ret'!$G$8:$G$500,'Dividendos Extranjeros - Ret'!$B$8:$B$500,'Rev JR'!$A128,'Dividendos Extranjeros - Ret'!$D$8:$D$500,"&gt;="&amp;'Rev JR'!L$1,'Dividendos Extranjeros - Ret'!$D$8:$D$500,"&lt;="&amp;EOMONTH('Rev JR'!L$1,0))</f>
        <v>0</v>
      </c>
      <c r="M128" s="523">
        <f>+SUMIFS('Dividendos Extranjeros - Ret'!$G$8:$G$500,'Dividendos Extranjeros - Ret'!$B$8:$B$500,'Rev JR'!$A128,'Dividendos Extranjeros - Ret'!$D$8:$D$500,"&gt;="&amp;'Rev JR'!M$1,'Dividendos Extranjeros - Ret'!$D$8:$D$500,"&lt;="&amp;EOMONTH('Rev JR'!M$1,0))</f>
        <v>0</v>
      </c>
      <c r="N128" s="523">
        <f>+SUMIFS('Dividendos Extranjeros - Ret'!$G$8:$G$500,'Dividendos Extranjeros - Ret'!$B$8:$B$500,'Rev JR'!$A128,'Dividendos Extranjeros - Ret'!$D$8:$D$500,"&gt;="&amp;'Rev JR'!N$1,'Dividendos Extranjeros - Ret'!$D$8:$D$500,"&lt;="&amp;EOMONTH('Rev JR'!N$1,0))</f>
        <v>0</v>
      </c>
      <c r="O128" s="523">
        <f t="shared" si="25"/>
        <v>0</v>
      </c>
    </row>
    <row r="129" spans="1:15">
      <c r="A129" s="622" t="str">
        <f t="shared" si="23"/>
        <v>K</v>
      </c>
      <c r="B129" s="519" t="str">
        <f t="shared" si="24"/>
        <v xml:space="preserve">        Tax Withheld on Dividend  - K</v>
      </c>
      <c r="C129" s="523">
        <f>+SUMIFS('Dividendos Extranjeros - Ret'!$G$8:$G$500,'Dividendos Extranjeros - Ret'!$B$8:$B$500,'Rev JR'!$A129,'Dividendos Extranjeros - Ret'!$D$8:$D$500,"&gt;="&amp;'Rev JR'!C$1,'Dividendos Extranjeros - Ret'!$D$8:$D$500,"&lt;="&amp;EOMONTH('Rev JR'!C$1,0))</f>
        <v>0</v>
      </c>
      <c r="D129" s="523">
        <f>+SUMIFS('Dividendos Extranjeros - Ret'!$G$8:$G$500,'Dividendos Extranjeros - Ret'!$B$8:$B$500,'Rev JR'!$A129,'Dividendos Extranjeros - Ret'!$D$8:$D$500,"&gt;="&amp;'Rev JR'!D$1,'Dividendos Extranjeros - Ret'!$D$8:$D$500,"&lt;="&amp;EOMONTH('Rev JR'!D$1,0))</f>
        <v>0</v>
      </c>
      <c r="E129" s="523">
        <f>+SUMIFS('Dividendos Extranjeros - Ret'!$G$8:$G$500,'Dividendos Extranjeros - Ret'!$B$8:$B$500,'Rev JR'!$A129,'Dividendos Extranjeros - Ret'!$D$8:$D$500,"&gt;="&amp;'Rev JR'!E$1,'Dividendos Extranjeros - Ret'!$D$8:$D$500,"&lt;="&amp;EOMONTH('Rev JR'!E$1,0))</f>
        <v>0</v>
      </c>
      <c r="F129" s="523">
        <f>+SUMIFS('Dividendos Extranjeros - Ret'!$G$8:$G$500,'Dividendos Extranjeros - Ret'!$B$8:$B$500,'Rev JR'!$A129,'Dividendos Extranjeros - Ret'!$D$8:$D$500,"&gt;="&amp;'Rev JR'!F$1,'Dividendos Extranjeros - Ret'!$D$8:$D$500,"&lt;="&amp;EOMONTH('Rev JR'!F$1,0))</f>
        <v>0</v>
      </c>
      <c r="G129" s="523">
        <f>+SUMIFS('Dividendos Extranjeros - Ret'!$G$8:$G$500,'Dividendos Extranjeros - Ret'!$B$8:$B$500,'Rev JR'!$A129,'Dividendos Extranjeros - Ret'!$D$8:$D$500,"&gt;="&amp;'Rev JR'!G$1,'Dividendos Extranjeros - Ret'!$D$8:$D$500,"&lt;="&amp;EOMONTH('Rev JR'!G$1,0))</f>
        <v>0</v>
      </c>
      <c r="H129" s="523">
        <f>+SUMIFS('Dividendos Extranjeros - Ret'!$G$8:$G$500,'Dividendos Extranjeros - Ret'!$B$8:$B$500,'Rev JR'!$A129,'Dividendos Extranjeros - Ret'!$D$8:$D$500,"&gt;="&amp;'Rev JR'!H$1,'Dividendos Extranjeros - Ret'!$D$8:$D$500,"&lt;="&amp;EOMONTH('Rev JR'!H$1,0))</f>
        <v>0</v>
      </c>
      <c r="I129" s="523">
        <f>+SUMIFS('Dividendos Extranjeros - Ret'!$G$8:$G$500,'Dividendos Extranjeros - Ret'!$B$8:$B$500,'Rev JR'!$A129,'Dividendos Extranjeros - Ret'!$D$8:$D$500,"&gt;="&amp;'Rev JR'!I$1,'Dividendos Extranjeros - Ret'!$D$8:$D$500,"&lt;="&amp;EOMONTH('Rev JR'!I$1,0))</f>
        <v>0</v>
      </c>
      <c r="J129" s="523">
        <f>+SUMIFS('Dividendos Extranjeros - Ret'!$G$8:$G$500,'Dividendos Extranjeros - Ret'!$B$8:$B$500,'Rev JR'!$A129,'Dividendos Extranjeros - Ret'!$D$8:$D$500,"&gt;="&amp;'Rev JR'!J$1,'Dividendos Extranjeros - Ret'!$D$8:$D$500,"&lt;="&amp;EOMONTH('Rev JR'!J$1,0))</f>
        <v>0</v>
      </c>
      <c r="K129" s="523">
        <f>+SUMIFS('Dividendos Extranjeros - Ret'!$G$8:$G$500,'Dividendos Extranjeros - Ret'!$B$8:$B$500,'Rev JR'!$A129,'Dividendos Extranjeros - Ret'!$D$8:$D$500,"&gt;="&amp;'Rev JR'!K$1,'Dividendos Extranjeros - Ret'!$D$8:$D$500,"&lt;="&amp;EOMONTH('Rev JR'!K$1,0))</f>
        <v>0</v>
      </c>
      <c r="L129" s="523">
        <f>+SUMIFS('Dividendos Extranjeros - Ret'!$G$8:$G$500,'Dividendos Extranjeros - Ret'!$B$8:$B$500,'Rev JR'!$A129,'Dividendos Extranjeros - Ret'!$D$8:$D$500,"&gt;="&amp;'Rev JR'!L$1,'Dividendos Extranjeros - Ret'!$D$8:$D$500,"&lt;="&amp;EOMONTH('Rev JR'!L$1,0))</f>
        <v>0</v>
      </c>
      <c r="M129" s="523">
        <f>+SUMIFS('Dividendos Extranjeros - Ret'!$G$8:$G$500,'Dividendos Extranjeros - Ret'!$B$8:$B$500,'Rev JR'!$A129,'Dividendos Extranjeros - Ret'!$D$8:$D$500,"&gt;="&amp;'Rev JR'!M$1,'Dividendos Extranjeros - Ret'!$D$8:$D$500,"&lt;="&amp;EOMONTH('Rev JR'!M$1,0))</f>
        <v>0</v>
      </c>
      <c r="N129" s="523">
        <f>+SUMIFS('Dividendos Extranjeros - Ret'!$G$8:$G$500,'Dividendos Extranjeros - Ret'!$B$8:$B$500,'Rev JR'!$A129,'Dividendos Extranjeros - Ret'!$D$8:$D$500,"&gt;="&amp;'Rev JR'!N$1,'Dividendos Extranjeros - Ret'!$D$8:$D$500,"&lt;="&amp;EOMONTH('Rev JR'!N$1,0))</f>
        <v>0</v>
      </c>
      <c r="O129" s="523">
        <f t="shared" si="25"/>
        <v>0</v>
      </c>
    </row>
    <row r="130" spans="1:15">
      <c r="A130" s="622" t="str">
        <f t="shared" si="23"/>
        <v>L</v>
      </c>
      <c r="B130" s="519" t="str">
        <f t="shared" si="24"/>
        <v xml:space="preserve">        Tax Withheld on Dividend  - L</v>
      </c>
      <c r="C130" s="523">
        <f>+SUMIFS('Dividendos Extranjeros - Ret'!$G$8:$G$500,'Dividendos Extranjeros - Ret'!$B$8:$B$500,'Rev JR'!$A130,'Dividendos Extranjeros - Ret'!$D$8:$D$500,"&gt;="&amp;'Rev JR'!C$1,'Dividendos Extranjeros - Ret'!$D$8:$D$500,"&lt;="&amp;EOMONTH('Rev JR'!C$1,0))</f>
        <v>0</v>
      </c>
      <c r="D130" s="523">
        <f>+SUMIFS('Dividendos Extranjeros - Ret'!$G$8:$G$500,'Dividendos Extranjeros - Ret'!$B$8:$B$500,'Rev JR'!$A130,'Dividendos Extranjeros - Ret'!$D$8:$D$500,"&gt;="&amp;'Rev JR'!D$1,'Dividendos Extranjeros - Ret'!$D$8:$D$500,"&lt;="&amp;EOMONTH('Rev JR'!D$1,0))</f>
        <v>0</v>
      </c>
      <c r="E130" s="523">
        <f>+SUMIFS('Dividendos Extranjeros - Ret'!$G$8:$G$500,'Dividendos Extranjeros - Ret'!$B$8:$B$500,'Rev JR'!$A130,'Dividendos Extranjeros - Ret'!$D$8:$D$500,"&gt;="&amp;'Rev JR'!E$1,'Dividendos Extranjeros - Ret'!$D$8:$D$500,"&lt;="&amp;EOMONTH('Rev JR'!E$1,0))</f>
        <v>0</v>
      </c>
      <c r="F130" s="523">
        <f>+SUMIFS('Dividendos Extranjeros - Ret'!$G$8:$G$500,'Dividendos Extranjeros - Ret'!$B$8:$B$500,'Rev JR'!$A130,'Dividendos Extranjeros - Ret'!$D$8:$D$500,"&gt;="&amp;'Rev JR'!F$1,'Dividendos Extranjeros - Ret'!$D$8:$D$500,"&lt;="&amp;EOMONTH('Rev JR'!F$1,0))</f>
        <v>0</v>
      </c>
      <c r="G130" s="523">
        <f>+SUMIFS('Dividendos Extranjeros - Ret'!$G$8:$G$500,'Dividendos Extranjeros - Ret'!$B$8:$B$500,'Rev JR'!$A130,'Dividendos Extranjeros - Ret'!$D$8:$D$500,"&gt;="&amp;'Rev JR'!G$1,'Dividendos Extranjeros - Ret'!$D$8:$D$500,"&lt;="&amp;EOMONTH('Rev JR'!G$1,0))</f>
        <v>0</v>
      </c>
      <c r="H130" s="523">
        <f>+SUMIFS('Dividendos Extranjeros - Ret'!$G$8:$G$500,'Dividendos Extranjeros - Ret'!$B$8:$B$500,'Rev JR'!$A130,'Dividendos Extranjeros - Ret'!$D$8:$D$500,"&gt;="&amp;'Rev JR'!H$1,'Dividendos Extranjeros - Ret'!$D$8:$D$500,"&lt;="&amp;EOMONTH('Rev JR'!H$1,0))</f>
        <v>0</v>
      </c>
      <c r="I130" s="523">
        <f>+SUMIFS('Dividendos Extranjeros - Ret'!$G$8:$G$500,'Dividendos Extranjeros - Ret'!$B$8:$B$500,'Rev JR'!$A130,'Dividendos Extranjeros - Ret'!$D$8:$D$500,"&gt;="&amp;'Rev JR'!I$1,'Dividendos Extranjeros - Ret'!$D$8:$D$500,"&lt;="&amp;EOMONTH('Rev JR'!I$1,0))</f>
        <v>0</v>
      </c>
      <c r="J130" s="523">
        <f>+SUMIFS('Dividendos Extranjeros - Ret'!$G$8:$G$500,'Dividendos Extranjeros - Ret'!$B$8:$B$500,'Rev JR'!$A130,'Dividendos Extranjeros - Ret'!$D$8:$D$500,"&gt;="&amp;'Rev JR'!J$1,'Dividendos Extranjeros - Ret'!$D$8:$D$500,"&lt;="&amp;EOMONTH('Rev JR'!J$1,0))</f>
        <v>0</v>
      </c>
      <c r="K130" s="523">
        <f>+SUMIFS('Dividendos Extranjeros - Ret'!$G$8:$G$500,'Dividendos Extranjeros - Ret'!$B$8:$B$500,'Rev JR'!$A130,'Dividendos Extranjeros - Ret'!$D$8:$D$500,"&gt;="&amp;'Rev JR'!K$1,'Dividendos Extranjeros - Ret'!$D$8:$D$500,"&lt;="&amp;EOMONTH('Rev JR'!K$1,0))</f>
        <v>0</v>
      </c>
      <c r="L130" s="523">
        <f>+SUMIFS('Dividendos Extranjeros - Ret'!$G$8:$G$500,'Dividendos Extranjeros - Ret'!$B$8:$B$500,'Rev JR'!$A130,'Dividendos Extranjeros - Ret'!$D$8:$D$500,"&gt;="&amp;'Rev JR'!L$1,'Dividendos Extranjeros - Ret'!$D$8:$D$500,"&lt;="&amp;EOMONTH('Rev JR'!L$1,0))</f>
        <v>0</v>
      </c>
      <c r="M130" s="523">
        <f>+SUMIFS('Dividendos Extranjeros - Ret'!$G$8:$G$500,'Dividendos Extranjeros - Ret'!$B$8:$B$500,'Rev JR'!$A130,'Dividendos Extranjeros - Ret'!$D$8:$D$500,"&gt;="&amp;'Rev JR'!M$1,'Dividendos Extranjeros - Ret'!$D$8:$D$500,"&lt;="&amp;EOMONTH('Rev JR'!M$1,0))</f>
        <v>0</v>
      </c>
      <c r="N130" s="523">
        <f>+SUMIFS('Dividendos Extranjeros - Ret'!$G$8:$G$500,'Dividendos Extranjeros - Ret'!$B$8:$B$500,'Rev JR'!$A130,'Dividendos Extranjeros - Ret'!$D$8:$D$500,"&gt;="&amp;'Rev JR'!N$1,'Dividendos Extranjeros - Ret'!$D$8:$D$500,"&lt;="&amp;EOMONTH('Rev JR'!N$1,0))</f>
        <v>0</v>
      </c>
      <c r="O130" s="523">
        <f t="shared" si="25"/>
        <v>0</v>
      </c>
    </row>
    <row r="131" spans="1:15">
      <c r="A131" s="622" t="str">
        <f t="shared" si="23"/>
        <v>M</v>
      </c>
      <c r="B131" s="519" t="str">
        <f t="shared" si="24"/>
        <v xml:space="preserve">        Tax Withheld on Dividend  - M</v>
      </c>
      <c r="C131" s="523">
        <f>+SUMIFS('Dividendos Extranjeros - Ret'!$G$8:$G$500,'Dividendos Extranjeros - Ret'!$B$8:$B$500,'Rev JR'!$A131,'Dividendos Extranjeros - Ret'!$D$8:$D$500,"&gt;="&amp;'Rev JR'!C$1,'Dividendos Extranjeros - Ret'!$D$8:$D$500,"&lt;="&amp;EOMONTH('Rev JR'!C$1,0))</f>
        <v>0</v>
      </c>
      <c r="D131" s="523">
        <f>+SUMIFS('Dividendos Extranjeros - Ret'!$G$8:$G$500,'Dividendos Extranjeros - Ret'!$B$8:$B$500,'Rev JR'!$A131,'Dividendos Extranjeros - Ret'!$D$8:$D$500,"&gt;="&amp;'Rev JR'!D$1,'Dividendos Extranjeros - Ret'!$D$8:$D$500,"&lt;="&amp;EOMONTH('Rev JR'!D$1,0))</f>
        <v>0</v>
      </c>
      <c r="E131" s="523">
        <f>+SUMIFS('Dividendos Extranjeros - Ret'!$G$8:$G$500,'Dividendos Extranjeros - Ret'!$B$8:$B$500,'Rev JR'!$A131,'Dividendos Extranjeros - Ret'!$D$8:$D$500,"&gt;="&amp;'Rev JR'!E$1,'Dividendos Extranjeros - Ret'!$D$8:$D$500,"&lt;="&amp;EOMONTH('Rev JR'!E$1,0))</f>
        <v>0</v>
      </c>
      <c r="F131" s="523">
        <f>+SUMIFS('Dividendos Extranjeros - Ret'!$G$8:$G$500,'Dividendos Extranjeros - Ret'!$B$8:$B$500,'Rev JR'!$A131,'Dividendos Extranjeros - Ret'!$D$8:$D$500,"&gt;="&amp;'Rev JR'!F$1,'Dividendos Extranjeros - Ret'!$D$8:$D$500,"&lt;="&amp;EOMONTH('Rev JR'!F$1,0))</f>
        <v>0</v>
      </c>
      <c r="G131" s="523">
        <f>+SUMIFS('Dividendos Extranjeros - Ret'!$G$8:$G$500,'Dividendos Extranjeros - Ret'!$B$8:$B$500,'Rev JR'!$A131,'Dividendos Extranjeros - Ret'!$D$8:$D$500,"&gt;="&amp;'Rev JR'!G$1,'Dividendos Extranjeros - Ret'!$D$8:$D$500,"&lt;="&amp;EOMONTH('Rev JR'!G$1,0))</f>
        <v>0</v>
      </c>
      <c r="H131" s="523">
        <f>+SUMIFS('Dividendos Extranjeros - Ret'!$G$8:$G$500,'Dividendos Extranjeros - Ret'!$B$8:$B$500,'Rev JR'!$A131,'Dividendos Extranjeros - Ret'!$D$8:$D$500,"&gt;="&amp;'Rev JR'!H$1,'Dividendos Extranjeros - Ret'!$D$8:$D$500,"&lt;="&amp;EOMONTH('Rev JR'!H$1,0))</f>
        <v>0</v>
      </c>
      <c r="I131" s="523">
        <f>+SUMIFS('Dividendos Extranjeros - Ret'!$G$8:$G$500,'Dividendos Extranjeros - Ret'!$B$8:$B$500,'Rev JR'!$A131,'Dividendos Extranjeros - Ret'!$D$8:$D$500,"&gt;="&amp;'Rev JR'!I$1,'Dividendos Extranjeros - Ret'!$D$8:$D$500,"&lt;="&amp;EOMONTH('Rev JR'!I$1,0))</f>
        <v>0</v>
      </c>
      <c r="J131" s="523">
        <f>+SUMIFS('Dividendos Extranjeros - Ret'!$G$8:$G$500,'Dividendos Extranjeros - Ret'!$B$8:$B$500,'Rev JR'!$A131,'Dividendos Extranjeros - Ret'!$D$8:$D$500,"&gt;="&amp;'Rev JR'!J$1,'Dividendos Extranjeros - Ret'!$D$8:$D$500,"&lt;="&amp;EOMONTH('Rev JR'!J$1,0))</f>
        <v>0</v>
      </c>
      <c r="K131" s="523">
        <f>+SUMIFS('Dividendos Extranjeros - Ret'!$G$8:$G$500,'Dividendos Extranjeros - Ret'!$B$8:$B$500,'Rev JR'!$A131,'Dividendos Extranjeros - Ret'!$D$8:$D$500,"&gt;="&amp;'Rev JR'!K$1,'Dividendos Extranjeros - Ret'!$D$8:$D$500,"&lt;="&amp;EOMONTH('Rev JR'!K$1,0))</f>
        <v>0</v>
      </c>
      <c r="L131" s="523">
        <f>+SUMIFS('Dividendos Extranjeros - Ret'!$G$8:$G$500,'Dividendos Extranjeros - Ret'!$B$8:$B$500,'Rev JR'!$A131,'Dividendos Extranjeros - Ret'!$D$8:$D$500,"&gt;="&amp;'Rev JR'!L$1,'Dividendos Extranjeros - Ret'!$D$8:$D$500,"&lt;="&amp;EOMONTH('Rev JR'!L$1,0))</f>
        <v>0</v>
      </c>
      <c r="M131" s="523">
        <f>+SUMIFS('Dividendos Extranjeros - Ret'!$G$8:$G$500,'Dividendos Extranjeros - Ret'!$B$8:$B$500,'Rev JR'!$A131,'Dividendos Extranjeros - Ret'!$D$8:$D$500,"&gt;="&amp;'Rev JR'!M$1,'Dividendos Extranjeros - Ret'!$D$8:$D$500,"&lt;="&amp;EOMONTH('Rev JR'!M$1,0))</f>
        <v>0</v>
      </c>
      <c r="N131" s="523">
        <f>+SUMIFS('Dividendos Extranjeros - Ret'!$G$8:$G$500,'Dividendos Extranjeros - Ret'!$B$8:$B$500,'Rev JR'!$A131,'Dividendos Extranjeros - Ret'!$D$8:$D$500,"&gt;="&amp;'Rev JR'!N$1,'Dividendos Extranjeros - Ret'!$D$8:$D$500,"&lt;="&amp;EOMONTH('Rev JR'!N$1,0))</f>
        <v>0</v>
      </c>
      <c r="O131" s="523">
        <f t="shared" si="25"/>
        <v>0</v>
      </c>
    </row>
    <row r="132" spans="1:15">
      <c r="A132" s="622" t="str">
        <f t="shared" si="23"/>
        <v>N</v>
      </c>
      <c r="B132" s="519" t="str">
        <f t="shared" si="24"/>
        <v xml:space="preserve">        Tax Withheld on Dividend  - N</v>
      </c>
      <c r="C132" s="523">
        <f>+SUMIFS('Dividendos Extranjeros - Ret'!$G$8:$G$500,'Dividendos Extranjeros - Ret'!$B$8:$B$500,'Rev JR'!$A132,'Dividendos Extranjeros - Ret'!$D$8:$D$500,"&gt;="&amp;'Rev JR'!C$1,'Dividendos Extranjeros - Ret'!$D$8:$D$500,"&lt;="&amp;EOMONTH('Rev JR'!C$1,0))</f>
        <v>0</v>
      </c>
      <c r="D132" s="523">
        <f>+SUMIFS('Dividendos Extranjeros - Ret'!$G$8:$G$500,'Dividendos Extranjeros - Ret'!$B$8:$B$500,'Rev JR'!$A132,'Dividendos Extranjeros - Ret'!$D$8:$D$500,"&gt;="&amp;'Rev JR'!D$1,'Dividendos Extranjeros - Ret'!$D$8:$D$500,"&lt;="&amp;EOMONTH('Rev JR'!D$1,0))</f>
        <v>0</v>
      </c>
      <c r="E132" s="523">
        <f>+SUMIFS('Dividendos Extranjeros - Ret'!$G$8:$G$500,'Dividendos Extranjeros - Ret'!$B$8:$B$500,'Rev JR'!$A132,'Dividendos Extranjeros - Ret'!$D$8:$D$500,"&gt;="&amp;'Rev JR'!E$1,'Dividendos Extranjeros - Ret'!$D$8:$D$500,"&lt;="&amp;EOMONTH('Rev JR'!E$1,0))</f>
        <v>0</v>
      </c>
      <c r="F132" s="523">
        <f>+SUMIFS('Dividendos Extranjeros - Ret'!$G$8:$G$500,'Dividendos Extranjeros - Ret'!$B$8:$B$500,'Rev JR'!$A132,'Dividendos Extranjeros - Ret'!$D$8:$D$500,"&gt;="&amp;'Rev JR'!F$1,'Dividendos Extranjeros - Ret'!$D$8:$D$500,"&lt;="&amp;EOMONTH('Rev JR'!F$1,0))</f>
        <v>0</v>
      </c>
      <c r="G132" s="523">
        <f>+SUMIFS('Dividendos Extranjeros - Ret'!$G$8:$G$500,'Dividendos Extranjeros - Ret'!$B$8:$B$500,'Rev JR'!$A132,'Dividendos Extranjeros - Ret'!$D$8:$D$500,"&gt;="&amp;'Rev JR'!G$1,'Dividendos Extranjeros - Ret'!$D$8:$D$500,"&lt;="&amp;EOMONTH('Rev JR'!G$1,0))</f>
        <v>0</v>
      </c>
      <c r="H132" s="523">
        <f>+SUMIFS('Dividendos Extranjeros - Ret'!$G$8:$G$500,'Dividendos Extranjeros - Ret'!$B$8:$B$500,'Rev JR'!$A132,'Dividendos Extranjeros - Ret'!$D$8:$D$500,"&gt;="&amp;'Rev JR'!H$1,'Dividendos Extranjeros - Ret'!$D$8:$D$500,"&lt;="&amp;EOMONTH('Rev JR'!H$1,0))</f>
        <v>0</v>
      </c>
      <c r="I132" s="523">
        <f>+SUMIFS('Dividendos Extranjeros - Ret'!$G$8:$G$500,'Dividendos Extranjeros - Ret'!$B$8:$B$500,'Rev JR'!$A132,'Dividendos Extranjeros - Ret'!$D$8:$D$500,"&gt;="&amp;'Rev JR'!I$1,'Dividendos Extranjeros - Ret'!$D$8:$D$500,"&lt;="&amp;EOMONTH('Rev JR'!I$1,0))</f>
        <v>0</v>
      </c>
      <c r="J132" s="523">
        <f>+SUMIFS('Dividendos Extranjeros - Ret'!$G$8:$G$500,'Dividendos Extranjeros - Ret'!$B$8:$B$500,'Rev JR'!$A132,'Dividendos Extranjeros - Ret'!$D$8:$D$500,"&gt;="&amp;'Rev JR'!J$1,'Dividendos Extranjeros - Ret'!$D$8:$D$500,"&lt;="&amp;EOMONTH('Rev JR'!J$1,0))</f>
        <v>0</v>
      </c>
      <c r="K132" s="523">
        <f>+SUMIFS('Dividendos Extranjeros - Ret'!$G$8:$G$500,'Dividendos Extranjeros - Ret'!$B$8:$B$500,'Rev JR'!$A132,'Dividendos Extranjeros - Ret'!$D$8:$D$500,"&gt;="&amp;'Rev JR'!K$1,'Dividendos Extranjeros - Ret'!$D$8:$D$500,"&lt;="&amp;EOMONTH('Rev JR'!K$1,0))</f>
        <v>0</v>
      </c>
      <c r="L132" s="523">
        <f>+SUMIFS('Dividendos Extranjeros - Ret'!$G$8:$G$500,'Dividendos Extranjeros - Ret'!$B$8:$B$500,'Rev JR'!$A132,'Dividendos Extranjeros - Ret'!$D$8:$D$500,"&gt;="&amp;'Rev JR'!L$1,'Dividendos Extranjeros - Ret'!$D$8:$D$500,"&lt;="&amp;EOMONTH('Rev JR'!L$1,0))</f>
        <v>0</v>
      </c>
      <c r="M132" s="523">
        <f>+SUMIFS('Dividendos Extranjeros - Ret'!$G$8:$G$500,'Dividendos Extranjeros - Ret'!$B$8:$B$500,'Rev JR'!$A132,'Dividendos Extranjeros - Ret'!$D$8:$D$500,"&gt;="&amp;'Rev JR'!M$1,'Dividendos Extranjeros - Ret'!$D$8:$D$500,"&lt;="&amp;EOMONTH('Rev JR'!M$1,0))</f>
        <v>0</v>
      </c>
      <c r="N132" s="523">
        <f>+SUMIFS('Dividendos Extranjeros - Ret'!$G$8:$G$500,'Dividendos Extranjeros - Ret'!$B$8:$B$500,'Rev JR'!$A132,'Dividendos Extranjeros - Ret'!$D$8:$D$500,"&gt;="&amp;'Rev JR'!N$1,'Dividendos Extranjeros - Ret'!$D$8:$D$500,"&lt;="&amp;EOMONTH('Rev JR'!N$1,0))</f>
        <v>0</v>
      </c>
      <c r="O132" s="523">
        <f t="shared" si="25"/>
        <v>0</v>
      </c>
    </row>
    <row r="133" spans="1:15">
      <c r="A133" s="622" t="str">
        <f t="shared" si="23"/>
        <v>O</v>
      </c>
      <c r="B133" s="519" t="str">
        <f t="shared" si="24"/>
        <v xml:space="preserve">        Tax Withheld on Dividend  - O</v>
      </c>
      <c r="C133" s="523">
        <f>+SUMIFS('Dividendos Extranjeros - Ret'!$G$8:$G$500,'Dividendos Extranjeros - Ret'!$B$8:$B$500,'Rev JR'!$A133,'Dividendos Extranjeros - Ret'!$D$8:$D$500,"&gt;="&amp;'Rev JR'!C$1,'Dividendos Extranjeros - Ret'!$D$8:$D$500,"&lt;="&amp;EOMONTH('Rev JR'!C$1,0))</f>
        <v>0</v>
      </c>
      <c r="D133" s="523">
        <f>+SUMIFS('Dividendos Extranjeros - Ret'!$G$8:$G$500,'Dividendos Extranjeros - Ret'!$B$8:$B$500,'Rev JR'!$A133,'Dividendos Extranjeros - Ret'!$D$8:$D$500,"&gt;="&amp;'Rev JR'!D$1,'Dividendos Extranjeros - Ret'!$D$8:$D$500,"&lt;="&amp;EOMONTH('Rev JR'!D$1,0))</f>
        <v>0</v>
      </c>
      <c r="E133" s="523">
        <f>+SUMIFS('Dividendos Extranjeros - Ret'!$G$8:$G$500,'Dividendos Extranjeros - Ret'!$B$8:$B$500,'Rev JR'!$A133,'Dividendos Extranjeros - Ret'!$D$8:$D$500,"&gt;="&amp;'Rev JR'!E$1,'Dividendos Extranjeros - Ret'!$D$8:$D$500,"&lt;="&amp;EOMONTH('Rev JR'!E$1,0))</f>
        <v>0</v>
      </c>
      <c r="F133" s="523">
        <f>+SUMIFS('Dividendos Extranjeros - Ret'!$G$8:$G$500,'Dividendos Extranjeros - Ret'!$B$8:$B$500,'Rev JR'!$A133,'Dividendos Extranjeros - Ret'!$D$8:$D$500,"&gt;="&amp;'Rev JR'!F$1,'Dividendos Extranjeros - Ret'!$D$8:$D$500,"&lt;="&amp;EOMONTH('Rev JR'!F$1,0))</f>
        <v>0</v>
      </c>
      <c r="G133" s="523">
        <f>+SUMIFS('Dividendos Extranjeros - Ret'!$G$8:$G$500,'Dividendos Extranjeros - Ret'!$B$8:$B$500,'Rev JR'!$A133,'Dividendos Extranjeros - Ret'!$D$8:$D$500,"&gt;="&amp;'Rev JR'!G$1,'Dividendos Extranjeros - Ret'!$D$8:$D$500,"&lt;="&amp;EOMONTH('Rev JR'!G$1,0))</f>
        <v>0</v>
      </c>
      <c r="H133" s="523">
        <f>+SUMIFS('Dividendos Extranjeros - Ret'!$G$8:$G$500,'Dividendos Extranjeros - Ret'!$B$8:$B$500,'Rev JR'!$A133,'Dividendos Extranjeros - Ret'!$D$8:$D$500,"&gt;="&amp;'Rev JR'!H$1,'Dividendos Extranjeros - Ret'!$D$8:$D$500,"&lt;="&amp;EOMONTH('Rev JR'!H$1,0))</f>
        <v>0</v>
      </c>
      <c r="I133" s="523">
        <f>+SUMIFS('Dividendos Extranjeros - Ret'!$G$8:$G$500,'Dividendos Extranjeros - Ret'!$B$8:$B$500,'Rev JR'!$A133,'Dividendos Extranjeros - Ret'!$D$8:$D$500,"&gt;="&amp;'Rev JR'!I$1,'Dividendos Extranjeros - Ret'!$D$8:$D$500,"&lt;="&amp;EOMONTH('Rev JR'!I$1,0))</f>
        <v>0</v>
      </c>
      <c r="J133" s="523">
        <f>+SUMIFS('Dividendos Extranjeros - Ret'!$G$8:$G$500,'Dividendos Extranjeros - Ret'!$B$8:$B$500,'Rev JR'!$A133,'Dividendos Extranjeros - Ret'!$D$8:$D$500,"&gt;="&amp;'Rev JR'!J$1,'Dividendos Extranjeros - Ret'!$D$8:$D$500,"&lt;="&amp;EOMONTH('Rev JR'!J$1,0))</f>
        <v>0</v>
      </c>
      <c r="K133" s="523">
        <f>+SUMIFS('Dividendos Extranjeros - Ret'!$G$8:$G$500,'Dividendos Extranjeros - Ret'!$B$8:$B$500,'Rev JR'!$A133,'Dividendos Extranjeros - Ret'!$D$8:$D$500,"&gt;="&amp;'Rev JR'!K$1,'Dividendos Extranjeros - Ret'!$D$8:$D$500,"&lt;="&amp;EOMONTH('Rev JR'!K$1,0))</f>
        <v>0</v>
      </c>
      <c r="L133" s="523">
        <f>+SUMIFS('Dividendos Extranjeros - Ret'!$G$8:$G$500,'Dividendos Extranjeros - Ret'!$B$8:$B$500,'Rev JR'!$A133,'Dividendos Extranjeros - Ret'!$D$8:$D$500,"&gt;="&amp;'Rev JR'!L$1,'Dividendos Extranjeros - Ret'!$D$8:$D$500,"&lt;="&amp;EOMONTH('Rev JR'!L$1,0))</f>
        <v>0</v>
      </c>
      <c r="M133" s="523">
        <f>+SUMIFS('Dividendos Extranjeros - Ret'!$G$8:$G$500,'Dividendos Extranjeros - Ret'!$B$8:$B$500,'Rev JR'!$A133,'Dividendos Extranjeros - Ret'!$D$8:$D$500,"&gt;="&amp;'Rev JR'!M$1,'Dividendos Extranjeros - Ret'!$D$8:$D$500,"&lt;="&amp;EOMONTH('Rev JR'!M$1,0))</f>
        <v>0</v>
      </c>
      <c r="N133" s="523">
        <f>+SUMIFS('Dividendos Extranjeros - Ret'!$G$8:$G$500,'Dividendos Extranjeros - Ret'!$B$8:$B$500,'Rev JR'!$A133,'Dividendos Extranjeros - Ret'!$D$8:$D$500,"&gt;="&amp;'Rev JR'!N$1,'Dividendos Extranjeros - Ret'!$D$8:$D$500,"&lt;="&amp;EOMONTH('Rev JR'!N$1,0))</f>
        <v>0</v>
      </c>
      <c r="O133" s="523">
        <f t="shared" si="25"/>
        <v>0</v>
      </c>
    </row>
    <row r="134" spans="1:15">
      <c r="A134" s="622" t="str">
        <f t="shared" si="23"/>
        <v>P</v>
      </c>
      <c r="B134" s="519" t="str">
        <f t="shared" si="24"/>
        <v xml:space="preserve">        Tax Withheld on Dividend  - P</v>
      </c>
      <c r="C134" s="523">
        <f>+SUMIFS('Dividendos Extranjeros - Ret'!$G$8:$G$500,'Dividendos Extranjeros - Ret'!$B$8:$B$500,'Rev JR'!$A134,'Dividendos Extranjeros - Ret'!$D$8:$D$500,"&gt;="&amp;'Rev JR'!C$1,'Dividendos Extranjeros - Ret'!$D$8:$D$500,"&lt;="&amp;EOMONTH('Rev JR'!C$1,0))</f>
        <v>0</v>
      </c>
      <c r="D134" s="523">
        <f>+SUMIFS('Dividendos Extranjeros - Ret'!$G$8:$G$500,'Dividendos Extranjeros - Ret'!$B$8:$B$500,'Rev JR'!$A134,'Dividendos Extranjeros - Ret'!$D$8:$D$500,"&gt;="&amp;'Rev JR'!D$1,'Dividendos Extranjeros - Ret'!$D$8:$D$500,"&lt;="&amp;EOMONTH('Rev JR'!D$1,0))</f>
        <v>0</v>
      </c>
      <c r="E134" s="523">
        <f>+SUMIFS('Dividendos Extranjeros - Ret'!$G$8:$G$500,'Dividendos Extranjeros - Ret'!$B$8:$B$500,'Rev JR'!$A134,'Dividendos Extranjeros - Ret'!$D$8:$D$500,"&gt;="&amp;'Rev JR'!E$1,'Dividendos Extranjeros - Ret'!$D$8:$D$500,"&lt;="&amp;EOMONTH('Rev JR'!E$1,0))</f>
        <v>0</v>
      </c>
      <c r="F134" s="523">
        <f>+SUMIFS('Dividendos Extranjeros - Ret'!$G$8:$G$500,'Dividendos Extranjeros - Ret'!$B$8:$B$500,'Rev JR'!$A134,'Dividendos Extranjeros - Ret'!$D$8:$D$500,"&gt;="&amp;'Rev JR'!F$1,'Dividendos Extranjeros - Ret'!$D$8:$D$500,"&lt;="&amp;EOMONTH('Rev JR'!F$1,0))</f>
        <v>0</v>
      </c>
      <c r="G134" s="523">
        <f>+SUMIFS('Dividendos Extranjeros - Ret'!$G$8:$G$500,'Dividendos Extranjeros - Ret'!$B$8:$B$500,'Rev JR'!$A134,'Dividendos Extranjeros - Ret'!$D$8:$D$500,"&gt;="&amp;'Rev JR'!G$1,'Dividendos Extranjeros - Ret'!$D$8:$D$500,"&lt;="&amp;EOMONTH('Rev JR'!G$1,0))</f>
        <v>0</v>
      </c>
      <c r="H134" s="523">
        <f>+SUMIFS('Dividendos Extranjeros - Ret'!$G$8:$G$500,'Dividendos Extranjeros - Ret'!$B$8:$B$500,'Rev JR'!$A134,'Dividendos Extranjeros - Ret'!$D$8:$D$500,"&gt;="&amp;'Rev JR'!H$1,'Dividendos Extranjeros - Ret'!$D$8:$D$500,"&lt;="&amp;EOMONTH('Rev JR'!H$1,0))</f>
        <v>0</v>
      </c>
      <c r="I134" s="523">
        <f>+SUMIFS('Dividendos Extranjeros - Ret'!$G$8:$G$500,'Dividendos Extranjeros - Ret'!$B$8:$B$500,'Rev JR'!$A134,'Dividendos Extranjeros - Ret'!$D$8:$D$500,"&gt;="&amp;'Rev JR'!I$1,'Dividendos Extranjeros - Ret'!$D$8:$D$500,"&lt;="&amp;EOMONTH('Rev JR'!I$1,0))</f>
        <v>0</v>
      </c>
      <c r="J134" s="523">
        <f>+SUMIFS('Dividendos Extranjeros - Ret'!$G$8:$G$500,'Dividendos Extranjeros - Ret'!$B$8:$B$500,'Rev JR'!$A134,'Dividendos Extranjeros - Ret'!$D$8:$D$500,"&gt;="&amp;'Rev JR'!J$1,'Dividendos Extranjeros - Ret'!$D$8:$D$500,"&lt;="&amp;EOMONTH('Rev JR'!J$1,0))</f>
        <v>0</v>
      </c>
      <c r="K134" s="523">
        <f>+SUMIFS('Dividendos Extranjeros - Ret'!$G$8:$G$500,'Dividendos Extranjeros - Ret'!$B$8:$B$500,'Rev JR'!$A134,'Dividendos Extranjeros - Ret'!$D$8:$D$500,"&gt;="&amp;'Rev JR'!K$1,'Dividendos Extranjeros - Ret'!$D$8:$D$500,"&lt;="&amp;EOMONTH('Rev JR'!K$1,0))</f>
        <v>0</v>
      </c>
      <c r="L134" s="523">
        <f>+SUMIFS('Dividendos Extranjeros - Ret'!$G$8:$G$500,'Dividendos Extranjeros - Ret'!$B$8:$B$500,'Rev JR'!$A134,'Dividendos Extranjeros - Ret'!$D$8:$D$500,"&gt;="&amp;'Rev JR'!L$1,'Dividendos Extranjeros - Ret'!$D$8:$D$500,"&lt;="&amp;EOMONTH('Rev JR'!L$1,0))</f>
        <v>0</v>
      </c>
      <c r="M134" s="523">
        <f>+SUMIFS('Dividendos Extranjeros - Ret'!$G$8:$G$500,'Dividendos Extranjeros - Ret'!$B$8:$B$500,'Rev JR'!$A134,'Dividendos Extranjeros - Ret'!$D$8:$D$500,"&gt;="&amp;'Rev JR'!M$1,'Dividendos Extranjeros - Ret'!$D$8:$D$500,"&lt;="&amp;EOMONTH('Rev JR'!M$1,0))</f>
        <v>0</v>
      </c>
      <c r="N134" s="523">
        <f>+SUMIFS('Dividendos Extranjeros - Ret'!$G$8:$G$500,'Dividendos Extranjeros - Ret'!$B$8:$B$500,'Rev JR'!$A134,'Dividendos Extranjeros - Ret'!$D$8:$D$500,"&gt;="&amp;'Rev JR'!N$1,'Dividendos Extranjeros - Ret'!$D$8:$D$500,"&lt;="&amp;EOMONTH('Rev JR'!N$1,0))</f>
        <v>0</v>
      </c>
      <c r="O134" s="523">
        <f t="shared" si="25"/>
        <v>0</v>
      </c>
    </row>
    <row r="135" spans="1:15">
      <c r="A135" s="515"/>
      <c r="B135" s="524" t="s">
        <v>618</v>
      </c>
      <c r="C135" s="525">
        <f t="shared" ref="C135:O135" si="26">SUM(C119:C134)</f>
        <v>0</v>
      </c>
      <c r="D135" s="525">
        <f t="shared" si="26"/>
        <v>0</v>
      </c>
      <c r="E135" s="525">
        <f t="shared" si="26"/>
        <v>0</v>
      </c>
      <c r="F135" s="525">
        <f t="shared" si="26"/>
        <v>0</v>
      </c>
      <c r="G135" s="525">
        <f t="shared" si="26"/>
        <v>0</v>
      </c>
      <c r="H135" s="525">
        <f t="shared" si="26"/>
        <v>1985.9</v>
      </c>
      <c r="I135" s="525">
        <f t="shared" si="26"/>
        <v>0</v>
      </c>
      <c r="J135" s="525">
        <f t="shared" si="26"/>
        <v>0</v>
      </c>
      <c r="K135" s="525">
        <f t="shared" si="26"/>
        <v>1888.32</v>
      </c>
      <c r="L135" s="525">
        <f t="shared" si="26"/>
        <v>0</v>
      </c>
      <c r="M135" s="525">
        <f t="shared" si="26"/>
        <v>0</v>
      </c>
      <c r="N135" s="525">
        <f t="shared" si="26"/>
        <v>789.84</v>
      </c>
      <c r="O135" s="525">
        <f t="shared" si="26"/>
        <v>4664.0600000000004</v>
      </c>
    </row>
    <row r="136" spans="1:15">
      <c r="A136" s="519"/>
      <c r="B136" s="519"/>
      <c r="C136" s="519"/>
      <c r="D136" s="519"/>
      <c r="E136" s="519"/>
      <c r="F136" s="519"/>
      <c r="G136" s="519"/>
      <c r="H136" s="519"/>
      <c r="I136" s="519"/>
      <c r="J136" s="519"/>
      <c r="K136" s="519"/>
      <c r="L136" s="519"/>
      <c r="M136" s="519"/>
      <c r="N136" s="519"/>
      <c r="O136" s="519"/>
    </row>
    <row r="137" spans="1:15">
      <c r="A137" s="515"/>
      <c r="B137" s="519" t="s">
        <v>617</v>
      </c>
      <c r="C137" s="522"/>
      <c r="D137" s="522"/>
      <c r="E137" s="522"/>
      <c r="F137" s="522"/>
      <c r="G137" s="522"/>
      <c r="H137" s="522"/>
      <c r="I137" s="522"/>
      <c r="J137" s="522"/>
      <c r="K137" s="522"/>
      <c r="L137" s="522"/>
      <c r="M137" s="522"/>
      <c r="N137" s="522"/>
      <c r="O137" s="522"/>
    </row>
    <row r="138" spans="1:15">
      <c r="A138" s="622" t="str">
        <f>+A119</f>
        <v>AR2XXXX3387-0008</v>
      </c>
      <c r="B138" s="519" t="str">
        <f t="shared" ref="B138:B153" si="27">+CONCATENATE("        Otras Retenciones  - ",A138)</f>
        <v xml:space="preserve">        Otras Retenciones  - AR2XXXX3387-0008</v>
      </c>
      <c r="C138" s="523">
        <f>+SUMIFS('Otras Retenciones'!$G$8:$G$500,'Otras Retenciones'!$B$8:$B$500,'Rev JR'!$A138,'Otras Retenciones'!$D$8:$D$500,"&gt;="&amp;'Rev JR'!C$1,'Otras Retenciones'!$D$8:$D$500,"&lt;="&amp;EOMONTH('Rev JR'!C$1,0))</f>
        <v>0</v>
      </c>
      <c r="D138" s="523">
        <f>+SUMIFS('Otras Retenciones'!$G$8:$G$500,'Otras Retenciones'!$B$8:$B$500,'Rev JR'!$A138,'Otras Retenciones'!$D$8:$D$500,"&gt;="&amp;'Rev JR'!D$1,'Otras Retenciones'!$D$8:$D$500,"&lt;="&amp;EOMONTH('Rev JR'!D$1,0))</f>
        <v>0</v>
      </c>
      <c r="E138" s="523">
        <f>+SUMIFS('Otras Retenciones'!$G$8:$G$500,'Otras Retenciones'!$B$8:$B$500,'Rev JR'!$A138,'Otras Retenciones'!$D$8:$D$500,"&gt;="&amp;'Rev JR'!E$1,'Otras Retenciones'!$D$8:$D$500,"&lt;="&amp;EOMONTH('Rev JR'!E$1,0))</f>
        <v>0</v>
      </c>
      <c r="F138" s="523">
        <f>+SUMIFS('Otras Retenciones'!$G$8:$G$500,'Otras Retenciones'!$B$8:$B$500,'Rev JR'!$A138,'Otras Retenciones'!$D$8:$D$500,"&gt;="&amp;'Rev JR'!F$1,'Otras Retenciones'!$D$8:$D$500,"&lt;="&amp;EOMONTH('Rev JR'!F$1,0))</f>
        <v>0</v>
      </c>
      <c r="G138" s="523">
        <f>+SUMIFS('Otras Retenciones'!$G$8:$G$500,'Otras Retenciones'!$B$8:$B$500,'Rev JR'!$A138,'Otras Retenciones'!$D$8:$D$500,"&gt;="&amp;'Rev JR'!G$1,'Otras Retenciones'!$D$8:$D$500,"&lt;="&amp;EOMONTH('Rev JR'!G$1,0))</f>
        <v>0</v>
      </c>
      <c r="H138" s="523">
        <f>+SUMIFS('Otras Retenciones'!$G$8:$G$500,'Otras Retenciones'!$B$8:$B$500,'Rev JR'!$A138,'Otras Retenciones'!$D$8:$D$500,"&gt;="&amp;'Rev JR'!H$1,'Otras Retenciones'!$D$8:$D$500,"&lt;="&amp;EOMONTH('Rev JR'!H$1,0))</f>
        <v>0</v>
      </c>
      <c r="I138" s="523">
        <f>+SUMIFS('Otras Retenciones'!$G$8:$G$500,'Otras Retenciones'!$B$8:$B$500,'Rev JR'!$A138,'Otras Retenciones'!$D$8:$D$500,"&gt;="&amp;'Rev JR'!I$1,'Otras Retenciones'!$D$8:$D$500,"&lt;="&amp;EOMONTH('Rev JR'!I$1,0))</f>
        <v>0</v>
      </c>
      <c r="J138" s="523">
        <f>+SUMIFS('Otras Retenciones'!$G$8:$G$500,'Otras Retenciones'!$B$8:$B$500,'Rev JR'!$A138,'Otras Retenciones'!$D$8:$D$500,"&gt;="&amp;'Rev JR'!J$1,'Otras Retenciones'!$D$8:$D$500,"&lt;="&amp;EOMONTH('Rev JR'!J$1,0))</f>
        <v>0</v>
      </c>
      <c r="K138" s="523">
        <f>+SUMIFS('Otras Retenciones'!$G$8:$G$500,'Otras Retenciones'!$B$8:$B$500,'Rev JR'!$A138,'Otras Retenciones'!$D$8:$D$500,"&gt;="&amp;'Rev JR'!K$1,'Otras Retenciones'!$D$8:$D$500,"&lt;="&amp;EOMONTH('Rev JR'!K$1,0))</f>
        <v>0</v>
      </c>
      <c r="L138" s="523">
        <f>+SUMIFS('Otras Retenciones'!$G$8:$G$500,'Otras Retenciones'!$B$8:$B$500,'Rev JR'!$A138,'Otras Retenciones'!$D$8:$D$500,"&gt;="&amp;'Rev JR'!L$1,'Otras Retenciones'!$D$8:$D$500,"&lt;="&amp;EOMONTH('Rev JR'!L$1,0))</f>
        <v>0</v>
      </c>
      <c r="M138" s="523">
        <f>+SUMIFS('Otras Retenciones'!$G$8:$G$500,'Otras Retenciones'!$B$8:$B$500,'Rev JR'!$A138,'Otras Retenciones'!$D$8:$D$500,"&gt;="&amp;'Rev JR'!M$1,'Otras Retenciones'!$D$8:$D$500,"&lt;="&amp;EOMONTH('Rev JR'!M$1,0))</f>
        <v>0</v>
      </c>
      <c r="N138" s="523">
        <f>+SUMIFS('Otras Retenciones'!$G$8:$G$500,'Otras Retenciones'!$B$8:$B$500,'Rev JR'!$A138,'Otras Retenciones'!$D$8:$D$500,"&gt;="&amp;'Rev JR'!N$1,'Otras Retenciones'!$D$8:$D$500,"&lt;="&amp;EOMONTH('Rev JR'!N$1,0))</f>
        <v>0</v>
      </c>
      <c r="O138" s="523">
        <f t="shared" ref="O138:O153" si="28">SUM(C138:N138)</f>
        <v>0</v>
      </c>
    </row>
    <row r="139" spans="1:15">
      <c r="A139" s="622" t="str">
        <f t="shared" ref="A139:A153" si="29">+A120</f>
        <v>AR2XXXX3387-0003</v>
      </c>
      <c r="B139" s="519" t="str">
        <f t="shared" si="27"/>
        <v xml:space="preserve">        Otras Retenciones  - AR2XXXX3387-0003</v>
      </c>
      <c r="C139" s="523">
        <f>+SUMIFS('Otras Retenciones'!$G$8:$G$500,'Otras Retenciones'!$B$8:$B$500,'Rev JR'!$A139,'Otras Retenciones'!$D$8:$D$500,"&gt;="&amp;'Rev JR'!C$1,'Otras Retenciones'!$D$8:$D$500,"&lt;="&amp;EOMONTH('Rev JR'!C$1,0))</f>
        <v>0</v>
      </c>
      <c r="D139" s="523">
        <f>+SUMIFS('Otras Retenciones'!$G$8:$G$500,'Otras Retenciones'!$B$8:$B$500,'Rev JR'!$A139,'Otras Retenciones'!$D$8:$D$500,"&gt;="&amp;'Rev JR'!D$1,'Otras Retenciones'!$D$8:$D$500,"&lt;="&amp;EOMONTH('Rev JR'!D$1,0))</f>
        <v>0</v>
      </c>
      <c r="E139" s="523">
        <f>+SUMIFS('Otras Retenciones'!$G$8:$G$500,'Otras Retenciones'!$B$8:$B$500,'Rev JR'!$A139,'Otras Retenciones'!$D$8:$D$500,"&gt;="&amp;'Rev JR'!E$1,'Otras Retenciones'!$D$8:$D$500,"&lt;="&amp;EOMONTH('Rev JR'!E$1,0))</f>
        <v>0</v>
      </c>
      <c r="F139" s="523">
        <f>+SUMIFS('Otras Retenciones'!$G$8:$G$500,'Otras Retenciones'!$B$8:$B$500,'Rev JR'!$A139,'Otras Retenciones'!$D$8:$D$500,"&gt;="&amp;'Rev JR'!F$1,'Otras Retenciones'!$D$8:$D$500,"&lt;="&amp;EOMONTH('Rev JR'!F$1,0))</f>
        <v>0</v>
      </c>
      <c r="G139" s="523">
        <f>+SUMIFS('Otras Retenciones'!$G$8:$G$500,'Otras Retenciones'!$B$8:$B$500,'Rev JR'!$A139,'Otras Retenciones'!$D$8:$D$500,"&gt;="&amp;'Rev JR'!G$1,'Otras Retenciones'!$D$8:$D$500,"&lt;="&amp;EOMONTH('Rev JR'!G$1,0))</f>
        <v>0</v>
      </c>
      <c r="H139" s="523">
        <f>+SUMIFS('Otras Retenciones'!$G$8:$G$500,'Otras Retenciones'!$B$8:$B$500,'Rev JR'!$A139,'Otras Retenciones'!$D$8:$D$500,"&gt;="&amp;'Rev JR'!H$1,'Otras Retenciones'!$D$8:$D$500,"&lt;="&amp;EOMONTH('Rev JR'!H$1,0))</f>
        <v>0</v>
      </c>
      <c r="I139" s="523">
        <f>+SUMIFS('Otras Retenciones'!$G$8:$G$500,'Otras Retenciones'!$B$8:$B$500,'Rev JR'!$A139,'Otras Retenciones'!$D$8:$D$500,"&gt;="&amp;'Rev JR'!I$1,'Otras Retenciones'!$D$8:$D$500,"&lt;="&amp;EOMONTH('Rev JR'!I$1,0))</f>
        <v>0</v>
      </c>
      <c r="J139" s="523">
        <f>+SUMIFS('Otras Retenciones'!$G$8:$G$500,'Otras Retenciones'!$B$8:$B$500,'Rev JR'!$A139,'Otras Retenciones'!$D$8:$D$500,"&gt;="&amp;'Rev JR'!J$1,'Otras Retenciones'!$D$8:$D$500,"&lt;="&amp;EOMONTH('Rev JR'!J$1,0))</f>
        <v>0</v>
      </c>
      <c r="K139" s="523">
        <f>+SUMIFS('Otras Retenciones'!$G$8:$G$500,'Otras Retenciones'!$B$8:$B$500,'Rev JR'!$A139,'Otras Retenciones'!$D$8:$D$500,"&gt;="&amp;'Rev JR'!K$1,'Otras Retenciones'!$D$8:$D$500,"&lt;="&amp;EOMONTH('Rev JR'!K$1,0))</f>
        <v>0</v>
      </c>
      <c r="L139" s="523">
        <f>+SUMIFS('Otras Retenciones'!$G$8:$G$500,'Otras Retenciones'!$B$8:$B$500,'Rev JR'!$A139,'Otras Retenciones'!$D$8:$D$500,"&gt;="&amp;'Rev JR'!L$1,'Otras Retenciones'!$D$8:$D$500,"&lt;="&amp;EOMONTH('Rev JR'!L$1,0))</f>
        <v>0</v>
      </c>
      <c r="M139" s="523">
        <f>+SUMIFS('Otras Retenciones'!$G$8:$G$500,'Otras Retenciones'!$B$8:$B$500,'Rev JR'!$A139,'Otras Retenciones'!$D$8:$D$500,"&gt;="&amp;'Rev JR'!M$1,'Otras Retenciones'!$D$8:$D$500,"&lt;="&amp;EOMONTH('Rev JR'!M$1,0))</f>
        <v>0</v>
      </c>
      <c r="N139" s="523">
        <f>+SUMIFS('Otras Retenciones'!$G$8:$G$500,'Otras Retenciones'!$B$8:$B$500,'Rev JR'!$A139,'Otras Retenciones'!$D$8:$D$500,"&gt;="&amp;'Rev JR'!N$1,'Otras Retenciones'!$D$8:$D$500,"&lt;="&amp;EOMONTH('Rev JR'!N$1,0))</f>
        <v>0</v>
      </c>
      <c r="O139" s="523">
        <f t="shared" si="28"/>
        <v>0</v>
      </c>
    </row>
    <row r="140" spans="1:15">
      <c r="A140" s="622" t="str">
        <f t="shared" si="29"/>
        <v>029-2XXX1-9</v>
      </c>
      <c r="B140" s="519" t="str">
        <f t="shared" si="27"/>
        <v xml:space="preserve">        Otras Retenciones  - 029-2XXX1-9</v>
      </c>
      <c r="C140" s="523">
        <f>+SUMIFS('Otras Retenciones'!$G$8:$G$500,'Otras Retenciones'!$B$8:$B$500,'Rev JR'!$A140,'Otras Retenciones'!$D$8:$D$500,"&gt;="&amp;'Rev JR'!C$1,'Otras Retenciones'!$D$8:$D$500,"&lt;="&amp;EOMONTH('Rev JR'!C$1,0))</f>
        <v>0</v>
      </c>
      <c r="D140" s="523">
        <f>+SUMIFS('Otras Retenciones'!$G$8:$G$500,'Otras Retenciones'!$B$8:$B$500,'Rev JR'!$A140,'Otras Retenciones'!$D$8:$D$500,"&gt;="&amp;'Rev JR'!D$1,'Otras Retenciones'!$D$8:$D$500,"&lt;="&amp;EOMONTH('Rev JR'!D$1,0))</f>
        <v>0</v>
      </c>
      <c r="E140" s="523">
        <f>+SUMIFS('Otras Retenciones'!$G$8:$G$500,'Otras Retenciones'!$B$8:$B$500,'Rev JR'!$A140,'Otras Retenciones'!$D$8:$D$500,"&gt;="&amp;'Rev JR'!E$1,'Otras Retenciones'!$D$8:$D$500,"&lt;="&amp;EOMONTH('Rev JR'!E$1,0))</f>
        <v>0</v>
      </c>
      <c r="F140" s="523">
        <f>+SUMIFS('Otras Retenciones'!$G$8:$G$500,'Otras Retenciones'!$B$8:$B$500,'Rev JR'!$A140,'Otras Retenciones'!$D$8:$D$500,"&gt;="&amp;'Rev JR'!F$1,'Otras Retenciones'!$D$8:$D$500,"&lt;="&amp;EOMONTH('Rev JR'!F$1,0))</f>
        <v>0</v>
      </c>
      <c r="G140" s="523">
        <f>+SUMIFS('Otras Retenciones'!$G$8:$G$500,'Otras Retenciones'!$B$8:$B$500,'Rev JR'!$A140,'Otras Retenciones'!$D$8:$D$500,"&gt;="&amp;'Rev JR'!G$1,'Otras Retenciones'!$D$8:$D$500,"&lt;="&amp;EOMONTH('Rev JR'!G$1,0))</f>
        <v>0</v>
      </c>
      <c r="H140" s="523">
        <f>+SUMIFS('Otras Retenciones'!$G$8:$G$500,'Otras Retenciones'!$B$8:$B$500,'Rev JR'!$A140,'Otras Retenciones'!$D$8:$D$500,"&gt;="&amp;'Rev JR'!H$1,'Otras Retenciones'!$D$8:$D$500,"&lt;="&amp;EOMONTH('Rev JR'!H$1,0))</f>
        <v>0</v>
      </c>
      <c r="I140" s="523">
        <f>+SUMIFS('Otras Retenciones'!$G$8:$G$500,'Otras Retenciones'!$B$8:$B$500,'Rev JR'!$A140,'Otras Retenciones'!$D$8:$D$500,"&gt;="&amp;'Rev JR'!I$1,'Otras Retenciones'!$D$8:$D$500,"&lt;="&amp;EOMONTH('Rev JR'!I$1,0))</f>
        <v>0</v>
      </c>
      <c r="J140" s="523">
        <f>+SUMIFS('Otras Retenciones'!$G$8:$G$500,'Otras Retenciones'!$B$8:$B$500,'Rev JR'!$A140,'Otras Retenciones'!$D$8:$D$500,"&gt;="&amp;'Rev JR'!J$1,'Otras Retenciones'!$D$8:$D$500,"&lt;="&amp;EOMONTH('Rev JR'!J$1,0))</f>
        <v>0</v>
      </c>
      <c r="K140" s="523">
        <f>+SUMIFS('Otras Retenciones'!$G$8:$G$500,'Otras Retenciones'!$B$8:$B$500,'Rev JR'!$A140,'Otras Retenciones'!$D$8:$D$500,"&gt;="&amp;'Rev JR'!K$1,'Otras Retenciones'!$D$8:$D$500,"&lt;="&amp;EOMONTH('Rev JR'!K$1,0))</f>
        <v>0</v>
      </c>
      <c r="L140" s="523">
        <f>+SUMIFS('Otras Retenciones'!$G$8:$G$500,'Otras Retenciones'!$B$8:$B$500,'Rev JR'!$A140,'Otras Retenciones'!$D$8:$D$500,"&gt;="&amp;'Rev JR'!L$1,'Otras Retenciones'!$D$8:$D$500,"&lt;="&amp;EOMONTH('Rev JR'!L$1,0))</f>
        <v>0</v>
      </c>
      <c r="M140" s="523">
        <f>+SUMIFS('Otras Retenciones'!$G$8:$G$500,'Otras Retenciones'!$B$8:$B$500,'Rev JR'!$A140,'Otras Retenciones'!$D$8:$D$500,"&gt;="&amp;'Rev JR'!M$1,'Otras Retenciones'!$D$8:$D$500,"&lt;="&amp;EOMONTH('Rev JR'!M$1,0))</f>
        <v>0</v>
      </c>
      <c r="N140" s="523">
        <f>+SUMIFS('Otras Retenciones'!$G$8:$G$500,'Otras Retenciones'!$B$8:$B$500,'Rev JR'!$A140,'Otras Retenciones'!$D$8:$D$500,"&gt;="&amp;'Rev JR'!N$1,'Otras Retenciones'!$D$8:$D$500,"&lt;="&amp;EOMONTH('Rev JR'!N$1,0))</f>
        <v>0</v>
      </c>
      <c r="O140" s="523">
        <f t="shared" si="28"/>
        <v>0</v>
      </c>
    </row>
    <row r="141" spans="1:15">
      <c r="A141" s="622" t="str">
        <f t="shared" si="29"/>
        <v>029-2XXX2-7</v>
      </c>
      <c r="B141" s="519" t="str">
        <f t="shared" si="27"/>
        <v xml:space="preserve">        Otras Retenciones  - 029-2XXX2-7</v>
      </c>
      <c r="C141" s="523">
        <f>+SUMIFS('Otras Retenciones'!$G$8:$G$500,'Otras Retenciones'!$B$8:$B$500,'Rev JR'!$A141,'Otras Retenciones'!$D$8:$D$500,"&gt;="&amp;'Rev JR'!C$1,'Otras Retenciones'!$D$8:$D$500,"&lt;="&amp;EOMONTH('Rev JR'!C$1,0))</f>
        <v>0</v>
      </c>
      <c r="D141" s="523">
        <f>+SUMIFS('Otras Retenciones'!$G$8:$G$500,'Otras Retenciones'!$B$8:$B$500,'Rev JR'!$A141,'Otras Retenciones'!$D$8:$D$500,"&gt;="&amp;'Rev JR'!D$1,'Otras Retenciones'!$D$8:$D$500,"&lt;="&amp;EOMONTH('Rev JR'!D$1,0))</f>
        <v>0</v>
      </c>
      <c r="E141" s="523">
        <f>+SUMIFS('Otras Retenciones'!$G$8:$G$500,'Otras Retenciones'!$B$8:$B$500,'Rev JR'!$A141,'Otras Retenciones'!$D$8:$D$500,"&gt;="&amp;'Rev JR'!E$1,'Otras Retenciones'!$D$8:$D$500,"&lt;="&amp;EOMONTH('Rev JR'!E$1,0))</f>
        <v>0</v>
      </c>
      <c r="F141" s="523">
        <f>+SUMIFS('Otras Retenciones'!$G$8:$G$500,'Otras Retenciones'!$B$8:$B$500,'Rev JR'!$A141,'Otras Retenciones'!$D$8:$D$500,"&gt;="&amp;'Rev JR'!F$1,'Otras Retenciones'!$D$8:$D$500,"&lt;="&amp;EOMONTH('Rev JR'!F$1,0))</f>
        <v>0</v>
      </c>
      <c r="G141" s="523">
        <f>+SUMIFS('Otras Retenciones'!$G$8:$G$500,'Otras Retenciones'!$B$8:$B$500,'Rev JR'!$A141,'Otras Retenciones'!$D$8:$D$500,"&gt;="&amp;'Rev JR'!G$1,'Otras Retenciones'!$D$8:$D$500,"&lt;="&amp;EOMONTH('Rev JR'!G$1,0))</f>
        <v>0</v>
      </c>
      <c r="H141" s="523">
        <f>+SUMIFS('Otras Retenciones'!$G$8:$G$500,'Otras Retenciones'!$B$8:$B$500,'Rev JR'!$A141,'Otras Retenciones'!$D$8:$D$500,"&gt;="&amp;'Rev JR'!H$1,'Otras Retenciones'!$D$8:$D$500,"&lt;="&amp;EOMONTH('Rev JR'!H$1,0))</f>
        <v>0</v>
      </c>
      <c r="I141" s="523">
        <f>+SUMIFS('Otras Retenciones'!$G$8:$G$500,'Otras Retenciones'!$B$8:$B$500,'Rev JR'!$A141,'Otras Retenciones'!$D$8:$D$500,"&gt;="&amp;'Rev JR'!I$1,'Otras Retenciones'!$D$8:$D$500,"&lt;="&amp;EOMONTH('Rev JR'!I$1,0))</f>
        <v>0</v>
      </c>
      <c r="J141" s="523">
        <f>+SUMIFS('Otras Retenciones'!$G$8:$G$500,'Otras Retenciones'!$B$8:$B$500,'Rev JR'!$A141,'Otras Retenciones'!$D$8:$D$500,"&gt;="&amp;'Rev JR'!J$1,'Otras Retenciones'!$D$8:$D$500,"&lt;="&amp;EOMONTH('Rev JR'!J$1,0))</f>
        <v>0</v>
      </c>
      <c r="K141" s="523">
        <f>+SUMIFS('Otras Retenciones'!$G$8:$G$500,'Otras Retenciones'!$B$8:$B$500,'Rev JR'!$A141,'Otras Retenciones'!$D$8:$D$500,"&gt;="&amp;'Rev JR'!K$1,'Otras Retenciones'!$D$8:$D$500,"&lt;="&amp;EOMONTH('Rev JR'!K$1,0))</f>
        <v>0</v>
      </c>
      <c r="L141" s="523">
        <f>+SUMIFS('Otras Retenciones'!$G$8:$G$500,'Otras Retenciones'!$B$8:$B$500,'Rev JR'!$A141,'Otras Retenciones'!$D$8:$D$500,"&gt;="&amp;'Rev JR'!L$1,'Otras Retenciones'!$D$8:$D$500,"&lt;="&amp;EOMONTH('Rev JR'!L$1,0))</f>
        <v>0</v>
      </c>
      <c r="M141" s="523">
        <f>+SUMIFS('Otras Retenciones'!$G$8:$G$500,'Otras Retenciones'!$B$8:$B$500,'Rev JR'!$A141,'Otras Retenciones'!$D$8:$D$500,"&gt;="&amp;'Rev JR'!M$1,'Otras Retenciones'!$D$8:$D$500,"&lt;="&amp;EOMONTH('Rev JR'!M$1,0))</f>
        <v>0</v>
      </c>
      <c r="N141" s="523">
        <f>+SUMIFS('Otras Retenciones'!$G$8:$G$500,'Otras Retenciones'!$B$8:$B$500,'Rev JR'!$A141,'Otras Retenciones'!$D$8:$D$500,"&gt;="&amp;'Rev JR'!N$1,'Otras Retenciones'!$D$8:$D$500,"&lt;="&amp;EOMONTH('Rev JR'!N$1,0))</f>
        <v>0</v>
      </c>
      <c r="O141" s="523">
        <f t="shared" si="28"/>
        <v>0</v>
      </c>
    </row>
    <row r="142" spans="1:15">
      <c r="A142" s="622" t="str">
        <f t="shared" si="29"/>
        <v>029-2XXX3-5</v>
      </c>
      <c r="B142" s="519" t="str">
        <f t="shared" si="27"/>
        <v xml:space="preserve">        Otras Retenciones  - 029-2XXX3-5</v>
      </c>
      <c r="C142" s="523">
        <f>+SUMIFS('Otras Retenciones'!$G$8:$G$500,'Otras Retenciones'!$B$8:$B$500,'Rev JR'!$A142,'Otras Retenciones'!$D$8:$D$500,"&gt;="&amp;'Rev JR'!C$1,'Otras Retenciones'!$D$8:$D$500,"&lt;="&amp;EOMONTH('Rev JR'!C$1,0))</f>
        <v>0</v>
      </c>
      <c r="D142" s="523">
        <f>+SUMIFS('Otras Retenciones'!$G$8:$G$500,'Otras Retenciones'!$B$8:$B$500,'Rev JR'!$A142,'Otras Retenciones'!$D$8:$D$500,"&gt;="&amp;'Rev JR'!D$1,'Otras Retenciones'!$D$8:$D$500,"&lt;="&amp;EOMONTH('Rev JR'!D$1,0))</f>
        <v>0</v>
      </c>
      <c r="E142" s="523">
        <f>+SUMIFS('Otras Retenciones'!$G$8:$G$500,'Otras Retenciones'!$B$8:$B$500,'Rev JR'!$A142,'Otras Retenciones'!$D$8:$D$500,"&gt;="&amp;'Rev JR'!E$1,'Otras Retenciones'!$D$8:$D$500,"&lt;="&amp;EOMONTH('Rev JR'!E$1,0))</f>
        <v>0</v>
      </c>
      <c r="F142" s="523">
        <f>+SUMIFS('Otras Retenciones'!$G$8:$G$500,'Otras Retenciones'!$B$8:$B$500,'Rev JR'!$A142,'Otras Retenciones'!$D$8:$D$500,"&gt;="&amp;'Rev JR'!F$1,'Otras Retenciones'!$D$8:$D$500,"&lt;="&amp;EOMONTH('Rev JR'!F$1,0))</f>
        <v>0</v>
      </c>
      <c r="G142" s="523">
        <f>+SUMIFS('Otras Retenciones'!$G$8:$G$500,'Otras Retenciones'!$B$8:$B$500,'Rev JR'!$A142,'Otras Retenciones'!$D$8:$D$500,"&gt;="&amp;'Rev JR'!G$1,'Otras Retenciones'!$D$8:$D$500,"&lt;="&amp;EOMONTH('Rev JR'!G$1,0))</f>
        <v>0</v>
      </c>
      <c r="H142" s="523">
        <f>+SUMIFS('Otras Retenciones'!$G$8:$G$500,'Otras Retenciones'!$B$8:$B$500,'Rev JR'!$A142,'Otras Retenciones'!$D$8:$D$500,"&gt;="&amp;'Rev JR'!H$1,'Otras Retenciones'!$D$8:$D$500,"&lt;="&amp;EOMONTH('Rev JR'!H$1,0))</f>
        <v>0</v>
      </c>
      <c r="I142" s="523">
        <f>+SUMIFS('Otras Retenciones'!$G$8:$G$500,'Otras Retenciones'!$B$8:$B$500,'Rev JR'!$A142,'Otras Retenciones'!$D$8:$D$500,"&gt;="&amp;'Rev JR'!I$1,'Otras Retenciones'!$D$8:$D$500,"&lt;="&amp;EOMONTH('Rev JR'!I$1,0))</f>
        <v>0</v>
      </c>
      <c r="J142" s="523">
        <f>+SUMIFS('Otras Retenciones'!$G$8:$G$500,'Otras Retenciones'!$B$8:$B$500,'Rev JR'!$A142,'Otras Retenciones'!$D$8:$D$500,"&gt;="&amp;'Rev JR'!J$1,'Otras Retenciones'!$D$8:$D$500,"&lt;="&amp;EOMONTH('Rev JR'!J$1,0))</f>
        <v>0</v>
      </c>
      <c r="K142" s="523">
        <f>+SUMIFS('Otras Retenciones'!$G$8:$G$500,'Otras Retenciones'!$B$8:$B$500,'Rev JR'!$A142,'Otras Retenciones'!$D$8:$D$500,"&gt;="&amp;'Rev JR'!K$1,'Otras Retenciones'!$D$8:$D$500,"&lt;="&amp;EOMONTH('Rev JR'!K$1,0))</f>
        <v>0</v>
      </c>
      <c r="L142" s="523">
        <f>+SUMIFS('Otras Retenciones'!$G$8:$G$500,'Otras Retenciones'!$B$8:$B$500,'Rev JR'!$A142,'Otras Retenciones'!$D$8:$D$500,"&gt;="&amp;'Rev JR'!L$1,'Otras Retenciones'!$D$8:$D$500,"&lt;="&amp;EOMONTH('Rev JR'!L$1,0))</f>
        <v>0</v>
      </c>
      <c r="M142" s="523">
        <f>+SUMIFS('Otras Retenciones'!$G$8:$G$500,'Otras Retenciones'!$B$8:$B$500,'Rev JR'!$A142,'Otras Retenciones'!$D$8:$D$500,"&gt;="&amp;'Rev JR'!M$1,'Otras Retenciones'!$D$8:$D$500,"&lt;="&amp;EOMONTH('Rev JR'!M$1,0))</f>
        <v>0</v>
      </c>
      <c r="N142" s="523">
        <f>+SUMIFS('Otras Retenciones'!$G$8:$G$500,'Otras Retenciones'!$B$8:$B$500,'Rev JR'!$A142,'Otras Retenciones'!$D$8:$D$500,"&gt;="&amp;'Rev JR'!N$1,'Otras Retenciones'!$D$8:$D$500,"&lt;="&amp;EOMONTH('Rev JR'!N$1,0))</f>
        <v>0</v>
      </c>
      <c r="O142" s="523">
        <f t="shared" si="28"/>
        <v>0</v>
      </c>
    </row>
    <row r="143" spans="1:15">
      <c r="A143" s="622" t="str">
        <f t="shared" si="29"/>
        <v>F</v>
      </c>
      <c r="B143" s="519" t="str">
        <f t="shared" si="27"/>
        <v xml:space="preserve">        Otras Retenciones  - F</v>
      </c>
      <c r="C143" s="523">
        <f>+SUMIFS('Otras Retenciones'!$G$8:$G$500,'Otras Retenciones'!$B$8:$B$500,'Rev JR'!$A143,'Otras Retenciones'!$D$8:$D$500,"&gt;="&amp;'Rev JR'!C$1,'Otras Retenciones'!$D$8:$D$500,"&lt;="&amp;EOMONTH('Rev JR'!C$1,0))</f>
        <v>0</v>
      </c>
      <c r="D143" s="523">
        <f>+SUMIFS('Otras Retenciones'!$G$8:$G$500,'Otras Retenciones'!$B$8:$B$500,'Rev JR'!$A143,'Otras Retenciones'!$D$8:$D$500,"&gt;="&amp;'Rev JR'!D$1,'Otras Retenciones'!$D$8:$D$500,"&lt;="&amp;EOMONTH('Rev JR'!D$1,0))</f>
        <v>0</v>
      </c>
      <c r="E143" s="523">
        <f>+SUMIFS('Otras Retenciones'!$G$8:$G$500,'Otras Retenciones'!$B$8:$B$500,'Rev JR'!$A143,'Otras Retenciones'!$D$8:$D$500,"&gt;="&amp;'Rev JR'!E$1,'Otras Retenciones'!$D$8:$D$500,"&lt;="&amp;EOMONTH('Rev JR'!E$1,0))</f>
        <v>0</v>
      </c>
      <c r="F143" s="523">
        <f>+SUMIFS('Otras Retenciones'!$G$8:$G$500,'Otras Retenciones'!$B$8:$B$500,'Rev JR'!$A143,'Otras Retenciones'!$D$8:$D$500,"&gt;="&amp;'Rev JR'!F$1,'Otras Retenciones'!$D$8:$D$500,"&lt;="&amp;EOMONTH('Rev JR'!F$1,0))</f>
        <v>0</v>
      </c>
      <c r="G143" s="523">
        <f>+SUMIFS('Otras Retenciones'!$G$8:$G$500,'Otras Retenciones'!$B$8:$B$500,'Rev JR'!$A143,'Otras Retenciones'!$D$8:$D$500,"&gt;="&amp;'Rev JR'!G$1,'Otras Retenciones'!$D$8:$D$500,"&lt;="&amp;EOMONTH('Rev JR'!G$1,0))</f>
        <v>0</v>
      </c>
      <c r="H143" s="523">
        <f>+SUMIFS('Otras Retenciones'!$G$8:$G$500,'Otras Retenciones'!$B$8:$B$500,'Rev JR'!$A143,'Otras Retenciones'!$D$8:$D$500,"&gt;="&amp;'Rev JR'!H$1,'Otras Retenciones'!$D$8:$D$500,"&lt;="&amp;EOMONTH('Rev JR'!H$1,0))</f>
        <v>0</v>
      </c>
      <c r="I143" s="523">
        <f>+SUMIFS('Otras Retenciones'!$G$8:$G$500,'Otras Retenciones'!$B$8:$B$500,'Rev JR'!$A143,'Otras Retenciones'!$D$8:$D$500,"&gt;="&amp;'Rev JR'!I$1,'Otras Retenciones'!$D$8:$D$500,"&lt;="&amp;EOMONTH('Rev JR'!I$1,0))</f>
        <v>0</v>
      </c>
      <c r="J143" s="523">
        <f>+SUMIFS('Otras Retenciones'!$G$8:$G$500,'Otras Retenciones'!$B$8:$B$500,'Rev JR'!$A143,'Otras Retenciones'!$D$8:$D$500,"&gt;="&amp;'Rev JR'!J$1,'Otras Retenciones'!$D$8:$D$500,"&lt;="&amp;EOMONTH('Rev JR'!J$1,0))</f>
        <v>0</v>
      </c>
      <c r="K143" s="523">
        <f>+SUMIFS('Otras Retenciones'!$G$8:$G$500,'Otras Retenciones'!$B$8:$B$500,'Rev JR'!$A143,'Otras Retenciones'!$D$8:$D$500,"&gt;="&amp;'Rev JR'!K$1,'Otras Retenciones'!$D$8:$D$500,"&lt;="&amp;EOMONTH('Rev JR'!K$1,0))</f>
        <v>0</v>
      </c>
      <c r="L143" s="523">
        <f>+SUMIFS('Otras Retenciones'!$G$8:$G$500,'Otras Retenciones'!$B$8:$B$500,'Rev JR'!$A143,'Otras Retenciones'!$D$8:$D$500,"&gt;="&amp;'Rev JR'!L$1,'Otras Retenciones'!$D$8:$D$500,"&lt;="&amp;EOMONTH('Rev JR'!L$1,0))</f>
        <v>0</v>
      </c>
      <c r="M143" s="523">
        <f>+SUMIFS('Otras Retenciones'!$G$8:$G$500,'Otras Retenciones'!$B$8:$B$500,'Rev JR'!$A143,'Otras Retenciones'!$D$8:$D$500,"&gt;="&amp;'Rev JR'!M$1,'Otras Retenciones'!$D$8:$D$500,"&lt;="&amp;EOMONTH('Rev JR'!M$1,0))</f>
        <v>0</v>
      </c>
      <c r="N143" s="523">
        <f>+SUMIFS('Otras Retenciones'!$G$8:$G$500,'Otras Retenciones'!$B$8:$B$500,'Rev JR'!$A143,'Otras Retenciones'!$D$8:$D$500,"&gt;="&amp;'Rev JR'!N$1,'Otras Retenciones'!$D$8:$D$500,"&lt;="&amp;EOMONTH('Rev JR'!N$1,0))</f>
        <v>0</v>
      </c>
      <c r="O143" s="523">
        <f t="shared" si="28"/>
        <v>0</v>
      </c>
    </row>
    <row r="144" spans="1:15">
      <c r="A144" s="622" t="str">
        <f t="shared" si="29"/>
        <v>G</v>
      </c>
      <c r="B144" s="519" t="str">
        <f t="shared" si="27"/>
        <v xml:space="preserve">        Otras Retenciones  - G</v>
      </c>
      <c r="C144" s="523">
        <f>+SUMIFS('Otras Retenciones'!$G$8:$G$500,'Otras Retenciones'!$B$8:$B$500,'Rev JR'!$A144,'Otras Retenciones'!$D$8:$D$500,"&gt;="&amp;'Rev JR'!C$1,'Otras Retenciones'!$D$8:$D$500,"&lt;="&amp;EOMONTH('Rev JR'!C$1,0))</f>
        <v>0</v>
      </c>
      <c r="D144" s="523">
        <f>+SUMIFS('Otras Retenciones'!$G$8:$G$500,'Otras Retenciones'!$B$8:$B$500,'Rev JR'!$A144,'Otras Retenciones'!$D$8:$D$500,"&gt;="&amp;'Rev JR'!D$1,'Otras Retenciones'!$D$8:$D$500,"&lt;="&amp;EOMONTH('Rev JR'!D$1,0))</f>
        <v>0</v>
      </c>
      <c r="E144" s="523">
        <f>+SUMIFS('Otras Retenciones'!$G$8:$G$500,'Otras Retenciones'!$B$8:$B$500,'Rev JR'!$A144,'Otras Retenciones'!$D$8:$D$500,"&gt;="&amp;'Rev JR'!E$1,'Otras Retenciones'!$D$8:$D$500,"&lt;="&amp;EOMONTH('Rev JR'!E$1,0))</f>
        <v>0</v>
      </c>
      <c r="F144" s="523">
        <f>+SUMIFS('Otras Retenciones'!$G$8:$G$500,'Otras Retenciones'!$B$8:$B$500,'Rev JR'!$A144,'Otras Retenciones'!$D$8:$D$500,"&gt;="&amp;'Rev JR'!F$1,'Otras Retenciones'!$D$8:$D$500,"&lt;="&amp;EOMONTH('Rev JR'!F$1,0))</f>
        <v>0</v>
      </c>
      <c r="G144" s="523">
        <f>+SUMIFS('Otras Retenciones'!$G$8:$G$500,'Otras Retenciones'!$B$8:$B$500,'Rev JR'!$A144,'Otras Retenciones'!$D$8:$D$500,"&gt;="&amp;'Rev JR'!G$1,'Otras Retenciones'!$D$8:$D$500,"&lt;="&amp;EOMONTH('Rev JR'!G$1,0))</f>
        <v>0</v>
      </c>
      <c r="H144" s="523">
        <f>+SUMIFS('Otras Retenciones'!$G$8:$G$500,'Otras Retenciones'!$B$8:$B$500,'Rev JR'!$A144,'Otras Retenciones'!$D$8:$D$500,"&gt;="&amp;'Rev JR'!H$1,'Otras Retenciones'!$D$8:$D$500,"&lt;="&amp;EOMONTH('Rev JR'!H$1,0))</f>
        <v>0</v>
      </c>
      <c r="I144" s="523">
        <f>+SUMIFS('Otras Retenciones'!$G$8:$G$500,'Otras Retenciones'!$B$8:$B$500,'Rev JR'!$A144,'Otras Retenciones'!$D$8:$D$500,"&gt;="&amp;'Rev JR'!I$1,'Otras Retenciones'!$D$8:$D$500,"&lt;="&amp;EOMONTH('Rev JR'!I$1,0))</f>
        <v>0</v>
      </c>
      <c r="J144" s="523">
        <f>+SUMIFS('Otras Retenciones'!$G$8:$G$500,'Otras Retenciones'!$B$8:$B$500,'Rev JR'!$A144,'Otras Retenciones'!$D$8:$D$500,"&gt;="&amp;'Rev JR'!J$1,'Otras Retenciones'!$D$8:$D$500,"&lt;="&amp;EOMONTH('Rev JR'!J$1,0))</f>
        <v>0</v>
      </c>
      <c r="K144" s="523">
        <f>+SUMIFS('Otras Retenciones'!$G$8:$G$500,'Otras Retenciones'!$B$8:$B$500,'Rev JR'!$A144,'Otras Retenciones'!$D$8:$D$500,"&gt;="&amp;'Rev JR'!K$1,'Otras Retenciones'!$D$8:$D$500,"&lt;="&amp;EOMONTH('Rev JR'!K$1,0))</f>
        <v>0</v>
      </c>
      <c r="L144" s="523">
        <f>+SUMIFS('Otras Retenciones'!$G$8:$G$500,'Otras Retenciones'!$B$8:$B$500,'Rev JR'!$A144,'Otras Retenciones'!$D$8:$D$500,"&gt;="&amp;'Rev JR'!L$1,'Otras Retenciones'!$D$8:$D$500,"&lt;="&amp;EOMONTH('Rev JR'!L$1,0))</f>
        <v>0</v>
      </c>
      <c r="M144" s="523">
        <f>+SUMIFS('Otras Retenciones'!$G$8:$G$500,'Otras Retenciones'!$B$8:$B$500,'Rev JR'!$A144,'Otras Retenciones'!$D$8:$D$500,"&gt;="&amp;'Rev JR'!M$1,'Otras Retenciones'!$D$8:$D$500,"&lt;="&amp;EOMONTH('Rev JR'!M$1,0))</f>
        <v>0</v>
      </c>
      <c r="N144" s="523">
        <f>+SUMIFS('Otras Retenciones'!$G$8:$G$500,'Otras Retenciones'!$B$8:$B$500,'Rev JR'!$A144,'Otras Retenciones'!$D$8:$D$500,"&gt;="&amp;'Rev JR'!N$1,'Otras Retenciones'!$D$8:$D$500,"&lt;="&amp;EOMONTH('Rev JR'!N$1,0))</f>
        <v>0</v>
      </c>
      <c r="O144" s="523">
        <f t="shared" si="28"/>
        <v>0</v>
      </c>
    </row>
    <row r="145" spans="1:15">
      <c r="A145" s="622" t="str">
        <f t="shared" si="29"/>
        <v>H</v>
      </c>
      <c r="B145" s="519" t="str">
        <f t="shared" si="27"/>
        <v xml:space="preserve">        Otras Retenciones  - H</v>
      </c>
      <c r="C145" s="523">
        <f>+SUMIFS('Otras Retenciones'!$G$8:$G$500,'Otras Retenciones'!$B$8:$B$500,'Rev JR'!$A145,'Otras Retenciones'!$D$8:$D$500,"&gt;="&amp;'Rev JR'!C$1,'Otras Retenciones'!$D$8:$D$500,"&lt;="&amp;EOMONTH('Rev JR'!C$1,0))</f>
        <v>0</v>
      </c>
      <c r="D145" s="523">
        <f>+SUMIFS('Otras Retenciones'!$G$8:$G$500,'Otras Retenciones'!$B$8:$B$500,'Rev JR'!$A145,'Otras Retenciones'!$D$8:$D$500,"&gt;="&amp;'Rev JR'!D$1,'Otras Retenciones'!$D$8:$D$500,"&lt;="&amp;EOMONTH('Rev JR'!D$1,0))</f>
        <v>0</v>
      </c>
      <c r="E145" s="523">
        <f>+SUMIFS('Otras Retenciones'!$G$8:$G$500,'Otras Retenciones'!$B$8:$B$500,'Rev JR'!$A145,'Otras Retenciones'!$D$8:$D$500,"&gt;="&amp;'Rev JR'!E$1,'Otras Retenciones'!$D$8:$D$500,"&lt;="&amp;EOMONTH('Rev JR'!E$1,0))</f>
        <v>0</v>
      </c>
      <c r="F145" s="523">
        <f>+SUMIFS('Otras Retenciones'!$G$8:$G$500,'Otras Retenciones'!$B$8:$B$500,'Rev JR'!$A145,'Otras Retenciones'!$D$8:$D$500,"&gt;="&amp;'Rev JR'!F$1,'Otras Retenciones'!$D$8:$D$500,"&lt;="&amp;EOMONTH('Rev JR'!F$1,0))</f>
        <v>0</v>
      </c>
      <c r="G145" s="523">
        <f>+SUMIFS('Otras Retenciones'!$G$8:$G$500,'Otras Retenciones'!$B$8:$B$500,'Rev JR'!$A145,'Otras Retenciones'!$D$8:$D$500,"&gt;="&amp;'Rev JR'!G$1,'Otras Retenciones'!$D$8:$D$500,"&lt;="&amp;EOMONTH('Rev JR'!G$1,0))</f>
        <v>0</v>
      </c>
      <c r="H145" s="523">
        <f>+SUMIFS('Otras Retenciones'!$G$8:$G$500,'Otras Retenciones'!$B$8:$B$500,'Rev JR'!$A145,'Otras Retenciones'!$D$8:$D$500,"&gt;="&amp;'Rev JR'!H$1,'Otras Retenciones'!$D$8:$D$500,"&lt;="&amp;EOMONTH('Rev JR'!H$1,0))</f>
        <v>0</v>
      </c>
      <c r="I145" s="523">
        <f>+SUMIFS('Otras Retenciones'!$G$8:$G$500,'Otras Retenciones'!$B$8:$B$500,'Rev JR'!$A145,'Otras Retenciones'!$D$8:$D$500,"&gt;="&amp;'Rev JR'!I$1,'Otras Retenciones'!$D$8:$D$500,"&lt;="&amp;EOMONTH('Rev JR'!I$1,0))</f>
        <v>0</v>
      </c>
      <c r="J145" s="523">
        <f>+SUMIFS('Otras Retenciones'!$G$8:$G$500,'Otras Retenciones'!$B$8:$B$500,'Rev JR'!$A145,'Otras Retenciones'!$D$8:$D$500,"&gt;="&amp;'Rev JR'!J$1,'Otras Retenciones'!$D$8:$D$500,"&lt;="&amp;EOMONTH('Rev JR'!J$1,0))</f>
        <v>0</v>
      </c>
      <c r="K145" s="523">
        <f>+SUMIFS('Otras Retenciones'!$G$8:$G$500,'Otras Retenciones'!$B$8:$B$500,'Rev JR'!$A145,'Otras Retenciones'!$D$8:$D$500,"&gt;="&amp;'Rev JR'!K$1,'Otras Retenciones'!$D$8:$D$500,"&lt;="&amp;EOMONTH('Rev JR'!K$1,0))</f>
        <v>0</v>
      </c>
      <c r="L145" s="523">
        <f>+SUMIFS('Otras Retenciones'!$G$8:$G$500,'Otras Retenciones'!$B$8:$B$500,'Rev JR'!$A145,'Otras Retenciones'!$D$8:$D$500,"&gt;="&amp;'Rev JR'!L$1,'Otras Retenciones'!$D$8:$D$500,"&lt;="&amp;EOMONTH('Rev JR'!L$1,0))</f>
        <v>0</v>
      </c>
      <c r="M145" s="523">
        <f>+SUMIFS('Otras Retenciones'!$G$8:$G$500,'Otras Retenciones'!$B$8:$B$500,'Rev JR'!$A145,'Otras Retenciones'!$D$8:$D$500,"&gt;="&amp;'Rev JR'!M$1,'Otras Retenciones'!$D$8:$D$500,"&lt;="&amp;EOMONTH('Rev JR'!M$1,0))</f>
        <v>0</v>
      </c>
      <c r="N145" s="523">
        <f>+SUMIFS('Otras Retenciones'!$G$8:$G$500,'Otras Retenciones'!$B$8:$B$500,'Rev JR'!$A145,'Otras Retenciones'!$D$8:$D$500,"&gt;="&amp;'Rev JR'!N$1,'Otras Retenciones'!$D$8:$D$500,"&lt;="&amp;EOMONTH('Rev JR'!N$1,0))</f>
        <v>0</v>
      </c>
      <c r="O145" s="523">
        <f t="shared" si="28"/>
        <v>0</v>
      </c>
    </row>
    <row r="146" spans="1:15">
      <c r="A146" s="622" t="str">
        <f t="shared" si="29"/>
        <v>I</v>
      </c>
      <c r="B146" s="519" t="str">
        <f t="shared" si="27"/>
        <v xml:space="preserve">        Otras Retenciones  - I</v>
      </c>
      <c r="C146" s="523">
        <f>+SUMIFS('Otras Retenciones'!$G$8:$G$500,'Otras Retenciones'!$B$8:$B$500,'Rev JR'!$A146,'Otras Retenciones'!$D$8:$D$500,"&gt;="&amp;'Rev JR'!C$1,'Otras Retenciones'!$D$8:$D$500,"&lt;="&amp;EOMONTH('Rev JR'!C$1,0))</f>
        <v>0</v>
      </c>
      <c r="D146" s="523">
        <f>+SUMIFS('Otras Retenciones'!$G$8:$G$500,'Otras Retenciones'!$B$8:$B$500,'Rev JR'!$A146,'Otras Retenciones'!$D$8:$D$500,"&gt;="&amp;'Rev JR'!D$1,'Otras Retenciones'!$D$8:$D$500,"&lt;="&amp;EOMONTH('Rev JR'!D$1,0))</f>
        <v>0</v>
      </c>
      <c r="E146" s="523">
        <f>+SUMIFS('Otras Retenciones'!$G$8:$G$500,'Otras Retenciones'!$B$8:$B$500,'Rev JR'!$A146,'Otras Retenciones'!$D$8:$D$500,"&gt;="&amp;'Rev JR'!E$1,'Otras Retenciones'!$D$8:$D$500,"&lt;="&amp;EOMONTH('Rev JR'!E$1,0))</f>
        <v>0</v>
      </c>
      <c r="F146" s="523">
        <f>+SUMIFS('Otras Retenciones'!$G$8:$G$500,'Otras Retenciones'!$B$8:$B$500,'Rev JR'!$A146,'Otras Retenciones'!$D$8:$D$500,"&gt;="&amp;'Rev JR'!F$1,'Otras Retenciones'!$D$8:$D$500,"&lt;="&amp;EOMONTH('Rev JR'!F$1,0))</f>
        <v>0</v>
      </c>
      <c r="G146" s="523">
        <f>+SUMIFS('Otras Retenciones'!$G$8:$G$500,'Otras Retenciones'!$B$8:$B$500,'Rev JR'!$A146,'Otras Retenciones'!$D$8:$D$500,"&gt;="&amp;'Rev JR'!G$1,'Otras Retenciones'!$D$8:$D$500,"&lt;="&amp;EOMONTH('Rev JR'!G$1,0))</f>
        <v>0</v>
      </c>
      <c r="H146" s="523">
        <f>+SUMIFS('Otras Retenciones'!$G$8:$G$500,'Otras Retenciones'!$B$8:$B$500,'Rev JR'!$A146,'Otras Retenciones'!$D$8:$D$500,"&gt;="&amp;'Rev JR'!H$1,'Otras Retenciones'!$D$8:$D$500,"&lt;="&amp;EOMONTH('Rev JR'!H$1,0))</f>
        <v>0</v>
      </c>
      <c r="I146" s="523">
        <f>+SUMIFS('Otras Retenciones'!$G$8:$G$500,'Otras Retenciones'!$B$8:$B$500,'Rev JR'!$A146,'Otras Retenciones'!$D$8:$D$500,"&gt;="&amp;'Rev JR'!I$1,'Otras Retenciones'!$D$8:$D$500,"&lt;="&amp;EOMONTH('Rev JR'!I$1,0))</f>
        <v>0</v>
      </c>
      <c r="J146" s="523">
        <f>+SUMIFS('Otras Retenciones'!$G$8:$G$500,'Otras Retenciones'!$B$8:$B$500,'Rev JR'!$A146,'Otras Retenciones'!$D$8:$D$500,"&gt;="&amp;'Rev JR'!J$1,'Otras Retenciones'!$D$8:$D$500,"&lt;="&amp;EOMONTH('Rev JR'!J$1,0))</f>
        <v>0</v>
      </c>
      <c r="K146" s="523">
        <f>+SUMIFS('Otras Retenciones'!$G$8:$G$500,'Otras Retenciones'!$B$8:$B$500,'Rev JR'!$A146,'Otras Retenciones'!$D$8:$D$500,"&gt;="&amp;'Rev JR'!K$1,'Otras Retenciones'!$D$8:$D$500,"&lt;="&amp;EOMONTH('Rev JR'!K$1,0))</f>
        <v>0</v>
      </c>
      <c r="L146" s="523">
        <f>+SUMIFS('Otras Retenciones'!$G$8:$G$500,'Otras Retenciones'!$B$8:$B$500,'Rev JR'!$A146,'Otras Retenciones'!$D$8:$D$500,"&gt;="&amp;'Rev JR'!L$1,'Otras Retenciones'!$D$8:$D$500,"&lt;="&amp;EOMONTH('Rev JR'!L$1,0))</f>
        <v>0</v>
      </c>
      <c r="M146" s="523">
        <f>+SUMIFS('Otras Retenciones'!$G$8:$G$500,'Otras Retenciones'!$B$8:$B$500,'Rev JR'!$A146,'Otras Retenciones'!$D$8:$D$500,"&gt;="&amp;'Rev JR'!M$1,'Otras Retenciones'!$D$8:$D$500,"&lt;="&amp;EOMONTH('Rev JR'!M$1,0))</f>
        <v>0</v>
      </c>
      <c r="N146" s="523">
        <f>+SUMIFS('Otras Retenciones'!$G$8:$G$500,'Otras Retenciones'!$B$8:$B$500,'Rev JR'!$A146,'Otras Retenciones'!$D$8:$D$500,"&gt;="&amp;'Rev JR'!N$1,'Otras Retenciones'!$D$8:$D$500,"&lt;="&amp;EOMONTH('Rev JR'!N$1,0))</f>
        <v>0</v>
      </c>
      <c r="O146" s="523">
        <f t="shared" si="28"/>
        <v>0</v>
      </c>
    </row>
    <row r="147" spans="1:15">
      <c r="A147" s="622" t="str">
        <f t="shared" si="29"/>
        <v>J</v>
      </c>
      <c r="B147" s="519" t="str">
        <f t="shared" si="27"/>
        <v xml:space="preserve">        Otras Retenciones  - J</v>
      </c>
      <c r="C147" s="523">
        <f>+SUMIFS('Otras Retenciones'!$G$8:$G$500,'Otras Retenciones'!$B$8:$B$500,'Rev JR'!$A147,'Otras Retenciones'!$D$8:$D$500,"&gt;="&amp;'Rev JR'!C$1,'Otras Retenciones'!$D$8:$D$500,"&lt;="&amp;EOMONTH('Rev JR'!C$1,0))</f>
        <v>0</v>
      </c>
      <c r="D147" s="523">
        <f>+SUMIFS('Otras Retenciones'!$G$8:$G$500,'Otras Retenciones'!$B$8:$B$500,'Rev JR'!$A147,'Otras Retenciones'!$D$8:$D$500,"&gt;="&amp;'Rev JR'!D$1,'Otras Retenciones'!$D$8:$D$500,"&lt;="&amp;EOMONTH('Rev JR'!D$1,0))</f>
        <v>0</v>
      </c>
      <c r="E147" s="523">
        <f>+SUMIFS('Otras Retenciones'!$G$8:$G$500,'Otras Retenciones'!$B$8:$B$500,'Rev JR'!$A147,'Otras Retenciones'!$D$8:$D$500,"&gt;="&amp;'Rev JR'!E$1,'Otras Retenciones'!$D$8:$D$500,"&lt;="&amp;EOMONTH('Rev JR'!E$1,0))</f>
        <v>0</v>
      </c>
      <c r="F147" s="523">
        <f>+SUMIFS('Otras Retenciones'!$G$8:$G$500,'Otras Retenciones'!$B$8:$B$500,'Rev JR'!$A147,'Otras Retenciones'!$D$8:$D$500,"&gt;="&amp;'Rev JR'!F$1,'Otras Retenciones'!$D$8:$D$500,"&lt;="&amp;EOMONTH('Rev JR'!F$1,0))</f>
        <v>0</v>
      </c>
      <c r="G147" s="523">
        <f>+SUMIFS('Otras Retenciones'!$G$8:$G$500,'Otras Retenciones'!$B$8:$B$500,'Rev JR'!$A147,'Otras Retenciones'!$D$8:$D$500,"&gt;="&amp;'Rev JR'!G$1,'Otras Retenciones'!$D$8:$D$500,"&lt;="&amp;EOMONTH('Rev JR'!G$1,0))</f>
        <v>0</v>
      </c>
      <c r="H147" s="523">
        <f>+SUMIFS('Otras Retenciones'!$G$8:$G$500,'Otras Retenciones'!$B$8:$B$500,'Rev JR'!$A147,'Otras Retenciones'!$D$8:$D$500,"&gt;="&amp;'Rev JR'!H$1,'Otras Retenciones'!$D$8:$D$500,"&lt;="&amp;EOMONTH('Rev JR'!H$1,0))</f>
        <v>0</v>
      </c>
      <c r="I147" s="523">
        <f>+SUMIFS('Otras Retenciones'!$G$8:$G$500,'Otras Retenciones'!$B$8:$B$500,'Rev JR'!$A147,'Otras Retenciones'!$D$8:$D$500,"&gt;="&amp;'Rev JR'!I$1,'Otras Retenciones'!$D$8:$D$500,"&lt;="&amp;EOMONTH('Rev JR'!I$1,0))</f>
        <v>0</v>
      </c>
      <c r="J147" s="523">
        <f>+SUMIFS('Otras Retenciones'!$G$8:$G$500,'Otras Retenciones'!$B$8:$B$500,'Rev JR'!$A147,'Otras Retenciones'!$D$8:$D$500,"&gt;="&amp;'Rev JR'!J$1,'Otras Retenciones'!$D$8:$D$500,"&lt;="&amp;EOMONTH('Rev JR'!J$1,0))</f>
        <v>0</v>
      </c>
      <c r="K147" s="523">
        <f>+SUMIFS('Otras Retenciones'!$G$8:$G$500,'Otras Retenciones'!$B$8:$B$500,'Rev JR'!$A147,'Otras Retenciones'!$D$8:$D$500,"&gt;="&amp;'Rev JR'!K$1,'Otras Retenciones'!$D$8:$D$500,"&lt;="&amp;EOMONTH('Rev JR'!K$1,0))</f>
        <v>0</v>
      </c>
      <c r="L147" s="523">
        <f>+SUMIFS('Otras Retenciones'!$G$8:$G$500,'Otras Retenciones'!$B$8:$B$500,'Rev JR'!$A147,'Otras Retenciones'!$D$8:$D$500,"&gt;="&amp;'Rev JR'!L$1,'Otras Retenciones'!$D$8:$D$500,"&lt;="&amp;EOMONTH('Rev JR'!L$1,0))</f>
        <v>0</v>
      </c>
      <c r="M147" s="523">
        <f>+SUMIFS('Otras Retenciones'!$G$8:$G$500,'Otras Retenciones'!$B$8:$B$500,'Rev JR'!$A147,'Otras Retenciones'!$D$8:$D$500,"&gt;="&amp;'Rev JR'!M$1,'Otras Retenciones'!$D$8:$D$500,"&lt;="&amp;EOMONTH('Rev JR'!M$1,0))</f>
        <v>0</v>
      </c>
      <c r="N147" s="523">
        <f>+SUMIFS('Otras Retenciones'!$G$8:$G$500,'Otras Retenciones'!$B$8:$B$500,'Rev JR'!$A147,'Otras Retenciones'!$D$8:$D$500,"&gt;="&amp;'Rev JR'!N$1,'Otras Retenciones'!$D$8:$D$500,"&lt;="&amp;EOMONTH('Rev JR'!N$1,0))</f>
        <v>0</v>
      </c>
      <c r="O147" s="523">
        <f t="shared" si="28"/>
        <v>0</v>
      </c>
    </row>
    <row r="148" spans="1:15">
      <c r="A148" s="622" t="str">
        <f t="shared" si="29"/>
        <v>K</v>
      </c>
      <c r="B148" s="519" t="str">
        <f t="shared" si="27"/>
        <v xml:space="preserve">        Otras Retenciones  - K</v>
      </c>
      <c r="C148" s="523">
        <f>+SUMIFS('Otras Retenciones'!$G$8:$G$500,'Otras Retenciones'!$B$8:$B$500,'Rev JR'!$A148,'Otras Retenciones'!$D$8:$D$500,"&gt;="&amp;'Rev JR'!C$1,'Otras Retenciones'!$D$8:$D$500,"&lt;="&amp;EOMONTH('Rev JR'!C$1,0))</f>
        <v>0</v>
      </c>
      <c r="D148" s="523">
        <f>+SUMIFS('Otras Retenciones'!$G$8:$G$500,'Otras Retenciones'!$B$8:$B$500,'Rev JR'!$A148,'Otras Retenciones'!$D$8:$D$500,"&gt;="&amp;'Rev JR'!D$1,'Otras Retenciones'!$D$8:$D$500,"&lt;="&amp;EOMONTH('Rev JR'!D$1,0))</f>
        <v>0</v>
      </c>
      <c r="E148" s="523">
        <f>+SUMIFS('Otras Retenciones'!$G$8:$G$500,'Otras Retenciones'!$B$8:$B$500,'Rev JR'!$A148,'Otras Retenciones'!$D$8:$D$500,"&gt;="&amp;'Rev JR'!E$1,'Otras Retenciones'!$D$8:$D$500,"&lt;="&amp;EOMONTH('Rev JR'!E$1,0))</f>
        <v>0</v>
      </c>
      <c r="F148" s="523">
        <f>+SUMIFS('Otras Retenciones'!$G$8:$G$500,'Otras Retenciones'!$B$8:$B$500,'Rev JR'!$A148,'Otras Retenciones'!$D$8:$D$500,"&gt;="&amp;'Rev JR'!F$1,'Otras Retenciones'!$D$8:$D$500,"&lt;="&amp;EOMONTH('Rev JR'!F$1,0))</f>
        <v>0</v>
      </c>
      <c r="G148" s="523">
        <f>+SUMIFS('Otras Retenciones'!$G$8:$G$500,'Otras Retenciones'!$B$8:$B$500,'Rev JR'!$A148,'Otras Retenciones'!$D$8:$D$500,"&gt;="&amp;'Rev JR'!G$1,'Otras Retenciones'!$D$8:$D$500,"&lt;="&amp;EOMONTH('Rev JR'!G$1,0))</f>
        <v>0</v>
      </c>
      <c r="H148" s="523">
        <f>+SUMIFS('Otras Retenciones'!$G$8:$G$500,'Otras Retenciones'!$B$8:$B$500,'Rev JR'!$A148,'Otras Retenciones'!$D$8:$D$500,"&gt;="&amp;'Rev JR'!H$1,'Otras Retenciones'!$D$8:$D$500,"&lt;="&amp;EOMONTH('Rev JR'!H$1,0))</f>
        <v>0</v>
      </c>
      <c r="I148" s="523">
        <f>+SUMIFS('Otras Retenciones'!$G$8:$G$500,'Otras Retenciones'!$B$8:$B$500,'Rev JR'!$A148,'Otras Retenciones'!$D$8:$D$500,"&gt;="&amp;'Rev JR'!I$1,'Otras Retenciones'!$D$8:$D$500,"&lt;="&amp;EOMONTH('Rev JR'!I$1,0))</f>
        <v>0</v>
      </c>
      <c r="J148" s="523">
        <f>+SUMIFS('Otras Retenciones'!$G$8:$G$500,'Otras Retenciones'!$B$8:$B$500,'Rev JR'!$A148,'Otras Retenciones'!$D$8:$D$500,"&gt;="&amp;'Rev JR'!J$1,'Otras Retenciones'!$D$8:$D$500,"&lt;="&amp;EOMONTH('Rev JR'!J$1,0))</f>
        <v>0</v>
      </c>
      <c r="K148" s="523">
        <f>+SUMIFS('Otras Retenciones'!$G$8:$G$500,'Otras Retenciones'!$B$8:$B$500,'Rev JR'!$A148,'Otras Retenciones'!$D$8:$D$500,"&gt;="&amp;'Rev JR'!K$1,'Otras Retenciones'!$D$8:$D$500,"&lt;="&amp;EOMONTH('Rev JR'!K$1,0))</f>
        <v>0</v>
      </c>
      <c r="L148" s="523">
        <f>+SUMIFS('Otras Retenciones'!$G$8:$G$500,'Otras Retenciones'!$B$8:$B$500,'Rev JR'!$A148,'Otras Retenciones'!$D$8:$D$500,"&gt;="&amp;'Rev JR'!L$1,'Otras Retenciones'!$D$8:$D$500,"&lt;="&amp;EOMONTH('Rev JR'!L$1,0))</f>
        <v>0</v>
      </c>
      <c r="M148" s="523">
        <f>+SUMIFS('Otras Retenciones'!$G$8:$G$500,'Otras Retenciones'!$B$8:$B$500,'Rev JR'!$A148,'Otras Retenciones'!$D$8:$D$500,"&gt;="&amp;'Rev JR'!M$1,'Otras Retenciones'!$D$8:$D$500,"&lt;="&amp;EOMONTH('Rev JR'!M$1,0))</f>
        <v>0</v>
      </c>
      <c r="N148" s="523">
        <f>+SUMIFS('Otras Retenciones'!$G$8:$G$500,'Otras Retenciones'!$B$8:$B$500,'Rev JR'!$A148,'Otras Retenciones'!$D$8:$D$500,"&gt;="&amp;'Rev JR'!N$1,'Otras Retenciones'!$D$8:$D$500,"&lt;="&amp;EOMONTH('Rev JR'!N$1,0))</f>
        <v>0</v>
      </c>
      <c r="O148" s="523">
        <f t="shared" si="28"/>
        <v>0</v>
      </c>
    </row>
    <row r="149" spans="1:15">
      <c r="A149" s="622" t="str">
        <f t="shared" si="29"/>
        <v>L</v>
      </c>
      <c r="B149" s="519" t="str">
        <f t="shared" si="27"/>
        <v xml:space="preserve">        Otras Retenciones  - L</v>
      </c>
      <c r="C149" s="523">
        <f>+SUMIFS('Otras Retenciones'!$G$8:$G$500,'Otras Retenciones'!$B$8:$B$500,'Rev JR'!$A149,'Otras Retenciones'!$D$8:$D$500,"&gt;="&amp;'Rev JR'!C$1,'Otras Retenciones'!$D$8:$D$500,"&lt;="&amp;EOMONTH('Rev JR'!C$1,0))</f>
        <v>0</v>
      </c>
      <c r="D149" s="523">
        <f>+SUMIFS('Otras Retenciones'!$G$8:$G$500,'Otras Retenciones'!$B$8:$B$500,'Rev JR'!$A149,'Otras Retenciones'!$D$8:$D$500,"&gt;="&amp;'Rev JR'!D$1,'Otras Retenciones'!$D$8:$D$500,"&lt;="&amp;EOMONTH('Rev JR'!D$1,0))</f>
        <v>0</v>
      </c>
      <c r="E149" s="523">
        <f>+SUMIFS('Otras Retenciones'!$G$8:$G$500,'Otras Retenciones'!$B$8:$B$500,'Rev JR'!$A149,'Otras Retenciones'!$D$8:$D$500,"&gt;="&amp;'Rev JR'!E$1,'Otras Retenciones'!$D$8:$D$500,"&lt;="&amp;EOMONTH('Rev JR'!E$1,0))</f>
        <v>0</v>
      </c>
      <c r="F149" s="523">
        <f>+SUMIFS('Otras Retenciones'!$G$8:$G$500,'Otras Retenciones'!$B$8:$B$500,'Rev JR'!$A149,'Otras Retenciones'!$D$8:$D$500,"&gt;="&amp;'Rev JR'!F$1,'Otras Retenciones'!$D$8:$D$500,"&lt;="&amp;EOMONTH('Rev JR'!F$1,0))</f>
        <v>0</v>
      </c>
      <c r="G149" s="523">
        <f>+SUMIFS('Otras Retenciones'!$G$8:$G$500,'Otras Retenciones'!$B$8:$B$500,'Rev JR'!$A149,'Otras Retenciones'!$D$8:$D$500,"&gt;="&amp;'Rev JR'!G$1,'Otras Retenciones'!$D$8:$D$500,"&lt;="&amp;EOMONTH('Rev JR'!G$1,0))</f>
        <v>0</v>
      </c>
      <c r="H149" s="523">
        <f>+SUMIFS('Otras Retenciones'!$G$8:$G$500,'Otras Retenciones'!$B$8:$B$500,'Rev JR'!$A149,'Otras Retenciones'!$D$8:$D$500,"&gt;="&amp;'Rev JR'!H$1,'Otras Retenciones'!$D$8:$D$500,"&lt;="&amp;EOMONTH('Rev JR'!H$1,0))</f>
        <v>0</v>
      </c>
      <c r="I149" s="523">
        <f>+SUMIFS('Otras Retenciones'!$G$8:$G$500,'Otras Retenciones'!$B$8:$B$500,'Rev JR'!$A149,'Otras Retenciones'!$D$8:$D$500,"&gt;="&amp;'Rev JR'!I$1,'Otras Retenciones'!$D$8:$D$500,"&lt;="&amp;EOMONTH('Rev JR'!I$1,0))</f>
        <v>0</v>
      </c>
      <c r="J149" s="523">
        <f>+SUMIFS('Otras Retenciones'!$G$8:$G$500,'Otras Retenciones'!$B$8:$B$500,'Rev JR'!$A149,'Otras Retenciones'!$D$8:$D$500,"&gt;="&amp;'Rev JR'!J$1,'Otras Retenciones'!$D$8:$D$500,"&lt;="&amp;EOMONTH('Rev JR'!J$1,0))</f>
        <v>0</v>
      </c>
      <c r="K149" s="523">
        <f>+SUMIFS('Otras Retenciones'!$G$8:$G$500,'Otras Retenciones'!$B$8:$B$500,'Rev JR'!$A149,'Otras Retenciones'!$D$8:$D$500,"&gt;="&amp;'Rev JR'!K$1,'Otras Retenciones'!$D$8:$D$500,"&lt;="&amp;EOMONTH('Rev JR'!K$1,0))</f>
        <v>0</v>
      </c>
      <c r="L149" s="523">
        <f>+SUMIFS('Otras Retenciones'!$G$8:$G$500,'Otras Retenciones'!$B$8:$B$500,'Rev JR'!$A149,'Otras Retenciones'!$D$8:$D$500,"&gt;="&amp;'Rev JR'!L$1,'Otras Retenciones'!$D$8:$D$500,"&lt;="&amp;EOMONTH('Rev JR'!L$1,0))</f>
        <v>0</v>
      </c>
      <c r="M149" s="523">
        <f>+SUMIFS('Otras Retenciones'!$G$8:$G$500,'Otras Retenciones'!$B$8:$B$500,'Rev JR'!$A149,'Otras Retenciones'!$D$8:$D$500,"&gt;="&amp;'Rev JR'!M$1,'Otras Retenciones'!$D$8:$D$500,"&lt;="&amp;EOMONTH('Rev JR'!M$1,0))</f>
        <v>0</v>
      </c>
      <c r="N149" s="523">
        <f>+SUMIFS('Otras Retenciones'!$G$8:$G$500,'Otras Retenciones'!$B$8:$B$500,'Rev JR'!$A149,'Otras Retenciones'!$D$8:$D$500,"&gt;="&amp;'Rev JR'!N$1,'Otras Retenciones'!$D$8:$D$500,"&lt;="&amp;EOMONTH('Rev JR'!N$1,0))</f>
        <v>0</v>
      </c>
      <c r="O149" s="523">
        <f t="shared" si="28"/>
        <v>0</v>
      </c>
    </row>
    <row r="150" spans="1:15">
      <c r="A150" s="622" t="str">
        <f t="shared" si="29"/>
        <v>M</v>
      </c>
      <c r="B150" s="519" t="str">
        <f t="shared" si="27"/>
        <v xml:space="preserve">        Otras Retenciones  - M</v>
      </c>
      <c r="C150" s="523">
        <f>+SUMIFS('Otras Retenciones'!$G$8:$G$500,'Otras Retenciones'!$B$8:$B$500,'Rev JR'!$A150,'Otras Retenciones'!$D$8:$D$500,"&gt;="&amp;'Rev JR'!C$1,'Otras Retenciones'!$D$8:$D$500,"&lt;="&amp;EOMONTH('Rev JR'!C$1,0))</f>
        <v>0</v>
      </c>
      <c r="D150" s="523">
        <f>+SUMIFS('Otras Retenciones'!$G$8:$G$500,'Otras Retenciones'!$B$8:$B$500,'Rev JR'!$A150,'Otras Retenciones'!$D$8:$D$500,"&gt;="&amp;'Rev JR'!D$1,'Otras Retenciones'!$D$8:$D$500,"&lt;="&amp;EOMONTH('Rev JR'!D$1,0))</f>
        <v>0</v>
      </c>
      <c r="E150" s="523">
        <f>+SUMIFS('Otras Retenciones'!$G$8:$G$500,'Otras Retenciones'!$B$8:$B$500,'Rev JR'!$A150,'Otras Retenciones'!$D$8:$D$500,"&gt;="&amp;'Rev JR'!E$1,'Otras Retenciones'!$D$8:$D$500,"&lt;="&amp;EOMONTH('Rev JR'!E$1,0))</f>
        <v>0</v>
      </c>
      <c r="F150" s="523">
        <f>+SUMIFS('Otras Retenciones'!$G$8:$G$500,'Otras Retenciones'!$B$8:$B$500,'Rev JR'!$A150,'Otras Retenciones'!$D$8:$D$500,"&gt;="&amp;'Rev JR'!F$1,'Otras Retenciones'!$D$8:$D$500,"&lt;="&amp;EOMONTH('Rev JR'!F$1,0))</f>
        <v>0</v>
      </c>
      <c r="G150" s="523">
        <f>+SUMIFS('Otras Retenciones'!$G$8:$G$500,'Otras Retenciones'!$B$8:$B$500,'Rev JR'!$A150,'Otras Retenciones'!$D$8:$D$500,"&gt;="&amp;'Rev JR'!G$1,'Otras Retenciones'!$D$8:$D$500,"&lt;="&amp;EOMONTH('Rev JR'!G$1,0))</f>
        <v>0</v>
      </c>
      <c r="H150" s="523">
        <f>+SUMIFS('Otras Retenciones'!$G$8:$G$500,'Otras Retenciones'!$B$8:$B$500,'Rev JR'!$A150,'Otras Retenciones'!$D$8:$D$500,"&gt;="&amp;'Rev JR'!H$1,'Otras Retenciones'!$D$8:$D$500,"&lt;="&amp;EOMONTH('Rev JR'!H$1,0))</f>
        <v>0</v>
      </c>
      <c r="I150" s="523">
        <f>+SUMIFS('Otras Retenciones'!$G$8:$G$500,'Otras Retenciones'!$B$8:$B$500,'Rev JR'!$A150,'Otras Retenciones'!$D$8:$D$500,"&gt;="&amp;'Rev JR'!I$1,'Otras Retenciones'!$D$8:$D$500,"&lt;="&amp;EOMONTH('Rev JR'!I$1,0))</f>
        <v>0</v>
      </c>
      <c r="J150" s="523">
        <f>+SUMIFS('Otras Retenciones'!$G$8:$G$500,'Otras Retenciones'!$B$8:$B$500,'Rev JR'!$A150,'Otras Retenciones'!$D$8:$D$500,"&gt;="&amp;'Rev JR'!J$1,'Otras Retenciones'!$D$8:$D$500,"&lt;="&amp;EOMONTH('Rev JR'!J$1,0))</f>
        <v>0</v>
      </c>
      <c r="K150" s="523">
        <f>+SUMIFS('Otras Retenciones'!$G$8:$G$500,'Otras Retenciones'!$B$8:$B$500,'Rev JR'!$A150,'Otras Retenciones'!$D$8:$D$500,"&gt;="&amp;'Rev JR'!K$1,'Otras Retenciones'!$D$8:$D$500,"&lt;="&amp;EOMONTH('Rev JR'!K$1,0))</f>
        <v>0</v>
      </c>
      <c r="L150" s="523">
        <f>+SUMIFS('Otras Retenciones'!$G$8:$G$500,'Otras Retenciones'!$B$8:$B$500,'Rev JR'!$A150,'Otras Retenciones'!$D$8:$D$500,"&gt;="&amp;'Rev JR'!L$1,'Otras Retenciones'!$D$8:$D$500,"&lt;="&amp;EOMONTH('Rev JR'!L$1,0))</f>
        <v>0</v>
      </c>
      <c r="M150" s="523">
        <f>+SUMIFS('Otras Retenciones'!$G$8:$G$500,'Otras Retenciones'!$B$8:$B$500,'Rev JR'!$A150,'Otras Retenciones'!$D$8:$D$500,"&gt;="&amp;'Rev JR'!M$1,'Otras Retenciones'!$D$8:$D$500,"&lt;="&amp;EOMONTH('Rev JR'!M$1,0))</f>
        <v>0</v>
      </c>
      <c r="N150" s="523">
        <f>+SUMIFS('Otras Retenciones'!$G$8:$G$500,'Otras Retenciones'!$B$8:$B$500,'Rev JR'!$A150,'Otras Retenciones'!$D$8:$D$500,"&gt;="&amp;'Rev JR'!N$1,'Otras Retenciones'!$D$8:$D$500,"&lt;="&amp;EOMONTH('Rev JR'!N$1,0))</f>
        <v>0</v>
      </c>
      <c r="O150" s="523">
        <f t="shared" si="28"/>
        <v>0</v>
      </c>
    </row>
    <row r="151" spans="1:15">
      <c r="A151" s="622" t="str">
        <f t="shared" si="29"/>
        <v>N</v>
      </c>
      <c r="B151" s="519" t="str">
        <f t="shared" si="27"/>
        <v xml:space="preserve">        Otras Retenciones  - N</v>
      </c>
      <c r="C151" s="523">
        <f>+SUMIFS('Otras Retenciones'!$G$8:$G$500,'Otras Retenciones'!$B$8:$B$500,'Rev JR'!$A151,'Otras Retenciones'!$D$8:$D$500,"&gt;="&amp;'Rev JR'!C$1,'Otras Retenciones'!$D$8:$D$500,"&lt;="&amp;EOMONTH('Rev JR'!C$1,0))</f>
        <v>0</v>
      </c>
      <c r="D151" s="523">
        <f>+SUMIFS('Otras Retenciones'!$G$8:$G$500,'Otras Retenciones'!$B$8:$B$500,'Rev JR'!$A151,'Otras Retenciones'!$D$8:$D$500,"&gt;="&amp;'Rev JR'!D$1,'Otras Retenciones'!$D$8:$D$500,"&lt;="&amp;EOMONTH('Rev JR'!D$1,0))</f>
        <v>0</v>
      </c>
      <c r="E151" s="523">
        <f>+SUMIFS('Otras Retenciones'!$G$8:$G$500,'Otras Retenciones'!$B$8:$B$500,'Rev JR'!$A151,'Otras Retenciones'!$D$8:$D$500,"&gt;="&amp;'Rev JR'!E$1,'Otras Retenciones'!$D$8:$D$500,"&lt;="&amp;EOMONTH('Rev JR'!E$1,0))</f>
        <v>0</v>
      </c>
      <c r="F151" s="523">
        <f>+SUMIFS('Otras Retenciones'!$G$8:$G$500,'Otras Retenciones'!$B$8:$B$500,'Rev JR'!$A151,'Otras Retenciones'!$D$8:$D$500,"&gt;="&amp;'Rev JR'!F$1,'Otras Retenciones'!$D$8:$D$500,"&lt;="&amp;EOMONTH('Rev JR'!F$1,0))</f>
        <v>0</v>
      </c>
      <c r="G151" s="523">
        <f>+SUMIFS('Otras Retenciones'!$G$8:$G$500,'Otras Retenciones'!$B$8:$B$500,'Rev JR'!$A151,'Otras Retenciones'!$D$8:$D$500,"&gt;="&amp;'Rev JR'!G$1,'Otras Retenciones'!$D$8:$D$500,"&lt;="&amp;EOMONTH('Rev JR'!G$1,0))</f>
        <v>0</v>
      </c>
      <c r="H151" s="523">
        <f>+SUMIFS('Otras Retenciones'!$G$8:$G$500,'Otras Retenciones'!$B$8:$B$500,'Rev JR'!$A151,'Otras Retenciones'!$D$8:$D$500,"&gt;="&amp;'Rev JR'!H$1,'Otras Retenciones'!$D$8:$D$500,"&lt;="&amp;EOMONTH('Rev JR'!H$1,0))</f>
        <v>0</v>
      </c>
      <c r="I151" s="523">
        <f>+SUMIFS('Otras Retenciones'!$G$8:$G$500,'Otras Retenciones'!$B$8:$B$500,'Rev JR'!$A151,'Otras Retenciones'!$D$8:$D$500,"&gt;="&amp;'Rev JR'!I$1,'Otras Retenciones'!$D$8:$D$500,"&lt;="&amp;EOMONTH('Rev JR'!I$1,0))</f>
        <v>0</v>
      </c>
      <c r="J151" s="523">
        <f>+SUMIFS('Otras Retenciones'!$G$8:$G$500,'Otras Retenciones'!$B$8:$B$500,'Rev JR'!$A151,'Otras Retenciones'!$D$8:$D$500,"&gt;="&amp;'Rev JR'!J$1,'Otras Retenciones'!$D$8:$D$500,"&lt;="&amp;EOMONTH('Rev JR'!J$1,0))</f>
        <v>0</v>
      </c>
      <c r="K151" s="523">
        <f>+SUMIFS('Otras Retenciones'!$G$8:$G$500,'Otras Retenciones'!$B$8:$B$500,'Rev JR'!$A151,'Otras Retenciones'!$D$8:$D$500,"&gt;="&amp;'Rev JR'!K$1,'Otras Retenciones'!$D$8:$D$500,"&lt;="&amp;EOMONTH('Rev JR'!K$1,0))</f>
        <v>0</v>
      </c>
      <c r="L151" s="523">
        <f>+SUMIFS('Otras Retenciones'!$G$8:$G$500,'Otras Retenciones'!$B$8:$B$500,'Rev JR'!$A151,'Otras Retenciones'!$D$8:$D$500,"&gt;="&amp;'Rev JR'!L$1,'Otras Retenciones'!$D$8:$D$500,"&lt;="&amp;EOMONTH('Rev JR'!L$1,0))</f>
        <v>0</v>
      </c>
      <c r="M151" s="523">
        <f>+SUMIFS('Otras Retenciones'!$G$8:$G$500,'Otras Retenciones'!$B$8:$B$500,'Rev JR'!$A151,'Otras Retenciones'!$D$8:$D$500,"&gt;="&amp;'Rev JR'!M$1,'Otras Retenciones'!$D$8:$D$500,"&lt;="&amp;EOMONTH('Rev JR'!M$1,0))</f>
        <v>0</v>
      </c>
      <c r="N151" s="523">
        <f>+SUMIFS('Otras Retenciones'!$G$8:$G$500,'Otras Retenciones'!$B$8:$B$500,'Rev JR'!$A151,'Otras Retenciones'!$D$8:$D$500,"&gt;="&amp;'Rev JR'!N$1,'Otras Retenciones'!$D$8:$D$500,"&lt;="&amp;EOMONTH('Rev JR'!N$1,0))</f>
        <v>0</v>
      </c>
      <c r="O151" s="523">
        <f t="shared" si="28"/>
        <v>0</v>
      </c>
    </row>
    <row r="152" spans="1:15">
      <c r="A152" s="622" t="str">
        <f t="shared" si="29"/>
        <v>O</v>
      </c>
      <c r="B152" s="519" t="str">
        <f t="shared" si="27"/>
        <v xml:space="preserve">        Otras Retenciones  - O</v>
      </c>
      <c r="C152" s="523">
        <f>+SUMIFS('Otras Retenciones'!$G$8:$G$500,'Otras Retenciones'!$B$8:$B$500,'Rev JR'!$A152,'Otras Retenciones'!$D$8:$D$500,"&gt;="&amp;'Rev JR'!C$1,'Otras Retenciones'!$D$8:$D$500,"&lt;="&amp;EOMONTH('Rev JR'!C$1,0))</f>
        <v>0</v>
      </c>
      <c r="D152" s="523">
        <f>+SUMIFS('Otras Retenciones'!$G$8:$G$500,'Otras Retenciones'!$B$8:$B$500,'Rev JR'!$A152,'Otras Retenciones'!$D$8:$D$500,"&gt;="&amp;'Rev JR'!D$1,'Otras Retenciones'!$D$8:$D$500,"&lt;="&amp;EOMONTH('Rev JR'!D$1,0))</f>
        <v>0</v>
      </c>
      <c r="E152" s="523">
        <f>+SUMIFS('Otras Retenciones'!$G$8:$G$500,'Otras Retenciones'!$B$8:$B$500,'Rev JR'!$A152,'Otras Retenciones'!$D$8:$D$500,"&gt;="&amp;'Rev JR'!E$1,'Otras Retenciones'!$D$8:$D$500,"&lt;="&amp;EOMONTH('Rev JR'!E$1,0))</f>
        <v>0</v>
      </c>
      <c r="F152" s="523">
        <f>+SUMIFS('Otras Retenciones'!$G$8:$G$500,'Otras Retenciones'!$B$8:$B$500,'Rev JR'!$A152,'Otras Retenciones'!$D$8:$D$500,"&gt;="&amp;'Rev JR'!F$1,'Otras Retenciones'!$D$8:$D$500,"&lt;="&amp;EOMONTH('Rev JR'!F$1,0))</f>
        <v>0</v>
      </c>
      <c r="G152" s="523">
        <f>+SUMIFS('Otras Retenciones'!$G$8:$G$500,'Otras Retenciones'!$B$8:$B$500,'Rev JR'!$A152,'Otras Retenciones'!$D$8:$D$500,"&gt;="&amp;'Rev JR'!G$1,'Otras Retenciones'!$D$8:$D$500,"&lt;="&amp;EOMONTH('Rev JR'!G$1,0))</f>
        <v>0</v>
      </c>
      <c r="H152" s="523">
        <f>+SUMIFS('Otras Retenciones'!$G$8:$G$500,'Otras Retenciones'!$B$8:$B$500,'Rev JR'!$A152,'Otras Retenciones'!$D$8:$D$500,"&gt;="&amp;'Rev JR'!H$1,'Otras Retenciones'!$D$8:$D$500,"&lt;="&amp;EOMONTH('Rev JR'!H$1,0))</f>
        <v>0</v>
      </c>
      <c r="I152" s="523">
        <f>+SUMIFS('Otras Retenciones'!$G$8:$G$500,'Otras Retenciones'!$B$8:$B$500,'Rev JR'!$A152,'Otras Retenciones'!$D$8:$D$500,"&gt;="&amp;'Rev JR'!I$1,'Otras Retenciones'!$D$8:$D$500,"&lt;="&amp;EOMONTH('Rev JR'!I$1,0))</f>
        <v>0</v>
      </c>
      <c r="J152" s="523">
        <f>+SUMIFS('Otras Retenciones'!$G$8:$G$500,'Otras Retenciones'!$B$8:$B$500,'Rev JR'!$A152,'Otras Retenciones'!$D$8:$D$500,"&gt;="&amp;'Rev JR'!J$1,'Otras Retenciones'!$D$8:$D$500,"&lt;="&amp;EOMONTH('Rev JR'!J$1,0))</f>
        <v>0</v>
      </c>
      <c r="K152" s="523">
        <f>+SUMIFS('Otras Retenciones'!$G$8:$G$500,'Otras Retenciones'!$B$8:$B$500,'Rev JR'!$A152,'Otras Retenciones'!$D$8:$D$500,"&gt;="&amp;'Rev JR'!K$1,'Otras Retenciones'!$D$8:$D$500,"&lt;="&amp;EOMONTH('Rev JR'!K$1,0))</f>
        <v>0</v>
      </c>
      <c r="L152" s="523">
        <f>+SUMIFS('Otras Retenciones'!$G$8:$G$500,'Otras Retenciones'!$B$8:$B$500,'Rev JR'!$A152,'Otras Retenciones'!$D$8:$D$500,"&gt;="&amp;'Rev JR'!L$1,'Otras Retenciones'!$D$8:$D$500,"&lt;="&amp;EOMONTH('Rev JR'!L$1,0))</f>
        <v>0</v>
      </c>
      <c r="M152" s="523">
        <f>+SUMIFS('Otras Retenciones'!$G$8:$G$500,'Otras Retenciones'!$B$8:$B$500,'Rev JR'!$A152,'Otras Retenciones'!$D$8:$D$500,"&gt;="&amp;'Rev JR'!M$1,'Otras Retenciones'!$D$8:$D$500,"&lt;="&amp;EOMONTH('Rev JR'!M$1,0))</f>
        <v>0</v>
      </c>
      <c r="N152" s="523">
        <f>+SUMIFS('Otras Retenciones'!$G$8:$G$500,'Otras Retenciones'!$B$8:$B$500,'Rev JR'!$A152,'Otras Retenciones'!$D$8:$D$500,"&gt;="&amp;'Rev JR'!N$1,'Otras Retenciones'!$D$8:$D$500,"&lt;="&amp;EOMONTH('Rev JR'!N$1,0))</f>
        <v>0</v>
      </c>
      <c r="O152" s="523">
        <f t="shared" si="28"/>
        <v>0</v>
      </c>
    </row>
    <row r="153" spans="1:15">
      <c r="A153" s="622" t="str">
        <f t="shared" si="29"/>
        <v>P</v>
      </c>
      <c r="B153" s="519" t="str">
        <f t="shared" si="27"/>
        <v xml:space="preserve">        Otras Retenciones  - P</v>
      </c>
      <c r="C153" s="523">
        <f>+SUMIFS('Otras Retenciones'!$G$8:$G$500,'Otras Retenciones'!$B$8:$B$500,'Rev JR'!$A153,'Otras Retenciones'!$D$8:$D$500,"&gt;="&amp;'Rev JR'!C$1,'Otras Retenciones'!$D$8:$D$500,"&lt;="&amp;EOMONTH('Rev JR'!C$1,0))</f>
        <v>0</v>
      </c>
      <c r="D153" s="523">
        <f>+SUMIFS('Otras Retenciones'!$G$8:$G$500,'Otras Retenciones'!$B$8:$B$500,'Rev JR'!$A153,'Otras Retenciones'!$D$8:$D$500,"&gt;="&amp;'Rev JR'!D$1,'Otras Retenciones'!$D$8:$D$500,"&lt;="&amp;EOMONTH('Rev JR'!D$1,0))</f>
        <v>0</v>
      </c>
      <c r="E153" s="523">
        <f>+SUMIFS('Otras Retenciones'!$G$8:$G$500,'Otras Retenciones'!$B$8:$B$500,'Rev JR'!$A153,'Otras Retenciones'!$D$8:$D$500,"&gt;="&amp;'Rev JR'!E$1,'Otras Retenciones'!$D$8:$D$500,"&lt;="&amp;EOMONTH('Rev JR'!E$1,0))</f>
        <v>0</v>
      </c>
      <c r="F153" s="523">
        <f>+SUMIFS('Otras Retenciones'!$G$8:$G$500,'Otras Retenciones'!$B$8:$B$500,'Rev JR'!$A153,'Otras Retenciones'!$D$8:$D$500,"&gt;="&amp;'Rev JR'!F$1,'Otras Retenciones'!$D$8:$D$500,"&lt;="&amp;EOMONTH('Rev JR'!F$1,0))</f>
        <v>0</v>
      </c>
      <c r="G153" s="523">
        <f>+SUMIFS('Otras Retenciones'!$G$8:$G$500,'Otras Retenciones'!$B$8:$B$500,'Rev JR'!$A153,'Otras Retenciones'!$D$8:$D$500,"&gt;="&amp;'Rev JR'!G$1,'Otras Retenciones'!$D$8:$D$500,"&lt;="&amp;EOMONTH('Rev JR'!G$1,0))</f>
        <v>0</v>
      </c>
      <c r="H153" s="523">
        <f>+SUMIFS('Otras Retenciones'!$G$8:$G$500,'Otras Retenciones'!$B$8:$B$500,'Rev JR'!$A153,'Otras Retenciones'!$D$8:$D$500,"&gt;="&amp;'Rev JR'!H$1,'Otras Retenciones'!$D$8:$D$500,"&lt;="&amp;EOMONTH('Rev JR'!H$1,0))</f>
        <v>0</v>
      </c>
      <c r="I153" s="523">
        <f>+SUMIFS('Otras Retenciones'!$G$8:$G$500,'Otras Retenciones'!$B$8:$B$500,'Rev JR'!$A153,'Otras Retenciones'!$D$8:$D$500,"&gt;="&amp;'Rev JR'!I$1,'Otras Retenciones'!$D$8:$D$500,"&lt;="&amp;EOMONTH('Rev JR'!I$1,0))</f>
        <v>0</v>
      </c>
      <c r="J153" s="523">
        <f>+SUMIFS('Otras Retenciones'!$G$8:$G$500,'Otras Retenciones'!$B$8:$B$500,'Rev JR'!$A153,'Otras Retenciones'!$D$8:$D$500,"&gt;="&amp;'Rev JR'!J$1,'Otras Retenciones'!$D$8:$D$500,"&lt;="&amp;EOMONTH('Rev JR'!J$1,0))</f>
        <v>0</v>
      </c>
      <c r="K153" s="523">
        <f>+SUMIFS('Otras Retenciones'!$G$8:$G$500,'Otras Retenciones'!$B$8:$B$500,'Rev JR'!$A153,'Otras Retenciones'!$D$8:$D$500,"&gt;="&amp;'Rev JR'!K$1,'Otras Retenciones'!$D$8:$D$500,"&lt;="&amp;EOMONTH('Rev JR'!K$1,0))</f>
        <v>0</v>
      </c>
      <c r="L153" s="523">
        <f>+SUMIFS('Otras Retenciones'!$G$8:$G$500,'Otras Retenciones'!$B$8:$B$500,'Rev JR'!$A153,'Otras Retenciones'!$D$8:$D$500,"&gt;="&amp;'Rev JR'!L$1,'Otras Retenciones'!$D$8:$D$500,"&lt;="&amp;EOMONTH('Rev JR'!L$1,0))</f>
        <v>0</v>
      </c>
      <c r="M153" s="523">
        <f>+SUMIFS('Otras Retenciones'!$G$8:$G$500,'Otras Retenciones'!$B$8:$B$500,'Rev JR'!$A153,'Otras Retenciones'!$D$8:$D$500,"&gt;="&amp;'Rev JR'!M$1,'Otras Retenciones'!$D$8:$D$500,"&lt;="&amp;EOMONTH('Rev JR'!M$1,0))</f>
        <v>0</v>
      </c>
      <c r="N153" s="523">
        <f>+SUMIFS('Otras Retenciones'!$G$8:$G$500,'Otras Retenciones'!$B$8:$B$500,'Rev JR'!$A153,'Otras Retenciones'!$D$8:$D$500,"&gt;="&amp;'Rev JR'!N$1,'Otras Retenciones'!$D$8:$D$500,"&lt;="&amp;EOMONTH('Rev JR'!N$1,0))</f>
        <v>0</v>
      </c>
      <c r="O153" s="523">
        <f t="shared" si="28"/>
        <v>0</v>
      </c>
    </row>
    <row r="154" spans="1:15">
      <c r="A154" s="515"/>
      <c r="B154" s="524" t="s">
        <v>618</v>
      </c>
      <c r="C154" s="525">
        <f t="shared" ref="C154:N154" si="30">SUM(C138:C153)</f>
        <v>0</v>
      </c>
      <c r="D154" s="525">
        <f t="shared" si="30"/>
        <v>0</v>
      </c>
      <c r="E154" s="525">
        <f t="shared" si="30"/>
        <v>0</v>
      </c>
      <c r="F154" s="525">
        <f t="shared" si="30"/>
        <v>0</v>
      </c>
      <c r="G154" s="525">
        <f t="shared" si="30"/>
        <v>0</v>
      </c>
      <c r="H154" s="525">
        <f t="shared" si="30"/>
        <v>0</v>
      </c>
      <c r="I154" s="525">
        <f t="shared" si="30"/>
        <v>0</v>
      </c>
      <c r="J154" s="525">
        <f t="shared" si="30"/>
        <v>0</v>
      </c>
      <c r="K154" s="525">
        <f t="shared" si="30"/>
        <v>0</v>
      </c>
      <c r="L154" s="525">
        <f t="shared" si="30"/>
        <v>0</v>
      </c>
      <c r="M154" s="525">
        <f t="shared" si="30"/>
        <v>0</v>
      </c>
      <c r="N154" s="525">
        <f t="shared" si="30"/>
        <v>0</v>
      </c>
      <c r="O154" s="525">
        <f>SUM(O138:O153)</f>
        <v>0</v>
      </c>
    </row>
    <row r="155" spans="1:15">
      <c r="A155" s="519"/>
      <c r="B155" s="519"/>
      <c r="C155" s="519"/>
      <c r="D155" s="519"/>
      <c r="E155" s="519"/>
      <c r="F155" s="519"/>
      <c r="G155" s="519"/>
      <c r="H155" s="519"/>
      <c r="I155" s="519"/>
      <c r="J155" s="519"/>
      <c r="K155" s="519"/>
      <c r="L155" s="519"/>
      <c r="M155" s="519"/>
      <c r="N155" s="519"/>
      <c r="O155" s="519"/>
    </row>
    <row r="156" spans="1:15">
      <c r="A156" s="519"/>
      <c r="B156" s="519"/>
      <c r="C156" s="519"/>
      <c r="D156" s="519"/>
      <c r="E156" s="519"/>
      <c r="F156" s="519"/>
      <c r="G156" s="519"/>
      <c r="H156" s="519"/>
      <c r="I156" s="519"/>
      <c r="J156" s="519"/>
      <c r="K156" s="519"/>
      <c r="L156" s="519"/>
      <c r="M156" s="519"/>
      <c r="N156" s="519"/>
      <c r="O156" s="519"/>
    </row>
  </sheetData>
  <sheetProtection algorithmName="SHA-512" hashValue="62IbTR9b0sRRlgrCvyGlTrzFo9od2AQh8JnXIrzUZ6Bhcpa3bygJywtl8KDV8Y4G9YiF0eWV6kYAbLT8Zm9qdA==" saltValue="pLDhkP+kyOMClTVrEMMUlw==" spinCount="100000" sheet="1" objects="1" scenarios="1"/>
  <autoFilter ref="A2:O155" xr:uid="{8005A002-1D88-3347-B508-7A9B8A0C972D}"/>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36</vt:i4>
      </vt:variant>
      <vt:variant>
        <vt:lpstr>Named Ranges</vt:lpstr>
      </vt:variant>
      <vt:variant>
        <vt:i4>63</vt:i4>
      </vt:variant>
    </vt:vector>
  </HeadingPairs>
  <TitlesOfParts>
    <vt:vector size="99" baseType="lpstr">
      <vt:lpstr>Cuentas</vt:lpstr>
      <vt:lpstr>Transferencia</vt:lpstr>
      <vt:lpstr>Sumaria Ingresos</vt:lpstr>
      <vt:lpstr>1 Ingresos Acum &amp; No Acum</vt:lpstr>
      <vt:lpstr>2 Ingresos BMV &amp; SIC</vt:lpstr>
      <vt:lpstr>3 Ingresos 10% Ad - Dividendos</vt:lpstr>
      <vt:lpstr>Cap Gain Summary S-I</vt:lpstr>
      <vt:lpstr>Cap Gain Summary S-II</vt:lpstr>
      <vt:lpstr>OFD Summary</vt:lpstr>
      <vt:lpstr>CGDet Cap IV SI &amp; SII - NO OFD </vt:lpstr>
      <vt:lpstr>CG OFD Cap IV SII &amp; Cap IX</vt:lpstr>
      <vt:lpstr>Intereses percibidos</vt:lpstr>
      <vt:lpstr>Intereses en Compra Venta Bonos</vt:lpstr>
      <vt:lpstr>Ganancias Cambiarias - Contrato</vt:lpstr>
      <vt:lpstr>AAI</vt:lpstr>
      <vt:lpstr>Saldos Cash</vt:lpstr>
      <vt:lpstr>Inventario de bonos</vt:lpstr>
      <vt:lpstr>239</vt:lpstr>
      <vt:lpstr>Otros Ingresos</vt:lpstr>
      <vt:lpstr>Dividendos Nacionales</vt:lpstr>
      <vt:lpstr>Reducciones de Capital</vt:lpstr>
      <vt:lpstr>Dividendos Extranjero</vt:lpstr>
      <vt:lpstr>Dividendos Extranjeros - Ret</vt:lpstr>
      <vt:lpstr>PE - Real Gain Loss</vt:lpstr>
      <vt:lpstr>PE - Retenciones</vt:lpstr>
      <vt:lpstr>PE - Inventario</vt:lpstr>
      <vt:lpstr>Otras Retenciones</vt:lpstr>
      <vt:lpstr>Swap</vt:lpstr>
      <vt:lpstr>FWD</vt:lpstr>
      <vt:lpstr>Ventas Acciones &amp; Bonos</vt:lpstr>
      <vt:lpstr>Inventario</vt:lpstr>
      <vt:lpstr>Ventas OFD</vt:lpstr>
      <vt:lpstr>Equivalencia</vt:lpstr>
      <vt:lpstr>TC</vt:lpstr>
      <vt:lpstr>INPC</vt:lpstr>
      <vt:lpstr>Rev JR</vt:lpstr>
      <vt:lpstr>Accrued_Interest_Paid</vt:lpstr>
      <vt:lpstr>'Ventas OFD'!Instrumentos</vt:lpstr>
      <vt:lpstr>Instrumentos</vt:lpstr>
      <vt:lpstr>Intereses</vt:lpstr>
      <vt:lpstr>Monedas</vt:lpstr>
      <vt:lpstr>'Reducciones de Capital'!Monedas_Dividendos</vt:lpstr>
      <vt:lpstr>Monedas_Dividendos</vt:lpstr>
      <vt:lpstr>Monedas_Ventas</vt:lpstr>
      <vt:lpstr>'Ventas OFD'!Operaciones</vt:lpstr>
      <vt:lpstr>Operaciones</vt:lpstr>
      <vt:lpstr>Otros_Ingresos</vt:lpstr>
      <vt:lpstr>'1 Ingresos Acum &amp; No Acum'!Print_Area</vt:lpstr>
      <vt:lpstr>'2 Ingresos BMV &amp; SIC'!Print_Area</vt:lpstr>
      <vt:lpstr>'239'!Print_Area</vt:lpstr>
      <vt:lpstr>'3 Ingresos 10% Ad - Dividendos'!Print_Area</vt:lpstr>
      <vt:lpstr>AAI!Print_Area</vt:lpstr>
      <vt:lpstr>'Cap Gain Summary S-I'!Print_Area</vt:lpstr>
      <vt:lpstr>'Cap Gain Summary S-II'!Print_Area</vt:lpstr>
      <vt:lpstr>'CG OFD Cap IV SII &amp; Cap IX'!Print_Area</vt:lpstr>
      <vt:lpstr>'CGDet Cap IV SI &amp; SII - NO OFD '!Print_Area</vt:lpstr>
      <vt:lpstr>Cuentas!Print_Area</vt:lpstr>
      <vt:lpstr>'Dividendos Extranjero'!Print_Area</vt:lpstr>
      <vt:lpstr>'Dividendos Extranjeros - Ret'!Print_Area</vt:lpstr>
      <vt:lpstr>'Dividendos Nacionales'!Print_Area</vt:lpstr>
      <vt:lpstr>FWD!Print_Area</vt:lpstr>
      <vt:lpstr>'Ganancias Cambiarias - Contrato'!Print_Area</vt:lpstr>
      <vt:lpstr>'Intereses en Compra Venta Bonos'!Print_Area</vt:lpstr>
      <vt:lpstr>'Intereses percibidos'!Print_Area</vt:lpstr>
      <vt:lpstr>'Inventario de bonos'!Print_Area</vt:lpstr>
      <vt:lpstr>'OFD Summary'!Print_Area</vt:lpstr>
      <vt:lpstr>'Otras Retenciones'!Print_Area</vt:lpstr>
      <vt:lpstr>'Otros Ingresos'!Print_Area</vt:lpstr>
      <vt:lpstr>'PE - Inventario'!Print_Area</vt:lpstr>
      <vt:lpstr>'PE - Real Gain Loss'!Print_Area</vt:lpstr>
      <vt:lpstr>'PE - Retenciones'!Print_Area</vt:lpstr>
      <vt:lpstr>'Reducciones de Capital'!Print_Area</vt:lpstr>
      <vt:lpstr>'Saldos Cash'!Print_Area</vt:lpstr>
      <vt:lpstr>'Sumaria Ingresos'!Print_Area</vt:lpstr>
      <vt:lpstr>Swap!Print_Area</vt:lpstr>
      <vt:lpstr>'Cap Gain Summary S-I'!Print_Titles</vt:lpstr>
      <vt:lpstr>'Cap Gain Summary S-II'!Print_Titles</vt:lpstr>
      <vt:lpstr>'CG OFD Cap IV SII &amp; Cap IX'!Print_Titles</vt:lpstr>
      <vt:lpstr>'CGDet Cap IV SI &amp; SII - NO OFD '!Print_Titles</vt:lpstr>
      <vt:lpstr>'Dividendos Extranjero'!Print_Titles</vt:lpstr>
      <vt:lpstr>'Dividendos Extranjeros - Ret'!Print_Titles</vt:lpstr>
      <vt:lpstr>'Dividendos Nacionales'!Print_Titles</vt:lpstr>
      <vt:lpstr>FWD!Print_Titles</vt:lpstr>
      <vt:lpstr>'Ganancias Cambiarias - Contrato'!Print_Titles</vt:lpstr>
      <vt:lpstr>'Intereses en Compra Venta Bonos'!Print_Titles</vt:lpstr>
      <vt:lpstr>'Intereses percibidos'!Print_Titles</vt:lpstr>
      <vt:lpstr>'Inventario de bonos'!Print_Titles</vt:lpstr>
      <vt:lpstr>'OFD Summary'!Print_Titles</vt:lpstr>
      <vt:lpstr>'Otras Retenciones'!Print_Titles</vt:lpstr>
      <vt:lpstr>'Otros Ingresos'!Print_Titles</vt:lpstr>
      <vt:lpstr>'PE - Inventario'!Print_Titles</vt:lpstr>
      <vt:lpstr>'PE - Real Gain Loss'!Print_Titles</vt:lpstr>
      <vt:lpstr>'PE - Retenciones'!Print_Titles</vt:lpstr>
      <vt:lpstr>'Reducciones de Capital'!Print_Titles</vt:lpstr>
      <vt:lpstr>'Saldos Cash'!Print_Titles</vt:lpstr>
      <vt:lpstr>Swap!Print_Titles</vt:lpstr>
      <vt:lpstr>'PE - Retenciones'!Private_Equity</vt:lpstr>
      <vt:lpstr>Private_Equity</vt:lpstr>
      <vt:lpstr>Retenciones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dc:creator>
  <cp:lastModifiedBy>Lorenza del Rio</cp:lastModifiedBy>
  <cp:lastPrinted>2022-10-26T23:14:23Z</cp:lastPrinted>
  <dcterms:created xsi:type="dcterms:W3CDTF">2016-08-05T22:36:11Z</dcterms:created>
  <dcterms:modified xsi:type="dcterms:W3CDTF">2023-02-10T03:14:48Z</dcterms:modified>
</cp:coreProperties>
</file>